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hidePivotFieldList="1" defaultThemeVersion="166925"/>
  <mc:AlternateContent xmlns:mc="http://schemas.openxmlformats.org/markup-compatibility/2006">
    <mc:Choice Requires="x15">
      <x15ac:absPath xmlns:x15ac="http://schemas.microsoft.com/office/spreadsheetml/2010/11/ac" url="C:\Users\lanhh\OneDrive\Documents\UNIGE Statistics\Masters of Biz Analytics\3. Jobs\24. WEF\"/>
    </mc:Choice>
  </mc:AlternateContent>
  <xr:revisionPtr revIDLastSave="0" documentId="13_ncr:1_{826DEACD-8164-4926-BA4E-586EADB30BE6}" xr6:coauthVersionLast="47" xr6:coauthVersionMax="47" xr10:uidLastSave="{00000000-0000-0000-0000-000000000000}"/>
  <bookViews>
    <workbookView xWindow="-28800" yWindow="0" windowWidth="14400" windowHeight="15600" tabRatio="780" xr2:uid="{836A9DC5-F11F-4E48-9635-31C08E900ADA}"/>
  </bookViews>
  <sheets>
    <sheet name="Cover" sheetId="65" r:id="rId1"/>
    <sheet name="Data - Current" sheetId="39" r:id="rId2"/>
    <sheet name="Data - Previous" sheetId="66" r:id="rId3"/>
    <sheet name="Support - Tables" sheetId="47" r:id="rId4"/>
    <sheet name="Sheet1" sheetId="67" r:id="rId5"/>
  </sheets>
  <definedNames>
    <definedName name="_xlnm._FilterDatabase" localSheetId="0" hidden="1">Cover!$B$21:$C$21</definedName>
    <definedName name="_xlnm._FilterDatabase" localSheetId="1" hidden="1">'Data - Current'!$A$1:$L$501</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43443.8874652778</definedName>
    <definedName name="IQ_QTD" hidden="1">750000</definedName>
    <definedName name="IQ_TODAY" hidden="1">0</definedName>
    <definedName name="IQ_YTDMONTH" hidden="1">130000</definedName>
  </definedNames>
  <calcPr calcId="191029"/>
  <pivotCaches>
    <pivotCache cacheId="0"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1" i="67" l="1"/>
  <c r="E7" i="67"/>
  <c r="E8" i="67"/>
  <c r="E9" i="67"/>
  <c r="E10" i="67"/>
  <c r="E6" i="67"/>
  <c r="J227" i="65"/>
  <c r="K227" i="65"/>
  <c r="E227" i="65"/>
  <c r="F227" i="65"/>
  <c r="G227" i="65"/>
  <c r="J228" i="65"/>
  <c r="K228" i="65"/>
  <c r="E228" i="65"/>
  <c r="F228" i="65"/>
  <c r="G228" i="65"/>
  <c r="J229" i="65"/>
  <c r="K229" i="65"/>
  <c r="E229" i="65"/>
  <c r="F229" i="65"/>
  <c r="G229" i="65"/>
  <c r="J230" i="65"/>
  <c r="K230" i="65"/>
  <c r="E230" i="65"/>
  <c r="F230" i="65"/>
  <c r="G230" i="65"/>
  <c r="J231" i="65"/>
  <c r="K231" i="65"/>
  <c r="E231" i="65"/>
  <c r="F231" i="65"/>
  <c r="G231" i="65"/>
  <c r="J232" i="65"/>
  <c r="K232" i="65"/>
  <c r="E232" i="65"/>
  <c r="F232" i="65"/>
  <c r="G232" i="65"/>
  <c r="J233" i="65"/>
  <c r="K233" i="65"/>
  <c r="E233" i="65"/>
  <c r="F233" i="65"/>
  <c r="G233" i="65"/>
  <c r="J234" i="65"/>
  <c r="K234" i="65"/>
  <c r="E234" i="65"/>
  <c r="F234" i="65"/>
  <c r="G234" i="65"/>
  <c r="J235" i="65"/>
  <c r="K235" i="65"/>
  <c r="E235" i="65"/>
  <c r="F235" i="65"/>
  <c r="G235" i="65"/>
  <c r="F84" i="65"/>
  <c r="F83" i="65"/>
  <c r="F82" i="65"/>
  <c r="G108" i="65" a="1"/>
  <c r="G108" i="65" s="1"/>
  <c r="G107" i="65" a="1"/>
  <c r="G107" i="65" s="1"/>
  <c r="G106" i="65" a="1"/>
  <c r="G106" i="65" s="1"/>
  <c r="G105" i="65" a="1"/>
  <c r="G105" i="65" s="1"/>
  <c r="G104" i="65" a="1"/>
  <c r="G104" i="65" s="1"/>
  <c r="G94" i="65" a="1"/>
  <c r="G94" i="65" s="1"/>
  <c r="G93" i="65" a="1"/>
  <c r="G93" i="65" s="1"/>
  <c r="G92" i="65" a="1"/>
  <c r="G92" i="65" s="1"/>
  <c r="G91" i="65" a="1"/>
  <c r="G91" i="65" s="1"/>
  <c r="G90" i="65" a="1"/>
  <c r="G90" i="65" s="1"/>
  <c r="G75" i="65"/>
  <c r="G84" i="65"/>
  <c r="G83" i="65"/>
  <c r="G82" i="65"/>
  <c r="I93" i="65" l="1"/>
  <c r="I94" i="65"/>
  <c r="I82" i="65"/>
  <c r="I84" i="65"/>
  <c r="I83" i="65"/>
  <c r="I104" i="65"/>
  <c r="I103" i="65"/>
  <c r="I109" i="65"/>
  <c r="I105" i="65"/>
  <c r="I106" i="65"/>
  <c r="I90" i="65"/>
  <c r="I107" i="65"/>
  <c r="I91" i="65"/>
  <c r="I108" i="65"/>
  <c r="I92" i="65"/>
  <c r="F75" i="65"/>
  <c r="G74" i="65"/>
  <c r="F74" i="65" l="1"/>
  <c r="G73" i="65"/>
  <c r="I75" i="65" l="1"/>
  <c r="I73" i="65"/>
  <c r="I74" i="65"/>
  <c r="F73" i="65"/>
  <c r="G67" i="65"/>
  <c r="F67" i="65"/>
  <c r="G66" i="65"/>
  <c r="G65" i="65"/>
  <c r="G64" i="65"/>
  <c r="G63" i="65"/>
  <c r="G62" i="65"/>
  <c r="F62" i="65"/>
  <c r="G61" i="65"/>
  <c r="G60" i="65"/>
  <c r="F60" i="65"/>
  <c r="H54" i="65"/>
  <c r="E54" i="65"/>
  <c r="H53" i="65"/>
  <c r="E53" i="65"/>
  <c r="H52" i="65"/>
  <c r="E52" i="65"/>
  <c r="J2" i="66"/>
  <c r="J3" i="66"/>
  <c r="J4" i="66"/>
  <c r="J5" i="66"/>
  <c r="J6" i="66"/>
  <c r="J7" i="66"/>
  <c r="J8" i="66"/>
  <c r="J9" i="66"/>
  <c r="J10" i="66"/>
  <c r="J11" i="66"/>
  <c r="J12" i="66"/>
  <c r="J13" i="66"/>
  <c r="J14" i="66"/>
  <c r="J15" i="66"/>
  <c r="J16" i="66"/>
  <c r="J17" i="66"/>
  <c r="J18" i="66"/>
  <c r="J19" i="66"/>
  <c r="J20" i="66"/>
  <c r="J21" i="66"/>
  <c r="J22" i="66"/>
  <c r="J23" i="66"/>
  <c r="J24" i="66"/>
  <c r="J25" i="66"/>
  <c r="J26" i="66"/>
  <c r="J27" i="66"/>
  <c r="J28" i="66"/>
  <c r="J29" i="66"/>
  <c r="J30" i="66"/>
  <c r="J31" i="66"/>
  <c r="J32" i="66"/>
  <c r="J33" i="66"/>
  <c r="J34" i="66"/>
  <c r="J35" i="66"/>
  <c r="J36" i="66"/>
  <c r="J37" i="66"/>
  <c r="J38" i="66"/>
  <c r="J39" i="66"/>
  <c r="J40" i="66"/>
  <c r="J41" i="66"/>
  <c r="J42" i="66"/>
  <c r="J43" i="66"/>
  <c r="J44" i="66"/>
  <c r="J45" i="66"/>
  <c r="J46" i="66"/>
  <c r="J47" i="66"/>
  <c r="J48" i="66"/>
  <c r="J49" i="66"/>
  <c r="J50" i="66"/>
  <c r="J51" i="66"/>
  <c r="J52" i="66"/>
  <c r="J53" i="66"/>
  <c r="J54" i="66"/>
  <c r="J55" i="66"/>
  <c r="J56" i="66"/>
  <c r="J57" i="66"/>
  <c r="J58" i="66"/>
  <c r="J59" i="66"/>
  <c r="J60" i="66"/>
  <c r="J61" i="66"/>
  <c r="J62" i="66"/>
  <c r="J63" i="66"/>
  <c r="J64" i="66"/>
  <c r="J65" i="66"/>
  <c r="J66" i="66"/>
  <c r="J67" i="66"/>
  <c r="J68" i="66"/>
  <c r="J69" i="66"/>
  <c r="J70" i="66"/>
  <c r="J71" i="66"/>
  <c r="J72" i="66"/>
  <c r="J73" i="66"/>
  <c r="J74" i="66"/>
  <c r="J75" i="66"/>
  <c r="J76" i="66"/>
  <c r="J77" i="66"/>
  <c r="J78" i="66"/>
  <c r="J79" i="66"/>
  <c r="J80" i="66"/>
  <c r="J81" i="66"/>
  <c r="J82" i="66"/>
  <c r="J83" i="66"/>
  <c r="J84" i="66"/>
  <c r="J85" i="66"/>
  <c r="J86" i="66"/>
  <c r="J87" i="66"/>
  <c r="J88" i="66"/>
  <c r="J89" i="66"/>
  <c r="J90" i="66"/>
  <c r="J91" i="66"/>
  <c r="J92" i="66"/>
  <c r="J93" i="66"/>
  <c r="J94" i="66"/>
  <c r="J95" i="66"/>
  <c r="J96" i="66"/>
  <c r="J97" i="66"/>
  <c r="J98" i="66"/>
  <c r="J99" i="66"/>
  <c r="J100" i="66"/>
  <c r="J101" i="66"/>
  <c r="J102" i="66"/>
  <c r="J103" i="66"/>
  <c r="J104" i="66"/>
  <c r="J105" i="66"/>
  <c r="J106" i="66"/>
  <c r="J107" i="66"/>
  <c r="J108" i="66"/>
  <c r="J109" i="66"/>
  <c r="J110" i="66"/>
  <c r="J111" i="66"/>
  <c r="J112" i="66"/>
  <c r="J113" i="66"/>
  <c r="J114" i="66"/>
  <c r="J115" i="66"/>
  <c r="J116" i="66"/>
  <c r="J117" i="66"/>
  <c r="J118" i="66"/>
  <c r="J119" i="66"/>
  <c r="J120" i="66"/>
  <c r="J121" i="66"/>
  <c r="J122" i="66"/>
  <c r="J123" i="66"/>
  <c r="J124" i="66"/>
  <c r="J125" i="66"/>
  <c r="J126" i="66"/>
  <c r="J127" i="66"/>
  <c r="J128" i="66"/>
  <c r="J129" i="66"/>
  <c r="J130" i="66"/>
  <c r="J131" i="66"/>
  <c r="J132" i="66"/>
  <c r="J133" i="66"/>
  <c r="J134" i="66"/>
  <c r="J135" i="66"/>
  <c r="J136" i="66"/>
  <c r="J137" i="66"/>
  <c r="J138" i="66"/>
  <c r="J139" i="66"/>
  <c r="J140" i="66"/>
  <c r="J141" i="66"/>
  <c r="J142" i="66"/>
  <c r="J143" i="66"/>
  <c r="J144" i="66"/>
  <c r="J145" i="66"/>
  <c r="J146" i="66"/>
  <c r="J147" i="66"/>
  <c r="J148" i="66"/>
  <c r="J149" i="66"/>
  <c r="J150" i="66"/>
  <c r="J151" i="66"/>
  <c r="J152" i="66"/>
  <c r="J153" i="66"/>
  <c r="J154" i="66"/>
  <c r="J155" i="66"/>
  <c r="J156" i="66"/>
  <c r="J157" i="66"/>
  <c r="J158" i="66"/>
  <c r="J159" i="66"/>
  <c r="J160" i="66"/>
  <c r="J161" i="66"/>
  <c r="J162" i="66"/>
  <c r="J163" i="66"/>
  <c r="J164" i="66"/>
  <c r="J165" i="66"/>
  <c r="J166" i="66"/>
  <c r="J167" i="66"/>
  <c r="J168" i="66"/>
  <c r="J169" i="66"/>
  <c r="J170" i="66"/>
  <c r="J171" i="66"/>
  <c r="J172" i="66"/>
  <c r="J173" i="66"/>
  <c r="J174" i="66"/>
  <c r="J175" i="66"/>
  <c r="J176" i="66"/>
  <c r="J177" i="66"/>
  <c r="J178" i="66"/>
  <c r="J179" i="66"/>
  <c r="J180" i="66"/>
  <c r="J181" i="66"/>
  <c r="J182" i="66"/>
  <c r="J183" i="66"/>
  <c r="J184" i="66"/>
  <c r="J185" i="66"/>
  <c r="J186" i="66"/>
  <c r="J187" i="66"/>
  <c r="J188" i="66"/>
  <c r="J189" i="66"/>
  <c r="J190" i="66"/>
  <c r="J191" i="66"/>
  <c r="J192" i="66"/>
  <c r="J193" i="66"/>
  <c r="J194" i="66"/>
  <c r="J195" i="66"/>
  <c r="J196" i="66"/>
  <c r="J197" i="66"/>
  <c r="J198" i="66"/>
  <c r="J199" i="66"/>
  <c r="J200" i="66"/>
  <c r="J201" i="66"/>
  <c r="J202" i="66"/>
  <c r="J203" i="66"/>
  <c r="J204" i="66"/>
  <c r="J205" i="66"/>
  <c r="J206" i="66"/>
  <c r="J207" i="66"/>
  <c r="J208" i="66"/>
  <c r="J209" i="66"/>
  <c r="J210" i="66"/>
  <c r="J211" i="66"/>
  <c r="J212" i="66"/>
  <c r="J213" i="66"/>
  <c r="J214" i="66"/>
  <c r="J215" i="66"/>
  <c r="J216" i="66"/>
  <c r="J217" i="66"/>
  <c r="J218" i="66"/>
  <c r="J219" i="66"/>
  <c r="J220" i="66"/>
  <c r="J221" i="66"/>
  <c r="J222" i="66"/>
  <c r="J223" i="66"/>
  <c r="J224" i="66"/>
  <c r="J225" i="66"/>
  <c r="J226" i="66"/>
  <c r="J227" i="66"/>
  <c r="J228" i="66"/>
  <c r="J229" i="66"/>
  <c r="J230" i="66"/>
  <c r="J231" i="66"/>
  <c r="J232" i="66"/>
  <c r="J233" i="66"/>
  <c r="J234" i="66"/>
  <c r="J235" i="66"/>
  <c r="J236" i="66"/>
  <c r="J237" i="66"/>
  <c r="J238" i="66"/>
  <c r="J239" i="66"/>
  <c r="J240" i="66"/>
  <c r="J241" i="66"/>
  <c r="J242" i="66"/>
  <c r="J243" i="66"/>
  <c r="J244" i="66"/>
  <c r="J245" i="66"/>
  <c r="J246" i="66"/>
  <c r="J247" i="66"/>
  <c r="J248" i="66"/>
  <c r="J249" i="66"/>
  <c r="J250" i="66"/>
  <c r="J251" i="66"/>
  <c r="J252" i="66"/>
  <c r="J253" i="66"/>
  <c r="J254" i="66"/>
  <c r="J255" i="66"/>
  <c r="J256" i="66"/>
  <c r="J257" i="66"/>
  <c r="J258" i="66"/>
  <c r="J259" i="66"/>
  <c r="J260" i="66"/>
  <c r="J261" i="66"/>
  <c r="J262" i="66"/>
  <c r="J263" i="66"/>
  <c r="J264" i="66"/>
  <c r="J265" i="66"/>
  <c r="J266" i="66"/>
  <c r="J267" i="66"/>
  <c r="J268" i="66"/>
  <c r="J269" i="66"/>
  <c r="J270" i="66"/>
  <c r="J271" i="66"/>
  <c r="J272" i="66"/>
  <c r="J273" i="66"/>
  <c r="J274" i="66"/>
  <c r="J275" i="66"/>
  <c r="J276" i="66"/>
  <c r="J277" i="66"/>
  <c r="J278" i="66"/>
  <c r="J279" i="66"/>
  <c r="J280" i="66"/>
  <c r="J281" i="66"/>
  <c r="J282" i="66"/>
  <c r="J283" i="66"/>
  <c r="J284" i="66"/>
  <c r="J285" i="66"/>
  <c r="J286" i="66"/>
  <c r="J287" i="66"/>
  <c r="J288" i="66"/>
  <c r="J289" i="66"/>
  <c r="J290" i="66"/>
  <c r="J291" i="66"/>
  <c r="J292" i="66"/>
  <c r="J293" i="66"/>
  <c r="J294" i="66"/>
  <c r="J295" i="66"/>
  <c r="J296" i="66"/>
  <c r="J297" i="66"/>
  <c r="J298" i="66"/>
  <c r="J299" i="66"/>
  <c r="J300" i="66"/>
  <c r="J301" i="66"/>
  <c r="J302" i="66"/>
  <c r="J303" i="66"/>
  <c r="J304" i="66"/>
  <c r="J305" i="66"/>
  <c r="J306" i="66"/>
  <c r="J307" i="66"/>
  <c r="J308" i="66"/>
  <c r="J309" i="66"/>
  <c r="J310" i="66"/>
  <c r="J311" i="66"/>
  <c r="J312" i="66"/>
  <c r="J313" i="66"/>
  <c r="J314" i="66"/>
  <c r="J315" i="66"/>
  <c r="J316" i="66"/>
  <c r="J317" i="66"/>
  <c r="J318" i="66"/>
  <c r="J319" i="66"/>
  <c r="J320" i="66"/>
  <c r="J321" i="66"/>
  <c r="J322" i="66"/>
  <c r="J323" i="66"/>
  <c r="J324" i="66"/>
  <c r="J325" i="66"/>
  <c r="J326" i="66"/>
  <c r="J327" i="66"/>
  <c r="J328" i="66"/>
  <c r="J329" i="66"/>
  <c r="J330" i="66"/>
  <c r="J331" i="66"/>
  <c r="J332" i="66"/>
  <c r="J333" i="66"/>
  <c r="J334" i="66"/>
  <c r="J335" i="66"/>
  <c r="J336" i="66"/>
  <c r="J337" i="66"/>
  <c r="J338" i="66"/>
  <c r="J339" i="66"/>
  <c r="J340" i="66"/>
  <c r="J341" i="66"/>
  <c r="J342" i="66"/>
  <c r="J343" i="66"/>
  <c r="J344" i="66"/>
  <c r="J345" i="66"/>
  <c r="J346" i="66"/>
  <c r="J347" i="66"/>
  <c r="J348" i="66"/>
  <c r="J349" i="66"/>
  <c r="J350" i="66"/>
  <c r="J351" i="66"/>
  <c r="J352" i="66"/>
  <c r="J353" i="66"/>
  <c r="J354" i="66"/>
  <c r="J355" i="66"/>
  <c r="J356" i="66"/>
  <c r="J357" i="66"/>
  <c r="J358" i="66"/>
  <c r="J359" i="66"/>
  <c r="J360" i="66"/>
  <c r="J361" i="66"/>
  <c r="J362" i="66"/>
  <c r="J363" i="66"/>
  <c r="J364" i="66"/>
  <c r="J365" i="66"/>
  <c r="J366" i="66"/>
  <c r="J367" i="66"/>
  <c r="J368" i="66"/>
  <c r="J369" i="66"/>
  <c r="J370" i="66"/>
  <c r="J371" i="66"/>
  <c r="J372" i="66"/>
  <c r="J373" i="66"/>
  <c r="J374" i="66"/>
  <c r="J375" i="66"/>
  <c r="J376" i="66"/>
  <c r="J377" i="66"/>
  <c r="J378" i="66"/>
  <c r="J379" i="66"/>
  <c r="J380" i="66"/>
  <c r="J381" i="66"/>
  <c r="J382" i="66"/>
  <c r="J383" i="66"/>
  <c r="J384" i="66"/>
  <c r="J385" i="66"/>
  <c r="J386" i="66"/>
  <c r="J387" i="66"/>
  <c r="J388" i="66"/>
  <c r="J389" i="66"/>
  <c r="J390" i="66"/>
  <c r="J391" i="66"/>
  <c r="J392" i="66"/>
  <c r="J393" i="66"/>
  <c r="J394" i="66"/>
  <c r="J395" i="66"/>
  <c r="J396" i="66"/>
  <c r="J397" i="66"/>
  <c r="J398" i="66"/>
  <c r="J399" i="66"/>
  <c r="J400" i="66"/>
  <c r="J401" i="66"/>
  <c r="J402" i="66"/>
  <c r="J403" i="66"/>
  <c r="I2" i="66"/>
  <c r="K2" i="66" s="1"/>
  <c r="I3" i="66"/>
  <c r="K3" i="66" s="1"/>
  <c r="I4" i="66"/>
  <c r="K4" i="66" s="1"/>
  <c r="I5" i="66"/>
  <c r="K5" i="66" s="1"/>
  <c r="I6" i="66"/>
  <c r="K6" i="66" s="1"/>
  <c r="I7" i="66"/>
  <c r="K7" i="66" s="1"/>
  <c r="I8" i="66"/>
  <c r="K8" i="66" s="1"/>
  <c r="I9" i="66"/>
  <c r="I10" i="66"/>
  <c r="K10" i="66" s="1"/>
  <c r="I11" i="66"/>
  <c r="K11" i="66" s="1"/>
  <c r="I12" i="66"/>
  <c r="K12" i="66" s="1"/>
  <c r="I13" i="66"/>
  <c r="K13" i="66" s="1"/>
  <c r="I14" i="66"/>
  <c r="K14" i="66" s="1"/>
  <c r="I15" i="66"/>
  <c r="K15" i="66" s="1"/>
  <c r="I16" i="66"/>
  <c r="K16" i="66" s="1"/>
  <c r="I17" i="66"/>
  <c r="I18" i="66"/>
  <c r="K18" i="66" s="1"/>
  <c r="I19" i="66"/>
  <c r="K19" i="66" s="1"/>
  <c r="I20" i="66"/>
  <c r="K20" i="66" s="1"/>
  <c r="I21" i="66"/>
  <c r="K21" i="66" s="1"/>
  <c r="I22" i="66"/>
  <c r="K22" i="66" s="1"/>
  <c r="I23" i="66"/>
  <c r="K23" i="66" s="1"/>
  <c r="I24" i="66"/>
  <c r="K24" i="66" s="1"/>
  <c r="I25" i="66"/>
  <c r="I26" i="66"/>
  <c r="K26" i="66" s="1"/>
  <c r="I27" i="66"/>
  <c r="K27" i="66" s="1"/>
  <c r="I28" i="66"/>
  <c r="K28" i="66" s="1"/>
  <c r="I29" i="66"/>
  <c r="K29" i="66" s="1"/>
  <c r="I30" i="66"/>
  <c r="K30" i="66" s="1"/>
  <c r="I31" i="66"/>
  <c r="K31" i="66" s="1"/>
  <c r="I32" i="66"/>
  <c r="K32" i="66" s="1"/>
  <c r="I33" i="66"/>
  <c r="I34" i="66"/>
  <c r="K34" i="66" s="1"/>
  <c r="I35" i="66"/>
  <c r="K35" i="66" s="1"/>
  <c r="I36" i="66"/>
  <c r="K36" i="66" s="1"/>
  <c r="I37" i="66"/>
  <c r="K37" i="66" s="1"/>
  <c r="I38" i="66"/>
  <c r="K38" i="66" s="1"/>
  <c r="I39" i="66"/>
  <c r="K39" i="66" s="1"/>
  <c r="I40" i="66"/>
  <c r="K40" i="66" s="1"/>
  <c r="I41" i="66"/>
  <c r="I42" i="66"/>
  <c r="K42" i="66" s="1"/>
  <c r="I43" i="66"/>
  <c r="K43" i="66" s="1"/>
  <c r="I44" i="66"/>
  <c r="K44" i="66" s="1"/>
  <c r="I45" i="66"/>
  <c r="K45" i="66" s="1"/>
  <c r="I46" i="66"/>
  <c r="K46" i="66" s="1"/>
  <c r="I47" i="66"/>
  <c r="K47" i="66" s="1"/>
  <c r="I48" i="66"/>
  <c r="K48" i="66" s="1"/>
  <c r="I49" i="66"/>
  <c r="I50" i="66"/>
  <c r="K50" i="66" s="1"/>
  <c r="I51" i="66"/>
  <c r="K51" i="66" s="1"/>
  <c r="I52" i="66"/>
  <c r="K52" i="66" s="1"/>
  <c r="I53" i="66"/>
  <c r="K53" i="66" s="1"/>
  <c r="I54" i="66"/>
  <c r="K54" i="66" s="1"/>
  <c r="I55" i="66"/>
  <c r="K55" i="66" s="1"/>
  <c r="I56" i="66"/>
  <c r="K56" i="66" s="1"/>
  <c r="I57" i="66"/>
  <c r="I58" i="66"/>
  <c r="K58" i="66" s="1"/>
  <c r="I59" i="66"/>
  <c r="K59" i="66" s="1"/>
  <c r="I60" i="66"/>
  <c r="K60" i="66" s="1"/>
  <c r="I61" i="66"/>
  <c r="K61" i="66" s="1"/>
  <c r="I62" i="66"/>
  <c r="K62" i="66" s="1"/>
  <c r="I63" i="66"/>
  <c r="K63" i="66" s="1"/>
  <c r="I64" i="66"/>
  <c r="K64" i="66" s="1"/>
  <c r="I65" i="66"/>
  <c r="I66" i="66"/>
  <c r="K66" i="66" s="1"/>
  <c r="I67" i="66"/>
  <c r="K67" i="66" s="1"/>
  <c r="I68" i="66"/>
  <c r="K68" i="66" s="1"/>
  <c r="I69" i="66"/>
  <c r="K69" i="66" s="1"/>
  <c r="I70" i="66"/>
  <c r="K70" i="66" s="1"/>
  <c r="I71" i="66"/>
  <c r="K71" i="66" s="1"/>
  <c r="I72" i="66"/>
  <c r="K72" i="66" s="1"/>
  <c r="I73" i="66"/>
  <c r="I74" i="66"/>
  <c r="K74" i="66" s="1"/>
  <c r="I75" i="66"/>
  <c r="K75" i="66" s="1"/>
  <c r="I76" i="66"/>
  <c r="K76" i="66" s="1"/>
  <c r="I77" i="66"/>
  <c r="K77" i="66" s="1"/>
  <c r="I78" i="66"/>
  <c r="K78" i="66" s="1"/>
  <c r="I79" i="66"/>
  <c r="K79" i="66" s="1"/>
  <c r="I80" i="66"/>
  <c r="K80" i="66" s="1"/>
  <c r="I81" i="66"/>
  <c r="I82" i="66"/>
  <c r="K82" i="66" s="1"/>
  <c r="I83" i="66"/>
  <c r="K83" i="66" s="1"/>
  <c r="I84" i="66"/>
  <c r="K84" i="66" s="1"/>
  <c r="I85" i="66"/>
  <c r="K85" i="66" s="1"/>
  <c r="I86" i="66"/>
  <c r="K86" i="66" s="1"/>
  <c r="I87" i="66"/>
  <c r="K87" i="66" s="1"/>
  <c r="I88" i="66"/>
  <c r="K88" i="66" s="1"/>
  <c r="I89" i="66"/>
  <c r="I90" i="66"/>
  <c r="K90" i="66" s="1"/>
  <c r="I91" i="66"/>
  <c r="K91" i="66" s="1"/>
  <c r="I92" i="66"/>
  <c r="K92" i="66" s="1"/>
  <c r="I93" i="66"/>
  <c r="K93" i="66" s="1"/>
  <c r="I94" i="66"/>
  <c r="K94" i="66" s="1"/>
  <c r="I95" i="66"/>
  <c r="K95" i="66" s="1"/>
  <c r="I96" i="66"/>
  <c r="K96" i="66" s="1"/>
  <c r="I97" i="66"/>
  <c r="I98" i="66"/>
  <c r="K98" i="66" s="1"/>
  <c r="I99" i="66"/>
  <c r="K99" i="66" s="1"/>
  <c r="I100" i="66"/>
  <c r="K100" i="66" s="1"/>
  <c r="I101" i="66"/>
  <c r="K101" i="66" s="1"/>
  <c r="I102" i="66"/>
  <c r="K102" i="66" s="1"/>
  <c r="I103" i="66"/>
  <c r="K103" i="66" s="1"/>
  <c r="I104" i="66"/>
  <c r="K104" i="66" s="1"/>
  <c r="I105" i="66"/>
  <c r="I106" i="66"/>
  <c r="K106" i="66" s="1"/>
  <c r="I107" i="66"/>
  <c r="K107" i="66" s="1"/>
  <c r="I108" i="66"/>
  <c r="K108" i="66" s="1"/>
  <c r="I109" i="66"/>
  <c r="K109" i="66" s="1"/>
  <c r="I110" i="66"/>
  <c r="K110" i="66" s="1"/>
  <c r="I111" i="66"/>
  <c r="K111" i="66" s="1"/>
  <c r="I112" i="66"/>
  <c r="K112" i="66" s="1"/>
  <c r="I113" i="66"/>
  <c r="I114" i="66"/>
  <c r="K114" i="66" s="1"/>
  <c r="I115" i="66"/>
  <c r="K115" i="66" s="1"/>
  <c r="I116" i="66"/>
  <c r="K116" i="66" s="1"/>
  <c r="I117" i="66"/>
  <c r="K117" i="66" s="1"/>
  <c r="I118" i="66"/>
  <c r="K118" i="66" s="1"/>
  <c r="I119" i="66"/>
  <c r="K119" i="66" s="1"/>
  <c r="I120" i="66"/>
  <c r="K120" i="66" s="1"/>
  <c r="I121" i="66"/>
  <c r="I122" i="66"/>
  <c r="K122" i="66" s="1"/>
  <c r="I123" i="66"/>
  <c r="K123" i="66" s="1"/>
  <c r="I124" i="66"/>
  <c r="K124" i="66" s="1"/>
  <c r="I125" i="66"/>
  <c r="K125" i="66" s="1"/>
  <c r="I126" i="66"/>
  <c r="K126" i="66" s="1"/>
  <c r="I127" i="66"/>
  <c r="K127" i="66" s="1"/>
  <c r="I128" i="66"/>
  <c r="K128" i="66" s="1"/>
  <c r="I129" i="66"/>
  <c r="I130" i="66"/>
  <c r="K130" i="66" s="1"/>
  <c r="I131" i="66"/>
  <c r="K131" i="66" s="1"/>
  <c r="I132" i="66"/>
  <c r="K132" i="66" s="1"/>
  <c r="I133" i="66"/>
  <c r="K133" i="66" s="1"/>
  <c r="I134" i="66"/>
  <c r="K134" i="66" s="1"/>
  <c r="I135" i="66"/>
  <c r="K135" i="66" s="1"/>
  <c r="I136" i="66"/>
  <c r="K136" i="66" s="1"/>
  <c r="I137" i="66"/>
  <c r="I138" i="66"/>
  <c r="K138" i="66" s="1"/>
  <c r="I139" i="66"/>
  <c r="K139" i="66" s="1"/>
  <c r="I140" i="66"/>
  <c r="K140" i="66" s="1"/>
  <c r="I141" i="66"/>
  <c r="K141" i="66" s="1"/>
  <c r="I142" i="66"/>
  <c r="K142" i="66" s="1"/>
  <c r="I143" i="66"/>
  <c r="K143" i="66" s="1"/>
  <c r="I144" i="66"/>
  <c r="K144" i="66" s="1"/>
  <c r="I145" i="66"/>
  <c r="I146" i="66"/>
  <c r="K146" i="66" s="1"/>
  <c r="I147" i="66"/>
  <c r="K147" i="66" s="1"/>
  <c r="I148" i="66"/>
  <c r="K148" i="66" s="1"/>
  <c r="I149" i="66"/>
  <c r="K149" i="66" s="1"/>
  <c r="I150" i="66"/>
  <c r="K150" i="66" s="1"/>
  <c r="I151" i="66"/>
  <c r="K151" i="66" s="1"/>
  <c r="I152" i="66"/>
  <c r="K152" i="66" s="1"/>
  <c r="I153" i="66"/>
  <c r="I154" i="66"/>
  <c r="K154" i="66" s="1"/>
  <c r="I155" i="66"/>
  <c r="K155" i="66" s="1"/>
  <c r="I156" i="66"/>
  <c r="K156" i="66" s="1"/>
  <c r="I157" i="66"/>
  <c r="K157" i="66" s="1"/>
  <c r="I158" i="66"/>
  <c r="K158" i="66" s="1"/>
  <c r="I159" i="66"/>
  <c r="K159" i="66" s="1"/>
  <c r="I160" i="66"/>
  <c r="K160" i="66" s="1"/>
  <c r="I161" i="66"/>
  <c r="I162" i="66"/>
  <c r="K162" i="66" s="1"/>
  <c r="I163" i="66"/>
  <c r="K163" i="66" s="1"/>
  <c r="I164" i="66"/>
  <c r="K164" i="66" s="1"/>
  <c r="I165" i="66"/>
  <c r="K165" i="66" s="1"/>
  <c r="I166" i="66"/>
  <c r="K166" i="66" s="1"/>
  <c r="I167" i="66"/>
  <c r="K167" i="66" s="1"/>
  <c r="I168" i="66"/>
  <c r="K168" i="66" s="1"/>
  <c r="I169" i="66"/>
  <c r="I170" i="66"/>
  <c r="K170" i="66" s="1"/>
  <c r="I171" i="66"/>
  <c r="K171" i="66" s="1"/>
  <c r="I172" i="66"/>
  <c r="K172" i="66" s="1"/>
  <c r="I173" i="66"/>
  <c r="K173" i="66" s="1"/>
  <c r="I174" i="66"/>
  <c r="K174" i="66" s="1"/>
  <c r="I175" i="66"/>
  <c r="K175" i="66" s="1"/>
  <c r="I176" i="66"/>
  <c r="K176" i="66" s="1"/>
  <c r="I177" i="66"/>
  <c r="I178" i="66"/>
  <c r="K178" i="66" s="1"/>
  <c r="I179" i="66"/>
  <c r="K179" i="66" s="1"/>
  <c r="I180" i="66"/>
  <c r="K180" i="66" s="1"/>
  <c r="I181" i="66"/>
  <c r="K181" i="66" s="1"/>
  <c r="I182" i="66"/>
  <c r="K182" i="66" s="1"/>
  <c r="I183" i="66"/>
  <c r="K183" i="66" s="1"/>
  <c r="I184" i="66"/>
  <c r="K184" i="66" s="1"/>
  <c r="I185" i="66"/>
  <c r="I186" i="66"/>
  <c r="K186" i="66" s="1"/>
  <c r="I187" i="66"/>
  <c r="K187" i="66" s="1"/>
  <c r="I188" i="66"/>
  <c r="K188" i="66" s="1"/>
  <c r="I189" i="66"/>
  <c r="K189" i="66" s="1"/>
  <c r="I190" i="66"/>
  <c r="K190" i="66" s="1"/>
  <c r="I191" i="66"/>
  <c r="K191" i="66" s="1"/>
  <c r="I192" i="66"/>
  <c r="K192" i="66" s="1"/>
  <c r="I193" i="66"/>
  <c r="I194" i="66"/>
  <c r="K194" i="66" s="1"/>
  <c r="I195" i="66"/>
  <c r="K195" i="66" s="1"/>
  <c r="I196" i="66"/>
  <c r="K196" i="66" s="1"/>
  <c r="I197" i="66"/>
  <c r="K197" i="66" s="1"/>
  <c r="I198" i="66"/>
  <c r="K198" i="66" s="1"/>
  <c r="I199" i="66"/>
  <c r="K199" i="66" s="1"/>
  <c r="I200" i="66"/>
  <c r="K200" i="66" s="1"/>
  <c r="I201" i="66"/>
  <c r="I202" i="66"/>
  <c r="K202" i="66" s="1"/>
  <c r="I203" i="66"/>
  <c r="K203" i="66" s="1"/>
  <c r="I204" i="66"/>
  <c r="K204" i="66" s="1"/>
  <c r="I205" i="66"/>
  <c r="K205" i="66" s="1"/>
  <c r="I206" i="66"/>
  <c r="K206" i="66" s="1"/>
  <c r="I207" i="66"/>
  <c r="K207" i="66" s="1"/>
  <c r="I208" i="66"/>
  <c r="K208" i="66" s="1"/>
  <c r="I209" i="66"/>
  <c r="I210" i="66"/>
  <c r="K210" i="66" s="1"/>
  <c r="I211" i="66"/>
  <c r="K211" i="66" s="1"/>
  <c r="I212" i="66"/>
  <c r="K212" i="66" s="1"/>
  <c r="I213" i="66"/>
  <c r="K213" i="66" s="1"/>
  <c r="I214" i="66"/>
  <c r="K214" i="66" s="1"/>
  <c r="I215" i="66"/>
  <c r="K215" i="66" s="1"/>
  <c r="I216" i="66"/>
  <c r="K216" i="66" s="1"/>
  <c r="I217" i="66"/>
  <c r="I218" i="66"/>
  <c r="K218" i="66" s="1"/>
  <c r="I219" i="66"/>
  <c r="K219" i="66" s="1"/>
  <c r="I220" i="66"/>
  <c r="K220" i="66" s="1"/>
  <c r="I221" i="66"/>
  <c r="K221" i="66" s="1"/>
  <c r="I222" i="66"/>
  <c r="K222" i="66" s="1"/>
  <c r="I223" i="66"/>
  <c r="K223" i="66" s="1"/>
  <c r="I224" i="66"/>
  <c r="K224" i="66" s="1"/>
  <c r="I225" i="66"/>
  <c r="I226" i="66"/>
  <c r="K226" i="66" s="1"/>
  <c r="I227" i="66"/>
  <c r="K227" i="66" s="1"/>
  <c r="I228" i="66"/>
  <c r="K228" i="66" s="1"/>
  <c r="I229" i="66"/>
  <c r="K229" i="66" s="1"/>
  <c r="I230" i="66"/>
  <c r="K230" i="66" s="1"/>
  <c r="I231" i="66"/>
  <c r="K231" i="66" s="1"/>
  <c r="I232" i="66"/>
  <c r="K232" i="66" s="1"/>
  <c r="I233" i="66"/>
  <c r="I234" i="66"/>
  <c r="K234" i="66" s="1"/>
  <c r="I235" i="66"/>
  <c r="K235" i="66" s="1"/>
  <c r="I236" i="66"/>
  <c r="K236" i="66" s="1"/>
  <c r="I237" i="66"/>
  <c r="K237" i="66" s="1"/>
  <c r="I238" i="66"/>
  <c r="K238" i="66" s="1"/>
  <c r="I239" i="66"/>
  <c r="K239" i="66" s="1"/>
  <c r="I240" i="66"/>
  <c r="K240" i="66" s="1"/>
  <c r="I241" i="66"/>
  <c r="I242" i="66"/>
  <c r="K242" i="66" s="1"/>
  <c r="I243" i="66"/>
  <c r="K243" i="66" s="1"/>
  <c r="I244" i="66"/>
  <c r="K244" i="66" s="1"/>
  <c r="I245" i="66"/>
  <c r="K245" i="66" s="1"/>
  <c r="I246" i="66"/>
  <c r="K246" i="66" s="1"/>
  <c r="I247" i="66"/>
  <c r="K247" i="66" s="1"/>
  <c r="I248" i="66"/>
  <c r="K248" i="66" s="1"/>
  <c r="I249" i="66"/>
  <c r="I250" i="66"/>
  <c r="K250" i="66" s="1"/>
  <c r="I251" i="66"/>
  <c r="K251" i="66" s="1"/>
  <c r="I252" i="66"/>
  <c r="K252" i="66" s="1"/>
  <c r="I253" i="66"/>
  <c r="K253" i="66" s="1"/>
  <c r="I254" i="66"/>
  <c r="K254" i="66" s="1"/>
  <c r="I255" i="66"/>
  <c r="K255" i="66" s="1"/>
  <c r="I256" i="66"/>
  <c r="K256" i="66" s="1"/>
  <c r="I257" i="66"/>
  <c r="I258" i="66"/>
  <c r="K258" i="66" s="1"/>
  <c r="I259" i="66"/>
  <c r="K259" i="66" s="1"/>
  <c r="I260" i="66"/>
  <c r="K260" i="66" s="1"/>
  <c r="I261" i="66"/>
  <c r="K261" i="66" s="1"/>
  <c r="I262" i="66"/>
  <c r="K262" i="66" s="1"/>
  <c r="I263" i="66"/>
  <c r="K263" i="66" s="1"/>
  <c r="I264" i="66"/>
  <c r="K264" i="66" s="1"/>
  <c r="I265" i="66"/>
  <c r="I266" i="66"/>
  <c r="K266" i="66" s="1"/>
  <c r="I267" i="66"/>
  <c r="K267" i="66" s="1"/>
  <c r="I268" i="66"/>
  <c r="K268" i="66" s="1"/>
  <c r="I269" i="66"/>
  <c r="K269" i="66" s="1"/>
  <c r="I270" i="66"/>
  <c r="K270" i="66" s="1"/>
  <c r="I271" i="66"/>
  <c r="K271" i="66" s="1"/>
  <c r="I272" i="66"/>
  <c r="K272" i="66" s="1"/>
  <c r="I273" i="66"/>
  <c r="I274" i="66"/>
  <c r="K274" i="66" s="1"/>
  <c r="I275" i="66"/>
  <c r="K275" i="66" s="1"/>
  <c r="I276" i="66"/>
  <c r="K276" i="66" s="1"/>
  <c r="I277" i="66"/>
  <c r="K277" i="66" s="1"/>
  <c r="I278" i="66"/>
  <c r="K278" i="66" s="1"/>
  <c r="I279" i="66"/>
  <c r="K279" i="66" s="1"/>
  <c r="I280" i="66"/>
  <c r="K280" i="66" s="1"/>
  <c r="I281" i="66"/>
  <c r="I282" i="66"/>
  <c r="K282" i="66" s="1"/>
  <c r="I283" i="66"/>
  <c r="K283" i="66" s="1"/>
  <c r="I284" i="66"/>
  <c r="K284" i="66" s="1"/>
  <c r="I285" i="66"/>
  <c r="K285" i="66" s="1"/>
  <c r="I286" i="66"/>
  <c r="K286" i="66" s="1"/>
  <c r="I287" i="66"/>
  <c r="K287" i="66" s="1"/>
  <c r="I288" i="66"/>
  <c r="K288" i="66" s="1"/>
  <c r="I289" i="66"/>
  <c r="I290" i="66"/>
  <c r="K290" i="66" s="1"/>
  <c r="I291" i="66"/>
  <c r="K291" i="66" s="1"/>
  <c r="I292" i="66"/>
  <c r="K292" i="66" s="1"/>
  <c r="I293" i="66"/>
  <c r="K293" i="66" s="1"/>
  <c r="I294" i="66"/>
  <c r="K294" i="66" s="1"/>
  <c r="I295" i="66"/>
  <c r="K295" i="66" s="1"/>
  <c r="I296" i="66"/>
  <c r="K296" i="66" s="1"/>
  <c r="I297" i="66"/>
  <c r="I298" i="66"/>
  <c r="K298" i="66" s="1"/>
  <c r="I299" i="66"/>
  <c r="K299" i="66" s="1"/>
  <c r="I300" i="66"/>
  <c r="K300" i="66" s="1"/>
  <c r="I301" i="66"/>
  <c r="K301" i="66" s="1"/>
  <c r="I302" i="66"/>
  <c r="K302" i="66" s="1"/>
  <c r="I303" i="66"/>
  <c r="K303" i="66" s="1"/>
  <c r="I304" i="66"/>
  <c r="K304" i="66" s="1"/>
  <c r="I305" i="66"/>
  <c r="I306" i="66"/>
  <c r="K306" i="66" s="1"/>
  <c r="I307" i="66"/>
  <c r="K307" i="66" s="1"/>
  <c r="I308" i="66"/>
  <c r="K308" i="66" s="1"/>
  <c r="I309" i="66"/>
  <c r="K309" i="66" s="1"/>
  <c r="I310" i="66"/>
  <c r="K310" i="66" s="1"/>
  <c r="I311" i="66"/>
  <c r="K311" i="66" s="1"/>
  <c r="I312" i="66"/>
  <c r="K312" i="66" s="1"/>
  <c r="I313" i="66"/>
  <c r="I314" i="66"/>
  <c r="K314" i="66" s="1"/>
  <c r="I315" i="66"/>
  <c r="K315" i="66" s="1"/>
  <c r="I316" i="66"/>
  <c r="K316" i="66" s="1"/>
  <c r="I317" i="66"/>
  <c r="K317" i="66" s="1"/>
  <c r="I318" i="66"/>
  <c r="K318" i="66" s="1"/>
  <c r="I319" i="66"/>
  <c r="K319" i="66" s="1"/>
  <c r="I320" i="66"/>
  <c r="K320" i="66" s="1"/>
  <c r="I321" i="66"/>
  <c r="I322" i="66"/>
  <c r="K322" i="66" s="1"/>
  <c r="I323" i="66"/>
  <c r="K323" i="66" s="1"/>
  <c r="I324" i="66"/>
  <c r="K324" i="66" s="1"/>
  <c r="I325" i="66"/>
  <c r="K325" i="66" s="1"/>
  <c r="I326" i="66"/>
  <c r="K326" i="66" s="1"/>
  <c r="I327" i="66"/>
  <c r="K327" i="66" s="1"/>
  <c r="I328" i="66"/>
  <c r="K328" i="66" s="1"/>
  <c r="I329" i="66"/>
  <c r="I330" i="66"/>
  <c r="K330" i="66" s="1"/>
  <c r="I331" i="66"/>
  <c r="K331" i="66" s="1"/>
  <c r="I332" i="66"/>
  <c r="K332" i="66" s="1"/>
  <c r="I333" i="66"/>
  <c r="K333" i="66" s="1"/>
  <c r="I334" i="66"/>
  <c r="K334" i="66" s="1"/>
  <c r="I335" i="66"/>
  <c r="K335" i="66" s="1"/>
  <c r="I336" i="66"/>
  <c r="K336" i="66" s="1"/>
  <c r="I337" i="66"/>
  <c r="I338" i="66"/>
  <c r="K338" i="66" s="1"/>
  <c r="I339" i="66"/>
  <c r="K339" i="66" s="1"/>
  <c r="I340" i="66"/>
  <c r="K340" i="66" s="1"/>
  <c r="I341" i="66"/>
  <c r="K341" i="66" s="1"/>
  <c r="I342" i="66"/>
  <c r="K342" i="66" s="1"/>
  <c r="I343" i="66"/>
  <c r="K343" i="66" s="1"/>
  <c r="I344" i="66"/>
  <c r="K344" i="66" s="1"/>
  <c r="I345" i="66"/>
  <c r="I346" i="66"/>
  <c r="K346" i="66" s="1"/>
  <c r="I347" i="66"/>
  <c r="K347" i="66" s="1"/>
  <c r="I348" i="66"/>
  <c r="K348" i="66" s="1"/>
  <c r="I349" i="66"/>
  <c r="K349" i="66" s="1"/>
  <c r="I350" i="66"/>
  <c r="K350" i="66" s="1"/>
  <c r="I351" i="66"/>
  <c r="K351" i="66" s="1"/>
  <c r="I352" i="66"/>
  <c r="K352" i="66" s="1"/>
  <c r="I353" i="66"/>
  <c r="I354" i="66"/>
  <c r="K354" i="66" s="1"/>
  <c r="I355" i="66"/>
  <c r="K355" i="66" s="1"/>
  <c r="I356" i="66"/>
  <c r="K356" i="66" s="1"/>
  <c r="I357" i="66"/>
  <c r="K357" i="66" s="1"/>
  <c r="I358" i="66"/>
  <c r="K358" i="66" s="1"/>
  <c r="I359" i="66"/>
  <c r="K359" i="66" s="1"/>
  <c r="I360" i="66"/>
  <c r="K360" i="66" s="1"/>
  <c r="I361" i="66"/>
  <c r="I362" i="66"/>
  <c r="K362" i="66" s="1"/>
  <c r="I363" i="66"/>
  <c r="K363" i="66" s="1"/>
  <c r="I364" i="66"/>
  <c r="K364" i="66" s="1"/>
  <c r="I365" i="66"/>
  <c r="K365" i="66" s="1"/>
  <c r="I366" i="66"/>
  <c r="K366" i="66" s="1"/>
  <c r="I367" i="66"/>
  <c r="K367" i="66" s="1"/>
  <c r="I368" i="66"/>
  <c r="K368" i="66" s="1"/>
  <c r="I369" i="66"/>
  <c r="I370" i="66"/>
  <c r="K370" i="66" s="1"/>
  <c r="I371" i="66"/>
  <c r="K371" i="66" s="1"/>
  <c r="I372" i="66"/>
  <c r="K372" i="66" s="1"/>
  <c r="I373" i="66"/>
  <c r="K373" i="66" s="1"/>
  <c r="I374" i="66"/>
  <c r="K374" i="66" s="1"/>
  <c r="I375" i="66"/>
  <c r="K375" i="66" s="1"/>
  <c r="I376" i="66"/>
  <c r="K376" i="66" s="1"/>
  <c r="I377" i="66"/>
  <c r="I378" i="66"/>
  <c r="K378" i="66" s="1"/>
  <c r="I379" i="66"/>
  <c r="K379" i="66" s="1"/>
  <c r="I380" i="66"/>
  <c r="K380" i="66" s="1"/>
  <c r="I381" i="66"/>
  <c r="K381" i="66" s="1"/>
  <c r="I382" i="66"/>
  <c r="K382" i="66" s="1"/>
  <c r="I383" i="66"/>
  <c r="K383" i="66" s="1"/>
  <c r="I384" i="66"/>
  <c r="K384" i="66" s="1"/>
  <c r="I385" i="66"/>
  <c r="I386" i="66"/>
  <c r="K386" i="66" s="1"/>
  <c r="I387" i="66"/>
  <c r="K387" i="66" s="1"/>
  <c r="I388" i="66"/>
  <c r="K388" i="66" s="1"/>
  <c r="I389" i="66"/>
  <c r="K389" i="66" s="1"/>
  <c r="I390" i="66"/>
  <c r="K390" i="66" s="1"/>
  <c r="I391" i="66"/>
  <c r="K391" i="66" s="1"/>
  <c r="I392" i="66"/>
  <c r="K392" i="66" s="1"/>
  <c r="I393" i="66"/>
  <c r="I394" i="66"/>
  <c r="K394" i="66" s="1"/>
  <c r="I395" i="66"/>
  <c r="K395" i="66" s="1"/>
  <c r="I396" i="66"/>
  <c r="K396" i="66" s="1"/>
  <c r="I397" i="66"/>
  <c r="K397" i="66" s="1"/>
  <c r="I398" i="66"/>
  <c r="K398" i="66" s="1"/>
  <c r="I399" i="66"/>
  <c r="K399" i="66" s="1"/>
  <c r="I400" i="66"/>
  <c r="K400" i="66" s="1"/>
  <c r="I401" i="66"/>
  <c r="I402" i="66"/>
  <c r="K402" i="66" s="1"/>
  <c r="I403" i="66"/>
  <c r="K403" i="66" s="1"/>
  <c r="H2" i="66"/>
  <c r="H3" i="66"/>
  <c r="H4" i="66"/>
  <c r="H5" i="66"/>
  <c r="H6" i="66"/>
  <c r="H7" i="66"/>
  <c r="H8" i="66"/>
  <c r="H9" i="66"/>
  <c r="H10" i="66"/>
  <c r="H11" i="66"/>
  <c r="H12" i="66"/>
  <c r="H13" i="66"/>
  <c r="H14" i="66"/>
  <c r="H15" i="66"/>
  <c r="H16" i="66"/>
  <c r="H17" i="66"/>
  <c r="H18" i="66"/>
  <c r="H19" i="66"/>
  <c r="H20" i="66"/>
  <c r="H21" i="66"/>
  <c r="H22" i="66"/>
  <c r="H23" i="66"/>
  <c r="H24" i="66"/>
  <c r="H25" i="66"/>
  <c r="H26" i="66"/>
  <c r="H27" i="66"/>
  <c r="H28" i="66"/>
  <c r="H29" i="66"/>
  <c r="H30" i="66"/>
  <c r="H31" i="66"/>
  <c r="H32" i="66"/>
  <c r="H33" i="66"/>
  <c r="H34" i="66"/>
  <c r="H35" i="66"/>
  <c r="H36" i="66"/>
  <c r="H37" i="66"/>
  <c r="H38" i="66"/>
  <c r="H39" i="66"/>
  <c r="H40" i="66"/>
  <c r="H41" i="66"/>
  <c r="H42" i="66"/>
  <c r="H43" i="66"/>
  <c r="H44" i="66"/>
  <c r="H45" i="66"/>
  <c r="H46" i="66"/>
  <c r="H47" i="66"/>
  <c r="H48" i="66"/>
  <c r="H49" i="66"/>
  <c r="H50" i="66"/>
  <c r="H51" i="66"/>
  <c r="H52" i="66"/>
  <c r="H53" i="66"/>
  <c r="H54" i="66"/>
  <c r="H55" i="66"/>
  <c r="H56" i="66"/>
  <c r="H57" i="66"/>
  <c r="H58" i="66"/>
  <c r="H59" i="66"/>
  <c r="H60" i="66"/>
  <c r="H61" i="66"/>
  <c r="H62" i="66"/>
  <c r="H63" i="66"/>
  <c r="H64" i="66"/>
  <c r="H65" i="66"/>
  <c r="H66" i="66"/>
  <c r="H67" i="66"/>
  <c r="H68" i="66"/>
  <c r="H69" i="66"/>
  <c r="H70" i="66"/>
  <c r="H71" i="66"/>
  <c r="H72" i="66"/>
  <c r="H73" i="66"/>
  <c r="H74" i="66"/>
  <c r="H75" i="66"/>
  <c r="H76" i="66"/>
  <c r="H77" i="66"/>
  <c r="H78" i="66"/>
  <c r="H79" i="66"/>
  <c r="H80" i="66"/>
  <c r="H81" i="66"/>
  <c r="H82" i="66"/>
  <c r="H83" i="66"/>
  <c r="H84" i="66"/>
  <c r="H85" i="66"/>
  <c r="H86" i="66"/>
  <c r="H87" i="66"/>
  <c r="H88" i="66"/>
  <c r="H89" i="66"/>
  <c r="H90" i="66"/>
  <c r="H91" i="66"/>
  <c r="H92" i="66"/>
  <c r="H93" i="66"/>
  <c r="H94" i="66"/>
  <c r="H95" i="66"/>
  <c r="H96" i="66"/>
  <c r="H97" i="66"/>
  <c r="H98" i="66"/>
  <c r="H99" i="66"/>
  <c r="H100" i="66"/>
  <c r="H101" i="66"/>
  <c r="H102" i="66"/>
  <c r="H103" i="66"/>
  <c r="H104" i="66"/>
  <c r="H105" i="66"/>
  <c r="H106" i="66"/>
  <c r="H107" i="66"/>
  <c r="H108" i="66"/>
  <c r="H109" i="66"/>
  <c r="H110" i="66"/>
  <c r="H111" i="66"/>
  <c r="H112" i="66"/>
  <c r="H113" i="66"/>
  <c r="H114" i="66"/>
  <c r="H115" i="66"/>
  <c r="H116" i="66"/>
  <c r="H117" i="66"/>
  <c r="H118" i="66"/>
  <c r="H119" i="66"/>
  <c r="H120" i="66"/>
  <c r="H121" i="66"/>
  <c r="H122" i="66"/>
  <c r="H123" i="66"/>
  <c r="H124" i="66"/>
  <c r="H125" i="66"/>
  <c r="H126" i="66"/>
  <c r="H127" i="66"/>
  <c r="H128" i="66"/>
  <c r="H129" i="66"/>
  <c r="H130" i="66"/>
  <c r="H131" i="66"/>
  <c r="H132" i="66"/>
  <c r="H133" i="66"/>
  <c r="H134" i="66"/>
  <c r="H135" i="66"/>
  <c r="H136" i="66"/>
  <c r="H137" i="66"/>
  <c r="H138" i="66"/>
  <c r="H139" i="66"/>
  <c r="H140" i="66"/>
  <c r="H141" i="66"/>
  <c r="H142" i="66"/>
  <c r="H143" i="66"/>
  <c r="H144" i="66"/>
  <c r="H145" i="66"/>
  <c r="H146" i="66"/>
  <c r="H147" i="66"/>
  <c r="H148" i="66"/>
  <c r="H149" i="66"/>
  <c r="H150" i="66"/>
  <c r="H151" i="66"/>
  <c r="H152" i="66"/>
  <c r="H153" i="66"/>
  <c r="H154" i="66"/>
  <c r="H155" i="66"/>
  <c r="H156" i="66"/>
  <c r="H157" i="66"/>
  <c r="H158" i="66"/>
  <c r="H159" i="66"/>
  <c r="H160" i="66"/>
  <c r="H161" i="66"/>
  <c r="H162" i="66"/>
  <c r="H163" i="66"/>
  <c r="H164" i="66"/>
  <c r="H165" i="66"/>
  <c r="H166" i="66"/>
  <c r="H167" i="66"/>
  <c r="H168" i="66"/>
  <c r="H169" i="66"/>
  <c r="H170" i="66"/>
  <c r="H171" i="66"/>
  <c r="H172" i="66"/>
  <c r="H173" i="66"/>
  <c r="H174" i="66"/>
  <c r="H175" i="66"/>
  <c r="H176" i="66"/>
  <c r="H177" i="66"/>
  <c r="H178" i="66"/>
  <c r="H179" i="66"/>
  <c r="H180" i="66"/>
  <c r="H181" i="66"/>
  <c r="H182" i="66"/>
  <c r="H183" i="66"/>
  <c r="H184" i="66"/>
  <c r="H185" i="66"/>
  <c r="H186" i="66"/>
  <c r="H187" i="66"/>
  <c r="H188" i="66"/>
  <c r="H189" i="66"/>
  <c r="H190" i="66"/>
  <c r="H191" i="66"/>
  <c r="H192" i="66"/>
  <c r="H193" i="66"/>
  <c r="H194" i="66"/>
  <c r="H195" i="66"/>
  <c r="H196" i="66"/>
  <c r="H197" i="66"/>
  <c r="H198" i="66"/>
  <c r="H199" i="66"/>
  <c r="H200" i="66"/>
  <c r="H201" i="66"/>
  <c r="H202" i="66"/>
  <c r="H203" i="66"/>
  <c r="H204" i="66"/>
  <c r="H205" i="66"/>
  <c r="H206" i="66"/>
  <c r="H207" i="66"/>
  <c r="H208" i="66"/>
  <c r="H209" i="66"/>
  <c r="H210" i="66"/>
  <c r="H211" i="66"/>
  <c r="H212" i="66"/>
  <c r="H213" i="66"/>
  <c r="H214" i="66"/>
  <c r="H215" i="66"/>
  <c r="H216" i="66"/>
  <c r="H217" i="66"/>
  <c r="H218" i="66"/>
  <c r="H219" i="66"/>
  <c r="H220" i="66"/>
  <c r="H221" i="66"/>
  <c r="H222" i="66"/>
  <c r="H223" i="66"/>
  <c r="H224" i="66"/>
  <c r="H225" i="66"/>
  <c r="H226" i="66"/>
  <c r="H227" i="66"/>
  <c r="H228" i="66"/>
  <c r="H229" i="66"/>
  <c r="H230" i="66"/>
  <c r="H231" i="66"/>
  <c r="H232" i="66"/>
  <c r="H233" i="66"/>
  <c r="H234" i="66"/>
  <c r="H235" i="66"/>
  <c r="H236" i="66"/>
  <c r="H237" i="66"/>
  <c r="H238" i="66"/>
  <c r="H239" i="66"/>
  <c r="H240" i="66"/>
  <c r="H241" i="66"/>
  <c r="H242" i="66"/>
  <c r="H243" i="66"/>
  <c r="H244" i="66"/>
  <c r="H245" i="66"/>
  <c r="H246" i="66"/>
  <c r="H247" i="66"/>
  <c r="H248" i="66"/>
  <c r="H249" i="66"/>
  <c r="H250" i="66"/>
  <c r="H251" i="66"/>
  <c r="H252" i="66"/>
  <c r="H253" i="66"/>
  <c r="H254" i="66"/>
  <c r="H255" i="66"/>
  <c r="H256" i="66"/>
  <c r="H257" i="66"/>
  <c r="H258" i="66"/>
  <c r="H259" i="66"/>
  <c r="H260" i="66"/>
  <c r="H261" i="66"/>
  <c r="H262" i="66"/>
  <c r="H263" i="66"/>
  <c r="H264" i="66"/>
  <c r="H265" i="66"/>
  <c r="H266" i="66"/>
  <c r="H267" i="66"/>
  <c r="H268" i="66"/>
  <c r="H269" i="66"/>
  <c r="H270" i="66"/>
  <c r="H271" i="66"/>
  <c r="H272" i="66"/>
  <c r="H273" i="66"/>
  <c r="H274" i="66"/>
  <c r="H275" i="66"/>
  <c r="H276" i="66"/>
  <c r="H277" i="66"/>
  <c r="H278" i="66"/>
  <c r="H279" i="66"/>
  <c r="H280" i="66"/>
  <c r="H281" i="66"/>
  <c r="H282" i="66"/>
  <c r="H283" i="66"/>
  <c r="H284" i="66"/>
  <c r="H285" i="66"/>
  <c r="H286" i="66"/>
  <c r="H287" i="66"/>
  <c r="H288" i="66"/>
  <c r="H289" i="66"/>
  <c r="H290" i="66"/>
  <c r="H291" i="66"/>
  <c r="H292" i="66"/>
  <c r="H293" i="66"/>
  <c r="H294" i="66"/>
  <c r="H295" i="66"/>
  <c r="H296" i="66"/>
  <c r="H297" i="66"/>
  <c r="H298" i="66"/>
  <c r="H299" i="66"/>
  <c r="H300" i="66"/>
  <c r="H301" i="66"/>
  <c r="H302" i="66"/>
  <c r="H303" i="66"/>
  <c r="H304" i="66"/>
  <c r="H305" i="66"/>
  <c r="H306" i="66"/>
  <c r="H307" i="66"/>
  <c r="H308" i="66"/>
  <c r="H309" i="66"/>
  <c r="H310" i="66"/>
  <c r="H311" i="66"/>
  <c r="H312" i="66"/>
  <c r="H313" i="66"/>
  <c r="H314" i="66"/>
  <c r="H315" i="66"/>
  <c r="H316" i="66"/>
  <c r="H317" i="66"/>
  <c r="H318" i="66"/>
  <c r="H319" i="66"/>
  <c r="H320" i="66"/>
  <c r="H321" i="66"/>
  <c r="H322" i="66"/>
  <c r="H323" i="66"/>
  <c r="H324" i="66"/>
  <c r="H325" i="66"/>
  <c r="H326" i="66"/>
  <c r="H327" i="66"/>
  <c r="H328" i="66"/>
  <c r="H329" i="66"/>
  <c r="H330" i="66"/>
  <c r="H331" i="66"/>
  <c r="H332" i="66"/>
  <c r="H333" i="66"/>
  <c r="H334" i="66"/>
  <c r="H335" i="66"/>
  <c r="H336" i="66"/>
  <c r="H337" i="66"/>
  <c r="H338" i="66"/>
  <c r="H339" i="66"/>
  <c r="H340" i="66"/>
  <c r="H341" i="66"/>
  <c r="H342" i="66"/>
  <c r="H343" i="66"/>
  <c r="H344" i="66"/>
  <c r="H345" i="66"/>
  <c r="H346" i="66"/>
  <c r="H347" i="66"/>
  <c r="H348" i="66"/>
  <c r="H349" i="66"/>
  <c r="H350" i="66"/>
  <c r="H351" i="66"/>
  <c r="H352" i="66"/>
  <c r="H353" i="66"/>
  <c r="H354" i="66"/>
  <c r="H355" i="66"/>
  <c r="H356" i="66"/>
  <c r="H357" i="66"/>
  <c r="H358" i="66"/>
  <c r="H359" i="66"/>
  <c r="H360" i="66"/>
  <c r="H361" i="66"/>
  <c r="H362" i="66"/>
  <c r="H363" i="66"/>
  <c r="H364" i="66"/>
  <c r="H365" i="66"/>
  <c r="H366" i="66"/>
  <c r="H367" i="66"/>
  <c r="H368" i="66"/>
  <c r="H369" i="66"/>
  <c r="H370" i="66"/>
  <c r="H371" i="66"/>
  <c r="H372" i="66"/>
  <c r="H373" i="66"/>
  <c r="H374" i="66"/>
  <c r="H375" i="66"/>
  <c r="H376" i="66"/>
  <c r="H377" i="66"/>
  <c r="H378" i="66"/>
  <c r="H379" i="66"/>
  <c r="H380" i="66"/>
  <c r="H381" i="66"/>
  <c r="H382" i="66"/>
  <c r="H383" i="66"/>
  <c r="H384" i="66"/>
  <c r="H385" i="66"/>
  <c r="H386" i="66"/>
  <c r="H387" i="66"/>
  <c r="H388" i="66"/>
  <c r="H389" i="66"/>
  <c r="H390" i="66"/>
  <c r="H391" i="66"/>
  <c r="H392" i="66"/>
  <c r="H393" i="66"/>
  <c r="H394" i="66"/>
  <c r="H395" i="66"/>
  <c r="H396" i="66"/>
  <c r="H397" i="66"/>
  <c r="H398" i="66"/>
  <c r="H399" i="66"/>
  <c r="H400" i="66"/>
  <c r="H401" i="66"/>
  <c r="H402" i="66"/>
  <c r="H403" i="66"/>
  <c r="G2" i="66"/>
  <c r="G3" i="66"/>
  <c r="G4" i="66"/>
  <c r="G5" i="66"/>
  <c r="G6" i="66"/>
  <c r="G7" i="66"/>
  <c r="G8" i="66"/>
  <c r="G9" i="66"/>
  <c r="G10" i="66"/>
  <c r="G11" i="66"/>
  <c r="G12" i="66"/>
  <c r="G13" i="66"/>
  <c r="G14" i="66"/>
  <c r="G15" i="66"/>
  <c r="G16" i="66"/>
  <c r="G17" i="66"/>
  <c r="G18" i="66"/>
  <c r="G19" i="66"/>
  <c r="G20" i="66"/>
  <c r="G21" i="66"/>
  <c r="G22" i="66"/>
  <c r="G23" i="66"/>
  <c r="G24" i="66"/>
  <c r="G25" i="66"/>
  <c r="G26" i="66"/>
  <c r="G27" i="66"/>
  <c r="G28" i="66"/>
  <c r="G29" i="66"/>
  <c r="G30" i="66"/>
  <c r="G31" i="66"/>
  <c r="G32" i="66"/>
  <c r="G33" i="66"/>
  <c r="G34" i="66"/>
  <c r="G35" i="66"/>
  <c r="G36" i="66"/>
  <c r="G37" i="66"/>
  <c r="G38" i="66"/>
  <c r="G39" i="66"/>
  <c r="G40" i="66"/>
  <c r="G41" i="66"/>
  <c r="G42" i="66"/>
  <c r="G43" i="66"/>
  <c r="G44" i="66"/>
  <c r="G45" i="66"/>
  <c r="G46" i="66"/>
  <c r="G47" i="66"/>
  <c r="G48" i="66"/>
  <c r="G49" i="66"/>
  <c r="G50" i="66"/>
  <c r="G51" i="66"/>
  <c r="G52" i="66"/>
  <c r="G53" i="66"/>
  <c r="G54" i="66"/>
  <c r="G55" i="66"/>
  <c r="G56" i="66"/>
  <c r="G57" i="66"/>
  <c r="G58" i="66"/>
  <c r="G59" i="66"/>
  <c r="G60" i="66"/>
  <c r="G61" i="66"/>
  <c r="G62" i="66"/>
  <c r="G63" i="66"/>
  <c r="G64" i="66"/>
  <c r="G65" i="66"/>
  <c r="G66" i="66"/>
  <c r="G67" i="66"/>
  <c r="G68" i="66"/>
  <c r="G69" i="66"/>
  <c r="G70" i="66"/>
  <c r="G71" i="66"/>
  <c r="G72" i="66"/>
  <c r="G73" i="66"/>
  <c r="G74" i="66"/>
  <c r="G75" i="66"/>
  <c r="G76" i="66"/>
  <c r="G77" i="66"/>
  <c r="G78" i="66"/>
  <c r="G79" i="66"/>
  <c r="G80" i="66"/>
  <c r="G81" i="66"/>
  <c r="G82" i="66"/>
  <c r="G83" i="66"/>
  <c r="G84" i="66"/>
  <c r="G85" i="66"/>
  <c r="G86" i="66"/>
  <c r="G87" i="66"/>
  <c r="G88" i="66"/>
  <c r="G89" i="66"/>
  <c r="G90" i="66"/>
  <c r="G91" i="66"/>
  <c r="G92" i="66"/>
  <c r="G93" i="66"/>
  <c r="G94" i="66"/>
  <c r="G95" i="66"/>
  <c r="G96" i="66"/>
  <c r="G97" i="66"/>
  <c r="G98" i="66"/>
  <c r="G99" i="66"/>
  <c r="G100" i="66"/>
  <c r="G101" i="66"/>
  <c r="G102" i="66"/>
  <c r="G103" i="66"/>
  <c r="G104" i="66"/>
  <c r="G105" i="66"/>
  <c r="G106" i="66"/>
  <c r="G107" i="66"/>
  <c r="G108" i="66"/>
  <c r="G109" i="66"/>
  <c r="G110" i="66"/>
  <c r="G111" i="66"/>
  <c r="G112" i="66"/>
  <c r="G113" i="66"/>
  <c r="G114" i="66"/>
  <c r="G115" i="66"/>
  <c r="G116" i="66"/>
  <c r="G117" i="66"/>
  <c r="G118" i="66"/>
  <c r="G119" i="66"/>
  <c r="G120" i="66"/>
  <c r="G121" i="66"/>
  <c r="G122" i="66"/>
  <c r="G123" i="66"/>
  <c r="G124" i="66"/>
  <c r="G125" i="66"/>
  <c r="G126" i="66"/>
  <c r="G127" i="66"/>
  <c r="G128" i="66"/>
  <c r="G129" i="66"/>
  <c r="G130" i="66"/>
  <c r="G131" i="66"/>
  <c r="G132" i="66"/>
  <c r="G133" i="66"/>
  <c r="G134" i="66"/>
  <c r="G135" i="66"/>
  <c r="G136" i="66"/>
  <c r="G137" i="66"/>
  <c r="G138" i="66"/>
  <c r="G139" i="66"/>
  <c r="G140" i="66"/>
  <c r="G141" i="66"/>
  <c r="G142" i="66"/>
  <c r="G143" i="66"/>
  <c r="G144" i="66"/>
  <c r="G145" i="66"/>
  <c r="G146" i="66"/>
  <c r="G147" i="66"/>
  <c r="G148" i="66"/>
  <c r="G149" i="66"/>
  <c r="G150" i="66"/>
  <c r="G151" i="66"/>
  <c r="G152" i="66"/>
  <c r="G153" i="66"/>
  <c r="G154" i="66"/>
  <c r="G155" i="66"/>
  <c r="G156" i="66"/>
  <c r="G157" i="66"/>
  <c r="G158" i="66"/>
  <c r="G159" i="66"/>
  <c r="G160" i="66"/>
  <c r="G161" i="66"/>
  <c r="G162" i="66"/>
  <c r="G163" i="66"/>
  <c r="G164" i="66"/>
  <c r="G165" i="66"/>
  <c r="G166" i="66"/>
  <c r="G167" i="66"/>
  <c r="G168" i="66"/>
  <c r="G169" i="66"/>
  <c r="G170" i="66"/>
  <c r="G171" i="66"/>
  <c r="G172" i="66"/>
  <c r="G173" i="66"/>
  <c r="G174" i="66"/>
  <c r="G175" i="66"/>
  <c r="G176" i="66"/>
  <c r="G177" i="66"/>
  <c r="G178" i="66"/>
  <c r="G179" i="66"/>
  <c r="G180" i="66"/>
  <c r="G181" i="66"/>
  <c r="G182" i="66"/>
  <c r="G183" i="66"/>
  <c r="G184" i="66"/>
  <c r="G185" i="66"/>
  <c r="G186" i="66"/>
  <c r="G187" i="66"/>
  <c r="G188" i="66"/>
  <c r="G189" i="66"/>
  <c r="G190" i="66"/>
  <c r="G191" i="66"/>
  <c r="G192" i="66"/>
  <c r="G193" i="66"/>
  <c r="G194" i="66"/>
  <c r="G195" i="66"/>
  <c r="G196" i="66"/>
  <c r="G197" i="66"/>
  <c r="G198" i="66"/>
  <c r="G199" i="66"/>
  <c r="G200" i="66"/>
  <c r="G201" i="66"/>
  <c r="G202" i="66"/>
  <c r="G203" i="66"/>
  <c r="G204" i="66"/>
  <c r="G205" i="66"/>
  <c r="G206" i="66"/>
  <c r="G207" i="66"/>
  <c r="G208" i="66"/>
  <c r="G209" i="66"/>
  <c r="G210" i="66"/>
  <c r="G211" i="66"/>
  <c r="G212" i="66"/>
  <c r="G213" i="66"/>
  <c r="G214" i="66"/>
  <c r="G215" i="66"/>
  <c r="G216" i="66"/>
  <c r="G217" i="66"/>
  <c r="G218" i="66"/>
  <c r="G219" i="66"/>
  <c r="G220" i="66"/>
  <c r="G221" i="66"/>
  <c r="G222" i="66"/>
  <c r="G223" i="66"/>
  <c r="G224" i="66"/>
  <c r="G225" i="66"/>
  <c r="G226" i="66"/>
  <c r="G227" i="66"/>
  <c r="G228" i="66"/>
  <c r="G229" i="66"/>
  <c r="G230" i="66"/>
  <c r="G231" i="66"/>
  <c r="G232" i="66"/>
  <c r="G233" i="66"/>
  <c r="G234" i="66"/>
  <c r="G235" i="66"/>
  <c r="G236" i="66"/>
  <c r="G237" i="66"/>
  <c r="G238" i="66"/>
  <c r="G239" i="66"/>
  <c r="G240" i="66"/>
  <c r="G241" i="66"/>
  <c r="G242" i="66"/>
  <c r="G243" i="66"/>
  <c r="G244" i="66"/>
  <c r="G245" i="66"/>
  <c r="G246" i="66"/>
  <c r="G247" i="66"/>
  <c r="G248" i="66"/>
  <c r="G249" i="66"/>
  <c r="G250" i="66"/>
  <c r="G251" i="66"/>
  <c r="G252" i="66"/>
  <c r="G253" i="66"/>
  <c r="G254" i="66"/>
  <c r="G255" i="66"/>
  <c r="G256" i="66"/>
  <c r="G257" i="66"/>
  <c r="G258" i="66"/>
  <c r="G259" i="66"/>
  <c r="G260" i="66"/>
  <c r="G261" i="66"/>
  <c r="G262" i="66"/>
  <c r="G263" i="66"/>
  <c r="G264" i="66"/>
  <c r="G265" i="66"/>
  <c r="G266" i="66"/>
  <c r="G267" i="66"/>
  <c r="G268" i="66"/>
  <c r="G269" i="66"/>
  <c r="G270" i="66"/>
  <c r="G271" i="66"/>
  <c r="G272" i="66"/>
  <c r="G273" i="66"/>
  <c r="G274" i="66"/>
  <c r="G275" i="66"/>
  <c r="G276" i="66"/>
  <c r="G277" i="66"/>
  <c r="G278" i="66"/>
  <c r="G279" i="66"/>
  <c r="G280" i="66"/>
  <c r="G281" i="66"/>
  <c r="G282" i="66"/>
  <c r="G283" i="66"/>
  <c r="G284" i="66"/>
  <c r="G285" i="66"/>
  <c r="G286" i="66"/>
  <c r="G287" i="66"/>
  <c r="G288" i="66"/>
  <c r="G289" i="66"/>
  <c r="G290" i="66"/>
  <c r="G291" i="66"/>
  <c r="G292" i="66"/>
  <c r="G293" i="66"/>
  <c r="G294" i="66"/>
  <c r="G295" i="66"/>
  <c r="G296" i="66"/>
  <c r="G297" i="66"/>
  <c r="G298" i="66"/>
  <c r="G299" i="66"/>
  <c r="G300" i="66"/>
  <c r="G301" i="66"/>
  <c r="G302" i="66"/>
  <c r="G303" i="66"/>
  <c r="G304" i="66"/>
  <c r="G305" i="66"/>
  <c r="G306" i="66"/>
  <c r="G307" i="66"/>
  <c r="G308" i="66"/>
  <c r="G309" i="66"/>
  <c r="G310" i="66"/>
  <c r="G311" i="66"/>
  <c r="G312" i="66"/>
  <c r="G313" i="66"/>
  <c r="G314" i="66"/>
  <c r="G315" i="66"/>
  <c r="G316" i="66"/>
  <c r="G317" i="66"/>
  <c r="G318" i="66"/>
  <c r="G319" i="66"/>
  <c r="G320" i="66"/>
  <c r="G321" i="66"/>
  <c r="G322" i="66"/>
  <c r="G323" i="66"/>
  <c r="G324" i="66"/>
  <c r="G325" i="66"/>
  <c r="G326" i="66"/>
  <c r="G327" i="66"/>
  <c r="G328" i="66"/>
  <c r="G329" i="66"/>
  <c r="G330" i="66"/>
  <c r="G331" i="66"/>
  <c r="G332" i="66"/>
  <c r="G333" i="66"/>
  <c r="G334" i="66"/>
  <c r="G335" i="66"/>
  <c r="G336" i="66"/>
  <c r="G337" i="66"/>
  <c r="G338" i="66"/>
  <c r="G339" i="66"/>
  <c r="G340" i="66"/>
  <c r="G341" i="66"/>
  <c r="G342" i="66"/>
  <c r="G343" i="66"/>
  <c r="G344" i="66"/>
  <c r="G345" i="66"/>
  <c r="G346" i="66"/>
  <c r="G347" i="66"/>
  <c r="G348" i="66"/>
  <c r="G349" i="66"/>
  <c r="G350" i="66"/>
  <c r="G351" i="66"/>
  <c r="G352" i="66"/>
  <c r="G353" i="66"/>
  <c r="G354" i="66"/>
  <c r="G355" i="66"/>
  <c r="G356" i="66"/>
  <c r="G357" i="66"/>
  <c r="G358" i="66"/>
  <c r="G359" i="66"/>
  <c r="G360" i="66"/>
  <c r="G361" i="66"/>
  <c r="G362" i="66"/>
  <c r="G363" i="66"/>
  <c r="G364" i="66"/>
  <c r="G365" i="66"/>
  <c r="G366" i="66"/>
  <c r="G367" i="66"/>
  <c r="G368" i="66"/>
  <c r="G369" i="66"/>
  <c r="G370" i="66"/>
  <c r="G371" i="66"/>
  <c r="G372" i="66"/>
  <c r="G373" i="66"/>
  <c r="G374" i="66"/>
  <c r="G375" i="66"/>
  <c r="G376" i="66"/>
  <c r="G377" i="66"/>
  <c r="G378" i="66"/>
  <c r="G379" i="66"/>
  <c r="G380" i="66"/>
  <c r="G381" i="66"/>
  <c r="G382" i="66"/>
  <c r="G383" i="66"/>
  <c r="G384" i="66"/>
  <c r="G385" i="66"/>
  <c r="G386" i="66"/>
  <c r="G387" i="66"/>
  <c r="G388" i="66"/>
  <c r="G389" i="66"/>
  <c r="G390" i="66"/>
  <c r="G391" i="66"/>
  <c r="G392" i="66"/>
  <c r="G393" i="66"/>
  <c r="G394" i="66"/>
  <c r="G395" i="66"/>
  <c r="G396" i="66"/>
  <c r="G397" i="66"/>
  <c r="G398" i="66"/>
  <c r="G399" i="66"/>
  <c r="G400" i="66"/>
  <c r="G401" i="66"/>
  <c r="G402" i="66"/>
  <c r="G403" i="66"/>
  <c r="F2" i="66"/>
  <c r="F3" i="66"/>
  <c r="F4" i="66"/>
  <c r="F5" i="66"/>
  <c r="F6" i="66"/>
  <c r="F7" i="66"/>
  <c r="F8" i="66"/>
  <c r="F9" i="66"/>
  <c r="F10" i="66"/>
  <c r="F11" i="66"/>
  <c r="F12" i="66"/>
  <c r="F13" i="66"/>
  <c r="F14" i="66"/>
  <c r="F15" i="66"/>
  <c r="F16" i="66"/>
  <c r="F17" i="66"/>
  <c r="F18" i="66"/>
  <c r="F19" i="66"/>
  <c r="F20" i="66"/>
  <c r="F21" i="66"/>
  <c r="F22" i="66"/>
  <c r="F23" i="66"/>
  <c r="F24" i="66"/>
  <c r="F25" i="66"/>
  <c r="F26" i="66"/>
  <c r="F27" i="66"/>
  <c r="F28" i="66"/>
  <c r="F29" i="66"/>
  <c r="F30" i="66"/>
  <c r="F31" i="66"/>
  <c r="F32" i="66"/>
  <c r="F33" i="66"/>
  <c r="F34" i="66"/>
  <c r="F35" i="66"/>
  <c r="F36" i="66"/>
  <c r="F37" i="66"/>
  <c r="F38" i="66"/>
  <c r="F39" i="66"/>
  <c r="F40" i="66"/>
  <c r="F41" i="66"/>
  <c r="F42" i="66"/>
  <c r="F43" i="66"/>
  <c r="F44" i="66"/>
  <c r="F45" i="66"/>
  <c r="F46" i="66"/>
  <c r="F47" i="66"/>
  <c r="F48" i="66"/>
  <c r="F49" i="66"/>
  <c r="F50" i="66"/>
  <c r="F51" i="66"/>
  <c r="F52" i="66"/>
  <c r="F53" i="66"/>
  <c r="F54" i="66"/>
  <c r="F55" i="66"/>
  <c r="F56" i="66"/>
  <c r="F57" i="66"/>
  <c r="F58" i="66"/>
  <c r="F59" i="66"/>
  <c r="F60" i="66"/>
  <c r="F61" i="66"/>
  <c r="F62" i="66"/>
  <c r="F63" i="66"/>
  <c r="F64" i="66"/>
  <c r="F65" i="66"/>
  <c r="F66" i="66"/>
  <c r="F67" i="66"/>
  <c r="F68" i="66"/>
  <c r="F69" i="66"/>
  <c r="F70" i="66"/>
  <c r="F71" i="66"/>
  <c r="F72" i="66"/>
  <c r="F73" i="66"/>
  <c r="F74" i="66"/>
  <c r="F75" i="66"/>
  <c r="F76" i="66"/>
  <c r="F77" i="66"/>
  <c r="F78" i="66"/>
  <c r="F79" i="66"/>
  <c r="F80" i="66"/>
  <c r="F81" i="66"/>
  <c r="F82" i="66"/>
  <c r="F83" i="66"/>
  <c r="F84" i="66"/>
  <c r="F85" i="66"/>
  <c r="F86" i="66"/>
  <c r="F87" i="66"/>
  <c r="F88" i="66"/>
  <c r="F89" i="66"/>
  <c r="F90" i="66"/>
  <c r="F91" i="66"/>
  <c r="F92" i="66"/>
  <c r="F93" i="66"/>
  <c r="F94" i="66"/>
  <c r="F95" i="66"/>
  <c r="F96" i="66"/>
  <c r="F97" i="66"/>
  <c r="F98" i="66"/>
  <c r="F99" i="66"/>
  <c r="F100" i="66"/>
  <c r="F101" i="66"/>
  <c r="F102" i="66"/>
  <c r="F103" i="66"/>
  <c r="F104" i="66"/>
  <c r="F105" i="66"/>
  <c r="F106" i="66"/>
  <c r="F107" i="66"/>
  <c r="F108" i="66"/>
  <c r="F109" i="66"/>
  <c r="F110" i="66"/>
  <c r="F111" i="66"/>
  <c r="F112" i="66"/>
  <c r="F113" i="66"/>
  <c r="F114" i="66"/>
  <c r="F115" i="66"/>
  <c r="F116" i="66"/>
  <c r="F117" i="66"/>
  <c r="F118" i="66"/>
  <c r="F119" i="66"/>
  <c r="F120" i="66"/>
  <c r="F121" i="66"/>
  <c r="F122" i="66"/>
  <c r="F123" i="66"/>
  <c r="F124" i="66"/>
  <c r="F125" i="66"/>
  <c r="F126" i="66"/>
  <c r="F127" i="66"/>
  <c r="F128" i="66"/>
  <c r="F129" i="66"/>
  <c r="F130" i="66"/>
  <c r="F131" i="66"/>
  <c r="F132" i="66"/>
  <c r="F133" i="66"/>
  <c r="F134" i="66"/>
  <c r="F135" i="66"/>
  <c r="F136" i="66"/>
  <c r="F137" i="66"/>
  <c r="F138" i="66"/>
  <c r="F139" i="66"/>
  <c r="F140" i="66"/>
  <c r="F141" i="66"/>
  <c r="F142" i="66"/>
  <c r="F143" i="66"/>
  <c r="F144" i="66"/>
  <c r="F145" i="66"/>
  <c r="F146" i="66"/>
  <c r="F147" i="66"/>
  <c r="F148" i="66"/>
  <c r="F149" i="66"/>
  <c r="F150" i="66"/>
  <c r="F151" i="66"/>
  <c r="F152" i="66"/>
  <c r="F153" i="66"/>
  <c r="F154" i="66"/>
  <c r="F155" i="66"/>
  <c r="F156" i="66"/>
  <c r="F157" i="66"/>
  <c r="F158" i="66"/>
  <c r="F159" i="66"/>
  <c r="F160" i="66"/>
  <c r="F161" i="66"/>
  <c r="F162" i="66"/>
  <c r="F163" i="66"/>
  <c r="F164" i="66"/>
  <c r="F165" i="66"/>
  <c r="F166" i="66"/>
  <c r="F167" i="66"/>
  <c r="F168" i="66"/>
  <c r="F169" i="66"/>
  <c r="F170" i="66"/>
  <c r="F171" i="66"/>
  <c r="F172" i="66"/>
  <c r="F173" i="66"/>
  <c r="F174" i="66"/>
  <c r="F175" i="66"/>
  <c r="F176" i="66"/>
  <c r="F177" i="66"/>
  <c r="F178" i="66"/>
  <c r="F179" i="66"/>
  <c r="F180" i="66"/>
  <c r="F181" i="66"/>
  <c r="F182" i="66"/>
  <c r="F183" i="66"/>
  <c r="F184" i="66"/>
  <c r="F185" i="66"/>
  <c r="F186" i="66"/>
  <c r="F187" i="66"/>
  <c r="F188" i="66"/>
  <c r="F189" i="66"/>
  <c r="F190" i="66"/>
  <c r="F191" i="66"/>
  <c r="F192" i="66"/>
  <c r="F193" i="66"/>
  <c r="F194" i="66"/>
  <c r="F195" i="66"/>
  <c r="F196" i="66"/>
  <c r="F197" i="66"/>
  <c r="F198" i="66"/>
  <c r="F199" i="66"/>
  <c r="F200" i="66"/>
  <c r="F201" i="66"/>
  <c r="F202" i="66"/>
  <c r="F203" i="66"/>
  <c r="F204" i="66"/>
  <c r="F205" i="66"/>
  <c r="F206" i="66"/>
  <c r="F207" i="66"/>
  <c r="F208" i="66"/>
  <c r="F209" i="66"/>
  <c r="F210" i="66"/>
  <c r="F211" i="66"/>
  <c r="F212" i="66"/>
  <c r="F213" i="66"/>
  <c r="F214" i="66"/>
  <c r="F215" i="66"/>
  <c r="F216" i="66"/>
  <c r="F217" i="66"/>
  <c r="F218" i="66"/>
  <c r="F219" i="66"/>
  <c r="F220" i="66"/>
  <c r="F221" i="66"/>
  <c r="F222" i="66"/>
  <c r="F223" i="66"/>
  <c r="F224" i="66"/>
  <c r="F225" i="66"/>
  <c r="F226" i="66"/>
  <c r="F227" i="66"/>
  <c r="F228" i="66"/>
  <c r="F229" i="66"/>
  <c r="F230" i="66"/>
  <c r="F231" i="66"/>
  <c r="F232" i="66"/>
  <c r="F233" i="66"/>
  <c r="F234" i="66"/>
  <c r="F235" i="66"/>
  <c r="F236" i="66"/>
  <c r="F237" i="66"/>
  <c r="F238" i="66"/>
  <c r="F239" i="66"/>
  <c r="F240" i="66"/>
  <c r="F241" i="66"/>
  <c r="F242" i="66"/>
  <c r="F243" i="66"/>
  <c r="F244" i="66"/>
  <c r="F245" i="66"/>
  <c r="F246" i="66"/>
  <c r="F247" i="66"/>
  <c r="F248" i="66"/>
  <c r="F249" i="66"/>
  <c r="F250" i="66"/>
  <c r="F251" i="66"/>
  <c r="F252" i="66"/>
  <c r="F253" i="66"/>
  <c r="F254" i="66"/>
  <c r="F255" i="66"/>
  <c r="F256" i="66"/>
  <c r="F257" i="66"/>
  <c r="F258" i="66"/>
  <c r="F259" i="66"/>
  <c r="F260" i="66"/>
  <c r="F261" i="66"/>
  <c r="F262" i="66"/>
  <c r="F263" i="66"/>
  <c r="F264" i="66"/>
  <c r="F265" i="66"/>
  <c r="F266" i="66"/>
  <c r="F267" i="66"/>
  <c r="F268" i="66"/>
  <c r="F269" i="66"/>
  <c r="F270" i="66"/>
  <c r="F271" i="66"/>
  <c r="F272" i="66"/>
  <c r="F273" i="66"/>
  <c r="F274" i="66"/>
  <c r="F275" i="66"/>
  <c r="F276" i="66"/>
  <c r="F277" i="66"/>
  <c r="F278" i="66"/>
  <c r="F279" i="66"/>
  <c r="F280" i="66"/>
  <c r="F281" i="66"/>
  <c r="F282" i="66"/>
  <c r="F283" i="66"/>
  <c r="F284" i="66"/>
  <c r="F285" i="66"/>
  <c r="F286" i="66"/>
  <c r="F287" i="66"/>
  <c r="F288" i="66"/>
  <c r="F289" i="66"/>
  <c r="F290" i="66"/>
  <c r="F291" i="66"/>
  <c r="F292" i="66"/>
  <c r="F293" i="66"/>
  <c r="F294" i="66"/>
  <c r="F295" i="66"/>
  <c r="F296" i="66"/>
  <c r="F297" i="66"/>
  <c r="F298" i="66"/>
  <c r="F299" i="66"/>
  <c r="F300" i="66"/>
  <c r="F301" i="66"/>
  <c r="F302" i="66"/>
  <c r="F303" i="66"/>
  <c r="F304" i="66"/>
  <c r="F305" i="66"/>
  <c r="F306" i="66"/>
  <c r="F307" i="66"/>
  <c r="F308" i="66"/>
  <c r="F309" i="66"/>
  <c r="F310" i="66"/>
  <c r="F311" i="66"/>
  <c r="F312" i="66"/>
  <c r="F313" i="66"/>
  <c r="F314" i="66"/>
  <c r="F315" i="66"/>
  <c r="F316" i="66"/>
  <c r="F317" i="66"/>
  <c r="F318" i="66"/>
  <c r="F319" i="66"/>
  <c r="F320" i="66"/>
  <c r="F321" i="66"/>
  <c r="F322" i="66"/>
  <c r="F323" i="66"/>
  <c r="F324" i="66"/>
  <c r="F325" i="66"/>
  <c r="F326" i="66"/>
  <c r="F327" i="66"/>
  <c r="F328" i="66"/>
  <c r="F329" i="66"/>
  <c r="F330" i="66"/>
  <c r="F331" i="66"/>
  <c r="F332" i="66"/>
  <c r="F333" i="66"/>
  <c r="F334" i="66"/>
  <c r="F335" i="66"/>
  <c r="F336" i="66"/>
  <c r="F337" i="66"/>
  <c r="F338" i="66"/>
  <c r="F339" i="66"/>
  <c r="F340" i="66"/>
  <c r="F341" i="66"/>
  <c r="F342" i="66"/>
  <c r="F343" i="66"/>
  <c r="F344" i="66"/>
  <c r="F345" i="66"/>
  <c r="F346" i="66"/>
  <c r="F347" i="66"/>
  <c r="F348" i="66"/>
  <c r="F349" i="66"/>
  <c r="F350" i="66"/>
  <c r="F351" i="66"/>
  <c r="F352" i="66"/>
  <c r="F353" i="66"/>
  <c r="F354" i="66"/>
  <c r="F355" i="66"/>
  <c r="F356" i="66"/>
  <c r="F357" i="66"/>
  <c r="F358" i="66"/>
  <c r="F359" i="66"/>
  <c r="F360" i="66"/>
  <c r="F361" i="66"/>
  <c r="F362" i="66"/>
  <c r="F363" i="66"/>
  <c r="F364" i="66"/>
  <c r="F365" i="66"/>
  <c r="F366" i="66"/>
  <c r="F367" i="66"/>
  <c r="F368" i="66"/>
  <c r="F369" i="66"/>
  <c r="F370" i="66"/>
  <c r="F371" i="66"/>
  <c r="F372" i="66"/>
  <c r="F373" i="66"/>
  <c r="F374" i="66"/>
  <c r="F375" i="66"/>
  <c r="F376" i="66"/>
  <c r="F377" i="66"/>
  <c r="F378" i="66"/>
  <c r="F379" i="66"/>
  <c r="F380" i="66"/>
  <c r="F381" i="66"/>
  <c r="F382" i="66"/>
  <c r="F383" i="66"/>
  <c r="F384" i="66"/>
  <c r="F385" i="66"/>
  <c r="F386" i="66"/>
  <c r="F387" i="66"/>
  <c r="F388" i="66"/>
  <c r="F389" i="66"/>
  <c r="F390" i="66"/>
  <c r="F391" i="66"/>
  <c r="F392" i="66"/>
  <c r="F393" i="66"/>
  <c r="F394" i="66"/>
  <c r="F395" i="66"/>
  <c r="F396" i="66"/>
  <c r="F397" i="66"/>
  <c r="F398" i="66"/>
  <c r="F399" i="66"/>
  <c r="F400" i="66"/>
  <c r="F401" i="66"/>
  <c r="F402" i="66"/>
  <c r="F403" i="66"/>
  <c r="E2" i="66"/>
  <c r="E3" i="66"/>
  <c r="E4" i="66"/>
  <c r="E5" i="66"/>
  <c r="E6" i="66"/>
  <c r="E7" i="66"/>
  <c r="E8" i="66"/>
  <c r="E9" i="66"/>
  <c r="E10" i="66"/>
  <c r="E11" i="66"/>
  <c r="E12" i="66"/>
  <c r="E13" i="66"/>
  <c r="E14" i="66"/>
  <c r="E15" i="66"/>
  <c r="E16" i="66"/>
  <c r="E17" i="66"/>
  <c r="E18" i="66"/>
  <c r="E19" i="66"/>
  <c r="E20" i="66"/>
  <c r="E21" i="66"/>
  <c r="E22" i="66"/>
  <c r="E23" i="66"/>
  <c r="E24" i="66"/>
  <c r="E25" i="66"/>
  <c r="E26" i="66"/>
  <c r="E27" i="66"/>
  <c r="E28" i="66"/>
  <c r="E29" i="66"/>
  <c r="E30" i="66"/>
  <c r="E31" i="66"/>
  <c r="E32" i="66"/>
  <c r="E33" i="66"/>
  <c r="E34" i="66"/>
  <c r="E35" i="66"/>
  <c r="E36" i="66"/>
  <c r="E37" i="66"/>
  <c r="E38" i="66"/>
  <c r="E39" i="66"/>
  <c r="E40" i="66"/>
  <c r="E41" i="66"/>
  <c r="E42" i="66"/>
  <c r="E43" i="66"/>
  <c r="E44" i="66"/>
  <c r="E45" i="66"/>
  <c r="E46" i="66"/>
  <c r="E47" i="66"/>
  <c r="E48" i="66"/>
  <c r="E49" i="66"/>
  <c r="E50" i="66"/>
  <c r="E51" i="66"/>
  <c r="E52" i="66"/>
  <c r="E53" i="66"/>
  <c r="E54" i="66"/>
  <c r="E55" i="66"/>
  <c r="E56" i="66"/>
  <c r="E57" i="66"/>
  <c r="E58" i="66"/>
  <c r="E59" i="66"/>
  <c r="E60" i="66"/>
  <c r="E61" i="66"/>
  <c r="E62" i="66"/>
  <c r="E63" i="66"/>
  <c r="E64" i="66"/>
  <c r="E65" i="66"/>
  <c r="E66" i="66"/>
  <c r="E67" i="66"/>
  <c r="E68" i="66"/>
  <c r="E69" i="66"/>
  <c r="E70" i="66"/>
  <c r="E71" i="66"/>
  <c r="E72" i="66"/>
  <c r="E73" i="66"/>
  <c r="E74" i="66"/>
  <c r="E75" i="66"/>
  <c r="E76" i="66"/>
  <c r="E77" i="66"/>
  <c r="E78" i="66"/>
  <c r="E79" i="66"/>
  <c r="E80" i="66"/>
  <c r="E81" i="66"/>
  <c r="E82" i="66"/>
  <c r="E83" i="66"/>
  <c r="E84" i="66"/>
  <c r="E85" i="66"/>
  <c r="E86" i="66"/>
  <c r="E87" i="66"/>
  <c r="E88" i="66"/>
  <c r="E89" i="66"/>
  <c r="E90" i="66"/>
  <c r="E91" i="66"/>
  <c r="E92" i="66"/>
  <c r="E93" i="66"/>
  <c r="E94" i="66"/>
  <c r="E95" i="66"/>
  <c r="E96" i="66"/>
  <c r="E97" i="66"/>
  <c r="E98" i="66"/>
  <c r="E99" i="66"/>
  <c r="E100" i="66"/>
  <c r="E101" i="66"/>
  <c r="E102" i="66"/>
  <c r="E103" i="66"/>
  <c r="E104" i="66"/>
  <c r="E105" i="66"/>
  <c r="E106" i="66"/>
  <c r="E107" i="66"/>
  <c r="E108" i="66"/>
  <c r="E109" i="66"/>
  <c r="E110" i="66"/>
  <c r="E111" i="66"/>
  <c r="E112" i="66"/>
  <c r="E113" i="66"/>
  <c r="E114" i="66"/>
  <c r="E115" i="66"/>
  <c r="E116" i="66"/>
  <c r="E117" i="66"/>
  <c r="E118" i="66"/>
  <c r="E119" i="66"/>
  <c r="E120" i="66"/>
  <c r="E121" i="66"/>
  <c r="E122" i="66"/>
  <c r="E123" i="66"/>
  <c r="E124" i="66"/>
  <c r="E125" i="66"/>
  <c r="E126" i="66"/>
  <c r="E127" i="66"/>
  <c r="E128" i="66"/>
  <c r="E129" i="66"/>
  <c r="E130" i="66"/>
  <c r="E131" i="66"/>
  <c r="E132" i="66"/>
  <c r="E133" i="66"/>
  <c r="E134" i="66"/>
  <c r="E135" i="66"/>
  <c r="E136" i="66"/>
  <c r="E137" i="66"/>
  <c r="E138" i="66"/>
  <c r="E139" i="66"/>
  <c r="E140" i="66"/>
  <c r="E141" i="66"/>
  <c r="E142" i="66"/>
  <c r="E143" i="66"/>
  <c r="E144" i="66"/>
  <c r="E145" i="66"/>
  <c r="E146" i="66"/>
  <c r="E147" i="66"/>
  <c r="E148" i="66"/>
  <c r="E149" i="66"/>
  <c r="E150" i="66"/>
  <c r="E151" i="66"/>
  <c r="E152" i="66"/>
  <c r="E153" i="66"/>
  <c r="E154" i="66"/>
  <c r="E155" i="66"/>
  <c r="E156" i="66"/>
  <c r="E157" i="66"/>
  <c r="E158" i="66"/>
  <c r="E159" i="66"/>
  <c r="E160" i="66"/>
  <c r="E161" i="66"/>
  <c r="E162" i="66"/>
  <c r="E163" i="66"/>
  <c r="E164" i="66"/>
  <c r="E165" i="66"/>
  <c r="E166" i="66"/>
  <c r="E167" i="66"/>
  <c r="E168" i="66"/>
  <c r="E169" i="66"/>
  <c r="E170" i="66"/>
  <c r="E171" i="66"/>
  <c r="E172" i="66"/>
  <c r="E173" i="66"/>
  <c r="E174" i="66"/>
  <c r="E175" i="66"/>
  <c r="E176" i="66"/>
  <c r="E177" i="66"/>
  <c r="E178" i="66"/>
  <c r="E179" i="66"/>
  <c r="E180" i="66"/>
  <c r="E181" i="66"/>
  <c r="E182" i="66"/>
  <c r="E183" i="66"/>
  <c r="E184" i="66"/>
  <c r="E185" i="66"/>
  <c r="E186" i="66"/>
  <c r="E187" i="66"/>
  <c r="E188" i="66"/>
  <c r="E189" i="66"/>
  <c r="E190" i="66"/>
  <c r="E191" i="66"/>
  <c r="E192" i="66"/>
  <c r="E193" i="66"/>
  <c r="E194" i="66"/>
  <c r="E195" i="66"/>
  <c r="E196" i="66"/>
  <c r="E197" i="66"/>
  <c r="E198" i="66"/>
  <c r="E199" i="66"/>
  <c r="E200" i="66"/>
  <c r="E201" i="66"/>
  <c r="E202" i="66"/>
  <c r="E203" i="66"/>
  <c r="E204" i="66"/>
  <c r="E205" i="66"/>
  <c r="E206" i="66"/>
  <c r="E207" i="66"/>
  <c r="E208" i="66"/>
  <c r="E209" i="66"/>
  <c r="E210" i="66"/>
  <c r="E211" i="66"/>
  <c r="E212" i="66"/>
  <c r="E213" i="66"/>
  <c r="E214" i="66"/>
  <c r="E215" i="66"/>
  <c r="E216" i="66"/>
  <c r="E217" i="66"/>
  <c r="E218" i="66"/>
  <c r="E219" i="66"/>
  <c r="E220" i="66"/>
  <c r="E221" i="66"/>
  <c r="E222" i="66"/>
  <c r="E223" i="66"/>
  <c r="E224" i="66"/>
  <c r="E225" i="66"/>
  <c r="E226" i="66"/>
  <c r="E227" i="66"/>
  <c r="E228" i="66"/>
  <c r="E229" i="66"/>
  <c r="E230" i="66"/>
  <c r="E231" i="66"/>
  <c r="E232" i="66"/>
  <c r="E233" i="66"/>
  <c r="E234" i="66"/>
  <c r="E235" i="66"/>
  <c r="E236" i="66"/>
  <c r="E237" i="66"/>
  <c r="E238" i="66"/>
  <c r="E239" i="66"/>
  <c r="E240" i="66"/>
  <c r="E241" i="66"/>
  <c r="E242" i="66"/>
  <c r="E243" i="66"/>
  <c r="E244" i="66"/>
  <c r="E245" i="66"/>
  <c r="E246" i="66"/>
  <c r="E247" i="66"/>
  <c r="E248" i="66"/>
  <c r="E249" i="66"/>
  <c r="E250" i="66"/>
  <c r="E251" i="66"/>
  <c r="E252" i="66"/>
  <c r="E253" i="66"/>
  <c r="E254" i="66"/>
  <c r="E255" i="66"/>
  <c r="E256" i="66"/>
  <c r="E257" i="66"/>
  <c r="E258" i="66"/>
  <c r="E259" i="66"/>
  <c r="E260" i="66"/>
  <c r="E261" i="66"/>
  <c r="E262" i="66"/>
  <c r="E263" i="66"/>
  <c r="E264" i="66"/>
  <c r="E265" i="66"/>
  <c r="E266" i="66"/>
  <c r="E267" i="66"/>
  <c r="E268" i="66"/>
  <c r="E269" i="66"/>
  <c r="E270" i="66"/>
  <c r="E271" i="66"/>
  <c r="E272" i="66"/>
  <c r="E273" i="66"/>
  <c r="E274" i="66"/>
  <c r="E275" i="66"/>
  <c r="E276" i="66"/>
  <c r="E277" i="66"/>
  <c r="E278" i="66"/>
  <c r="E279" i="66"/>
  <c r="E280" i="66"/>
  <c r="E281" i="66"/>
  <c r="E282" i="66"/>
  <c r="E283" i="66"/>
  <c r="E284" i="66"/>
  <c r="E285" i="66"/>
  <c r="E286" i="66"/>
  <c r="E287" i="66"/>
  <c r="E288" i="66"/>
  <c r="E289" i="66"/>
  <c r="E290" i="66"/>
  <c r="E291" i="66"/>
  <c r="E292" i="66"/>
  <c r="E293" i="66"/>
  <c r="E294" i="66"/>
  <c r="E295" i="66"/>
  <c r="E296" i="66"/>
  <c r="E297" i="66"/>
  <c r="E298" i="66"/>
  <c r="E299" i="66"/>
  <c r="E300" i="66"/>
  <c r="E301" i="66"/>
  <c r="E302" i="66"/>
  <c r="E303" i="66"/>
  <c r="E304" i="66"/>
  <c r="E305" i="66"/>
  <c r="E306" i="66"/>
  <c r="E307" i="66"/>
  <c r="E308" i="66"/>
  <c r="E309" i="66"/>
  <c r="E310" i="66"/>
  <c r="E311" i="66"/>
  <c r="E312" i="66"/>
  <c r="E313" i="66"/>
  <c r="E314" i="66"/>
  <c r="E315" i="66"/>
  <c r="E316" i="66"/>
  <c r="E317" i="66"/>
  <c r="E318" i="66"/>
  <c r="E319" i="66"/>
  <c r="E320" i="66"/>
  <c r="E321" i="66"/>
  <c r="E322" i="66"/>
  <c r="E323" i="66"/>
  <c r="E324" i="66"/>
  <c r="E325" i="66"/>
  <c r="E326" i="66"/>
  <c r="E327" i="66"/>
  <c r="E328" i="66"/>
  <c r="E329" i="66"/>
  <c r="E330" i="66"/>
  <c r="E331" i="66"/>
  <c r="E332" i="66"/>
  <c r="E333" i="66"/>
  <c r="E334" i="66"/>
  <c r="E335" i="66"/>
  <c r="E336" i="66"/>
  <c r="E337" i="66"/>
  <c r="E338" i="66"/>
  <c r="E339" i="66"/>
  <c r="E340" i="66"/>
  <c r="E341" i="66"/>
  <c r="E342" i="66"/>
  <c r="E343" i="66"/>
  <c r="E344" i="66"/>
  <c r="E345" i="66"/>
  <c r="E346" i="66"/>
  <c r="E347" i="66"/>
  <c r="E348" i="66"/>
  <c r="E349" i="66"/>
  <c r="E350" i="66"/>
  <c r="E351" i="66"/>
  <c r="E352" i="66"/>
  <c r="E353" i="66"/>
  <c r="E354" i="66"/>
  <c r="E355" i="66"/>
  <c r="E356" i="66"/>
  <c r="E357" i="66"/>
  <c r="E358" i="66"/>
  <c r="E359" i="66"/>
  <c r="E360" i="66"/>
  <c r="E361" i="66"/>
  <c r="E362" i="66"/>
  <c r="E363" i="66"/>
  <c r="E364" i="66"/>
  <c r="E365" i="66"/>
  <c r="E366" i="66"/>
  <c r="E367" i="66"/>
  <c r="E368" i="66"/>
  <c r="E369" i="66"/>
  <c r="E370" i="66"/>
  <c r="E371" i="66"/>
  <c r="E372" i="66"/>
  <c r="E373" i="66"/>
  <c r="E374" i="66"/>
  <c r="E375" i="66"/>
  <c r="E376" i="66"/>
  <c r="E377" i="66"/>
  <c r="E378" i="66"/>
  <c r="E379" i="66"/>
  <c r="E380" i="66"/>
  <c r="E381" i="66"/>
  <c r="E382" i="66"/>
  <c r="E383" i="66"/>
  <c r="E384" i="66"/>
  <c r="E385" i="66"/>
  <c r="E386" i="66"/>
  <c r="E387" i="66"/>
  <c r="E388" i="66"/>
  <c r="E389" i="66"/>
  <c r="E390" i="66"/>
  <c r="E391" i="66"/>
  <c r="E392" i="66"/>
  <c r="E393" i="66"/>
  <c r="E394" i="66"/>
  <c r="E395" i="66"/>
  <c r="E396" i="66"/>
  <c r="E397" i="66"/>
  <c r="E398" i="66"/>
  <c r="E399" i="66"/>
  <c r="E400" i="66"/>
  <c r="E401" i="66"/>
  <c r="E402" i="66"/>
  <c r="E403" i="66"/>
  <c r="D2" i="66"/>
  <c r="D3" i="66"/>
  <c r="D4" i="66"/>
  <c r="D5" i="66"/>
  <c r="D6" i="66"/>
  <c r="D7" i="66"/>
  <c r="D8" i="66"/>
  <c r="D9" i="66"/>
  <c r="D10" i="66"/>
  <c r="D11" i="66"/>
  <c r="D12" i="66"/>
  <c r="D13" i="66"/>
  <c r="D14" i="66"/>
  <c r="D15" i="66"/>
  <c r="D16" i="66"/>
  <c r="D17" i="66"/>
  <c r="D18" i="66"/>
  <c r="D19" i="66"/>
  <c r="D20" i="66"/>
  <c r="D21" i="66"/>
  <c r="D22" i="66"/>
  <c r="D23" i="66"/>
  <c r="D24" i="66"/>
  <c r="D25" i="66"/>
  <c r="D26" i="66"/>
  <c r="D27" i="66"/>
  <c r="D28" i="66"/>
  <c r="D29" i="66"/>
  <c r="D30" i="66"/>
  <c r="D31" i="66"/>
  <c r="D32" i="66"/>
  <c r="D33" i="66"/>
  <c r="D34" i="66"/>
  <c r="D35" i="66"/>
  <c r="D36" i="66"/>
  <c r="D37" i="66"/>
  <c r="D38" i="66"/>
  <c r="D39" i="66"/>
  <c r="D40" i="66"/>
  <c r="D41" i="66"/>
  <c r="D42" i="66"/>
  <c r="D43" i="66"/>
  <c r="D44" i="66"/>
  <c r="D45" i="66"/>
  <c r="D46" i="66"/>
  <c r="D47" i="66"/>
  <c r="D48" i="66"/>
  <c r="D49" i="66"/>
  <c r="D50" i="66"/>
  <c r="D51" i="66"/>
  <c r="D52" i="66"/>
  <c r="D53" i="66"/>
  <c r="D54" i="66"/>
  <c r="D55" i="66"/>
  <c r="D56" i="66"/>
  <c r="D57" i="66"/>
  <c r="D58" i="66"/>
  <c r="D59" i="66"/>
  <c r="D60" i="66"/>
  <c r="D61" i="66"/>
  <c r="D62" i="66"/>
  <c r="D63" i="66"/>
  <c r="D64" i="66"/>
  <c r="D65" i="66"/>
  <c r="D66" i="66"/>
  <c r="D67" i="66"/>
  <c r="D68" i="66"/>
  <c r="D69" i="66"/>
  <c r="D70" i="66"/>
  <c r="D71" i="66"/>
  <c r="D72" i="66"/>
  <c r="D73" i="66"/>
  <c r="D74" i="66"/>
  <c r="D75" i="66"/>
  <c r="D76" i="66"/>
  <c r="D77" i="66"/>
  <c r="D78" i="66"/>
  <c r="D79" i="66"/>
  <c r="D80" i="66"/>
  <c r="D81" i="66"/>
  <c r="D82" i="66"/>
  <c r="D83" i="66"/>
  <c r="D84" i="66"/>
  <c r="D85" i="66"/>
  <c r="D86" i="66"/>
  <c r="D87" i="66"/>
  <c r="D88" i="66"/>
  <c r="D89" i="66"/>
  <c r="D90" i="66"/>
  <c r="D91" i="66"/>
  <c r="D92" i="66"/>
  <c r="D93" i="66"/>
  <c r="D94" i="66"/>
  <c r="D95" i="66"/>
  <c r="D96" i="66"/>
  <c r="D97" i="66"/>
  <c r="D98" i="66"/>
  <c r="D99" i="66"/>
  <c r="D100" i="66"/>
  <c r="D101" i="66"/>
  <c r="D102" i="66"/>
  <c r="D103" i="66"/>
  <c r="D104" i="66"/>
  <c r="D105" i="66"/>
  <c r="D106" i="66"/>
  <c r="D107" i="66"/>
  <c r="D108" i="66"/>
  <c r="D109" i="66"/>
  <c r="D110" i="66"/>
  <c r="D111" i="66"/>
  <c r="D112" i="66"/>
  <c r="D113" i="66"/>
  <c r="D114" i="66"/>
  <c r="D115" i="66"/>
  <c r="D116" i="66"/>
  <c r="D117" i="66"/>
  <c r="D118" i="66"/>
  <c r="D119" i="66"/>
  <c r="D120" i="66"/>
  <c r="D121" i="66"/>
  <c r="D122" i="66"/>
  <c r="D123" i="66"/>
  <c r="D124" i="66"/>
  <c r="D125" i="66"/>
  <c r="D126" i="66"/>
  <c r="D127" i="66"/>
  <c r="D128" i="66"/>
  <c r="D129" i="66"/>
  <c r="D130" i="66"/>
  <c r="D131" i="66"/>
  <c r="D132" i="66"/>
  <c r="D133" i="66"/>
  <c r="D134" i="66"/>
  <c r="D135" i="66"/>
  <c r="D136" i="66"/>
  <c r="D137" i="66"/>
  <c r="D138" i="66"/>
  <c r="D139" i="66"/>
  <c r="D140" i="66"/>
  <c r="D141" i="66"/>
  <c r="D142" i="66"/>
  <c r="D143" i="66"/>
  <c r="D144" i="66"/>
  <c r="D145" i="66"/>
  <c r="D146" i="66"/>
  <c r="D147" i="66"/>
  <c r="D148" i="66"/>
  <c r="D149" i="66"/>
  <c r="D150" i="66"/>
  <c r="D151" i="66"/>
  <c r="D152" i="66"/>
  <c r="D153" i="66"/>
  <c r="D154" i="66"/>
  <c r="D155" i="66"/>
  <c r="D156" i="66"/>
  <c r="D157" i="66"/>
  <c r="D158" i="66"/>
  <c r="D159" i="66"/>
  <c r="D160" i="66"/>
  <c r="D161" i="66"/>
  <c r="D162" i="66"/>
  <c r="D163" i="66"/>
  <c r="D164" i="66"/>
  <c r="D165" i="66"/>
  <c r="D166" i="66"/>
  <c r="D167" i="66"/>
  <c r="D168" i="66"/>
  <c r="D169" i="66"/>
  <c r="D170" i="66"/>
  <c r="D171" i="66"/>
  <c r="D172" i="66"/>
  <c r="D173" i="66"/>
  <c r="D174" i="66"/>
  <c r="D175" i="66"/>
  <c r="D176" i="66"/>
  <c r="D177" i="66"/>
  <c r="D178" i="66"/>
  <c r="D179" i="66"/>
  <c r="D180" i="66"/>
  <c r="D181" i="66"/>
  <c r="D182" i="66"/>
  <c r="D183" i="66"/>
  <c r="D184" i="66"/>
  <c r="D185" i="66"/>
  <c r="D186" i="66"/>
  <c r="D187" i="66"/>
  <c r="D188" i="66"/>
  <c r="D189" i="66"/>
  <c r="D190" i="66"/>
  <c r="D191" i="66"/>
  <c r="D192" i="66"/>
  <c r="D193" i="66"/>
  <c r="D194" i="66"/>
  <c r="D195" i="66"/>
  <c r="D196" i="66"/>
  <c r="D197" i="66"/>
  <c r="D198" i="66"/>
  <c r="D199" i="66"/>
  <c r="D200" i="66"/>
  <c r="D201" i="66"/>
  <c r="D202" i="66"/>
  <c r="D203" i="66"/>
  <c r="D204" i="66"/>
  <c r="D205" i="66"/>
  <c r="D206" i="66"/>
  <c r="D207" i="66"/>
  <c r="D208" i="66"/>
  <c r="D209" i="66"/>
  <c r="D210" i="66"/>
  <c r="D211" i="66"/>
  <c r="D212" i="66"/>
  <c r="D213" i="66"/>
  <c r="D214" i="66"/>
  <c r="D215" i="66"/>
  <c r="D216" i="66"/>
  <c r="D217" i="66"/>
  <c r="D218" i="66"/>
  <c r="D219" i="66"/>
  <c r="D220" i="66"/>
  <c r="D221" i="66"/>
  <c r="D222" i="66"/>
  <c r="D223" i="66"/>
  <c r="D224" i="66"/>
  <c r="D225" i="66"/>
  <c r="D226" i="66"/>
  <c r="D227" i="66"/>
  <c r="D228" i="66"/>
  <c r="D229" i="66"/>
  <c r="D230" i="66"/>
  <c r="D231" i="66"/>
  <c r="D232" i="66"/>
  <c r="D233" i="66"/>
  <c r="D234" i="66"/>
  <c r="D235" i="66"/>
  <c r="D236" i="66"/>
  <c r="D237" i="66"/>
  <c r="D238" i="66"/>
  <c r="D239" i="66"/>
  <c r="D240" i="66"/>
  <c r="D241" i="66"/>
  <c r="D242" i="66"/>
  <c r="D243" i="66"/>
  <c r="D244" i="66"/>
  <c r="D245" i="66"/>
  <c r="D246" i="66"/>
  <c r="D247" i="66"/>
  <c r="D248" i="66"/>
  <c r="D249" i="66"/>
  <c r="D250" i="66"/>
  <c r="D251" i="66"/>
  <c r="D252" i="66"/>
  <c r="D253" i="66"/>
  <c r="D254" i="66"/>
  <c r="D255" i="66"/>
  <c r="D256" i="66"/>
  <c r="D257" i="66"/>
  <c r="D258" i="66"/>
  <c r="D259" i="66"/>
  <c r="D260" i="66"/>
  <c r="D261" i="66"/>
  <c r="D262" i="66"/>
  <c r="D263" i="66"/>
  <c r="D264" i="66"/>
  <c r="D265" i="66"/>
  <c r="D266" i="66"/>
  <c r="D267" i="66"/>
  <c r="D268" i="66"/>
  <c r="D269" i="66"/>
  <c r="D270" i="66"/>
  <c r="D271" i="66"/>
  <c r="D272" i="66"/>
  <c r="D273" i="66"/>
  <c r="D274" i="66"/>
  <c r="D275" i="66"/>
  <c r="D276" i="66"/>
  <c r="D277" i="66"/>
  <c r="D278" i="66"/>
  <c r="D279" i="66"/>
  <c r="D280" i="66"/>
  <c r="D281" i="66"/>
  <c r="D282" i="66"/>
  <c r="D283" i="66"/>
  <c r="D284" i="66"/>
  <c r="D285" i="66"/>
  <c r="D286" i="66"/>
  <c r="D287" i="66"/>
  <c r="D288" i="66"/>
  <c r="D289" i="66"/>
  <c r="D290" i="66"/>
  <c r="D291" i="66"/>
  <c r="D292" i="66"/>
  <c r="D293" i="66"/>
  <c r="D294" i="66"/>
  <c r="D295" i="66"/>
  <c r="D296" i="66"/>
  <c r="D297" i="66"/>
  <c r="D298" i="66"/>
  <c r="D299" i="66"/>
  <c r="D300" i="66"/>
  <c r="D301" i="66"/>
  <c r="D302" i="66"/>
  <c r="D303" i="66"/>
  <c r="D304" i="66"/>
  <c r="D305" i="66"/>
  <c r="D306" i="66"/>
  <c r="D307" i="66"/>
  <c r="D308" i="66"/>
  <c r="D309" i="66"/>
  <c r="D310" i="66"/>
  <c r="D311" i="66"/>
  <c r="D312" i="66"/>
  <c r="D313" i="66"/>
  <c r="D314" i="66"/>
  <c r="D315" i="66"/>
  <c r="D316" i="66"/>
  <c r="D317" i="66"/>
  <c r="D318" i="66"/>
  <c r="D319" i="66"/>
  <c r="D320" i="66"/>
  <c r="D321" i="66"/>
  <c r="D322" i="66"/>
  <c r="D323" i="66"/>
  <c r="D324" i="66"/>
  <c r="D325" i="66"/>
  <c r="D326" i="66"/>
  <c r="D327" i="66"/>
  <c r="D328" i="66"/>
  <c r="D329" i="66"/>
  <c r="D330" i="66"/>
  <c r="D331" i="66"/>
  <c r="D332" i="66"/>
  <c r="D333" i="66"/>
  <c r="D334" i="66"/>
  <c r="D335" i="66"/>
  <c r="D336" i="66"/>
  <c r="D337" i="66"/>
  <c r="D338" i="66"/>
  <c r="D339" i="66"/>
  <c r="D340" i="66"/>
  <c r="D341" i="66"/>
  <c r="D342" i="66"/>
  <c r="D343" i="66"/>
  <c r="D344" i="66"/>
  <c r="D345" i="66"/>
  <c r="D346" i="66"/>
  <c r="D347" i="66"/>
  <c r="D348" i="66"/>
  <c r="D349" i="66"/>
  <c r="D350" i="66"/>
  <c r="D351" i="66"/>
  <c r="D352" i="66"/>
  <c r="D353" i="66"/>
  <c r="D354" i="66"/>
  <c r="D355" i="66"/>
  <c r="D356" i="66"/>
  <c r="D357" i="66"/>
  <c r="D358" i="66"/>
  <c r="D359" i="66"/>
  <c r="D360" i="66"/>
  <c r="D361" i="66"/>
  <c r="D362" i="66"/>
  <c r="D363" i="66"/>
  <c r="D364" i="66"/>
  <c r="D365" i="66"/>
  <c r="D366" i="66"/>
  <c r="D367" i="66"/>
  <c r="D368" i="66"/>
  <c r="D369" i="66"/>
  <c r="D370" i="66"/>
  <c r="D371" i="66"/>
  <c r="D372" i="66"/>
  <c r="D373" i="66"/>
  <c r="D374" i="66"/>
  <c r="D375" i="66"/>
  <c r="D376" i="66"/>
  <c r="D377" i="66"/>
  <c r="D378" i="66"/>
  <c r="D379" i="66"/>
  <c r="D380" i="66"/>
  <c r="D381" i="66"/>
  <c r="D382" i="66"/>
  <c r="D383" i="66"/>
  <c r="D384" i="66"/>
  <c r="D385" i="66"/>
  <c r="D386" i="66"/>
  <c r="D387" i="66"/>
  <c r="D388" i="66"/>
  <c r="D389" i="66"/>
  <c r="D390" i="66"/>
  <c r="D391" i="66"/>
  <c r="D392" i="66"/>
  <c r="D393" i="66"/>
  <c r="D394" i="66"/>
  <c r="D395" i="66"/>
  <c r="D396" i="66"/>
  <c r="D397" i="66"/>
  <c r="D398" i="66"/>
  <c r="D399" i="66"/>
  <c r="D400" i="66"/>
  <c r="D401" i="66"/>
  <c r="D402" i="66"/>
  <c r="D403" i="66"/>
  <c r="C3" i="66"/>
  <c r="C4" i="66"/>
  <c r="C5" i="66"/>
  <c r="C6" i="66"/>
  <c r="C7" i="66"/>
  <c r="C8" i="66"/>
  <c r="C9" i="66"/>
  <c r="C10" i="66"/>
  <c r="C11" i="66"/>
  <c r="C12" i="66"/>
  <c r="C13" i="66"/>
  <c r="C14" i="66"/>
  <c r="C15" i="66"/>
  <c r="C16" i="66"/>
  <c r="C17" i="66"/>
  <c r="C18" i="66"/>
  <c r="C19" i="66"/>
  <c r="C20" i="66"/>
  <c r="C21" i="66"/>
  <c r="C22" i="66"/>
  <c r="C23" i="66"/>
  <c r="C24" i="66"/>
  <c r="C25" i="66"/>
  <c r="C26" i="66"/>
  <c r="C27" i="66"/>
  <c r="C28" i="66"/>
  <c r="C29" i="66"/>
  <c r="C30" i="66"/>
  <c r="C31" i="66"/>
  <c r="C32" i="66"/>
  <c r="C33" i="66"/>
  <c r="C34" i="66"/>
  <c r="C35" i="66"/>
  <c r="C36" i="66"/>
  <c r="C37" i="66"/>
  <c r="C38" i="66"/>
  <c r="C39" i="66"/>
  <c r="C40" i="66"/>
  <c r="C41" i="66"/>
  <c r="C42" i="66"/>
  <c r="C43" i="66"/>
  <c r="C44" i="66"/>
  <c r="C45" i="66"/>
  <c r="C46" i="66"/>
  <c r="C47" i="66"/>
  <c r="C48" i="66"/>
  <c r="C49" i="66"/>
  <c r="C50" i="66"/>
  <c r="C51" i="66"/>
  <c r="C52" i="66"/>
  <c r="C53" i="66"/>
  <c r="C54" i="66"/>
  <c r="C55" i="66"/>
  <c r="C56" i="66"/>
  <c r="C57" i="66"/>
  <c r="C58" i="66"/>
  <c r="C59" i="66"/>
  <c r="C60" i="66"/>
  <c r="C61" i="66"/>
  <c r="C62" i="66"/>
  <c r="C63" i="66"/>
  <c r="C64" i="66"/>
  <c r="C65" i="66"/>
  <c r="C66" i="66"/>
  <c r="C67" i="66"/>
  <c r="C68" i="66"/>
  <c r="C69" i="66"/>
  <c r="C70" i="66"/>
  <c r="C71" i="66"/>
  <c r="C72" i="66"/>
  <c r="C73" i="66"/>
  <c r="C74" i="66"/>
  <c r="C75" i="66"/>
  <c r="C76" i="66"/>
  <c r="C77" i="66"/>
  <c r="C78" i="66"/>
  <c r="C79" i="66"/>
  <c r="C80" i="66"/>
  <c r="C81" i="66"/>
  <c r="C82" i="66"/>
  <c r="C83" i="66"/>
  <c r="C84" i="66"/>
  <c r="C85" i="66"/>
  <c r="C86" i="66"/>
  <c r="C87" i="66"/>
  <c r="C88" i="66"/>
  <c r="C89" i="66"/>
  <c r="C90" i="66"/>
  <c r="C91" i="66"/>
  <c r="C92" i="66"/>
  <c r="C93" i="66"/>
  <c r="C94" i="66"/>
  <c r="C95" i="66"/>
  <c r="C96" i="66"/>
  <c r="C97" i="66"/>
  <c r="C98" i="66"/>
  <c r="C99" i="66"/>
  <c r="C100" i="66"/>
  <c r="C101" i="66"/>
  <c r="C102" i="66"/>
  <c r="C103" i="66"/>
  <c r="C104" i="66"/>
  <c r="C105" i="66"/>
  <c r="C106" i="66"/>
  <c r="C107" i="66"/>
  <c r="C108" i="66"/>
  <c r="C109" i="66"/>
  <c r="C110" i="66"/>
  <c r="C111" i="66"/>
  <c r="C112" i="66"/>
  <c r="C113" i="66"/>
  <c r="C114" i="66"/>
  <c r="C115" i="66"/>
  <c r="C116" i="66"/>
  <c r="C117" i="66"/>
  <c r="C118" i="66"/>
  <c r="C119" i="66"/>
  <c r="C120" i="66"/>
  <c r="C121" i="66"/>
  <c r="C122" i="66"/>
  <c r="C123" i="66"/>
  <c r="C124" i="66"/>
  <c r="C125" i="66"/>
  <c r="C126" i="66"/>
  <c r="C127" i="66"/>
  <c r="C128" i="66"/>
  <c r="C129" i="66"/>
  <c r="C130" i="66"/>
  <c r="C131" i="66"/>
  <c r="C132" i="66"/>
  <c r="C133" i="66"/>
  <c r="C134" i="66"/>
  <c r="C135" i="66"/>
  <c r="C136" i="66"/>
  <c r="C137" i="66"/>
  <c r="C138" i="66"/>
  <c r="C139" i="66"/>
  <c r="C140" i="66"/>
  <c r="C141" i="66"/>
  <c r="C142" i="66"/>
  <c r="C143" i="66"/>
  <c r="C144" i="66"/>
  <c r="C145" i="66"/>
  <c r="C146" i="66"/>
  <c r="C147" i="66"/>
  <c r="C148" i="66"/>
  <c r="C149" i="66"/>
  <c r="C150" i="66"/>
  <c r="C151" i="66"/>
  <c r="C152" i="66"/>
  <c r="C153" i="66"/>
  <c r="C154" i="66"/>
  <c r="C155" i="66"/>
  <c r="C156" i="66"/>
  <c r="C157" i="66"/>
  <c r="C158" i="66"/>
  <c r="C159" i="66"/>
  <c r="C160" i="66"/>
  <c r="C161" i="66"/>
  <c r="C162" i="66"/>
  <c r="C163" i="66"/>
  <c r="C164" i="66"/>
  <c r="C165" i="66"/>
  <c r="C166" i="66"/>
  <c r="C167" i="66"/>
  <c r="C168" i="66"/>
  <c r="C169" i="66"/>
  <c r="C170" i="66"/>
  <c r="C171" i="66"/>
  <c r="C172" i="66"/>
  <c r="C173" i="66"/>
  <c r="C174" i="66"/>
  <c r="C175" i="66"/>
  <c r="C176" i="66"/>
  <c r="C177" i="66"/>
  <c r="C178" i="66"/>
  <c r="C179" i="66"/>
  <c r="C180" i="66"/>
  <c r="C181" i="66"/>
  <c r="C182" i="66"/>
  <c r="C183" i="66"/>
  <c r="C184" i="66"/>
  <c r="C185" i="66"/>
  <c r="C186" i="66"/>
  <c r="C187" i="66"/>
  <c r="C188" i="66"/>
  <c r="C189" i="66"/>
  <c r="C190" i="66"/>
  <c r="C191" i="66"/>
  <c r="C192" i="66"/>
  <c r="C193" i="66"/>
  <c r="C194" i="66"/>
  <c r="C195" i="66"/>
  <c r="C196" i="66"/>
  <c r="C197" i="66"/>
  <c r="C198" i="66"/>
  <c r="C199" i="66"/>
  <c r="C200" i="66"/>
  <c r="C201" i="66"/>
  <c r="C202" i="66"/>
  <c r="C203" i="66"/>
  <c r="C204" i="66"/>
  <c r="C205" i="66"/>
  <c r="C206" i="66"/>
  <c r="C207" i="66"/>
  <c r="C208" i="66"/>
  <c r="C209" i="66"/>
  <c r="C210" i="66"/>
  <c r="C211" i="66"/>
  <c r="C212" i="66"/>
  <c r="C213" i="66"/>
  <c r="C214" i="66"/>
  <c r="C215" i="66"/>
  <c r="C216" i="66"/>
  <c r="C217" i="66"/>
  <c r="C218" i="66"/>
  <c r="C219" i="66"/>
  <c r="C220" i="66"/>
  <c r="C221" i="66"/>
  <c r="C222" i="66"/>
  <c r="C223" i="66"/>
  <c r="C224" i="66"/>
  <c r="C225" i="66"/>
  <c r="C226" i="66"/>
  <c r="C227" i="66"/>
  <c r="C228" i="66"/>
  <c r="C229" i="66"/>
  <c r="C230" i="66"/>
  <c r="C231" i="66"/>
  <c r="C232" i="66"/>
  <c r="C233" i="66"/>
  <c r="C234" i="66"/>
  <c r="C235" i="66"/>
  <c r="C236" i="66"/>
  <c r="C237" i="66"/>
  <c r="C238" i="66"/>
  <c r="C239" i="66"/>
  <c r="C240" i="66"/>
  <c r="C241" i="66"/>
  <c r="C242" i="66"/>
  <c r="C243" i="66"/>
  <c r="C244" i="66"/>
  <c r="C245" i="66"/>
  <c r="C246" i="66"/>
  <c r="C247" i="66"/>
  <c r="C248" i="66"/>
  <c r="C249" i="66"/>
  <c r="C250" i="66"/>
  <c r="C251" i="66"/>
  <c r="C252" i="66"/>
  <c r="C253" i="66"/>
  <c r="C254" i="66"/>
  <c r="C255" i="66"/>
  <c r="C256" i="66"/>
  <c r="C257" i="66"/>
  <c r="C258" i="66"/>
  <c r="C259" i="66"/>
  <c r="C260" i="66"/>
  <c r="C261" i="66"/>
  <c r="C262" i="66"/>
  <c r="C263" i="66"/>
  <c r="C264" i="66"/>
  <c r="C265" i="66"/>
  <c r="C266" i="66"/>
  <c r="C267" i="66"/>
  <c r="C268" i="66"/>
  <c r="C269" i="66"/>
  <c r="C270" i="66"/>
  <c r="C271" i="66"/>
  <c r="C272" i="66"/>
  <c r="C273" i="66"/>
  <c r="C274" i="66"/>
  <c r="C275" i="66"/>
  <c r="C276" i="66"/>
  <c r="C277" i="66"/>
  <c r="C278" i="66"/>
  <c r="C279" i="66"/>
  <c r="C280" i="66"/>
  <c r="C281" i="66"/>
  <c r="C282" i="66"/>
  <c r="C283" i="66"/>
  <c r="C284" i="66"/>
  <c r="C285" i="66"/>
  <c r="C286" i="66"/>
  <c r="C287" i="66"/>
  <c r="C288" i="66"/>
  <c r="C289" i="66"/>
  <c r="C290" i="66"/>
  <c r="C291" i="66"/>
  <c r="C292" i="66"/>
  <c r="C293" i="66"/>
  <c r="C294" i="66"/>
  <c r="C295" i="66"/>
  <c r="C296" i="66"/>
  <c r="C297" i="66"/>
  <c r="C298" i="66"/>
  <c r="C299" i="66"/>
  <c r="C300" i="66"/>
  <c r="C301" i="66"/>
  <c r="C302" i="66"/>
  <c r="C303" i="66"/>
  <c r="C304" i="66"/>
  <c r="C305" i="66"/>
  <c r="C306" i="66"/>
  <c r="C307" i="66"/>
  <c r="C308" i="66"/>
  <c r="C309" i="66"/>
  <c r="C310" i="66"/>
  <c r="C311" i="66"/>
  <c r="C312" i="66"/>
  <c r="C313" i="66"/>
  <c r="C314" i="66"/>
  <c r="C315" i="66"/>
  <c r="C316" i="66"/>
  <c r="C317" i="66"/>
  <c r="C318" i="66"/>
  <c r="C319" i="66"/>
  <c r="C320" i="66"/>
  <c r="C321" i="66"/>
  <c r="C322" i="66"/>
  <c r="C323" i="66"/>
  <c r="C324" i="66"/>
  <c r="C325" i="66"/>
  <c r="C326" i="66"/>
  <c r="C327" i="66"/>
  <c r="C328" i="66"/>
  <c r="C329" i="66"/>
  <c r="C330" i="66"/>
  <c r="C331" i="66"/>
  <c r="C332" i="66"/>
  <c r="C333" i="66"/>
  <c r="C334" i="66"/>
  <c r="C335" i="66"/>
  <c r="C336" i="66"/>
  <c r="C337" i="66"/>
  <c r="C338" i="66"/>
  <c r="C339" i="66"/>
  <c r="C340" i="66"/>
  <c r="C341" i="66"/>
  <c r="C342" i="66"/>
  <c r="C343" i="66"/>
  <c r="C344" i="66"/>
  <c r="C345" i="66"/>
  <c r="C346" i="66"/>
  <c r="C347" i="66"/>
  <c r="C348" i="66"/>
  <c r="C349" i="66"/>
  <c r="C350" i="66"/>
  <c r="C351" i="66"/>
  <c r="C352" i="66"/>
  <c r="C353" i="66"/>
  <c r="C354" i="66"/>
  <c r="C355" i="66"/>
  <c r="C356" i="66"/>
  <c r="C357" i="66"/>
  <c r="C358" i="66"/>
  <c r="C359" i="66"/>
  <c r="C360" i="66"/>
  <c r="C361" i="66"/>
  <c r="C362" i="66"/>
  <c r="C363" i="66"/>
  <c r="C364" i="66"/>
  <c r="C365" i="66"/>
  <c r="C366" i="66"/>
  <c r="C367" i="66"/>
  <c r="C368" i="66"/>
  <c r="C369" i="66"/>
  <c r="C370" i="66"/>
  <c r="C371" i="66"/>
  <c r="C372" i="66"/>
  <c r="C373" i="66"/>
  <c r="C374" i="66"/>
  <c r="C375" i="66"/>
  <c r="C376" i="66"/>
  <c r="C377" i="66"/>
  <c r="C378" i="66"/>
  <c r="C379" i="66"/>
  <c r="C380" i="66"/>
  <c r="C381" i="66"/>
  <c r="C382" i="66"/>
  <c r="C383" i="66"/>
  <c r="C384" i="66"/>
  <c r="C385" i="66"/>
  <c r="C386" i="66"/>
  <c r="C387" i="66"/>
  <c r="C388" i="66"/>
  <c r="C389" i="66"/>
  <c r="C390" i="66"/>
  <c r="C391" i="66"/>
  <c r="C392" i="66"/>
  <c r="C393" i="66"/>
  <c r="C394" i="66"/>
  <c r="C395" i="66"/>
  <c r="C396" i="66"/>
  <c r="C397" i="66"/>
  <c r="C398" i="66"/>
  <c r="C399" i="66"/>
  <c r="C400" i="66"/>
  <c r="C401" i="66"/>
  <c r="C402" i="66"/>
  <c r="C403" i="66"/>
  <c r="C2" i="66"/>
  <c r="B403" i="66"/>
  <c r="B2" i="66"/>
  <c r="B3" i="66"/>
  <c r="B4" i="66"/>
  <c r="B5" i="66"/>
  <c r="B6" i="66"/>
  <c r="B7" i="66"/>
  <c r="B8" i="66"/>
  <c r="B9" i="66"/>
  <c r="B10" i="66"/>
  <c r="B11" i="66"/>
  <c r="B12" i="66"/>
  <c r="B13" i="66"/>
  <c r="B14" i="66"/>
  <c r="B15" i="66"/>
  <c r="B16" i="66"/>
  <c r="B17" i="66"/>
  <c r="B18" i="66"/>
  <c r="B19" i="66"/>
  <c r="B20" i="66"/>
  <c r="B21" i="66"/>
  <c r="B22" i="66"/>
  <c r="B23" i="66"/>
  <c r="B24" i="66"/>
  <c r="B25" i="66"/>
  <c r="B26" i="66"/>
  <c r="B27" i="66"/>
  <c r="B28" i="66"/>
  <c r="B29" i="66"/>
  <c r="B30" i="66"/>
  <c r="B31" i="66"/>
  <c r="B32" i="66"/>
  <c r="B33" i="66"/>
  <c r="B34" i="66"/>
  <c r="B35" i="66"/>
  <c r="B36" i="66"/>
  <c r="B37" i="66"/>
  <c r="B38" i="66"/>
  <c r="B39" i="66"/>
  <c r="B40" i="66"/>
  <c r="B41" i="66"/>
  <c r="B42" i="66"/>
  <c r="B43" i="66"/>
  <c r="B44" i="66"/>
  <c r="B45" i="66"/>
  <c r="B46" i="66"/>
  <c r="B47" i="66"/>
  <c r="B48" i="66"/>
  <c r="B49" i="66"/>
  <c r="B50" i="66"/>
  <c r="B51" i="66"/>
  <c r="B52" i="66"/>
  <c r="B53" i="66"/>
  <c r="B54" i="66"/>
  <c r="B55" i="66"/>
  <c r="B56" i="66"/>
  <c r="B57" i="66"/>
  <c r="B58" i="66"/>
  <c r="B59" i="66"/>
  <c r="B60" i="66"/>
  <c r="B61" i="66"/>
  <c r="B62" i="66"/>
  <c r="B63" i="66"/>
  <c r="B64" i="66"/>
  <c r="B65" i="66"/>
  <c r="B66" i="66"/>
  <c r="B67" i="66"/>
  <c r="B68" i="66"/>
  <c r="B69" i="66"/>
  <c r="B70" i="66"/>
  <c r="B71" i="66"/>
  <c r="B72" i="66"/>
  <c r="B73" i="66"/>
  <c r="B74" i="66"/>
  <c r="B75" i="66"/>
  <c r="B76" i="66"/>
  <c r="B77" i="66"/>
  <c r="B78" i="66"/>
  <c r="B79" i="66"/>
  <c r="B80" i="66"/>
  <c r="B81" i="66"/>
  <c r="B82" i="66"/>
  <c r="B83" i="66"/>
  <c r="B84" i="66"/>
  <c r="B85" i="66"/>
  <c r="B86" i="66"/>
  <c r="B87" i="66"/>
  <c r="B88" i="66"/>
  <c r="B89" i="66"/>
  <c r="B90" i="66"/>
  <c r="B91" i="66"/>
  <c r="B92" i="66"/>
  <c r="B93" i="66"/>
  <c r="B94" i="66"/>
  <c r="B95" i="66"/>
  <c r="B96" i="66"/>
  <c r="B97" i="66"/>
  <c r="B98" i="66"/>
  <c r="B99" i="66"/>
  <c r="B100" i="66"/>
  <c r="B101" i="66"/>
  <c r="B102" i="66"/>
  <c r="B103" i="66"/>
  <c r="B104" i="66"/>
  <c r="B105" i="66"/>
  <c r="B106" i="66"/>
  <c r="B107" i="66"/>
  <c r="B108" i="66"/>
  <c r="B109" i="66"/>
  <c r="B110" i="66"/>
  <c r="B111" i="66"/>
  <c r="B112" i="66"/>
  <c r="B113" i="66"/>
  <c r="B114" i="66"/>
  <c r="B115" i="66"/>
  <c r="B116" i="66"/>
  <c r="B117" i="66"/>
  <c r="B118" i="66"/>
  <c r="B119" i="66"/>
  <c r="B120" i="66"/>
  <c r="B121" i="66"/>
  <c r="B122" i="66"/>
  <c r="B123" i="66"/>
  <c r="B124" i="66"/>
  <c r="B125" i="66"/>
  <c r="B126" i="66"/>
  <c r="B127" i="66"/>
  <c r="B128" i="66"/>
  <c r="B129" i="66"/>
  <c r="B130" i="66"/>
  <c r="B131" i="66"/>
  <c r="B132" i="66"/>
  <c r="B133" i="66"/>
  <c r="B134" i="66"/>
  <c r="B135" i="66"/>
  <c r="B136" i="66"/>
  <c r="B137" i="66"/>
  <c r="B138" i="66"/>
  <c r="B139" i="66"/>
  <c r="B140" i="66"/>
  <c r="B141" i="66"/>
  <c r="B142" i="66"/>
  <c r="B143" i="66"/>
  <c r="B144" i="66"/>
  <c r="B145" i="66"/>
  <c r="B146" i="66"/>
  <c r="B147" i="66"/>
  <c r="B148" i="66"/>
  <c r="B149" i="66"/>
  <c r="B150" i="66"/>
  <c r="B151" i="66"/>
  <c r="B152" i="66"/>
  <c r="B153" i="66"/>
  <c r="B154" i="66"/>
  <c r="B155" i="66"/>
  <c r="B156" i="66"/>
  <c r="B157" i="66"/>
  <c r="B158" i="66"/>
  <c r="B159" i="66"/>
  <c r="B160" i="66"/>
  <c r="B161" i="66"/>
  <c r="B162" i="66"/>
  <c r="B163" i="66"/>
  <c r="B164" i="66"/>
  <c r="B165" i="66"/>
  <c r="B166" i="66"/>
  <c r="B167" i="66"/>
  <c r="B168" i="66"/>
  <c r="B169" i="66"/>
  <c r="B170" i="66"/>
  <c r="B171" i="66"/>
  <c r="B172" i="66"/>
  <c r="B173" i="66"/>
  <c r="B174" i="66"/>
  <c r="B175" i="66"/>
  <c r="B176" i="66"/>
  <c r="B177" i="66"/>
  <c r="B178" i="66"/>
  <c r="B179" i="66"/>
  <c r="B180" i="66"/>
  <c r="B181" i="66"/>
  <c r="B182" i="66"/>
  <c r="B183" i="66"/>
  <c r="B184" i="66"/>
  <c r="B185" i="66"/>
  <c r="B186" i="66"/>
  <c r="B187" i="66"/>
  <c r="B188" i="66"/>
  <c r="B189" i="66"/>
  <c r="B190" i="66"/>
  <c r="B191" i="66"/>
  <c r="B192" i="66"/>
  <c r="B193" i="66"/>
  <c r="B194" i="66"/>
  <c r="B195" i="66"/>
  <c r="B196" i="66"/>
  <c r="B197" i="66"/>
  <c r="B198" i="66"/>
  <c r="B199" i="66"/>
  <c r="B200" i="66"/>
  <c r="B201" i="66"/>
  <c r="B202" i="66"/>
  <c r="B203" i="66"/>
  <c r="B204" i="66"/>
  <c r="B205" i="66"/>
  <c r="B206" i="66"/>
  <c r="B207" i="66"/>
  <c r="B208" i="66"/>
  <c r="B209" i="66"/>
  <c r="B210" i="66"/>
  <c r="B211" i="66"/>
  <c r="B212" i="66"/>
  <c r="B213" i="66"/>
  <c r="B214" i="66"/>
  <c r="B215" i="66"/>
  <c r="B216" i="66"/>
  <c r="B217" i="66"/>
  <c r="B218" i="66"/>
  <c r="B219" i="66"/>
  <c r="B220" i="66"/>
  <c r="B221" i="66"/>
  <c r="B222" i="66"/>
  <c r="B223" i="66"/>
  <c r="B224" i="66"/>
  <c r="B225" i="66"/>
  <c r="B226" i="66"/>
  <c r="B227" i="66"/>
  <c r="B228" i="66"/>
  <c r="B229" i="66"/>
  <c r="B230" i="66"/>
  <c r="B231" i="66"/>
  <c r="B232" i="66"/>
  <c r="B233" i="66"/>
  <c r="B234" i="66"/>
  <c r="B235" i="66"/>
  <c r="B236" i="66"/>
  <c r="B237" i="66"/>
  <c r="B238" i="66"/>
  <c r="B239" i="66"/>
  <c r="B240" i="66"/>
  <c r="B241" i="66"/>
  <c r="B242" i="66"/>
  <c r="B243" i="66"/>
  <c r="B244" i="66"/>
  <c r="B245" i="66"/>
  <c r="B246" i="66"/>
  <c r="B247" i="66"/>
  <c r="B248" i="66"/>
  <c r="B249" i="66"/>
  <c r="B250" i="66"/>
  <c r="B251" i="66"/>
  <c r="B252" i="66"/>
  <c r="B253" i="66"/>
  <c r="B254" i="66"/>
  <c r="B255" i="66"/>
  <c r="B256" i="66"/>
  <c r="B257" i="66"/>
  <c r="B258" i="66"/>
  <c r="B259" i="66"/>
  <c r="B260" i="66"/>
  <c r="B261" i="66"/>
  <c r="B262" i="66"/>
  <c r="B263" i="66"/>
  <c r="B264" i="66"/>
  <c r="B265" i="66"/>
  <c r="B266" i="66"/>
  <c r="B267" i="66"/>
  <c r="B268" i="66"/>
  <c r="B269" i="66"/>
  <c r="B270" i="66"/>
  <c r="B271" i="66"/>
  <c r="B272" i="66"/>
  <c r="B273" i="66"/>
  <c r="B274" i="66"/>
  <c r="B275" i="66"/>
  <c r="B276" i="66"/>
  <c r="B277" i="66"/>
  <c r="B278" i="66"/>
  <c r="B279" i="66"/>
  <c r="B280" i="66"/>
  <c r="B281" i="66"/>
  <c r="B282" i="66"/>
  <c r="B283" i="66"/>
  <c r="B284" i="66"/>
  <c r="B285" i="66"/>
  <c r="B286" i="66"/>
  <c r="B287" i="66"/>
  <c r="B288" i="66"/>
  <c r="B289" i="66"/>
  <c r="B290" i="66"/>
  <c r="B291" i="66"/>
  <c r="B292" i="66"/>
  <c r="B293" i="66"/>
  <c r="B294" i="66"/>
  <c r="B295" i="66"/>
  <c r="B296" i="66"/>
  <c r="B297" i="66"/>
  <c r="B298" i="66"/>
  <c r="B299" i="66"/>
  <c r="B300" i="66"/>
  <c r="B301" i="66"/>
  <c r="B302" i="66"/>
  <c r="B303" i="66"/>
  <c r="B304" i="66"/>
  <c r="B305" i="66"/>
  <c r="B306" i="66"/>
  <c r="B307" i="66"/>
  <c r="B308" i="66"/>
  <c r="B309" i="66"/>
  <c r="B310" i="66"/>
  <c r="B311" i="66"/>
  <c r="B312" i="66"/>
  <c r="B313" i="66"/>
  <c r="B314" i="66"/>
  <c r="B315" i="66"/>
  <c r="B316" i="66"/>
  <c r="B317" i="66"/>
  <c r="B318" i="66"/>
  <c r="B319" i="66"/>
  <c r="B320" i="66"/>
  <c r="B321" i="66"/>
  <c r="B322" i="66"/>
  <c r="B323" i="66"/>
  <c r="B324" i="66"/>
  <c r="B325" i="66"/>
  <c r="B326" i="66"/>
  <c r="B327" i="66"/>
  <c r="B328" i="66"/>
  <c r="B329" i="66"/>
  <c r="B330" i="66"/>
  <c r="B331" i="66"/>
  <c r="B332" i="66"/>
  <c r="B333" i="66"/>
  <c r="B334" i="66"/>
  <c r="B335" i="66"/>
  <c r="B336" i="66"/>
  <c r="B337" i="66"/>
  <c r="B338" i="66"/>
  <c r="B339" i="66"/>
  <c r="B340" i="66"/>
  <c r="B341" i="66"/>
  <c r="B342" i="66"/>
  <c r="B343" i="66"/>
  <c r="B344" i="66"/>
  <c r="B345" i="66"/>
  <c r="B346" i="66"/>
  <c r="B347" i="66"/>
  <c r="B348" i="66"/>
  <c r="B349" i="66"/>
  <c r="B350" i="66"/>
  <c r="B351" i="66"/>
  <c r="B352" i="66"/>
  <c r="B353" i="66"/>
  <c r="B354" i="66"/>
  <c r="B355" i="66"/>
  <c r="B356" i="66"/>
  <c r="B357" i="66"/>
  <c r="B358" i="66"/>
  <c r="B359" i="66"/>
  <c r="B360" i="66"/>
  <c r="B361" i="66"/>
  <c r="B362" i="66"/>
  <c r="B363" i="66"/>
  <c r="B364" i="66"/>
  <c r="B365" i="66"/>
  <c r="B366" i="66"/>
  <c r="B367" i="66"/>
  <c r="B368" i="66"/>
  <c r="B369" i="66"/>
  <c r="B370" i="66"/>
  <c r="B371" i="66"/>
  <c r="B372" i="66"/>
  <c r="B373" i="66"/>
  <c r="B374" i="66"/>
  <c r="B375" i="66"/>
  <c r="B376" i="66"/>
  <c r="B377" i="66"/>
  <c r="B378" i="66"/>
  <c r="B379" i="66"/>
  <c r="B380" i="66"/>
  <c r="B381" i="66"/>
  <c r="B382" i="66"/>
  <c r="B383" i="66"/>
  <c r="B384" i="66"/>
  <c r="B385" i="66"/>
  <c r="B386" i="66"/>
  <c r="B387" i="66"/>
  <c r="B388" i="66"/>
  <c r="B389" i="66"/>
  <c r="B390" i="66"/>
  <c r="B391" i="66"/>
  <c r="B392" i="66"/>
  <c r="B393" i="66"/>
  <c r="B394" i="66"/>
  <c r="B395" i="66"/>
  <c r="B396" i="66"/>
  <c r="B397" i="66"/>
  <c r="B398" i="66"/>
  <c r="B399" i="66"/>
  <c r="B400" i="66"/>
  <c r="B401" i="66"/>
  <c r="B402" i="66"/>
  <c r="K8" i="39"/>
  <c r="K16" i="39"/>
  <c r="K24" i="39"/>
  <c r="K28" i="39"/>
  <c r="K29" i="39"/>
  <c r="K32" i="39"/>
  <c r="K39" i="39"/>
  <c r="K40" i="39"/>
  <c r="K48" i="39"/>
  <c r="K53" i="39"/>
  <c r="K55" i="39"/>
  <c r="K56" i="39"/>
  <c r="K58" i="39"/>
  <c r="K64" i="39"/>
  <c r="K72" i="39"/>
  <c r="K76" i="39"/>
  <c r="K80" i="39"/>
  <c r="K88" i="39"/>
  <c r="K96" i="39"/>
  <c r="K103" i="39"/>
  <c r="K104" i="39"/>
  <c r="K106" i="39"/>
  <c r="K107" i="39"/>
  <c r="K112" i="39"/>
  <c r="K115" i="39"/>
  <c r="K116" i="39"/>
  <c r="K118" i="39"/>
  <c r="K120" i="39"/>
  <c r="K128" i="39"/>
  <c r="K132" i="39"/>
  <c r="K134" i="39"/>
  <c r="K136" i="39"/>
  <c r="K144" i="39"/>
  <c r="K152" i="39"/>
  <c r="K159" i="39"/>
  <c r="K160" i="39"/>
  <c r="K167" i="39"/>
  <c r="K168" i="39"/>
  <c r="K176" i="39"/>
  <c r="K184" i="39"/>
  <c r="K192" i="39"/>
  <c r="K194" i="39"/>
  <c r="K195" i="39"/>
  <c r="K200" i="39"/>
  <c r="K207" i="39"/>
  <c r="K208" i="39"/>
  <c r="K216" i="39"/>
  <c r="K222" i="39"/>
  <c r="K224" i="39"/>
  <c r="K230" i="39"/>
  <c r="K232" i="39"/>
  <c r="K240" i="39"/>
  <c r="K244" i="39"/>
  <c r="K248" i="39"/>
  <c r="K251" i="39"/>
  <c r="K256" i="39"/>
  <c r="K257" i="39"/>
  <c r="K258" i="39"/>
  <c r="K264" i="39"/>
  <c r="K272" i="39"/>
  <c r="K280" i="39"/>
  <c r="K288" i="39"/>
  <c r="K295" i="39"/>
  <c r="K296" i="39"/>
  <c r="K304" i="39"/>
  <c r="K312" i="39"/>
  <c r="K320" i="39"/>
  <c r="K325" i="39"/>
  <c r="K327" i="39"/>
  <c r="K328" i="39"/>
  <c r="K330" i="39"/>
  <c r="K336" i="39"/>
  <c r="K337" i="39"/>
  <c r="K344" i="39"/>
  <c r="K352" i="39"/>
  <c r="K360" i="39"/>
  <c r="K368" i="39"/>
  <c r="K370" i="39"/>
  <c r="K371" i="39"/>
  <c r="K376" i="39"/>
  <c r="K380" i="39"/>
  <c r="K382" i="39"/>
  <c r="K384" i="39"/>
  <c r="K386" i="39"/>
  <c r="K387" i="39"/>
  <c r="K392" i="39"/>
  <c r="K400" i="39"/>
  <c r="K408" i="39"/>
  <c r="K416" i="39"/>
  <c r="K419" i="39"/>
  <c r="K422" i="39"/>
  <c r="K423" i="39"/>
  <c r="K424" i="39"/>
  <c r="K430" i="39"/>
  <c r="K432" i="39"/>
  <c r="K440" i="39"/>
  <c r="K448" i="39"/>
  <c r="K449" i="39"/>
  <c r="K451" i="39"/>
  <c r="K455" i="39"/>
  <c r="K456" i="39"/>
  <c r="K460" i="39"/>
  <c r="K461" i="39"/>
  <c r="K464" i="39"/>
  <c r="K472" i="39"/>
  <c r="K477" i="39"/>
  <c r="K480" i="39"/>
  <c r="K488" i="39"/>
  <c r="K494" i="39"/>
  <c r="K496" i="39"/>
  <c r="I3" i="39"/>
  <c r="I51" i="39"/>
  <c r="I67" i="39"/>
  <c r="I115" i="39"/>
  <c r="I171" i="39"/>
  <c r="I205" i="39"/>
  <c r="I246" i="39"/>
  <c r="I270" i="39"/>
  <c r="I310" i="39"/>
  <c r="I333" i="39"/>
  <c r="I334" i="39"/>
  <c r="I397" i="39"/>
  <c r="I420" i="39"/>
  <c r="I484" i="39"/>
  <c r="N2" i="39"/>
  <c r="E2" i="39"/>
  <c r="I2" i="39" s="1"/>
  <c r="E3" i="39"/>
  <c r="E4" i="39"/>
  <c r="I4" i="39" s="1"/>
  <c r="E5" i="39"/>
  <c r="I5" i="39" s="1"/>
  <c r="E6" i="39"/>
  <c r="I6" i="39" s="1"/>
  <c r="E7" i="39"/>
  <c r="I7" i="39" s="1"/>
  <c r="E8" i="39"/>
  <c r="I8" i="39" s="1"/>
  <c r="E9" i="39"/>
  <c r="I9" i="39" s="1"/>
  <c r="E10" i="39"/>
  <c r="I10" i="39" s="1"/>
  <c r="E11" i="39"/>
  <c r="I11" i="39" s="1"/>
  <c r="E12" i="39"/>
  <c r="I12" i="39" s="1"/>
  <c r="E13" i="39"/>
  <c r="I13" i="39" s="1"/>
  <c r="E14" i="39"/>
  <c r="I14" i="39" s="1"/>
  <c r="E15" i="39"/>
  <c r="I15" i="39" s="1"/>
  <c r="E16" i="39"/>
  <c r="I16" i="39" s="1"/>
  <c r="E17" i="39"/>
  <c r="I17" i="39" s="1"/>
  <c r="E18" i="39"/>
  <c r="I18" i="39" s="1"/>
  <c r="E19" i="39"/>
  <c r="I19" i="39" s="1"/>
  <c r="E20" i="39"/>
  <c r="I20" i="39" s="1"/>
  <c r="E21" i="39"/>
  <c r="I21" i="39" s="1"/>
  <c r="E22" i="39"/>
  <c r="I22" i="39" s="1"/>
  <c r="E23" i="39"/>
  <c r="I23" i="39" s="1"/>
  <c r="E24" i="39"/>
  <c r="I24" i="39" s="1"/>
  <c r="E25" i="39"/>
  <c r="I25" i="39" s="1"/>
  <c r="E26" i="39"/>
  <c r="I26" i="39" s="1"/>
  <c r="E27" i="39"/>
  <c r="I27" i="39" s="1"/>
  <c r="E28" i="39"/>
  <c r="I28" i="39" s="1"/>
  <c r="E29" i="39"/>
  <c r="I29" i="39" s="1"/>
  <c r="E30" i="39"/>
  <c r="I30" i="39" s="1"/>
  <c r="E31" i="39"/>
  <c r="I31" i="39" s="1"/>
  <c r="E32" i="39"/>
  <c r="I32" i="39" s="1"/>
  <c r="E33" i="39"/>
  <c r="I33" i="39" s="1"/>
  <c r="E34" i="39"/>
  <c r="I34" i="39" s="1"/>
  <c r="E35" i="39"/>
  <c r="I35" i="39" s="1"/>
  <c r="E36" i="39"/>
  <c r="I36" i="39" s="1"/>
  <c r="E37" i="39"/>
  <c r="I37" i="39" s="1"/>
  <c r="E38" i="39"/>
  <c r="I38" i="39" s="1"/>
  <c r="E39" i="39"/>
  <c r="I39" i="39" s="1"/>
  <c r="E40" i="39"/>
  <c r="I40" i="39" s="1"/>
  <c r="E41" i="39"/>
  <c r="I41" i="39" s="1"/>
  <c r="E42" i="39"/>
  <c r="I42" i="39" s="1"/>
  <c r="E43" i="39"/>
  <c r="I43" i="39" s="1"/>
  <c r="E44" i="39"/>
  <c r="I44" i="39" s="1"/>
  <c r="E45" i="39"/>
  <c r="I45" i="39" s="1"/>
  <c r="E46" i="39"/>
  <c r="I46" i="39" s="1"/>
  <c r="E47" i="39"/>
  <c r="I47" i="39" s="1"/>
  <c r="E48" i="39"/>
  <c r="I48" i="39" s="1"/>
  <c r="E49" i="39"/>
  <c r="I49" i="39" s="1"/>
  <c r="E50" i="39"/>
  <c r="I50" i="39" s="1"/>
  <c r="E51" i="39"/>
  <c r="E52" i="39"/>
  <c r="I52" i="39" s="1"/>
  <c r="E53" i="39"/>
  <c r="I53" i="39" s="1"/>
  <c r="E54" i="39"/>
  <c r="I54" i="39" s="1"/>
  <c r="E55" i="39"/>
  <c r="I55" i="39" s="1"/>
  <c r="E56" i="39"/>
  <c r="I56" i="39" s="1"/>
  <c r="E57" i="39"/>
  <c r="I57" i="39" s="1"/>
  <c r="E58" i="39"/>
  <c r="I58" i="39" s="1"/>
  <c r="E59" i="39"/>
  <c r="I59" i="39" s="1"/>
  <c r="E60" i="39"/>
  <c r="I60" i="39" s="1"/>
  <c r="E61" i="39"/>
  <c r="I61" i="39" s="1"/>
  <c r="E62" i="39"/>
  <c r="I62" i="39" s="1"/>
  <c r="E63" i="39"/>
  <c r="I63" i="39" s="1"/>
  <c r="E64" i="39"/>
  <c r="I64" i="39" s="1"/>
  <c r="E65" i="39"/>
  <c r="I65" i="39" s="1"/>
  <c r="E66" i="39"/>
  <c r="I66" i="39" s="1"/>
  <c r="E67" i="39"/>
  <c r="E68" i="39"/>
  <c r="I68" i="39" s="1"/>
  <c r="E69" i="39"/>
  <c r="I69" i="39" s="1"/>
  <c r="E70" i="39"/>
  <c r="I70" i="39" s="1"/>
  <c r="E71" i="39"/>
  <c r="I71" i="39" s="1"/>
  <c r="E72" i="39"/>
  <c r="I72" i="39" s="1"/>
  <c r="E73" i="39"/>
  <c r="I73" i="39" s="1"/>
  <c r="E74" i="39"/>
  <c r="I74" i="39" s="1"/>
  <c r="E75" i="39"/>
  <c r="I75" i="39" s="1"/>
  <c r="E76" i="39"/>
  <c r="I76" i="39" s="1"/>
  <c r="E77" i="39"/>
  <c r="I77" i="39" s="1"/>
  <c r="E78" i="39"/>
  <c r="I78" i="39" s="1"/>
  <c r="E79" i="39"/>
  <c r="I79" i="39" s="1"/>
  <c r="E80" i="39"/>
  <c r="I80" i="39" s="1"/>
  <c r="E81" i="39"/>
  <c r="I81" i="39" s="1"/>
  <c r="E82" i="39"/>
  <c r="I82" i="39" s="1"/>
  <c r="E83" i="39"/>
  <c r="I83" i="39" s="1"/>
  <c r="E84" i="39"/>
  <c r="I84" i="39" s="1"/>
  <c r="E85" i="39"/>
  <c r="I85" i="39" s="1"/>
  <c r="E86" i="39"/>
  <c r="I86" i="39" s="1"/>
  <c r="E87" i="39"/>
  <c r="I87" i="39" s="1"/>
  <c r="E88" i="39"/>
  <c r="I88" i="39" s="1"/>
  <c r="E89" i="39"/>
  <c r="I89" i="39" s="1"/>
  <c r="E90" i="39"/>
  <c r="I90" i="39" s="1"/>
  <c r="E91" i="39"/>
  <c r="I91" i="39" s="1"/>
  <c r="E92" i="39"/>
  <c r="I92" i="39" s="1"/>
  <c r="E93" i="39"/>
  <c r="I93" i="39" s="1"/>
  <c r="E94" i="39"/>
  <c r="I94" i="39" s="1"/>
  <c r="E95" i="39"/>
  <c r="I95" i="39" s="1"/>
  <c r="E96" i="39"/>
  <c r="I96" i="39" s="1"/>
  <c r="E97" i="39"/>
  <c r="I97" i="39" s="1"/>
  <c r="E98" i="39"/>
  <c r="I98" i="39" s="1"/>
  <c r="E99" i="39"/>
  <c r="I99" i="39" s="1"/>
  <c r="E100" i="39"/>
  <c r="I100" i="39" s="1"/>
  <c r="E101" i="39"/>
  <c r="I101" i="39" s="1"/>
  <c r="E102" i="39"/>
  <c r="I102" i="39" s="1"/>
  <c r="E103" i="39"/>
  <c r="I103" i="39" s="1"/>
  <c r="E104" i="39"/>
  <c r="I104" i="39" s="1"/>
  <c r="E105" i="39"/>
  <c r="I105" i="39" s="1"/>
  <c r="E106" i="39"/>
  <c r="I106" i="39" s="1"/>
  <c r="E107" i="39"/>
  <c r="I107" i="39" s="1"/>
  <c r="E108" i="39"/>
  <c r="I108" i="39" s="1"/>
  <c r="E109" i="39"/>
  <c r="I109" i="39" s="1"/>
  <c r="E110" i="39"/>
  <c r="I110" i="39" s="1"/>
  <c r="E111" i="39"/>
  <c r="I111" i="39" s="1"/>
  <c r="E112" i="39"/>
  <c r="I112" i="39" s="1"/>
  <c r="E113" i="39"/>
  <c r="I113" i="39" s="1"/>
  <c r="E114" i="39"/>
  <c r="I114" i="39" s="1"/>
  <c r="E115" i="39"/>
  <c r="E116" i="39"/>
  <c r="I116" i="39" s="1"/>
  <c r="E117" i="39"/>
  <c r="I117" i="39" s="1"/>
  <c r="E118" i="39"/>
  <c r="I118" i="39" s="1"/>
  <c r="E119" i="39"/>
  <c r="I119" i="39" s="1"/>
  <c r="E120" i="39"/>
  <c r="I120" i="39" s="1"/>
  <c r="E121" i="39"/>
  <c r="I121" i="39" s="1"/>
  <c r="E122" i="39"/>
  <c r="I122" i="39" s="1"/>
  <c r="E123" i="39"/>
  <c r="I123" i="39" s="1"/>
  <c r="E124" i="39"/>
  <c r="I124" i="39" s="1"/>
  <c r="E125" i="39"/>
  <c r="I125" i="39" s="1"/>
  <c r="E126" i="39"/>
  <c r="I126" i="39" s="1"/>
  <c r="E127" i="39"/>
  <c r="I127" i="39" s="1"/>
  <c r="E128" i="39"/>
  <c r="I128" i="39" s="1"/>
  <c r="E129" i="39"/>
  <c r="I129" i="39" s="1"/>
  <c r="E130" i="39"/>
  <c r="I130" i="39" s="1"/>
  <c r="E131" i="39"/>
  <c r="I131" i="39" s="1"/>
  <c r="E132" i="39"/>
  <c r="I132" i="39" s="1"/>
  <c r="E133" i="39"/>
  <c r="I133" i="39" s="1"/>
  <c r="E134" i="39"/>
  <c r="I134" i="39" s="1"/>
  <c r="E135" i="39"/>
  <c r="I135" i="39" s="1"/>
  <c r="E136" i="39"/>
  <c r="I136" i="39" s="1"/>
  <c r="E137" i="39"/>
  <c r="I137" i="39" s="1"/>
  <c r="E138" i="39"/>
  <c r="I138" i="39" s="1"/>
  <c r="E139" i="39"/>
  <c r="I139" i="39" s="1"/>
  <c r="E140" i="39"/>
  <c r="I140" i="39" s="1"/>
  <c r="E141" i="39"/>
  <c r="I141" i="39" s="1"/>
  <c r="E142" i="39"/>
  <c r="I142" i="39" s="1"/>
  <c r="E143" i="39"/>
  <c r="I143" i="39" s="1"/>
  <c r="E144" i="39"/>
  <c r="I144" i="39" s="1"/>
  <c r="E145" i="39"/>
  <c r="I145" i="39" s="1"/>
  <c r="E146" i="39"/>
  <c r="I146" i="39" s="1"/>
  <c r="E147" i="39"/>
  <c r="I147" i="39" s="1"/>
  <c r="E148" i="39"/>
  <c r="I148" i="39" s="1"/>
  <c r="E149" i="39"/>
  <c r="I149" i="39" s="1"/>
  <c r="E150" i="39"/>
  <c r="I150" i="39" s="1"/>
  <c r="E151" i="39"/>
  <c r="I151" i="39" s="1"/>
  <c r="E152" i="39"/>
  <c r="I152" i="39" s="1"/>
  <c r="E153" i="39"/>
  <c r="I153" i="39" s="1"/>
  <c r="E154" i="39"/>
  <c r="I154" i="39" s="1"/>
  <c r="E155" i="39"/>
  <c r="I155" i="39" s="1"/>
  <c r="E156" i="39"/>
  <c r="I156" i="39" s="1"/>
  <c r="E157" i="39"/>
  <c r="I157" i="39" s="1"/>
  <c r="E158" i="39"/>
  <c r="I158" i="39" s="1"/>
  <c r="E159" i="39"/>
  <c r="I159" i="39" s="1"/>
  <c r="E160" i="39"/>
  <c r="I160" i="39" s="1"/>
  <c r="E161" i="39"/>
  <c r="I161" i="39" s="1"/>
  <c r="E162" i="39"/>
  <c r="I162" i="39" s="1"/>
  <c r="E163" i="39"/>
  <c r="I163" i="39" s="1"/>
  <c r="E164" i="39"/>
  <c r="I164" i="39" s="1"/>
  <c r="E165" i="39"/>
  <c r="I165" i="39" s="1"/>
  <c r="E166" i="39"/>
  <c r="I166" i="39" s="1"/>
  <c r="E167" i="39"/>
  <c r="I167" i="39" s="1"/>
  <c r="E168" i="39"/>
  <c r="I168" i="39" s="1"/>
  <c r="E169" i="39"/>
  <c r="I169" i="39" s="1"/>
  <c r="E170" i="39"/>
  <c r="I170" i="39" s="1"/>
  <c r="E171" i="39"/>
  <c r="E172" i="39"/>
  <c r="I172" i="39" s="1"/>
  <c r="E173" i="39"/>
  <c r="I173" i="39" s="1"/>
  <c r="E174" i="39"/>
  <c r="I174" i="39" s="1"/>
  <c r="E175" i="39"/>
  <c r="I175" i="39" s="1"/>
  <c r="E176" i="39"/>
  <c r="I176" i="39" s="1"/>
  <c r="E177" i="39"/>
  <c r="I177" i="39" s="1"/>
  <c r="E178" i="39"/>
  <c r="I178" i="39" s="1"/>
  <c r="E179" i="39"/>
  <c r="I179" i="39" s="1"/>
  <c r="E180" i="39"/>
  <c r="I180" i="39" s="1"/>
  <c r="E181" i="39"/>
  <c r="I181" i="39" s="1"/>
  <c r="E182" i="39"/>
  <c r="I182" i="39" s="1"/>
  <c r="E183" i="39"/>
  <c r="I183" i="39" s="1"/>
  <c r="E184" i="39"/>
  <c r="I184" i="39" s="1"/>
  <c r="E185" i="39"/>
  <c r="I185" i="39" s="1"/>
  <c r="E186" i="39"/>
  <c r="I186" i="39" s="1"/>
  <c r="E187" i="39"/>
  <c r="I187" i="39" s="1"/>
  <c r="E188" i="39"/>
  <c r="I188" i="39" s="1"/>
  <c r="E189" i="39"/>
  <c r="I189" i="39" s="1"/>
  <c r="E190" i="39"/>
  <c r="I190" i="39" s="1"/>
  <c r="E191" i="39"/>
  <c r="I191" i="39" s="1"/>
  <c r="E192" i="39"/>
  <c r="I192" i="39" s="1"/>
  <c r="E193" i="39"/>
  <c r="I193" i="39" s="1"/>
  <c r="E194" i="39"/>
  <c r="I194" i="39" s="1"/>
  <c r="E195" i="39"/>
  <c r="I195" i="39" s="1"/>
  <c r="E196" i="39"/>
  <c r="I196" i="39" s="1"/>
  <c r="E197" i="39"/>
  <c r="I197" i="39" s="1"/>
  <c r="E198" i="39"/>
  <c r="I198" i="39" s="1"/>
  <c r="E199" i="39"/>
  <c r="I199" i="39" s="1"/>
  <c r="E200" i="39"/>
  <c r="I200" i="39" s="1"/>
  <c r="E201" i="39"/>
  <c r="I201" i="39" s="1"/>
  <c r="E202" i="39"/>
  <c r="I202" i="39" s="1"/>
  <c r="E203" i="39"/>
  <c r="I203" i="39" s="1"/>
  <c r="E204" i="39"/>
  <c r="I204" i="39" s="1"/>
  <c r="E205" i="39"/>
  <c r="E206" i="39"/>
  <c r="I206" i="39" s="1"/>
  <c r="E207" i="39"/>
  <c r="I207" i="39" s="1"/>
  <c r="E208" i="39"/>
  <c r="I208" i="39" s="1"/>
  <c r="E209" i="39"/>
  <c r="I209" i="39" s="1"/>
  <c r="E210" i="39"/>
  <c r="I210" i="39" s="1"/>
  <c r="E211" i="39"/>
  <c r="I211" i="39" s="1"/>
  <c r="E212" i="39"/>
  <c r="I212" i="39" s="1"/>
  <c r="E213" i="39"/>
  <c r="I213" i="39" s="1"/>
  <c r="E214" i="39"/>
  <c r="I214" i="39" s="1"/>
  <c r="E215" i="39"/>
  <c r="I215" i="39" s="1"/>
  <c r="E216" i="39"/>
  <c r="I216" i="39" s="1"/>
  <c r="E217" i="39"/>
  <c r="I217" i="39" s="1"/>
  <c r="E218" i="39"/>
  <c r="I218" i="39" s="1"/>
  <c r="E219" i="39"/>
  <c r="I219" i="39" s="1"/>
  <c r="E220" i="39"/>
  <c r="I220" i="39" s="1"/>
  <c r="E221" i="39"/>
  <c r="I221" i="39" s="1"/>
  <c r="E222" i="39"/>
  <c r="I222" i="39" s="1"/>
  <c r="E223" i="39"/>
  <c r="I223" i="39" s="1"/>
  <c r="E224" i="39"/>
  <c r="I224" i="39" s="1"/>
  <c r="E225" i="39"/>
  <c r="I225" i="39" s="1"/>
  <c r="E226" i="39"/>
  <c r="I226" i="39" s="1"/>
  <c r="E227" i="39"/>
  <c r="I227" i="39" s="1"/>
  <c r="E228" i="39"/>
  <c r="I228" i="39" s="1"/>
  <c r="E229" i="39"/>
  <c r="I229" i="39" s="1"/>
  <c r="E230" i="39"/>
  <c r="I230" i="39" s="1"/>
  <c r="E231" i="39"/>
  <c r="I231" i="39" s="1"/>
  <c r="E232" i="39"/>
  <c r="I232" i="39" s="1"/>
  <c r="E233" i="39"/>
  <c r="I233" i="39" s="1"/>
  <c r="E234" i="39"/>
  <c r="I234" i="39" s="1"/>
  <c r="E235" i="39"/>
  <c r="I235" i="39" s="1"/>
  <c r="E236" i="39"/>
  <c r="I236" i="39" s="1"/>
  <c r="E237" i="39"/>
  <c r="I237" i="39" s="1"/>
  <c r="E238" i="39"/>
  <c r="I238" i="39" s="1"/>
  <c r="E239" i="39"/>
  <c r="I239" i="39" s="1"/>
  <c r="E240" i="39"/>
  <c r="I240" i="39" s="1"/>
  <c r="E241" i="39"/>
  <c r="I241" i="39" s="1"/>
  <c r="E242" i="39"/>
  <c r="I242" i="39" s="1"/>
  <c r="E243" i="39"/>
  <c r="I243" i="39" s="1"/>
  <c r="E244" i="39"/>
  <c r="I244" i="39" s="1"/>
  <c r="E245" i="39"/>
  <c r="I245" i="39" s="1"/>
  <c r="E246" i="39"/>
  <c r="E247" i="39"/>
  <c r="I247" i="39" s="1"/>
  <c r="E248" i="39"/>
  <c r="I248" i="39" s="1"/>
  <c r="E249" i="39"/>
  <c r="I249" i="39" s="1"/>
  <c r="E250" i="39"/>
  <c r="I250" i="39" s="1"/>
  <c r="E251" i="39"/>
  <c r="I251" i="39" s="1"/>
  <c r="E252" i="39"/>
  <c r="I252" i="39" s="1"/>
  <c r="E253" i="39"/>
  <c r="I253" i="39" s="1"/>
  <c r="E254" i="39"/>
  <c r="I254" i="39" s="1"/>
  <c r="E255" i="39"/>
  <c r="I255" i="39" s="1"/>
  <c r="E256" i="39"/>
  <c r="I256" i="39" s="1"/>
  <c r="E257" i="39"/>
  <c r="I257" i="39" s="1"/>
  <c r="E258" i="39"/>
  <c r="I258" i="39" s="1"/>
  <c r="E259" i="39"/>
  <c r="I259" i="39" s="1"/>
  <c r="E260" i="39"/>
  <c r="I260" i="39" s="1"/>
  <c r="E261" i="39"/>
  <c r="I261" i="39" s="1"/>
  <c r="E262" i="39"/>
  <c r="I262" i="39" s="1"/>
  <c r="E263" i="39"/>
  <c r="I263" i="39" s="1"/>
  <c r="E264" i="39"/>
  <c r="I264" i="39" s="1"/>
  <c r="E265" i="39"/>
  <c r="I265" i="39" s="1"/>
  <c r="E266" i="39"/>
  <c r="I266" i="39" s="1"/>
  <c r="E267" i="39"/>
  <c r="I267" i="39" s="1"/>
  <c r="E268" i="39"/>
  <c r="I268" i="39" s="1"/>
  <c r="E269" i="39"/>
  <c r="I269" i="39" s="1"/>
  <c r="E270" i="39"/>
  <c r="E271" i="39"/>
  <c r="I271" i="39" s="1"/>
  <c r="E272" i="39"/>
  <c r="I272" i="39" s="1"/>
  <c r="E273" i="39"/>
  <c r="I273" i="39" s="1"/>
  <c r="E274" i="39"/>
  <c r="I274" i="39" s="1"/>
  <c r="E275" i="39"/>
  <c r="I275" i="39" s="1"/>
  <c r="E276" i="39"/>
  <c r="I276" i="39" s="1"/>
  <c r="E277" i="39"/>
  <c r="I277" i="39" s="1"/>
  <c r="E278" i="39"/>
  <c r="I278" i="39" s="1"/>
  <c r="E279" i="39"/>
  <c r="I279" i="39" s="1"/>
  <c r="E280" i="39"/>
  <c r="I280" i="39" s="1"/>
  <c r="E281" i="39"/>
  <c r="I281" i="39" s="1"/>
  <c r="E282" i="39"/>
  <c r="I282" i="39" s="1"/>
  <c r="E283" i="39"/>
  <c r="I283" i="39" s="1"/>
  <c r="E284" i="39"/>
  <c r="I284" i="39" s="1"/>
  <c r="E285" i="39"/>
  <c r="I285" i="39" s="1"/>
  <c r="E286" i="39"/>
  <c r="I286" i="39" s="1"/>
  <c r="E287" i="39"/>
  <c r="I287" i="39" s="1"/>
  <c r="E288" i="39"/>
  <c r="I288" i="39" s="1"/>
  <c r="E289" i="39"/>
  <c r="I289" i="39" s="1"/>
  <c r="E290" i="39"/>
  <c r="I290" i="39" s="1"/>
  <c r="E291" i="39"/>
  <c r="I291" i="39" s="1"/>
  <c r="E292" i="39"/>
  <c r="I292" i="39" s="1"/>
  <c r="E293" i="39"/>
  <c r="I293" i="39" s="1"/>
  <c r="E294" i="39"/>
  <c r="I294" i="39" s="1"/>
  <c r="E295" i="39"/>
  <c r="I295" i="39" s="1"/>
  <c r="E296" i="39"/>
  <c r="I296" i="39" s="1"/>
  <c r="E297" i="39"/>
  <c r="I297" i="39" s="1"/>
  <c r="E298" i="39"/>
  <c r="I298" i="39" s="1"/>
  <c r="E299" i="39"/>
  <c r="I299" i="39" s="1"/>
  <c r="E300" i="39"/>
  <c r="I300" i="39" s="1"/>
  <c r="E301" i="39"/>
  <c r="I301" i="39" s="1"/>
  <c r="E302" i="39"/>
  <c r="I302" i="39" s="1"/>
  <c r="E303" i="39"/>
  <c r="I303" i="39" s="1"/>
  <c r="E304" i="39"/>
  <c r="I304" i="39" s="1"/>
  <c r="E305" i="39"/>
  <c r="I305" i="39" s="1"/>
  <c r="E306" i="39"/>
  <c r="I306" i="39" s="1"/>
  <c r="E307" i="39"/>
  <c r="I307" i="39" s="1"/>
  <c r="E308" i="39"/>
  <c r="I308" i="39" s="1"/>
  <c r="E309" i="39"/>
  <c r="I309" i="39" s="1"/>
  <c r="E310" i="39"/>
  <c r="E311" i="39"/>
  <c r="I311" i="39" s="1"/>
  <c r="E312" i="39"/>
  <c r="I312" i="39" s="1"/>
  <c r="E313" i="39"/>
  <c r="I313" i="39" s="1"/>
  <c r="E314" i="39"/>
  <c r="I314" i="39" s="1"/>
  <c r="E315" i="39"/>
  <c r="I315" i="39" s="1"/>
  <c r="E316" i="39"/>
  <c r="I316" i="39" s="1"/>
  <c r="E317" i="39"/>
  <c r="I317" i="39" s="1"/>
  <c r="E318" i="39"/>
  <c r="I318" i="39" s="1"/>
  <c r="E319" i="39"/>
  <c r="I319" i="39" s="1"/>
  <c r="E320" i="39"/>
  <c r="I320" i="39" s="1"/>
  <c r="E321" i="39"/>
  <c r="I321" i="39" s="1"/>
  <c r="E322" i="39"/>
  <c r="I322" i="39" s="1"/>
  <c r="E323" i="39"/>
  <c r="I323" i="39" s="1"/>
  <c r="E324" i="39"/>
  <c r="I324" i="39" s="1"/>
  <c r="E325" i="39"/>
  <c r="I325" i="39" s="1"/>
  <c r="E326" i="39"/>
  <c r="I326" i="39" s="1"/>
  <c r="E327" i="39"/>
  <c r="I327" i="39" s="1"/>
  <c r="E328" i="39"/>
  <c r="I328" i="39" s="1"/>
  <c r="E329" i="39"/>
  <c r="I329" i="39" s="1"/>
  <c r="E330" i="39"/>
  <c r="I330" i="39" s="1"/>
  <c r="E331" i="39"/>
  <c r="I331" i="39" s="1"/>
  <c r="E332" i="39"/>
  <c r="I332" i="39" s="1"/>
  <c r="E333" i="39"/>
  <c r="E334" i="39"/>
  <c r="E335" i="39"/>
  <c r="I335" i="39" s="1"/>
  <c r="E336" i="39"/>
  <c r="I336" i="39" s="1"/>
  <c r="E337" i="39"/>
  <c r="I337" i="39" s="1"/>
  <c r="E338" i="39"/>
  <c r="I338" i="39" s="1"/>
  <c r="E339" i="39"/>
  <c r="I339" i="39" s="1"/>
  <c r="E340" i="39"/>
  <c r="I340" i="39" s="1"/>
  <c r="E341" i="39"/>
  <c r="I341" i="39" s="1"/>
  <c r="E342" i="39"/>
  <c r="I342" i="39" s="1"/>
  <c r="E343" i="39"/>
  <c r="I343" i="39" s="1"/>
  <c r="E344" i="39"/>
  <c r="I344" i="39" s="1"/>
  <c r="E345" i="39"/>
  <c r="I345" i="39" s="1"/>
  <c r="E346" i="39"/>
  <c r="I346" i="39" s="1"/>
  <c r="E347" i="39"/>
  <c r="I347" i="39" s="1"/>
  <c r="E348" i="39"/>
  <c r="I348" i="39" s="1"/>
  <c r="E349" i="39"/>
  <c r="I349" i="39" s="1"/>
  <c r="E350" i="39"/>
  <c r="I350" i="39" s="1"/>
  <c r="E351" i="39"/>
  <c r="I351" i="39" s="1"/>
  <c r="E352" i="39"/>
  <c r="I352" i="39" s="1"/>
  <c r="E353" i="39"/>
  <c r="I353" i="39" s="1"/>
  <c r="E354" i="39"/>
  <c r="I354" i="39" s="1"/>
  <c r="E355" i="39"/>
  <c r="I355" i="39" s="1"/>
  <c r="E356" i="39"/>
  <c r="I356" i="39" s="1"/>
  <c r="E357" i="39"/>
  <c r="I357" i="39" s="1"/>
  <c r="E358" i="39"/>
  <c r="I358" i="39" s="1"/>
  <c r="E359" i="39"/>
  <c r="I359" i="39" s="1"/>
  <c r="E360" i="39"/>
  <c r="I360" i="39" s="1"/>
  <c r="E361" i="39"/>
  <c r="I361" i="39" s="1"/>
  <c r="E362" i="39"/>
  <c r="I362" i="39" s="1"/>
  <c r="E363" i="39"/>
  <c r="I363" i="39" s="1"/>
  <c r="E364" i="39"/>
  <c r="I364" i="39" s="1"/>
  <c r="E365" i="39"/>
  <c r="I365" i="39" s="1"/>
  <c r="E366" i="39"/>
  <c r="I366" i="39" s="1"/>
  <c r="E367" i="39"/>
  <c r="I367" i="39" s="1"/>
  <c r="E368" i="39"/>
  <c r="I368" i="39" s="1"/>
  <c r="E369" i="39"/>
  <c r="I369" i="39" s="1"/>
  <c r="E370" i="39"/>
  <c r="I370" i="39" s="1"/>
  <c r="E371" i="39"/>
  <c r="I371" i="39" s="1"/>
  <c r="E372" i="39"/>
  <c r="I372" i="39" s="1"/>
  <c r="E373" i="39"/>
  <c r="I373" i="39" s="1"/>
  <c r="E374" i="39"/>
  <c r="I374" i="39" s="1"/>
  <c r="E375" i="39"/>
  <c r="I375" i="39" s="1"/>
  <c r="E376" i="39"/>
  <c r="I376" i="39" s="1"/>
  <c r="E377" i="39"/>
  <c r="I377" i="39" s="1"/>
  <c r="E378" i="39"/>
  <c r="I378" i="39" s="1"/>
  <c r="E379" i="39"/>
  <c r="I379" i="39" s="1"/>
  <c r="E380" i="39"/>
  <c r="I380" i="39" s="1"/>
  <c r="E381" i="39"/>
  <c r="I381" i="39" s="1"/>
  <c r="E382" i="39"/>
  <c r="I382" i="39" s="1"/>
  <c r="E383" i="39"/>
  <c r="I383" i="39" s="1"/>
  <c r="E384" i="39"/>
  <c r="I384" i="39" s="1"/>
  <c r="E385" i="39"/>
  <c r="I385" i="39" s="1"/>
  <c r="E386" i="39"/>
  <c r="I386" i="39" s="1"/>
  <c r="E387" i="39"/>
  <c r="I387" i="39" s="1"/>
  <c r="E388" i="39"/>
  <c r="I388" i="39" s="1"/>
  <c r="E389" i="39"/>
  <c r="I389" i="39" s="1"/>
  <c r="E390" i="39"/>
  <c r="I390" i="39" s="1"/>
  <c r="E391" i="39"/>
  <c r="I391" i="39" s="1"/>
  <c r="E392" i="39"/>
  <c r="I392" i="39" s="1"/>
  <c r="E393" i="39"/>
  <c r="I393" i="39" s="1"/>
  <c r="E394" i="39"/>
  <c r="I394" i="39" s="1"/>
  <c r="E395" i="39"/>
  <c r="I395" i="39" s="1"/>
  <c r="E396" i="39"/>
  <c r="I396" i="39" s="1"/>
  <c r="E397" i="39"/>
  <c r="E398" i="39"/>
  <c r="I398" i="39" s="1"/>
  <c r="E399" i="39"/>
  <c r="I399" i="39" s="1"/>
  <c r="E400" i="39"/>
  <c r="I400" i="39" s="1"/>
  <c r="E401" i="39"/>
  <c r="I401" i="39" s="1"/>
  <c r="E402" i="39"/>
  <c r="I402" i="39" s="1"/>
  <c r="E403" i="39"/>
  <c r="I403" i="39" s="1"/>
  <c r="E404" i="39"/>
  <c r="I404" i="39" s="1"/>
  <c r="E405" i="39"/>
  <c r="I405" i="39" s="1"/>
  <c r="E406" i="39"/>
  <c r="I406" i="39" s="1"/>
  <c r="E407" i="39"/>
  <c r="I407" i="39" s="1"/>
  <c r="E408" i="39"/>
  <c r="I408" i="39" s="1"/>
  <c r="E409" i="39"/>
  <c r="I409" i="39" s="1"/>
  <c r="E410" i="39"/>
  <c r="I410" i="39" s="1"/>
  <c r="E411" i="39"/>
  <c r="I411" i="39" s="1"/>
  <c r="E412" i="39"/>
  <c r="I412" i="39" s="1"/>
  <c r="E413" i="39"/>
  <c r="I413" i="39" s="1"/>
  <c r="E414" i="39"/>
  <c r="I414" i="39" s="1"/>
  <c r="E415" i="39"/>
  <c r="I415" i="39" s="1"/>
  <c r="E416" i="39"/>
  <c r="I416" i="39" s="1"/>
  <c r="E417" i="39"/>
  <c r="I417" i="39" s="1"/>
  <c r="E418" i="39"/>
  <c r="I418" i="39" s="1"/>
  <c r="E419" i="39"/>
  <c r="I419" i="39" s="1"/>
  <c r="E420" i="39"/>
  <c r="E421" i="39"/>
  <c r="I421" i="39" s="1"/>
  <c r="E422" i="39"/>
  <c r="I422" i="39" s="1"/>
  <c r="E423" i="39"/>
  <c r="I423" i="39" s="1"/>
  <c r="E424" i="39"/>
  <c r="I424" i="39" s="1"/>
  <c r="E425" i="39"/>
  <c r="I425" i="39" s="1"/>
  <c r="E426" i="39"/>
  <c r="I426" i="39" s="1"/>
  <c r="E427" i="39"/>
  <c r="I427" i="39" s="1"/>
  <c r="E428" i="39"/>
  <c r="I428" i="39" s="1"/>
  <c r="E429" i="39"/>
  <c r="I429" i="39" s="1"/>
  <c r="E430" i="39"/>
  <c r="I430" i="39" s="1"/>
  <c r="E431" i="39"/>
  <c r="I431" i="39" s="1"/>
  <c r="E432" i="39"/>
  <c r="I432" i="39" s="1"/>
  <c r="E433" i="39"/>
  <c r="I433" i="39" s="1"/>
  <c r="E434" i="39"/>
  <c r="I434" i="39" s="1"/>
  <c r="E435" i="39"/>
  <c r="I435" i="39" s="1"/>
  <c r="E436" i="39"/>
  <c r="I436" i="39" s="1"/>
  <c r="E437" i="39"/>
  <c r="I437" i="39" s="1"/>
  <c r="E438" i="39"/>
  <c r="I438" i="39" s="1"/>
  <c r="E439" i="39"/>
  <c r="I439" i="39" s="1"/>
  <c r="E440" i="39"/>
  <c r="I440" i="39" s="1"/>
  <c r="E441" i="39"/>
  <c r="I441" i="39" s="1"/>
  <c r="E442" i="39"/>
  <c r="I442" i="39" s="1"/>
  <c r="E443" i="39"/>
  <c r="I443" i="39" s="1"/>
  <c r="E444" i="39"/>
  <c r="I444" i="39" s="1"/>
  <c r="E445" i="39"/>
  <c r="I445" i="39" s="1"/>
  <c r="E446" i="39"/>
  <c r="I446" i="39" s="1"/>
  <c r="E447" i="39"/>
  <c r="I447" i="39" s="1"/>
  <c r="E448" i="39"/>
  <c r="I448" i="39" s="1"/>
  <c r="E449" i="39"/>
  <c r="I449" i="39" s="1"/>
  <c r="E450" i="39"/>
  <c r="I450" i="39" s="1"/>
  <c r="E451" i="39"/>
  <c r="I451" i="39" s="1"/>
  <c r="E452" i="39"/>
  <c r="I452" i="39" s="1"/>
  <c r="E453" i="39"/>
  <c r="I453" i="39" s="1"/>
  <c r="E454" i="39"/>
  <c r="I454" i="39" s="1"/>
  <c r="E455" i="39"/>
  <c r="I455" i="39" s="1"/>
  <c r="E456" i="39"/>
  <c r="I456" i="39" s="1"/>
  <c r="E457" i="39"/>
  <c r="I457" i="39" s="1"/>
  <c r="E458" i="39"/>
  <c r="I458" i="39" s="1"/>
  <c r="E459" i="39"/>
  <c r="I459" i="39" s="1"/>
  <c r="E460" i="39"/>
  <c r="I460" i="39" s="1"/>
  <c r="E461" i="39"/>
  <c r="I461" i="39" s="1"/>
  <c r="E462" i="39"/>
  <c r="I462" i="39" s="1"/>
  <c r="E463" i="39"/>
  <c r="I463" i="39" s="1"/>
  <c r="E464" i="39"/>
  <c r="I464" i="39" s="1"/>
  <c r="E465" i="39"/>
  <c r="I465" i="39" s="1"/>
  <c r="E466" i="39"/>
  <c r="I466" i="39" s="1"/>
  <c r="E467" i="39"/>
  <c r="I467" i="39" s="1"/>
  <c r="E468" i="39"/>
  <c r="I468" i="39" s="1"/>
  <c r="E469" i="39"/>
  <c r="I469" i="39" s="1"/>
  <c r="E470" i="39"/>
  <c r="I470" i="39" s="1"/>
  <c r="E471" i="39"/>
  <c r="I471" i="39" s="1"/>
  <c r="E472" i="39"/>
  <c r="I472" i="39" s="1"/>
  <c r="E473" i="39"/>
  <c r="I473" i="39" s="1"/>
  <c r="E474" i="39"/>
  <c r="I474" i="39" s="1"/>
  <c r="E475" i="39"/>
  <c r="I475" i="39" s="1"/>
  <c r="E476" i="39"/>
  <c r="I476" i="39" s="1"/>
  <c r="E477" i="39"/>
  <c r="I477" i="39" s="1"/>
  <c r="E478" i="39"/>
  <c r="I478" i="39" s="1"/>
  <c r="E479" i="39"/>
  <c r="I479" i="39" s="1"/>
  <c r="E480" i="39"/>
  <c r="I480" i="39" s="1"/>
  <c r="E481" i="39"/>
  <c r="I481" i="39" s="1"/>
  <c r="E482" i="39"/>
  <c r="I482" i="39" s="1"/>
  <c r="E483" i="39"/>
  <c r="I483" i="39" s="1"/>
  <c r="E484" i="39"/>
  <c r="E485" i="39"/>
  <c r="I485" i="39" s="1"/>
  <c r="E486" i="39"/>
  <c r="I486" i="39" s="1"/>
  <c r="E487" i="39"/>
  <c r="I487" i="39" s="1"/>
  <c r="E488" i="39"/>
  <c r="I488" i="39" s="1"/>
  <c r="E489" i="39"/>
  <c r="I489" i="39" s="1"/>
  <c r="E490" i="39"/>
  <c r="I490" i="39" s="1"/>
  <c r="E491" i="39"/>
  <c r="I491" i="39" s="1"/>
  <c r="E492" i="39"/>
  <c r="I492" i="39" s="1"/>
  <c r="E493" i="39"/>
  <c r="I493" i="39" s="1"/>
  <c r="E494" i="39"/>
  <c r="I494" i="39" s="1"/>
  <c r="E495" i="39"/>
  <c r="I495" i="39" s="1"/>
  <c r="E496" i="39"/>
  <c r="I496" i="39" s="1"/>
  <c r="E497" i="39"/>
  <c r="I497" i="39" s="1"/>
  <c r="E498" i="39"/>
  <c r="I498" i="39" s="1"/>
  <c r="E499" i="39"/>
  <c r="I499" i="39" s="1"/>
  <c r="E500" i="39"/>
  <c r="I500" i="39" s="1"/>
  <c r="E501" i="39"/>
  <c r="I501" i="39" s="1"/>
  <c r="G2" i="39"/>
  <c r="G3" i="39"/>
  <c r="G4" i="39"/>
  <c r="G5" i="39"/>
  <c r="G6" i="39"/>
  <c r="G7" i="39"/>
  <c r="G8" i="39"/>
  <c r="G9" i="39"/>
  <c r="G10" i="39"/>
  <c r="G11" i="39"/>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H2" i="39"/>
  <c r="H3" i="39"/>
  <c r="H4" i="39"/>
  <c r="H5" i="39"/>
  <c r="H6" i="39"/>
  <c r="H7" i="39"/>
  <c r="J7" i="39" s="1"/>
  <c r="K7" i="39" s="1"/>
  <c r="H8" i="39"/>
  <c r="J8" i="39" s="1"/>
  <c r="H9" i="39"/>
  <c r="H10" i="39"/>
  <c r="H11" i="39"/>
  <c r="H12" i="39"/>
  <c r="H13" i="39"/>
  <c r="H14" i="39"/>
  <c r="H15" i="39"/>
  <c r="J15" i="39" s="1"/>
  <c r="K15" i="39" s="1"/>
  <c r="H16" i="39"/>
  <c r="J16" i="39" s="1"/>
  <c r="H17" i="39"/>
  <c r="H18" i="39"/>
  <c r="H19" i="39"/>
  <c r="H20" i="39"/>
  <c r="H21" i="39"/>
  <c r="H22" i="39"/>
  <c r="H23" i="39"/>
  <c r="J23" i="39" s="1"/>
  <c r="K23" i="39" s="1"/>
  <c r="H24" i="39"/>
  <c r="J24" i="39" s="1"/>
  <c r="H25" i="39"/>
  <c r="H26" i="39"/>
  <c r="H27" i="39"/>
  <c r="H28" i="39"/>
  <c r="H29" i="39"/>
  <c r="H30" i="39"/>
  <c r="H31" i="39"/>
  <c r="J31" i="39" s="1"/>
  <c r="K31" i="39" s="1"/>
  <c r="H32" i="39"/>
  <c r="J32" i="39" s="1"/>
  <c r="H33" i="39"/>
  <c r="H34" i="39"/>
  <c r="H35" i="39"/>
  <c r="H36" i="39"/>
  <c r="H37" i="39"/>
  <c r="H38" i="39"/>
  <c r="H39" i="39"/>
  <c r="H40" i="39"/>
  <c r="J40" i="39" s="1"/>
  <c r="H41" i="39"/>
  <c r="H42" i="39"/>
  <c r="H43" i="39"/>
  <c r="H44" i="39"/>
  <c r="H45" i="39"/>
  <c r="H46" i="39"/>
  <c r="H47" i="39"/>
  <c r="J47" i="39" s="1"/>
  <c r="K47" i="39" s="1"/>
  <c r="H48" i="39"/>
  <c r="J48" i="39" s="1"/>
  <c r="H49" i="39"/>
  <c r="H50" i="39"/>
  <c r="H51" i="39"/>
  <c r="H52" i="39"/>
  <c r="H53" i="39"/>
  <c r="H54" i="39"/>
  <c r="H55" i="39"/>
  <c r="H56" i="39"/>
  <c r="H57" i="39"/>
  <c r="H58" i="39"/>
  <c r="H59" i="39"/>
  <c r="H60" i="39"/>
  <c r="H61" i="39"/>
  <c r="H62" i="39"/>
  <c r="H63" i="39"/>
  <c r="J63" i="39" s="1"/>
  <c r="K63" i="39" s="1"/>
  <c r="H64" i="39"/>
  <c r="J64" i="39" s="1"/>
  <c r="H65" i="39"/>
  <c r="H66" i="39"/>
  <c r="H67" i="39"/>
  <c r="H68" i="39"/>
  <c r="H69" i="39"/>
  <c r="H70" i="39"/>
  <c r="H71" i="39"/>
  <c r="J71" i="39" s="1"/>
  <c r="K71" i="39" s="1"/>
  <c r="H72" i="39"/>
  <c r="J72" i="39" s="1"/>
  <c r="H73" i="39"/>
  <c r="H74" i="39"/>
  <c r="H75" i="39"/>
  <c r="H76" i="39"/>
  <c r="H77" i="39"/>
  <c r="H78" i="39"/>
  <c r="H79" i="39"/>
  <c r="J79" i="39" s="1"/>
  <c r="K79" i="39" s="1"/>
  <c r="H80" i="39"/>
  <c r="J80" i="39" s="1"/>
  <c r="H81" i="39"/>
  <c r="H82" i="39"/>
  <c r="H83" i="39"/>
  <c r="H84" i="39"/>
  <c r="H85" i="39"/>
  <c r="H86" i="39"/>
  <c r="H87" i="39"/>
  <c r="J87" i="39" s="1"/>
  <c r="K87" i="39" s="1"/>
  <c r="H88" i="39"/>
  <c r="J88" i="39" s="1"/>
  <c r="H89" i="39"/>
  <c r="H90" i="39"/>
  <c r="H91" i="39"/>
  <c r="H92" i="39"/>
  <c r="H93" i="39"/>
  <c r="H94" i="39"/>
  <c r="H95" i="39"/>
  <c r="J95" i="39" s="1"/>
  <c r="K95" i="39" s="1"/>
  <c r="H96" i="39"/>
  <c r="J96" i="39" s="1"/>
  <c r="H97" i="39"/>
  <c r="H98" i="39"/>
  <c r="H99" i="39"/>
  <c r="H100" i="39"/>
  <c r="H101" i="39"/>
  <c r="H102" i="39"/>
  <c r="H103" i="39"/>
  <c r="H104" i="39"/>
  <c r="J104" i="39" s="1"/>
  <c r="H105" i="39"/>
  <c r="H106" i="39"/>
  <c r="H107" i="39"/>
  <c r="H108" i="39"/>
  <c r="H109" i="39"/>
  <c r="H110" i="39"/>
  <c r="H111" i="39"/>
  <c r="J111" i="39" s="1"/>
  <c r="K111" i="39" s="1"/>
  <c r="H112" i="39"/>
  <c r="J112" i="39" s="1"/>
  <c r="H113" i="39"/>
  <c r="H114" i="39"/>
  <c r="H115" i="39"/>
  <c r="H116" i="39"/>
  <c r="H117" i="39"/>
  <c r="H118" i="39"/>
  <c r="H119" i="39"/>
  <c r="J119" i="39" s="1"/>
  <c r="K119" i="39" s="1"/>
  <c r="H120" i="39"/>
  <c r="J120" i="39" s="1"/>
  <c r="H121" i="39"/>
  <c r="H122" i="39"/>
  <c r="H123" i="39"/>
  <c r="H124" i="39"/>
  <c r="H125" i="39"/>
  <c r="H126" i="39"/>
  <c r="H127" i="39"/>
  <c r="J127" i="39" s="1"/>
  <c r="K127" i="39" s="1"/>
  <c r="H128" i="39"/>
  <c r="J128" i="39" s="1"/>
  <c r="H129" i="39"/>
  <c r="H130" i="39"/>
  <c r="H131" i="39"/>
  <c r="H132" i="39"/>
  <c r="H133" i="39"/>
  <c r="H134" i="39"/>
  <c r="H135" i="39"/>
  <c r="J135" i="39" s="1"/>
  <c r="K135" i="39" s="1"/>
  <c r="H136" i="39"/>
  <c r="H137" i="39"/>
  <c r="H138" i="39"/>
  <c r="H139" i="39"/>
  <c r="H140" i="39"/>
  <c r="H141" i="39"/>
  <c r="H142" i="39"/>
  <c r="H143" i="39"/>
  <c r="J143" i="39" s="1"/>
  <c r="K143" i="39" s="1"/>
  <c r="H144" i="39"/>
  <c r="J144" i="39" s="1"/>
  <c r="H145" i="39"/>
  <c r="H146" i="39"/>
  <c r="H147" i="39"/>
  <c r="H148" i="39"/>
  <c r="H149" i="39"/>
  <c r="H150" i="39"/>
  <c r="H151" i="39"/>
  <c r="J151" i="39" s="1"/>
  <c r="K151" i="39" s="1"/>
  <c r="H152" i="39"/>
  <c r="J152" i="39" s="1"/>
  <c r="H153" i="39"/>
  <c r="H154" i="39"/>
  <c r="H155" i="39"/>
  <c r="H156" i="39"/>
  <c r="H157" i="39"/>
  <c r="H158" i="39"/>
  <c r="H159" i="39"/>
  <c r="H160" i="39"/>
  <c r="J160" i="39" s="1"/>
  <c r="H161" i="39"/>
  <c r="H162" i="39"/>
  <c r="H163" i="39"/>
  <c r="H164" i="39"/>
  <c r="H165" i="39"/>
  <c r="H166" i="39"/>
  <c r="H167" i="39"/>
  <c r="H168" i="39"/>
  <c r="J168" i="39" s="1"/>
  <c r="H169" i="39"/>
  <c r="H170" i="39"/>
  <c r="H171" i="39"/>
  <c r="H172" i="39"/>
  <c r="H173" i="39"/>
  <c r="H174" i="39"/>
  <c r="H175" i="39"/>
  <c r="J175" i="39" s="1"/>
  <c r="K175" i="39" s="1"/>
  <c r="H176" i="39"/>
  <c r="J176" i="39" s="1"/>
  <c r="H177" i="39"/>
  <c r="H178" i="39"/>
  <c r="H179" i="39"/>
  <c r="H180" i="39"/>
  <c r="H181" i="39"/>
  <c r="H182" i="39"/>
  <c r="H183" i="39"/>
  <c r="J183" i="39" s="1"/>
  <c r="K183" i="39" s="1"/>
  <c r="H184" i="39"/>
  <c r="J184" i="39" s="1"/>
  <c r="H185" i="39"/>
  <c r="H186" i="39"/>
  <c r="H187" i="39"/>
  <c r="H188" i="39"/>
  <c r="H189" i="39"/>
  <c r="H190" i="39"/>
  <c r="H191" i="39"/>
  <c r="J191" i="39" s="1"/>
  <c r="K191" i="39" s="1"/>
  <c r="H192" i="39"/>
  <c r="J192" i="39" s="1"/>
  <c r="H193" i="39"/>
  <c r="H194" i="39"/>
  <c r="H195" i="39"/>
  <c r="H196" i="39"/>
  <c r="H197" i="39"/>
  <c r="H198" i="39"/>
  <c r="H199" i="39"/>
  <c r="J199" i="39" s="1"/>
  <c r="K199" i="39" s="1"/>
  <c r="H200" i="39"/>
  <c r="J200" i="39" s="1"/>
  <c r="H201" i="39"/>
  <c r="H202" i="39"/>
  <c r="H203" i="39"/>
  <c r="H204" i="39"/>
  <c r="H205" i="39"/>
  <c r="H206" i="39"/>
  <c r="H207" i="39"/>
  <c r="H208" i="39"/>
  <c r="J208" i="39" s="1"/>
  <c r="H209" i="39"/>
  <c r="H210" i="39"/>
  <c r="H211" i="39"/>
  <c r="H212" i="39"/>
  <c r="H213" i="39"/>
  <c r="H214" i="39"/>
  <c r="H215" i="39"/>
  <c r="J215" i="39" s="1"/>
  <c r="K215" i="39" s="1"/>
  <c r="H216" i="39"/>
  <c r="J216" i="39" s="1"/>
  <c r="H217" i="39"/>
  <c r="H218" i="39"/>
  <c r="H219" i="39"/>
  <c r="H220" i="39"/>
  <c r="H221" i="39"/>
  <c r="H222" i="39"/>
  <c r="H223" i="39"/>
  <c r="J223" i="39" s="1"/>
  <c r="K223" i="39" s="1"/>
  <c r="H224" i="39"/>
  <c r="J224" i="39" s="1"/>
  <c r="H225" i="39"/>
  <c r="H226" i="39"/>
  <c r="H227" i="39"/>
  <c r="H228" i="39"/>
  <c r="H229" i="39"/>
  <c r="H230" i="39"/>
  <c r="H231" i="39"/>
  <c r="J231" i="39" s="1"/>
  <c r="K231" i="39" s="1"/>
  <c r="H232" i="39"/>
  <c r="J232" i="39" s="1"/>
  <c r="H233" i="39"/>
  <c r="H234" i="39"/>
  <c r="H235" i="39"/>
  <c r="H236" i="39"/>
  <c r="H237" i="39"/>
  <c r="H238" i="39"/>
  <c r="H239" i="39"/>
  <c r="J239" i="39" s="1"/>
  <c r="K239" i="39" s="1"/>
  <c r="H240" i="39"/>
  <c r="J240" i="39" s="1"/>
  <c r="H241" i="39"/>
  <c r="H242" i="39"/>
  <c r="H243" i="39"/>
  <c r="H244" i="39"/>
  <c r="H245" i="39"/>
  <c r="H246" i="39"/>
  <c r="H247" i="39"/>
  <c r="J247" i="39" s="1"/>
  <c r="K247" i="39" s="1"/>
  <c r="H248" i="39"/>
  <c r="J248" i="39" s="1"/>
  <c r="H249" i="39"/>
  <c r="H250" i="39"/>
  <c r="H251" i="39"/>
  <c r="H252" i="39"/>
  <c r="H253" i="39"/>
  <c r="H254" i="39"/>
  <c r="H255" i="39"/>
  <c r="J255" i="39" s="1"/>
  <c r="K255" i="39" s="1"/>
  <c r="H256" i="39"/>
  <c r="J256" i="39" s="1"/>
  <c r="H257" i="39"/>
  <c r="H258" i="39"/>
  <c r="H259" i="39"/>
  <c r="H260" i="39"/>
  <c r="H261" i="39"/>
  <c r="H262" i="39"/>
  <c r="H263" i="39"/>
  <c r="J263" i="39" s="1"/>
  <c r="K263" i="39" s="1"/>
  <c r="H264" i="39"/>
  <c r="J264" i="39" s="1"/>
  <c r="H265" i="39"/>
  <c r="H266" i="39"/>
  <c r="H267" i="39"/>
  <c r="H268" i="39"/>
  <c r="H269" i="39"/>
  <c r="H270" i="39"/>
  <c r="H271" i="39"/>
  <c r="J271" i="39" s="1"/>
  <c r="K271" i="39" s="1"/>
  <c r="H272" i="39"/>
  <c r="J272" i="39" s="1"/>
  <c r="H273" i="39"/>
  <c r="H274" i="39"/>
  <c r="H275" i="39"/>
  <c r="H276" i="39"/>
  <c r="H277" i="39"/>
  <c r="H278" i="39"/>
  <c r="H279" i="39"/>
  <c r="J279" i="39" s="1"/>
  <c r="K279" i="39" s="1"/>
  <c r="H280" i="39"/>
  <c r="J280" i="39" s="1"/>
  <c r="H281" i="39"/>
  <c r="H282" i="39"/>
  <c r="H283" i="39"/>
  <c r="H284" i="39"/>
  <c r="H285" i="39"/>
  <c r="H286" i="39"/>
  <c r="H287" i="39"/>
  <c r="J287" i="39" s="1"/>
  <c r="K287" i="39" s="1"/>
  <c r="H288" i="39"/>
  <c r="J288" i="39" s="1"/>
  <c r="H289" i="39"/>
  <c r="H290" i="39"/>
  <c r="H291" i="39"/>
  <c r="H292" i="39"/>
  <c r="H293" i="39"/>
  <c r="H294" i="39"/>
  <c r="H295" i="39"/>
  <c r="H296" i="39"/>
  <c r="J296" i="39" s="1"/>
  <c r="H297" i="39"/>
  <c r="H298" i="39"/>
  <c r="H299" i="39"/>
  <c r="H300" i="39"/>
  <c r="H301" i="39"/>
  <c r="H302" i="39"/>
  <c r="H303" i="39"/>
  <c r="J303" i="39" s="1"/>
  <c r="K303" i="39" s="1"/>
  <c r="H304" i="39"/>
  <c r="H305" i="39"/>
  <c r="H306" i="39"/>
  <c r="H307" i="39"/>
  <c r="H308" i="39"/>
  <c r="H309" i="39"/>
  <c r="H310" i="39"/>
  <c r="H311" i="39"/>
  <c r="J311" i="39" s="1"/>
  <c r="K311" i="39" s="1"/>
  <c r="H312" i="39"/>
  <c r="J312" i="39" s="1"/>
  <c r="H313" i="39"/>
  <c r="H314" i="39"/>
  <c r="H315" i="39"/>
  <c r="H316" i="39"/>
  <c r="H317" i="39"/>
  <c r="H318" i="39"/>
  <c r="H319" i="39"/>
  <c r="J319" i="39" s="1"/>
  <c r="K319" i="39" s="1"/>
  <c r="H320" i="39"/>
  <c r="H321" i="39"/>
  <c r="H322" i="39"/>
  <c r="H323" i="39"/>
  <c r="H324" i="39"/>
  <c r="H325" i="39"/>
  <c r="H326" i="39"/>
  <c r="H327" i="39"/>
  <c r="H328" i="39"/>
  <c r="J328" i="39" s="1"/>
  <c r="H329" i="39"/>
  <c r="H330" i="39"/>
  <c r="H331" i="39"/>
  <c r="H332" i="39"/>
  <c r="H333" i="39"/>
  <c r="H334" i="39"/>
  <c r="H335" i="39"/>
  <c r="J335" i="39" s="1"/>
  <c r="K335" i="39" s="1"/>
  <c r="H336" i="39"/>
  <c r="H337" i="39"/>
  <c r="H338" i="39"/>
  <c r="H339" i="39"/>
  <c r="H340" i="39"/>
  <c r="H341" i="39"/>
  <c r="H342" i="39"/>
  <c r="H343" i="39"/>
  <c r="J343" i="39" s="1"/>
  <c r="K343" i="39" s="1"/>
  <c r="H344" i="39"/>
  <c r="J344" i="39" s="1"/>
  <c r="H345" i="39"/>
  <c r="H346" i="39"/>
  <c r="H347" i="39"/>
  <c r="H348" i="39"/>
  <c r="H349" i="39"/>
  <c r="H350" i="39"/>
  <c r="H351" i="39"/>
  <c r="J351" i="39" s="1"/>
  <c r="K351" i="39" s="1"/>
  <c r="H352" i="39"/>
  <c r="J352" i="39" s="1"/>
  <c r="H353" i="39"/>
  <c r="H354" i="39"/>
  <c r="H355" i="39"/>
  <c r="H356" i="39"/>
  <c r="H357" i="39"/>
  <c r="H358" i="39"/>
  <c r="H359" i="39"/>
  <c r="J359" i="39" s="1"/>
  <c r="K359" i="39" s="1"/>
  <c r="H360" i="39"/>
  <c r="J360" i="39" s="1"/>
  <c r="H361" i="39"/>
  <c r="H362" i="39"/>
  <c r="H363" i="39"/>
  <c r="H364" i="39"/>
  <c r="H365" i="39"/>
  <c r="H366" i="39"/>
  <c r="H367" i="39"/>
  <c r="J367" i="39" s="1"/>
  <c r="K367" i="39" s="1"/>
  <c r="H368" i="39"/>
  <c r="J368" i="39" s="1"/>
  <c r="H369" i="39"/>
  <c r="H370" i="39"/>
  <c r="H371" i="39"/>
  <c r="H372" i="39"/>
  <c r="H373" i="39"/>
  <c r="H374" i="39"/>
  <c r="H375" i="39"/>
  <c r="J375" i="39" s="1"/>
  <c r="K375" i="39" s="1"/>
  <c r="H376" i="39"/>
  <c r="J376" i="39" s="1"/>
  <c r="H377" i="39"/>
  <c r="H378" i="39"/>
  <c r="H379" i="39"/>
  <c r="H380" i="39"/>
  <c r="H381" i="39"/>
  <c r="H382" i="39"/>
  <c r="H383" i="39"/>
  <c r="J383" i="39" s="1"/>
  <c r="K383" i="39" s="1"/>
  <c r="H384" i="39"/>
  <c r="J384" i="39" s="1"/>
  <c r="H385" i="39"/>
  <c r="H386" i="39"/>
  <c r="H387" i="39"/>
  <c r="H388" i="39"/>
  <c r="H389" i="39"/>
  <c r="H390" i="39"/>
  <c r="H391" i="39"/>
  <c r="J391" i="39" s="1"/>
  <c r="K391" i="39" s="1"/>
  <c r="H392" i="39"/>
  <c r="J392" i="39" s="1"/>
  <c r="H393" i="39"/>
  <c r="H394" i="39"/>
  <c r="H395" i="39"/>
  <c r="H396" i="39"/>
  <c r="H397" i="39"/>
  <c r="H398" i="39"/>
  <c r="H399" i="39"/>
  <c r="J399" i="39" s="1"/>
  <c r="K399" i="39" s="1"/>
  <c r="H400" i="39"/>
  <c r="J400" i="39" s="1"/>
  <c r="H401" i="39"/>
  <c r="H402" i="39"/>
  <c r="H403" i="39"/>
  <c r="H404" i="39"/>
  <c r="H405" i="39"/>
  <c r="H406" i="39"/>
  <c r="H407" i="39"/>
  <c r="J407" i="39" s="1"/>
  <c r="K407" i="39" s="1"/>
  <c r="H408" i="39"/>
  <c r="J408" i="39" s="1"/>
  <c r="H409" i="39"/>
  <c r="H410" i="39"/>
  <c r="H411" i="39"/>
  <c r="H412" i="39"/>
  <c r="H413" i="39"/>
  <c r="H414" i="39"/>
  <c r="H415" i="39"/>
  <c r="J415" i="39" s="1"/>
  <c r="K415" i="39" s="1"/>
  <c r="H416" i="39"/>
  <c r="H417" i="39"/>
  <c r="H418" i="39"/>
  <c r="H419" i="39"/>
  <c r="H420" i="39"/>
  <c r="H421" i="39"/>
  <c r="H422" i="39"/>
  <c r="H423" i="39"/>
  <c r="H424" i="39"/>
  <c r="J424" i="39" s="1"/>
  <c r="H425" i="39"/>
  <c r="H426" i="39"/>
  <c r="H427" i="39"/>
  <c r="H428" i="39"/>
  <c r="H429" i="39"/>
  <c r="H430" i="39"/>
  <c r="H431" i="39"/>
  <c r="J431" i="39" s="1"/>
  <c r="K431" i="39" s="1"/>
  <c r="H432" i="39"/>
  <c r="J432" i="39" s="1"/>
  <c r="H433" i="39"/>
  <c r="H434" i="39"/>
  <c r="H435" i="39"/>
  <c r="H436" i="39"/>
  <c r="H437" i="39"/>
  <c r="H438" i="39"/>
  <c r="H439" i="39"/>
  <c r="J439" i="39" s="1"/>
  <c r="K439" i="39" s="1"/>
  <c r="H440" i="39"/>
  <c r="J440" i="39" s="1"/>
  <c r="H441" i="39"/>
  <c r="H442" i="39"/>
  <c r="H443" i="39"/>
  <c r="H444" i="39"/>
  <c r="H445" i="39"/>
  <c r="H446" i="39"/>
  <c r="H447" i="39"/>
  <c r="J447" i="39" s="1"/>
  <c r="K447" i="39" s="1"/>
  <c r="H448" i="39"/>
  <c r="J448" i="39" s="1"/>
  <c r="H449" i="39"/>
  <c r="H450" i="39"/>
  <c r="H451" i="39"/>
  <c r="H452" i="39"/>
  <c r="H453" i="39"/>
  <c r="H454" i="39"/>
  <c r="H455" i="39"/>
  <c r="H456" i="39"/>
  <c r="J456" i="39" s="1"/>
  <c r="H457" i="39"/>
  <c r="H458" i="39"/>
  <c r="H459" i="39"/>
  <c r="H460" i="39"/>
  <c r="H461" i="39"/>
  <c r="H462" i="39"/>
  <c r="H463" i="39"/>
  <c r="J463" i="39" s="1"/>
  <c r="K463" i="39" s="1"/>
  <c r="H464" i="39"/>
  <c r="J464" i="39" s="1"/>
  <c r="H465" i="39"/>
  <c r="H466" i="39"/>
  <c r="H467" i="39"/>
  <c r="H468" i="39"/>
  <c r="H469" i="39"/>
  <c r="H470" i="39"/>
  <c r="H471" i="39"/>
  <c r="J471" i="39" s="1"/>
  <c r="K471" i="39" s="1"/>
  <c r="H472" i="39"/>
  <c r="J472" i="39" s="1"/>
  <c r="H473" i="39"/>
  <c r="H474" i="39"/>
  <c r="H475" i="39"/>
  <c r="H476" i="39"/>
  <c r="H477" i="39"/>
  <c r="H478" i="39"/>
  <c r="H479" i="39"/>
  <c r="J479" i="39" s="1"/>
  <c r="K479" i="39" s="1"/>
  <c r="H480" i="39"/>
  <c r="J480" i="39" s="1"/>
  <c r="H481" i="39"/>
  <c r="H482" i="39"/>
  <c r="H483" i="39"/>
  <c r="H484" i="39"/>
  <c r="H485" i="39"/>
  <c r="H486" i="39"/>
  <c r="H487" i="39"/>
  <c r="J487" i="39" s="1"/>
  <c r="K487" i="39" s="1"/>
  <c r="H488" i="39"/>
  <c r="J488" i="39" s="1"/>
  <c r="H489" i="39"/>
  <c r="H490" i="39"/>
  <c r="H491" i="39"/>
  <c r="H492" i="39"/>
  <c r="H493" i="39"/>
  <c r="H494" i="39"/>
  <c r="H495" i="39"/>
  <c r="J495" i="39" s="1"/>
  <c r="K495" i="39" s="1"/>
  <c r="H496" i="39"/>
  <c r="H497" i="39"/>
  <c r="H498" i="39"/>
  <c r="H499" i="39"/>
  <c r="H500" i="39"/>
  <c r="H501" i="39"/>
  <c r="P2" i="39"/>
  <c r="P3" i="39"/>
  <c r="P4" i="39"/>
  <c r="P5" i="39"/>
  <c r="P6" i="39"/>
  <c r="P7" i="39"/>
  <c r="P8" i="39"/>
  <c r="P9" i="39"/>
  <c r="P10" i="39"/>
  <c r="P11" i="39"/>
  <c r="P12" i="39"/>
  <c r="P13" i="39"/>
  <c r="P14" i="39"/>
  <c r="P15" i="39"/>
  <c r="P16" i="39"/>
  <c r="P17" i="39"/>
  <c r="P18" i="39"/>
  <c r="P19" i="39"/>
  <c r="P20" i="39"/>
  <c r="P21" i="39"/>
  <c r="P22" i="39"/>
  <c r="P23" i="39"/>
  <c r="P24" i="39"/>
  <c r="P25" i="39"/>
  <c r="P26" i="39"/>
  <c r="P27" i="39"/>
  <c r="P28" i="39"/>
  <c r="P29" i="39"/>
  <c r="P30" i="39"/>
  <c r="P31" i="39"/>
  <c r="P32" i="39"/>
  <c r="P33" i="39"/>
  <c r="P34" i="39"/>
  <c r="P35" i="39"/>
  <c r="P36" i="39"/>
  <c r="P37" i="39"/>
  <c r="P38" i="39"/>
  <c r="P39" i="39"/>
  <c r="P40" i="39"/>
  <c r="P41" i="39"/>
  <c r="P42" i="39"/>
  <c r="P43" i="39"/>
  <c r="P44" i="39"/>
  <c r="P45" i="39"/>
  <c r="P46" i="39"/>
  <c r="P47" i="39"/>
  <c r="P48" i="39"/>
  <c r="P49" i="39"/>
  <c r="P50" i="39"/>
  <c r="P51" i="39"/>
  <c r="P52" i="39"/>
  <c r="P53" i="39"/>
  <c r="P54" i="39"/>
  <c r="P55" i="39"/>
  <c r="P56" i="39"/>
  <c r="P57" i="39"/>
  <c r="P58" i="39"/>
  <c r="P59" i="39"/>
  <c r="P60" i="39"/>
  <c r="P61" i="39"/>
  <c r="P62" i="39"/>
  <c r="P63" i="39"/>
  <c r="P64" i="39"/>
  <c r="P65" i="39"/>
  <c r="P66" i="39"/>
  <c r="P67" i="39"/>
  <c r="P68" i="39"/>
  <c r="P69" i="39"/>
  <c r="P70" i="39"/>
  <c r="P71" i="39"/>
  <c r="P72" i="39"/>
  <c r="P73" i="39"/>
  <c r="P74" i="39"/>
  <c r="P75" i="39"/>
  <c r="P76" i="39"/>
  <c r="P77" i="39"/>
  <c r="P78" i="39"/>
  <c r="P79" i="39"/>
  <c r="P80" i="39"/>
  <c r="P81" i="39"/>
  <c r="P82" i="39"/>
  <c r="P83" i="39"/>
  <c r="P84" i="39"/>
  <c r="P85" i="39"/>
  <c r="P86" i="39"/>
  <c r="P87" i="39"/>
  <c r="P88" i="39"/>
  <c r="P89" i="39"/>
  <c r="P90" i="39"/>
  <c r="P91" i="39"/>
  <c r="P92" i="39"/>
  <c r="P93" i="39"/>
  <c r="P94" i="39"/>
  <c r="P95" i="39"/>
  <c r="P96" i="39"/>
  <c r="P97" i="39"/>
  <c r="P98" i="39"/>
  <c r="P99" i="39"/>
  <c r="P100" i="39"/>
  <c r="P101" i="39"/>
  <c r="P102" i="39"/>
  <c r="P103" i="39"/>
  <c r="P104" i="39"/>
  <c r="P105" i="39"/>
  <c r="P106" i="39"/>
  <c r="P107" i="39"/>
  <c r="P108" i="39"/>
  <c r="P109" i="39"/>
  <c r="P110" i="39"/>
  <c r="P111" i="39"/>
  <c r="P112" i="39"/>
  <c r="P113" i="39"/>
  <c r="P114" i="39"/>
  <c r="P115" i="39"/>
  <c r="P116" i="39"/>
  <c r="P117" i="39"/>
  <c r="P118" i="39"/>
  <c r="P119" i="39"/>
  <c r="P120" i="39"/>
  <c r="P121" i="39"/>
  <c r="P122" i="39"/>
  <c r="P123" i="39"/>
  <c r="P124" i="39"/>
  <c r="P125" i="39"/>
  <c r="P126" i="39"/>
  <c r="P127" i="39"/>
  <c r="P128" i="39"/>
  <c r="P129" i="39"/>
  <c r="P130" i="39"/>
  <c r="P131" i="39"/>
  <c r="P132" i="39"/>
  <c r="P133" i="39"/>
  <c r="P134" i="39"/>
  <c r="P135" i="39"/>
  <c r="P136" i="39"/>
  <c r="P137" i="39"/>
  <c r="P138" i="39"/>
  <c r="P139" i="39"/>
  <c r="P140" i="39"/>
  <c r="P141" i="39"/>
  <c r="P142" i="39"/>
  <c r="P143" i="39"/>
  <c r="P144" i="39"/>
  <c r="P145" i="39"/>
  <c r="P146" i="39"/>
  <c r="P147" i="39"/>
  <c r="P148" i="39"/>
  <c r="P149" i="39"/>
  <c r="P150" i="39"/>
  <c r="P151" i="39"/>
  <c r="P152" i="39"/>
  <c r="P153" i="39"/>
  <c r="P154" i="39"/>
  <c r="P155" i="39"/>
  <c r="P156" i="39"/>
  <c r="P157" i="39"/>
  <c r="P158" i="39"/>
  <c r="P159" i="39"/>
  <c r="P160" i="39"/>
  <c r="P161" i="39"/>
  <c r="P162" i="39"/>
  <c r="P163" i="39"/>
  <c r="P164" i="39"/>
  <c r="P165" i="39"/>
  <c r="P166" i="39"/>
  <c r="P167" i="39"/>
  <c r="P168" i="39"/>
  <c r="P169" i="39"/>
  <c r="P170" i="39"/>
  <c r="P171" i="39"/>
  <c r="P172" i="39"/>
  <c r="P173" i="39"/>
  <c r="P174" i="39"/>
  <c r="P175" i="39"/>
  <c r="P176" i="39"/>
  <c r="P177" i="39"/>
  <c r="P178" i="39"/>
  <c r="P179" i="39"/>
  <c r="P180" i="39"/>
  <c r="P181" i="39"/>
  <c r="P182" i="39"/>
  <c r="P183" i="39"/>
  <c r="P184" i="39"/>
  <c r="P185" i="39"/>
  <c r="P186" i="39"/>
  <c r="P187" i="39"/>
  <c r="P188" i="39"/>
  <c r="P189" i="39"/>
  <c r="P190" i="39"/>
  <c r="P191" i="39"/>
  <c r="P192" i="39"/>
  <c r="P193" i="39"/>
  <c r="P194" i="39"/>
  <c r="P195" i="39"/>
  <c r="P196" i="39"/>
  <c r="P197" i="39"/>
  <c r="P198" i="39"/>
  <c r="P199" i="39"/>
  <c r="P200" i="39"/>
  <c r="P201" i="39"/>
  <c r="P202" i="39"/>
  <c r="P203" i="39"/>
  <c r="P204" i="39"/>
  <c r="P205" i="39"/>
  <c r="P206" i="39"/>
  <c r="P207" i="39"/>
  <c r="P208" i="39"/>
  <c r="P209" i="39"/>
  <c r="P210" i="39"/>
  <c r="P211" i="39"/>
  <c r="P212" i="39"/>
  <c r="P213" i="39"/>
  <c r="P214" i="39"/>
  <c r="P215" i="39"/>
  <c r="P216" i="39"/>
  <c r="P217" i="39"/>
  <c r="P218" i="39"/>
  <c r="P219" i="39"/>
  <c r="P220" i="39"/>
  <c r="P221" i="39"/>
  <c r="P222" i="39"/>
  <c r="P223" i="39"/>
  <c r="P224" i="39"/>
  <c r="P225" i="39"/>
  <c r="P226" i="39"/>
  <c r="P227" i="39"/>
  <c r="P228" i="39"/>
  <c r="P229" i="39"/>
  <c r="P230" i="39"/>
  <c r="P231" i="39"/>
  <c r="P232" i="39"/>
  <c r="P233" i="39"/>
  <c r="P234" i="39"/>
  <c r="P235" i="39"/>
  <c r="P236" i="39"/>
  <c r="P237" i="39"/>
  <c r="P238" i="39"/>
  <c r="P239" i="39"/>
  <c r="P240" i="39"/>
  <c r="P241" i="39"/>
  <c r="P242" i="39"/>
  <c r="P243" i="39"/>
  <c r="P244" i="39"/>
  <c r="P245" i="39"/>
  <c r="P246" i="39"/>
  <c r="P247" i="39"/>
  <c r="P248" i="39"/>
  <c r="P249" i="39"/>
  <c r="P250" i="39"/>
  <c r="P251" i="39"/>
  <c r="P252" i="39"/>
  <c r="P253" i="39"/>
  <c r="P254" i="39"/>
  <c r="P255" i="39"/>
  <c r="P256" i="39"/>
  <c r="P257" i="39"/>
  <c r="P258" i="39"/>
  <c r="P259" i="39"/>
  <c r="P260" i="39"/>
  <c r="P261" i="39"/>
  <c r="P262" i="39"/>
  <c r="P263" i="39"/>
  <c r="P264" i="39"/>
  <c r="P265" i="39"/>
  <c r="P266" i="39"/>
  <c r="P267" i="39"/>
  <c r="P268" i="39"/>
  <c r="P269" i="39"/>
  <c r="P270" i="39"/>
  <c r="P271" i="39"/>
  <c r="P272" i="39"/>
  <c r="P273" i="39"/>
  <c r="P274" i="39"/>
  <c r="P275" i="39"/>
  <c r="P276" i="39"/>
  <c r="P277" i="39"/>
  <c r="P278" i="39"/>
  <c r="P279" i="39"/>
  <c r="P280" i="39"/>
  <c r="P281" i="39"/>
  <c r="P282" i="39"/>
  <c r="P283" i="39"/>
  <c r="P284" i="39"/>
  <c r="P285" i="39"/>
  <c r="P286" i="39"/>
  <c r="P287" i="39"/>
  <c r="P288" i="39"/>
  <c r="P289" i="39"/>
  <c r="P290" i="39"/>
  <c r="P291" i="39"/>
  <c r="P292" i="39"/>
  <c r="P293" i="39"/>
  <c r="P294" i="39"/>
  <c r="P295" i="39"/>
  <c r="P296" i="39"/>
  <c r="P297" i="39"/>
  <c r="P298" i="39"/>
  <c r="P299" i="39"/>
  <c r="P300" i="39"/>
  <c r="P301" i="39"/>
  <c r="P302" i="39"/>
  <c r="P303" i="39"/>
  <c r="P304" i="39"/>
  <c r="P305" i="39"/>
  <c r="P306" i="39"/>
  <c r="P307" i="39"/>
  <c r="P308" i="39"/>
  <c r="P309" i="39"/>
  <c r="P310" i="39"/>
  <c r="P311" i="39"/>
  <c r="P312" i="39"/>
  <c r="P313" i="39"/>
  <c r="P314" i="39"/>
  <c r="P315" i="39"/>
  <c r="P316" i="39"/>
  <c r="P317" i="39"/>
  <c r="P318" i="39"/>
  <c r="P319" i="39"/>
  <c r="P320" i="39"/>
  <c r="P321" i="39"/>
  <c r="P322" i="39"/>
  <c r="P323" i="39"/>
  <c r="P324" i="39"/>
  <c r="P325" i="39"/>
  <c r="P326" i="39"/>
  <c r="P327" i="39"/>
  <c r="P328" i="39"/>
  <c r="P329" i="39"/>
  <c r="P330" i="39"/>
  <c r="P331" i="39"/>
  <c r="P332" i="39"/>
  <c r="P333" i="39"/>
  <c r="P334" i="39"/>
  <c r="P335" i="39"/>
  <c r="P336" i="39"/>
  <c r="P337" i="39"/>
  <c r="P338" i="39"/>
  <c r="P339" i="39"/>
  <c r="P340" i="39"/>
  <c r="P341" i="39"/>
  <c r="P342" i="39"/>
  <c r="P343" i="39"/>
  <c r="P344" i="39"/>
  <c r="P345" i="39"/>
  <c r="P346" i="39"/>
  <c r="P347" i="39"/>
  <c r="P348" i="39"/>
  <c r="P349" i="39"/>
  <c r="P350" i="39"/>
  <c r="P351" i="39"/>
  <c r="P352" i="39"/>
  <c r="P353" i="39"/>
  <c r="P354" i="39"/>
  <c r="P355" i="39"/>
  <c r="P356" i="39"/>
  <c r="P357" i="39"/>
  <c r="P358" i="39"/>
  <c r="P359" i="39"/>
  <c r="P360" i="39"/>
  <c r="P361" i="39"/>
  <c r="P362" i="39"/>
  <c r="P363" i="39"/>
  <c r="P364" i="39"/>
  <c r="P365" i="39"/>
  <c r="P366" i="39"/>
  <c r="P367" i="39"/>
  <c r="P368" i="39"/>
  <c r="P369" i="39"/>
  <c r="P370" i="39"/>
  <c r="P371" i="39"/>
  <c r="P372" i="39"/>
  <c r="P373" i="39"/>
  <c r="P374" i="39"/>
  <c r="P375" i="39"/>
  <c r="P376" i="39"/>
  <c r="P377" i="39"/>
  <c r="P378" i="39"/>
  <c r="P379" i="39"/>
  <c r="P380" i="39"/>
  <c r="P381" i="39"/>
  <c r="P382" i="39"/>
  <c r="P383" i="39"/>
  <c r="P384" i="39"/>
  <c r="P385" i="39"/>
  <c r="P386" i="39"/>
  <c r="P387" i="39"/>
  <c r="P388" i="39"/>
  <c r="P389" i="39"/>
  <c r="P390" i="39"/>
  <c r="P391" i="39"/>
  <c r="P392" i="39"/>
  <c r="P393" i="39"/>
  <c r="P394" i="39"/>
  <c r="P395" i="39"/>
  <c r="P396" i="39"/>
  <c r="P397" i="39"/>
  <c r="P398" i="39"/>
  <c r="P399" i="39"/>
  <c r="P400" i="39"/>
  <c r="P401" i="39"/>
  <c r="P402" i="39"/>
  <c r="P403" i="39"/>
  <c r="P404" i="39"/>
  <c r="P405" i="39"/>
  <c r="P406" i="39"/>
  <c r="P407" i="39"/>
  <c r="P408" i="39"/>
  <c r="P409" i="39"/>
  <c r="P410" i="39"/>
  <c r="P411" i="39"/>
  <c r="P412" i="39"/>
  <c r="P413" i="39"/>
  <c r="P414" i="39"/>
  <c r="P415" i="39"/>
  <c r="P416" i="39"/>
  <c r="P417" i="39"/>
  <c r="P418" i="39"/>
  <c r="P419" i="39"/>
  <c r="P420" i="39"/>
  <c r="P421" i="39"/>
  <c r="P422" i="39"/>
  <c r="P423" i="39"/>
  <c r="P424" i="39"/>
  <c r="P425" i="39"/>
  <c r="P426" i="39"/>
  <c r="P427" i="39"/>
  <c r="P428" i="39"/>
  <c r="P429" i="39"/>
  <c r="P430" i="39"/>
  <c r="P431" i="39"/>
  <c r="P432" i="39"/>
  <c r="P433" i="39"/>
  <c r="P434" i="39"/>
  <c r="P435" i="39"/>
  <c r="P436" i="39"/>
  <c r="P437" i="39"/>
  <c r="P438" i="39"/>
  <c r="P439" i="39"/>
  <c r="P440" i="39"/>
  <c r="P441" i="39"/>
  <c r="P442" i="39"/>
  <c r="P443" i="39"/>
  <c r="P444" i="39"/>
  <c r="P445" i="39"/>
  <c r="P446" i="39"/>
  <c r="P447" i="39"/>
  <c r="P448" i="39"/>
  <c r="P449" i="39"/>
  <c r="P450" i="39"/>
  <c r="P451" i="39"/>
  <c r="P452" i="39"/>
  <c r="P453" i="39"/>
  <c r="P454" i="39"/>
  <c r="P455" i="39"/>
  <c r="P456" i="39"/>
  <c r="P457" i="39"/>
  <c r="P458" i="39"/>
  <c r="P459" i="39"/>
  <c r="P460" i="39"/>
  <c r="P461" i="39"/>
  <c r="P462" i="39"/>
  <c r="P463" i="39"/>
  <c r="P464" i="39"/>
  <c r="P465" i="39"/>
  <c r="P466" i="39"/>
  <c r="P467" i="39"/>
  <c r="P468" i="39"/>
  <c r="P469" i="39"/>
  <c r="P470" i="39"/>
  <c r="P471" i="39"/>
  <c r="P472" i="39"/>
  <c r="P473" i="39"/>
  <c r="P474" i="39"/>
  <c r="P475" i="39"/>
  <c r="P476" i="39"/>
  <c r="P477" i="39"/>
  <c r="P478" i="39"/>
  <c r="P479" i="39"/>
  <c r="P480" i="39"/>
  <c r="P481" i="39"/>
  <c r="P482" i="39"/>
  <c r="P483" i="39"/>
  <c r="P484" i="39"/>
  <c r="P485" i="39"/>
  <c r="P486" i="39"/>
  <c r="P487" i="39"/>
  <c r="P488" i="39"/>
  <c r="P489" i="39"/>
  <c r="P490" i="39"/>
  <c r="P491" i="39"/>
  <c r="P492" i="39"/>
  <c r="P493" i="39"/>
  <c r="P494" i="39"/>
  <c r="P495" i="39"/>
  <c r="P496" i="39"/>
  <c r="P497" i="39"/>
  <c r="P498" i="39"/>
  <c r="P499" i="39"/>
  <c r="P500" i="39"/>
  <c r="P501" i="39"/>
  <c r="O2" i="39"/>
  <c r="O3" i="39"/>
  <c r="O4" i="39"/>
  <c r="O5" i="39"/>
  <c r="O6" i="39"/>
  <c r="O7" i="39"/>
  <c r="O8" i="39"/>
  <c r="O9" i="39"/>
  <c r="O10" i="39"/>
  <c r="O11" i="39"/>
  <c r="O12" i="39"/>
  <c r="O13" i="39"/>
  <c r="O14" i="39"/>
  <c r="O15" i="39"/>
  <c r="O16" i="39"/>
  <c r="O17" i="39"/>
  <c r="O18" i="39"/>
  <c r="O19" i="39"/>
  <c r="O20" i="39"/>
  <c r="O21" i="39"/>
  <c r="O22" i="39"/>
  <c r="O23" i="39"/>
  <c r="O24" i="39"/>
  <c r="O25" i="39"/>
  <c r="O26" i="39"/>
  <c r="O27" i="39"/>
  <c r="O28" i="39"/>
  <c r="O29" i="39"/>
  <c r="O30" i="39"/>
  <c r="O31" i="39"/>
  <c r="O32" i="39"/>
  <c r="O33" i="39"/>
  <c r="O34" i="39"/>
  <c r="O35" i="39"/>
  <c r="O36" i="39"/>
  <c r="O37" i="39"/>
  <c r="O38" i="39"/>
  <c r="O39" i="39"/>
  <c r="O40" i="39"/>
  <c r="O41" i="39"/>
  <c r="O42" i="39"/>
  <c r="O43" i="39"/>
  <c r="O44" i="39"/>
  <c r="O45" i="39"/>
  <c r="O46" i="39"/>
  <c r="O47" i="39"/>
  <c r="O48" i="39"/>
  <c r="O49" i="39"/>
  <c r="O50" i="39"/>
  <c r="O51" i="39"/>
  <c r="O52" i="39"/>
  <c r="O53" i="39"/>
  <c r="O54" i="39"/>
  <c r="O55" i="39"/>
  <c r="O56" i="39"/>
  <c r="O57" i="39"/>
  <c r="O58" i="39"/>
  <c r="O59" i="39"/>
  <c r="O60" i="39"/>
  <c r="O61" i="39"/>
  <c r="O62" i="39"/>
  <c r="O63" i="39"/>
  <c r="O64" i="39"/>
  <c r="O65" i="39"/>
  <c r="O66" i="39"/>
  <c r="O67" i="39"/>
  <c r="O68" i="39"/>
  <c r="O69" i="39"/>
  <c r="O70" i="39"/>
  <c r="O71" i="39"/>
  <c r="O72" i="39"/>
  <c r="O73" i="39"/>
  <c r="O74" i="39"/>
  <c r="O75" i="39"/>
  <c r="O76" i="39"/>
  <c r="O77" i="39"/>
  <c r="O78" i="39"/>
  <c r="O79" i="39"/>
  <c r="O80" i="39"/>
  <c r="O81" i="39"/>
  <c r="O82" i="39"/>
  <c r="O83" i="39"/>
  <c r="O84" i="39"/>
  <c r="O85" i="39"/>
  <c r="O86" i="39"/>
  <c r="O87" i="39"/>
  <c r="O88" i="39"/>
  <c r="O89" i="39"/>
  <c r="O90" i="39"/>
  <c r="O91" i="39"/>
  <c r="O92" i="39"/>
  <c r="O93" i="39"/>
  <c r="O94" i="39"/>
  <c r="O95" i="39"/>
  <c r="O96" i="39"/>
  <c r="O97" i="39"/>
  <c r="O98" i="39"/>
  <c r="O99" i="39"/>
  <c r="O100" i="39"/>
  <c r="O101" i="39"/>
  <c r="O102" i="39"/>
  <c r="O103" i="39"/>
  <c r="O104" i="39"/>
  <c r="O105" i="39"/>
  <c r="O106" i="39"/>
  <c r="O107" i="39"/>
  <c r="O108" i="39"/>
  <c r="O109" i="39"/>
  <c r="O110" i="39"/>
  <c r="O111" i="39"/>
  <c r="O112" i="39"/>
  <c r="O113" i="39"/>
  <c r="O114" i="39"/>
  <c r="O115" i="39"/>
  <c r="O116" i="39"/>
  <c r="O117" i="39"/>
  <c r="O118" i="39"/>
  <c r="O119" i="39"/>
  <c r="O120" i="39"/>
  <c r="O121" i="39"/>
  <c r="O122" i="39"/>
  <c r="O123" i="39"/>
  <c r="O124" i="39"/>
  <c r="O125" i="39"/>
  <c r="O126" i="39"/>
  <c r="O127" i="39"/>
  <c r="O128" i="39"/>
  <c r="O129" i="39"/>
  <c r="O130" i="39"/>
  <c r="O131" i="39"/>
  <c r="O132" i="39"/>
  <c r="O133" i="39"/>
  <c r="O134" i="39"/>
  <c r="O135" i="39"/>
  <c r="O136" i="39"/>
  <c r="O137" i="39"/>
  <c r="O138" i="39"/>
  <c r="O139" i="39"/>
  <c r="O140" i="39"/>
  <c r="O141" i="39"/>
  <c r="O142" i="39"/>
  <c r="O143" i="39"/>
  <c r="O144" i="39"/>
  <c r="O145" i="39"/>
  <c r="O146" i="39"/>
  <c r="O147" i="39"/>
  <c r="O148" i="39"/>
  <c r="O149" i="39"/>
  <c r="O150" i="39"/>
  <c r="O151" i="39"/>
  <c r="O152" i="39"/>
  <c r="O153" i="39"/>
  <c r="O154" i="39"/>
  <c r="O155" i="39"/>
  <c r="O156" i="39"/>
  <c r="O157" i="39"/>
  <c r="O158" i="39"/>
  <c r="O159" i="39"/>
  <c r="O160" i="39"/>
  <c r="O161" i="39"/>
  <c r="O162" i="39"/>
  <c r="O163" i="39"/>
  <c r="O164" i="39"/>
  <c r="O165" i="39"/>
  <c r="O166" i="39"/>
  <c r="O167" i="39"/>
  <c r="O168" i="39"/>
  <c r="O169" i="39"/>
  <c r="O170" i="39"/>
  <c r="O171" i="39"/>
  <c r="O172" i="39"/>
  <c r="O173" i="39"/>
  <c r="O174" i="39"/>
  <c r="O175" i="39"/>
  <c r="O176" i="39"/>
  <c r="O177" i="39"/>
  <c r="O178" i="39"/>
  <c r="O179" i="39"/>
  <c r="O180" i="39"/>
  <c r="O181" i="39"/>
  <c r="O182" i="39"/>
  <c r="O183" i="39"/>
  <c r="O184" i="39"/>
  <c r="O185" i="39"/>
  <c r="O186" i="39"/>
  <c r="O187" i="39"/>
  <c r="O188" i="39"/>
  <c r="O189" i="39"/>
  <c r="O190" i="39"/>
  <c r="O191" i="39"/>
  <c r="O192" i="39"/>
  <c r="O193" i="39"/>
  <c r="O194" i="39"/>
  <c r="O195" i="39"/>
  <c r="O196" i="39"/>
  <c r="O197" i="39"/>
  <c r="O198" i="39"/>
  <c r="O199" i="39"/>
  <c r="O200" i="39"/>
  <c r="O201" i="39"/>
  <c r="O202" i="39"/>
  <c r="O203" i="39"/>
  <c r="O204" i="39"/>
  <c r="O205" i="39"/>
  <c r="O206" i="39"/>
  <c r="O207" i="39"/>
  <c r="O208" i="39"/>
  <c r="O209" i="39"/>
  <c r="O210" i="39"/>
  <c r="O211" i="39"/>
  <c r="O212" i="39"/>
  <c r="O213" i="39"/>
  <c r="O214" i="39"/>
  <c r="O215" i="39"/>
  <c r="O216" i="39"/>
  <c r="O217" i="39"/>
  <c r="O218" i="39"/>
  <c r="O219" i="39"/>
  <c r="O220" i="39"/>
  <c r="O221" i="39"/>
  <c r="O222" i="39"/>
  <c r="O223" i="39"/>
  <c r="O224" i="39"/>
  <c r="O225" i="39"/>
  <c r="O226" i="39"/>
  <c r="O227" i="39"/>
  <c r="O228" i="39"/>
  <c r="O229" i="39"/>
  <c r="O230" i="39"/>
  <c r="O231" i="39"/>
  <c r="O232" i="39"/>
  <c r="O233" i="39"/>
  <c r="O234" i="39"/>
  <c r="O235" i="39"/>
  <c r="O236" i="39"/>
  <c r="O237" i="39"/>
  <c r="O238" i="39"/>
  <c r="O239" i="39"/>
  <c r="O240" i="39"/>
  <c r="O241" i="39"/>
  <c r="O242" i="39"/>
  <c r="O243" i="39"/>
  <c r="O244" i="39"/>
  <c r="O245" i="39"/>
  <c r="O246" i="39"/>
  <c r="O247" i="39"/>
  <c r="O248" i="39"/>
  <c r="O249" i="39"/>
  <c r="O250" i="39"/>
  <c r="O251" i="39"/>
  <c r="O252" i="39"/>
  <c r="O253" i="39"/>
  <c r="O254" i="39"/>
  <c r="O255" i="39"/>
  <c r="O256" i="39"/>
  <c r="O257" i="39"/>
  <c r="O258" i="39"/>
  <c r="O259" i="39"/>
  <c r="O260" i="39"/>
  <c r="O261" i="39"/>
  <c r="O262" i="39"/>
  <c r="O263" i="39"/>
  <c r="O264" i="39"/>
  <c r="O265" i="39"/>
  <c r="O266" i="39"/>
  <c r="O267" i="39"/>
  <c r="O268" i="39"/>
  <c r="O269" i="39"/>
  <c r="O270" i="39"/>
  <c r="O271" i="39"/>
  <c r="O272" i="39"/>
  <c r="O273" i="39"/>
  <c r="O274" i="39"/>
  <c r="O275" i="39"/>
  <c r="O276" i="39"/>
  <c r="O277" i="39"/>
  <c r="O278" i="39"/>
  <c r="O279" i="39"/>
  <c r="O280" i="39"/>
  <c r="O281" i="39"/>
  <c r="O282" i="39"/>
  <c r="O283" i="39"/>
  <c r="O284" i="39"/>
  <c r="O285" i="39"/>
  <c r="O286" i="39"/>
  <c r="O287" i="39"/>
  <c r="O288" i="39"/>
  <c r="O289" i="39"/>
  <c r="O290" i="39"/>
  <c r="O291" i="39"/>
  <c r="O292" i="39"/>
  <c r="O293" i="39"/>
  <c r="O294" i="39"/>
  <c r="O295" i="39"/>
  <c r="O296" i="39"/>
  <c r="O297" i="39"/>
  <c r="O298" i="39"/>
  <c r="O299" i="39"/>
  <c r="O300" i="39"/>
  <c r="O301" i="39"/>
  <c r="O302" i="39"/>
  <c r="O303" i="39"/>
  <c r="O304" i="39"/>
  <c r="O305" i="39"/>
  <c r="O306" i="39"/>
  <c r="O307" i="39"/>
  <c r="O308" i="39"/>
  <c r="O309" i="39"/>
  <c r="O310" i="39"/>
  <c r="O311" i="39"/>
  <c r="O312" i="39"/>
  <c r="O313" i="39"/>
  <c r="O314" i="39"/>
  <c r="O315" i="39"/>
  <c r="O316" i="39"/>
  <c r="O317" i="39"/>
  <c r="O318" i="39"/>
  <c r="O319" i="39"/>
  <c r="O320" i="39"/>
  <c r="O321" i="39"/>
  <c r="O322" i="39"/>
  <c r="O323" i="39"/>
  <c r="O324" i="39"/>
  <c r="O325" i="39"/>
  <c r="O326" i="39"/>
  <c r="O327" i="39"/>
  <c r="O328" i="39"/>
  <c r="O329" i="39"/>
  <c r="O330" i="39"/>
  <c r="O331" i="39"/>
  <c r="O332" i="39"/>
  <c r="O333" i="39"/>
  <c r="O334" i="39"/>
  <c r="O335" i="39"/>
  <c r="O336" i="39"/>
  <c r="O337" i="39"/>
  <c r="O338" i="39"/>
  <c r="O339" i="39"/>
  <c r="O340" i="39"/>
  <c r="O341" i="39"/>
  <c r="O342" i="39"/>
  <c r="O343" i="39"/>
  <c r="O344" i="39"/>
  <c r="O345" i="39"/>
  <c r="O346" i="39"/>
  <c r="O347" i="39"/>
  <c r="O348" i="39"/>
  <c r="O349" i="39"/>
  <c r="O350" i="39"/>
  <c r="O351" i="39"/>
  <c r="O352" i="39"/>
  <c r="O353" i="39"/>
  <c r="O354" i="39"/>
  <c r="O355" i="39"/>
  <c r="O356" i="39"/>
  <c r="O357" i="39"/>
  <c r="O358" i="39"/>
  <c r="O359" i="39"/>
  <c r="O360" i="39"/>
  <c r="O361" i="39"/>
  <c r="O362" i="39"/>
  <c r="O363" i="39"/>
  <c r="O364" i="39"/>
  <c r="O365" i="39"/>
  <c r="O366" i="39"/>
  <c r="O367" i="39"/>
  <c r="O368" i="39"/>
  <c r="O369" i="39"/>
  <c r="O370" i="39"/>
  <c r="O371" i="39"/>
  <c r="O372" i="39"/>
  <c r="O373" i="39"/>
  <c r="O374" i="39"/>
  <c r="O375" i="39"/>
  <c r="O376" i="39"/>
  <c r="O377" i="39"/>
  <c r="O378" i="39"/>
  <c r="O379" i="39"/>
  <c r="O380" i="39"/>
  <c r="O381" i="39"/>
  <c r="O382" i="39"/>
  <c r="O383" i="39"/>
  <c r="O384" i="39"/>
  <c r="O385" i="39"/>
  <c r="O386" i="39"/>
  <c r="O387" i="39"/>
  <c r="O388" i="39"/>
  <c r="O389" i="39"/>
  <c r="O390" i="39"/>
  <c r="O391" i="39"/>
  <c r="O392" i="39"/>
  <c r="O393" i="39"/>
  <c r="O394" i="39"/>
  <c r="O395" i="39"/>
  <c r="O396" i="39"/>
  <c r="O397" i="39"/>
  <c r="O398" i="39"/>
  <c r="O399" i="39"/>
  <c r="O400" i="39"/>
  <c r="O401" i="39"/>
  <c r="O402" i="39"/>
  <c r="O403" i="39"/>
  <c r="O404" i="39"/>
  <c r="O405" i="39"/>
  <c r="O406" i="39"/>
  <c r="O407" i="39"/>
  <c r="O408" i="39"/>
  <c r="O409" i="39"/>
  <c r="O410" i="39"/>
  <c r="O411" i="39"/>
  <c r="O412" i="39"/>
  <c r="O413" i="39"/>
  <c r="O414" i="39"/>
  <c r="O415" i="39"/>
  <c r="O416" i="39"/>
  <c r="O417" i="39"/>
  <c r="O418" i="39"/>
  <c r="O419" i="39"/>
  <c r="O420" i="39"/>
  <c r="O421" i="39"/>
  <c r="O422" i="39"/>
  <c r="O423" i="39"/>
  <c r="O424" i="39"/>
  <c r="O425" i="39"/>
  <c r="O426" i="39"/>
  <c r="O427" i="39"/>
  <c r="O428" i="39"/>
  <c r="O429" i="39"/>
  <c r="O430" i="39"/>
  <c r="O431" i="39"/>
  <c r="O432" i="39"/>
  <c r="O433" i="39"/>
  <c r="O434" i="39"/>
  <c r="O435" i="39"/>
  <c r="O436" i="39"/>
  <c r="O437" i="39"/>
  <c r="O438" i="39"/>
  <c r="O439" i="39"/>
  <c r="O440" i="39"/>
  <c r="O441" i="39"/>
  <c r="O442" i="39"/>
  <c r="O443" i="39"/>
  <c r="O444" i="39"/>
  <c r="O445" i="39"/>
  <c r="O446" i="39"/>
  <c r="O447" i="39"/>
  <c r="O448" i="39"/>
  <c r="O449" i="39"/>
  <c r="O450" i="39"/>
  <c r="O451" i="39"/>
  <c r="O452" i="39"/>
  <c r="O453" i="39"/>
  <c r="O454" i="39"/>
  <c r="O455" i="39"/>
  <c r="O456" i="39"/>
  <c r="O457" i="39"/>
  <c r="O458" i="39"/>
  <c r="O459" i="39"/>
  <c r="O460" i="39"/>
  <c r="O461" i="39"/>
  <c r="O462" i="39"/>
  <c r="O463" i="39"/>
  <c r="O464" i="39"/>
  <c r="O465" i="39"/>
  <c r="O466" i="39"/>
  <c r="O467" i="39"/>
  <c r="O468" i="39"/>
  <c r="O469" i="39"/>
  <c r="O470" i="39"/>
  <c r="O471" i="39"/>
  <c r="O472" i="39"/>
  <c r="O473" i="39"/>
  <c r="O474" i="39"/>
  <c r="O475" i="39"/>
  <c r="O476" i="39"/>
  <c r="O477" i="39"/>
  <c r="O478" i="39"/>
  <c r="O479" i="39"/>
  <c r="O480" i="39"/>
  <c r="O481" i="39"/>
  <c r="O482" i="39"/>
  <c r="O483" i="39"/>
  <c r="O484" i="39"/>
  <c r="O485" i="39"/>
  <c r="O486" i="39"/>
  <c r="O487" i="39"/>
  <c r="O488" i="39"/>
  <c r="O489" i="39"/>
  <c r="O490" i="39"/>
  <c r="O491" i="39"/>
  <c r="O492" i="39"/>
  <c r="O493" i="39"/>
  <c r="O494" i="39"/>
  <c r="O495" i="39"/>
  <c r="O496" i="39"/>
  <c r="O497" i="39"/>
  <c r="O498" i="39"/>
  <c r="O499" i="39"/>
  <c r="O500" i="39"/>
  <c r="O501" i="39"/>
  <c r="N3" i="39"/>
  <c r="N4" i="39"/>
  <c r="N5" i="39"/>
  <c r="N6" i="39"/>
  <c r="N7" i="39"/>
  <c r="N8" i="39"/>
  <c r="N9" i="39"/>
  <c r="N10" i="39"/>
  <c r="N11" i="39"/>
  <c r="N12" i="39"/>
  <c r="N13" i="39"/>
  <c r="N14" i="39"/>
  <c r="N15" i="39"/>
  <c r="N16" i="39"/>
  <c r="N17" i="39"/>
  <c r="N18" i="39"/>
  <c r="N19" i="39"/>
  <c r="N20" i="39"/>
  <c r="N21" i="39"/>
  <c r="N22" i="39"/>
  <c r="N23" i="39"/>
  <c r="N24" i="39"/>
  <c r="N25" i="39"/>
  <c r="N26" i="39"/>
  <c r="N27" i="39"/>
  <c r="N28" i="39"/>
  <c r="N29" i="39"/>
  <c r="N30" i="39"/>
  <c r="N31" i="39"/>
  <c r="N32" i="39"/>
  <c r="N33" i="39"/>
  <c r="N34" i="39"/>
  <c r="N35" i="39"/>
  <c r="N36" i="39"/>
  <c r="N37" i="39"/>
  <c r="N38" i="39"/>
  <c r="N39" i="39"/>
  <c r="N40" i="39"/>
  <c r="N41" i="39"/>
  <c r="N42" i="39"/>
  <c r="N43" i="39"/>
  <c r="N44" i="39"/>
  <c r="N45" i="39"/>
  <c r="N46" i="39"/>
  <c r="N47" i="39"/>
  <c r="N48" i="39"/>
  <c r="N49" i="39"/>
  <c r="N50" i="39"/>
  <c r="N51" i="39"/>
  <c r="N52" i="39"/>
  <c r="N53" i="39"/>
  <c r="N54" i="39"/>
  <c r="N55" i="39"/>
  <c r="N56" i="39"/>
  <c r="N57" i="39"/>
  <c r="N58" i="39"/>
  <c r="N59" i="39"/>
  <c r="N60" i="39"/>
  <c r="N61" i="39"/>
  <c r="N62" i="39"/>
  <c r="N63" i="39"/>
  <c r="N64" i="39"/>
  <c r="N65" i="39"/>
  <c r="N66" i="39"/>
  <c r="N67" i="39"/>
  <c r="N68" i="39"/>
  <c r="N69" i="39"/>
  <c r="N70" i="39"/>
  <c r="N71" i="39"/>
  <c r="N72" i="39"/>
  <c r="N73" i="39"/>
  <c r="N74" i="39"/>
  <c r="N75" i="39"/>
  <c r="N76" i="39"/>
  <c r="N77" i="39"/>
  <c r="N78" i="39"/>
  <c r="N79" i="39"/>
  <c r="N80" i="39"/>
  <c r="N81" i="39"/>
  <c r="N82" i="39"/>
  <c r="N83" i="39"/>
  <c r="N84" i="39"/>
  <c r="N85" i="39"/>
  <c r="N86" i="39"/>
  <c r="N87" i="39"/>
  <c r="N88" i="39"/>
  <c r="N89" i="39"/>
  <c r="N90" i="39"/>
  <c r="N91" i="39"/>
  <c r="N92" i="39"/>
  <c r="N93" i="39"/>
  <c r="N94" i="39"/>
  <c r="N95" i="39"/>
  <c r="N96" i="39"/>
  <c r="N97" i="39"/>
  <c r="N98" i="39"/>
  <c r="N99" i="39"/>
  <c r="N100" i="39"/>
  <c r="N101" i="39"/>
  <c r="N102" i="39"/>
  <c r="N103" i="39"/>
  <c r="N104" i="39"/>
  <c r="N105" i="39"/>
  <c r="N106" i="39"/>
  <c r="N107" i="39"/>
  <c r="N108" i="39"/>
  <c r="N109" i="39"/>
  <c r="N110" i="39"/>
  <c r="N111" i="39"/>
  <c r="N112" i="39"/>
  <c r="N113" i="39"/>
  <c r="N114" i="39"/>
  <c r="N115" i="39"/>
  <c r="N116" i="39"/>
  <c r="N117" i="39"/>
  <c r="N118" i="39"/>
  <c r="N119" i="39"/>
  <c r="N120" i="39"/>
  <c r="N121" i="39"/>
  <c r="N122" i="39"/>
  <c r="N123" i="39"/>
  <c r="N124" i="39"/>
  <c r="N125" i="39"/>
  <c r="N126" i="39"/>
  <c r="N127" i="39"/>
  <c r="N128" i="39"/>
  <c r="N129" i="39"/>
  <c r="N130" i="39"/>
  <c r="N131" i="39"/>
  <c r="N132" i="39"/>
  <c r="N133" i="39"/>
  <c r="N134" i="39"/>
  <c r="N135" i="39"/>
  <c r="N136" i="39"/>
  <c r="N137" i="39"/>
  <c r="N138" i="39"/>
  <c r="N139" i="39"/>
  <c r="N140" i="39"/>
  <c r="N141" i="39"/>
  <c r="N142" i="39"/>
  <c r="N143" i="39"/>
  <c r="N144" i="39"/>
  <c r="N145" i="39"/>
  <c r="N146" i="39"/>
  <c r="N147" i="39"/>
  <c r="N148" i="39"/>
  <c r="N149" i="39"/>
  <c r="N150" i="39"/>
  <c r="N151" i="39"/>
  <c r="N152" i="39"/>
  <c r="N153" i="39"/>
  <c r="N154" i="39"/>
  <c r="N155" i="39"/>
  <c r="N156" i="39"/>
  <c r="N157" i="39"/>
  <c r="N158" i="39"/>
  <c r="N159" i="39"/>
  <c r="N160" i="39"/>
  <c r="N161" i="39"/>
  <c r="N162" i="39"/>
  <c r="N163" i="39"/>
  <c r="N164" i="39"/>
  <c r="N165" i="39"/>
  <c r="N166" i="39"/>
  <c r="N167" i="39"/>
  <c r="N168" i="39"/>
  <c r="N169" i="39"/>
  <c r="N170" i="39"/>
  <c r="N171" i="39"/>
  <c r="N172" i="39"/>
  <c r="N173" i="39"/>
  <c r="N174" i="39"/>
  <c r="N175" i="39"/>
  <c r="N176" i="39"/>
  <c r="N177" i="39"/>
  <c r="N178" i="39"/>
  <c r="N179" i="39"/>
  <c r="N180" i="39"/>
  <c r="N181" i="39"/>
  <c r="N182" i="39"/>
  <c r="N183" i="39"/>
  <c r="N184" i="39"/>
  <c r="N185" i="39"/>
  <c r="N186" i="39"/>
  <c r="N187" i="39"/>
  <c r="N188" i="39"/>
  <c r="N189" i="39"/>
  <c r="N190" i="39"/>
  <c r="N191" i="39"/>
  <c r="N192" i="39"/>
  <c r="N193" i="39"/>
  <c r="N194" i="39"/>
  <c r="N195" i="39"/>
  <c r="N196" i="39"/>
  <c r="N197" i="39"/>
  <c r="N198" i="39"/>
  <c r="N199" i="39"/>
  <c r="N200" i="39"/>
  <c r="N201" i="39"/>
  <c r="N202" i="39"/>
  <c r="N203" i="39"/>
  <c r="N204" i="39"/>
  <c r="N205" i="39"/>
  <c r="N206" i="39"/>
  <c r="N207" i="39"/>
  <c r="N208" i="39"/>
  <c r="N209" i="39"/>
  <c r="N210" i="39"/>
  <c r="N211" i="39"/>
  <c r="N212" i="39"/>
  <c r="N213" i="39"/>
  <c r="N214" i="39"/>
  <c r="N215" i="39"/>
  <c r="N216" i="39"/>
  <c r="N217" i="39"/>
  <c r="N218" i="39"/>
  <c r="N219" i="39"/>
  <c r="N220" i="39"/>
  <c r="N221" i="39"/>
  <c r="N222" i="39"/>
  <c r="N223" i="39"/>
  <c r="N224" i="39"/>
  <c r="N225" i="39"/>
  <c r="N226" i="39"/>
  <c r="N227" i="39"/>
  <c r="N228" i="39"/>
  <c r="N229" i="39"/>
  <c r="N230" i="39"/>
  <c r="N231" i="39"/>
  <c r="N232" i="39"/>
  <c r="N233" i="39"/>
  <c r="N234" i="39"/>
  <c r="N235" i="39"/>
  <c r="N236" i="39"/>
  <c r="N237" i="39"/>
  <c r="N238" i="39"/>
  <c r="N239" i="39"/>
  <c r="N240" i="39"/>
  <c r="N241" i="39"/>
  <c r="N242" i="39"/>
  <c r="N243" i="39"/>
  <c r="N244" i="39"/>
  <c r="N245" i="39"/>
  <c r="N246" i="39"/>
  <c r="N247" i="39"/>
  <c r="N248" i="39"/>
  <c r="N249" i="39"/>
  <c r="N250" i="39"/>
  <c r="N251" i="39"/>
  <c r="N252" i="39"/>
  <c r="N253" i="39"/>
  <c r="N254" i="39"/>
  <c r="N255" i="39"/>
  <c r="N256" i="39"/>
  <c r="N257" i="39"/>
  <c r="N258" i="39"/>
  <c r="N259" i="39"/>
  <c r="N260" i="39"/>
  <c r="N261" i="39"/>
  <c r="N262" i="39"/>
  <c r="N263" i="39"/>
  <c r="N264" i="39"/>
  <c r="N265" i="39"/>
  <c r="N266" i="39"/>
  <c r="N267" i="39"/>
  <c r="N268" i="39"/>
  <c r="N269" i="39"/>
  <c r="N270" i="39"/>
  <c r="N271" i="39"/>
  <c r="N272" i="39"/>
  <c r="N273" i="39"/>
  <c r="N274" i="39"/>
  <c r="N275" i="39"/>
  <c r="N276" i="39"/>
  <c r="N277" i="39"/>
  <c r="N278" i="39"/>
  <c r="N279" i="39"/>
  <c r="N280" i="39"/>
  <c r="N281" i="39"/>
  <c r="N282" i="39"/>
  <c r="N283" i="39"/>
  <c r="N284" i="39"/>
  <c r="N285" i="39"/>
  <c r="N286" i="39"/>
  <c r="N287" i="39"/>
  <c r="N288" i="39"/>
  <c r="N289" i="39"/>
  <c r="N290" i="39"/>
  <c r="N291" i="39"/>
  <c r="N292" i="39"/>
  <c r="N293" i="39"/>
  <c r="N294" i="39"/>
  <c r="N295" i="39"/>
  <c r="N296" i="39"/>
  <c r="N297" i="39"/>
  <c r="N298" i="39"/>
  <c r="N299" i="39"/>
  <c r="N300" i="39"/>
  <c r="N301" i="39"/>
  <c r="N302" i="39"/>
  <c r="N303" i="39"/>
  <c r="N304" i="39"/>
  <c r="N305" i="39"/>
  <c r="N306" i="39"/>
  <c r="N307" i="39"/>
  <c r="N308" i="39"/>
  <c r="N309" i="39"/>
  <c r="N310" i="39"/>
  <c r="N311" i="39"/>
  <c r="N312" i="39"/>
  <c r="N313" i="39"/>
  <c r="N314" i="39"/>
  <c r="N315" i="39"/>
  <c r="N316" i="39"/>
  <c r="N317" i="39"/>
  <c r="N318" i="39"/>
  <c r="N319" i="39"/>
  <c r="N320" i="39"/>
  <c r="N321" i="39"/>
  <c r="N322" i="39"/>
  <c r="N323" i="39"/>
  <c r="N324" i="39"/>
  <c r="N325" i="39"/>
  <c r="N326" i="39"/>
  <c r="N327" i="39"/>
  <c r="N328" i="39"/>
  <c r="N329" i="39"/>
  <c r="N330" i="39"/>
  <c r="N331" i="39"/>
  <c r="N332" i="39"/>
  <c r="N333" i="39"/>
  <c r="N334" i="39"/>
  <c r="N335" i="39"/>
  <c r="N336" i="39"/>
  <c r="N337" i="39"/>
  <c r="N338" i="39"/>
  <c r="N339" i="39"/>
  <c r="N340" i="39"/>
  <c r="N341" i="39"/>
  <c r="N342" i="39"/>
  <c r="N343" i="39"/>
  <c r="N344" i="39"/>
  <c r="N345" i="39"/>
  <c r="N346" i="39"/>
  <c r="N347" i="39"/>
  <c r="N348" i="39"/>
  <c r="N349" i="39"/>
  <c r="N350" i="39"/>
  <c r="N351" i="39"/>
  <c r="N352" i="39"/>
  <c r="N353" i="39"/>
  <c r="N354" i="39"/>
  <c r="N355" i="39"/>
  <c r="N356" i="39"/>
  <c r="N357" i="39"/>
  <c r="N358" i="39"/>
  <c r="N359" i="39"/>
  <c r="N360" i="39"/>
  <c r="N361" i="39"/>
  <c r="N362" i="39"/>
  <c r="N363" i="39"/>
  <c r="N364" i="39"/>
  <c r="N365" i="39"/>
  <c r="N366" i="39"/>
  <c r="N367" i="39"/>
  <c r="N368" i="39"/>
  <c r="N369" i="39"/>
  <c r="N370" i="39"/>
  <c r="N371" i="39"/>
  <c r="N372" i="39"/>
  <c r="N373" i="39"/>
  <c r="N374" i="39"/>
  <c r="N375" i="39"/>
  <c r="N376" i="39"/>
  <c r="N377" i="39"/>
  <c r="N378" i="39"/>
  <c r="N379" i="39"/>
  <c r="N380" i="39"/>
  <c r="N381" i="39"/>
  <c r="N382" i="39"/>
  <c r="N383" i="39"/>
  <c r="N384" i="39"/>
  <c r="N385" i="39"/>
  <c r="N386" i="39"/>
  <c r="N387" i="39"/>
  <c r="N388" i="39"/>
  <c r="N389" i="39"/>
  <c r="N390" i="39"/>
  <c r="N391" i="39"/>
  <c r="N392" i="39"/>
  <c r="N393" i="39"/>
  <c r="N394" i="39"/>
  <c r="N395" i="39"/>
  <c r="N396" i="39"/>
  <c r="N397" i="39"/>
  <c r="N398" i="39"/>
  <c r="N399" i="39"/>
  <c r="N400" i="39"/>
  <c r="N401" i="39"/>
  <c r="N402" i="39"/>
  <c r="N403" i="39"/>
  <c r="N404" i="39"/>
  <c r="N405" i="39"/>
  <c r="N406" i="39"/>
  <c r="N407" i="39"/>
  <c r="N408" i="39"/>
  <c r="N409" i="39"/>
  <c r="N410" i="39"/>
  <c r="N411" i="39"/>
  <c r="N412" i="39"/>
  <c r="N413" i="39"/>
  <c r="N414" i="39"/>
  <c r="N415" i="39"/>
  <c r="N416" i="39"/>
  <c r="N417" i="39"/>
  <c r="N418" i="39"/>
  <c r="N419" i="39"/>
  <c r="N420" i="39"/>
  <c r="N421" i="39"/>
  <c r="N422" i="39"/>
  <c r="N423" i="39"/>
  <c r="N424" i="39"/>
  <c r="N425" i="39"/>
  <c r="N426" i="39"/>
  <c r="N427" i="39"/>
  <c r="N428" i="39"/>
  <c r="N429" i="39"/>
  <c r="N430" i="39"/>
  <c r="N431" i="39"/>
  <c r="N432" i="39"/>
  <c r="N433" i="39"/>
  <c r="N434" i="39"/>
  <c r="N435" i="39"/>
  <c r="N436" i="39"/>
  <c r="N437" i="39"/>
  <c r="N438" i="39"/>
  <c r="N439" i="39"/>
  <c r="N440" i="39"/>
  <c r="N441" i="39"/>
  <c r="N442" i="39"/>
  <c r="N443" i="39"/>
  <c r="N444" i="39"/>
  <c r="N445" i="39"/>
  <c r="N446" i="39"/>
  <c r="N447" i="39"/>
  <c r="N448" i="39"/>
  <c r="N449" i="39"/>
  <c r="N450" i="39"/>
  <c r="N451" i="39"/>
  <c r="N452" i="39"/>
  <c r="N453" i="39"/>
  <c r="N454" i="39"/>
  <c r="N455" i="39"/>
  <c r="N456" i="39"/>
  <c r="N457" i="39"/>
  <c r="N458" i="39"/>
  <c r="N459" i="39"/>
  <c r="N460" i="39"/>
  <c r="N461" i="39"/>
  <c r="N462" i="39"/>
  <c r="N463" i="39"/>
  <c r="N464" i="39"/>
  <c r="N465" i="39"/>
  <c r="N466" i="39"/>
  <c r="N467" i="39"/>
  <c r="N468" i="39"/>
  <c r="N469" i="39"/>
  <c r="N470" i="39"/>
  <c r="N471" i="39"/>
  <c r="N472" i="39"/>
  <c r="N473" i="39"/>
  <c r="N474" i="39"/>
  <c r="N475" i="39"/>
  <c r="N476" i="39"/>
  <c r="N477" i="39"/>
  <c r="N478" i="39"/>
  <c r="N479" i="39"/>
  <c r="N480" i="39"/>
  <c r="N481" i="39"/>
  <c r="N482" i="39"/>
  <c r="N483" i="39"/>
  <c r="N484" i="39"/>
  <c r="N485" i="39"/>
  <c r="N486" i="39"/>
  <c r="N487" i="39"/>
  <c r="N488" i="39"/>
  <c r="N489" i="39"/>
  <c r="N490" i="39"/>
  <c r="N491" i="39"/>
  <c r="N492" i="39"/>
  <c r="N493" i="39"/>
  <c r="N494" i="39"/>
  <c r="N495" i="39"/>
  <c r="N496" i="39"/>
  <c r="N497" i="39"/>
  <c r="N498" i="39"/>
  <c r="N499" i="39"/>
  <c r="N500" i="39"/>
  <c r="N501" i="39"/>
  <c r="M2" i="39"/>
  <c r="M3" i="39"/>
  <c r="M4" i="39"/>
  <c r="M5" i="39"/>
  <c r="M6" i="39"/>
  <c r="M7" i="39"/>
  <c r="M8" i="39"/>
  <c r="M9" i="39"/>
  <c r="M10" i="39"/>
  <c r="M11" i="39"/>
  <c r="M12" i="39"/>
  <c r="M13" i="39"/>
  <c r="M14" i="39"/>
  <c r="M15" i="39"/>
  <c r="M16" i="39"/>
  <c r="M17" i="39"/>
  <c r="M18" i="39"/>
  <c r="M19" i="39"/>
  <c r="M20" i="39"/>
  <c r="M21" i="39"/>
  <c r="M22" i="39"/>
  <c r="M23" i="39"/>
  <c r="M24" i="39"/>
  <c r="M25" i="39"/>
  <c r="M26" i="39"/>
  <c r="M27" i="39"/>
  <c r="M28" i="39"/>
  <c r="M29" i="39"/>
  <c r="M30" i="39"/>
  <c r="M31" i="39"/>
  <c r="M32" i="39"/>
  <c r="M33" i="39"/>
  <c r="M34" i="39"/>
  <c r="M35" i="39"/>
  <c r="M36" i="39"/>
  <c r="M37" i="39"/>
  <c r="M38" i="39"/>
  <c r="M39" i="39"/>
  <c r="M40" i="39"/>
  <c r="M41" i="39"/>
  <c r="M42" i="39"/>
  <c r="M43" i="39"/>
  <c r="M44" i="39"/>
  <c r="M45" i="39"/>
  <c r="M46" i="39"/>
  <c r="M47" i="39"/>
  <c r="M48" i="39"/>
  <c r="M49" i="39"/>
  <c r="M50" i="39"/>
  <c r="M51" i="39"/>
  <c r="M52" i="39"/>
  <c r="M53" i="39"/>
  <c r="M54" i="39"/>
  <c r="M55" i="39"/>
  <c r="M56" i="39"/>
  <c r="M57" i="39"/>
  <c r="M58" i="39"/>
  <c r="M59" i="39"/>
  <c r="M60" i="39"/>
  <c r="M61" i="39"/>
  <c r="M62" i="39"/>
  <c r="M63" i="39"/>
  <c r="M64" i="39"/>
  <c r="M65" i="39"/>
  <c r="M66" i="39"/>
  <c r="M67" i="39"/>
  <c r="M68" i="39"/>
  <c r="M69" i="39"/>
  <c r="M70" i="39"/>
  <c r="M71" i="39"/>
  <c r="M72" i="39"/>
  <c r="M73" i="39"/>
  <c r="M74" i="39"/>
  <c r="M75" i="39"/>
  <c r="M76" i="39"/>
  <c r="M77" i="39"/>
  <c r="M78" i="39"/>
  <c r="M79" i="39"/>
  <c r="M80" i="39"/>
  <c r="M81" i="39"/>
  <c r="M82" i="39"/>
  <c r="M83" i="39"/>
  <c r="M84" i="39"/>
  <c r="M85" i="39"/>
  <c r="M86" i="39"/>
  <c r="M87" i="39"/>
  <c r="M88" i="39"/>
  <c r="M89" i="39"/>
  <c r="M90" i="39"/>
  <c r="M91" i="39"/>
  <c r="M92" i="39"/>
  <c r="M93" i="39"/>
  <c r="M94" i="39"/>
  <c r="M95" i="39"/>
  <c r="M96" i="39"/>
  <c r="M97" i="39"/>
  <c r="M98" i="39"/>
  <c r="M99" i="39"/>
  <c r="M100" i="39"/>
  <c r="M101" i="39"/>
  <c r="M102" i="39"/>
  <c r="M103" i="39"/>
  <c r="M104" i="39"/>
  <c r="M105" i="39"/>
  <c r="M106" i="39"/>
  <c r="M107" i="39"/>
  <c r="M108" i="39"/>
  <c r="M109" i="39"/>
  <c r="M110" i="39"/>
  <c r="M111" i="39"/>
  <c r="M112" i="39"/>
  <c r="M113" i="39"/>
  <c r="M114" i="39"/>
  <c r="M115" i="39"/>
  <c r="M116" i="39"/>
  <c r="M117" i="39"/>
  <c r="M118" i="39"/>
  <c r="M119" i="39"/>
  <c r="M120" i="39"/>
  <c r="M121" i="39"/>
  <c r="M122" i="39"/>
  <c r="M123" i="39"/>
  <c r="M124" i="39"/>
  <c r="M125" i="39"/>
  <c r="M126" i="39"/>
  <c r="M127" i="39"/>
  <c r="M128" i="39"/>
  <c r="M129" i="39"/>
  <c r="M130" i="39"/>
  <c r="M131" i="39"/>
  <c r="M132" i="39"/>
  <c r="M133" i="39"/>
  <c r="M134" i="39"/>
  <c r="M135" i="39"/>
  <c r="M136" i="39"/>
  <c r="M137" i="39"/>
  <c r="M138" i="39"/>
  <c r="M139" i="39"/>
  <c r="M140" i="39"/>
  <c r="M141" i="39"/>
  <c r="M142" i="39"/>
  <c r="M143" i="39"/>
  <c r="M144" i="39"/>
  <c r="M145" i="39"/>
  <c r="M146" i="39"/>
  <c r="M147" i="39"/>
  <c r="M148" i="39"/>
  <c r="M149" i="39"/>
  <c r="M150" i="39"/>
  <c r="M151" i="39"/>
  <c r="M152" i="39"/>
  <c r="M153" i="39"/>
  <c r="M154" i="39"/>
  <c r="M155" i="39"/>
  <c r="M156" i="39"/>
  <c r="M157" i="39"/>
  <c r="M158" i="39"/>
  <c r="M159" i="39"/>
  <c r="M160" i="39"/>
  <c r="M161" i="39"/>
  <c r="M162" i="39"/>
  <c r="M163" i="39"/>
  <c r="M164" i="39"/>
  <c r="M165" i="39"/>
  <c r="M166" i="39"/>
  <c r="M167" i="39"/>
  <c r="M168" i="39"/>
  <c r="M169" i="39"/>
  <c r="M170" i="39"/>
  <c r="M171" i="39"/>
  <c r="M172" i="39"/>
  <c r="M173" i="39"/>
  <c r="M174" i="39"/>
  <c r="M175" i="39"/>
  <c r="M176" i="39"/>
  <c r="M177" i="39"/>
  <c r="M178" i="39"/>
  <c r="M179" i="39"/>
  <c r="M180" i="39"/>
  <c r="M181" i="39"/>
  <c r="M182" i="39"/>
  <c r="M183" i="39"/>
  <c r="M184" i="39"/>
  <c r="M185" i="39"/>
  <c r="M186" i="39"/>
  <c r="M187" i="39"/>
  <c r="M188" i="39"/>
  <c r="M189" i="39"/>
  <c r="M190" i="39"/>
  <c r="M191" i="39"/>
  <c r="M192" i="39"/>
  <c r="M193" i="39"/>
  <c r="M194" i="39"/>
  <c r="M195" i="39"/>
  <c r="M196" i="39"/>
  <c r="M197" i="39"/>
  <c r="M198" i="39"/>
  <c r="M199" i="39"/>
  <c r="M200" i="39"/>
  <c r="M201" i="39"/>
  <c r="M202" i="39"/>
  <c r="M203" i="39"/>
  <c r="M204" i="39"/>
  <c r="M205" i="39"/>
  <c r="M206" i="39"/>
  <c r="M207" i="39"/>
  <c r="M208" i="39"/>
  <c r="M209" i="39"/>
  <c r="M210" i="39"/>
  <c r="M211" i="39"/>
  <c r="M212" i="39"/>
  <c r="M213" i="39"/>
  <c r="M214" i="39"/>
  <c r="M215" i="39"/>
  <c r="M216" i="39"/>
  <c r="M217" i="39"/>
  <c r="M218" i="39"/>
  <c r="M219" i="39"/>
  <c r="M220" i="39"/>
  <c r="M221" i="39"/>
  <c r="M222" i="39"/>
  <c r="M223" i="39"/>
  <c r="M224" i="39"/>
  <c r="M225" i="39"/>
  <c r="M226" i="39"/>
  <c r="M227" i="39"/>
  <c r="M228" i="39"/>
  <c r="M229" i="39"/>
  <c r="M230" i="39"/>
  <c r="M231" i="39"/>
  <c r="M232" i="39"/>
  <c r="M233" i="39"/>
  <c r="M234" i="39"/>
  <c r="M235" i="39"/>
  <c r="M236" i="39"/>
  <c r="M237" i="39"/>
  <c r="M238" i="39"/>
  <c r="M239" i="39"/>
  <c r="M240" i="39"/>
  <c r="M241" i="39"/>
  <c r="M242" i="39"/>
  <c r="M243" i="39"/>
  <c r="M244" i="39"/>
  <c r="M245" i="39"/>
  <c r="M246" i="39"/>
  <c r="M247" i="39"/>
  <c r="M248" i="39"/>
  <c r="M249" i="39"/>
  <c r="M250" i="39"/>
  <c r="M251" i="39"/>
  <c r="M252" i="39"/>
  <c r="M253" i="39"/>
  <c r="M254" i="39"/>
  <c r="M255" i="39"/>
  <c r="M256" i="39"/>
  <c r="M257" i="39"/>
  <c r="M258" i="39"/>
  <c r="M259" i="39"/>
  <c r="M260" i="39"/>
  <c r="M261" i="39"/>
  <c r="M262" i="39"/>
  <c r="M263" i="39"/>
  <c r="M264" i="39"/>
  <c r="M265" i="39"/>
  <c r="M266" i="39"/>
  <c r="M267" i="39"/>
  <c r="M268" i="39"/>
  <c r="M269" i="39"/>
  <c r="M270" i="39"/>
  <c r="M271" i="39"/>
  <c r="M272" i="39"/>
  <c r="M273" i="39"/>
  <c r="M274" i="39"/>
  <c r="M275" i="39"/>
  <c r="M276" i="39"/>
  <c r="M277" i="39"/>
  <c r="M278" i="39"/>
  <c r="M279" i="39"/>
  <c r="M280" i="39"/>
  <c r="M281" i="39"/>
  <c r="M282" i="39"/>
  <c r="M283" i="39"/>
  <c r="M284" i="39"/>
  <c r="M285" i="39"/>
  <c r="M286" i="39"/>
  <c r="M287" i="39"/>
  <c r="M288" i="39"/>
  <c r="M289" i="39"/>
  <c r="M290" i="39"/>
  <c r="M291" i="39"/>
  <c r="M292" i="39"/>
  <c r="M293" i="39"/>
  <c r="M294" i="39"/>
  <c r="M295" i="39"/>
  <c r="M296" i="39"/>
  <c r="M297" i="39"/>
  <c r="M298" i="39"/>
  <c r="M299" i="39"/>
  <c r="M300" i="39"/>
  <c r="M301" i="39"/>
  <c r="M302" i="39"/>
  <c r="M303" i="39"/>
  <c r="M304" i="39"/>
  <c r="M305" i="39"/>
  <c r="M306" i="39"/>
  <c r="M307" i="39"/>
  <c r="M308" i="39"/>
  <c r="M309" i="39"/>
  <c r="M310" i="39"/>
  <c r="M311" i="39"/>
  <c r="M312" i="39"/>
  <c r="M313" i="39"/>
  <c r="M314" i="39"/>
  <c r="M315" i="39"/>
  <c r="M316" i="39"/>
  <c r="M317" i="39"/>
  <c r="M318" i="39"/>
  <c r="M319" i="39"/>
  <c r="M320" i="39"/>
  <c r="M321" i="39"/>
  <c r="M322" i="39"/>
  <c r="M323" i="39"/>
  <c r="M324" i="39"/>
  <c r="M325" i="39"/>
  <c r="M326" i="39"/>
  <c r="M327" i="39"/>
  <c r="M328" i="39"/>
  <c r="M329" i="39"/>
  <c r="M330" i="39"/>
  <c r="M331" i="39"/>
  <c r="M332" i="39"/>
  <c r="M333" i="39"/>
  <c r="M334" i="39"/>
  <c r="M335" i="39"/>
  <c r="M336" i="39"/>
  <c r="M337" i="39"/>
  <c r="M338" i="39"/>
  <c r="M339" i="39"/>
  <c r="M340" i="39"/>
  <c r="M341" i="39"/>
  <c r="M342" i="39"/>
  <c r="M343" i="39"/>
  <c r="M344" i="39"/>
  <c r="M345" i="39"/>
  <c r="M346" i="39"/>
  <c r="M347" i="39"/>
  <c r="M348" i="39"/>
  <c r="M349" i="39"/>
  <c r="M350" i="39"/>
  <c r="M351" i="39"/>
  <c r="M352" i="39"/>
  <c r="M353" i="39"/>
  <c r="M354" i="39"/>
  <c r="M355" i="39"/>
  <c r="M356" i="39"/>
  <c r="M357" i="39"/>
  <c r="M358" i="39"/>
  <c r="M359" i="39"/>
  <c r="M360" i="39"/>
  <c r="M361" i="39"/>
  <c r="M362" i="39"/>
  <c r="M363" i="39"/>
  <c r="M364" i="39"/>
  <c r="M365" i="39"/>
  <c r="M366" i="39"/>
  <c r="M367" i="39"/>
  <c r="M368" i="39"/>
  <c r="M369" i="39"/>
  <c r="M370" i="39"/>
  <c r="M371" i="39"/>
  <c r="M372" i="39"/>
  <c r="M373" i="39"/>
  <c r="M374" i="39"/>
  <c r="M375" i="39"/>
  <c r="M376" i="39"/>
  <c r="M377" i="39"/>
  <c r="M378" i="39"/>
  <c r="M379" i="39"/>
  <c r="M380" i="39"/>
  <c r="M381" i="39"/>
  <c r="M382" i="39"/>
  <c r="M383" i="39"/>
  <c r="M384" i="39"/>
  <c r="M385" i="39"/>
  <c r="M386" i="39"/>
  <c r="M387" i="39"/>
  <c r="M388" i="39"/>
  <c r="M389" i="39"/>
  <c r="M390" i="39"/>
  <c r="M391" i="39"/>
  <c r="M392" i="39"/>
  <c r="M393" i="39"/>
  <c r="M394" i="39"/>
  <c r="M395" i="39"/>
  <c r="M396" i="39"/>
  <c r="M397" i="39"/>
  <c r="M398" i="39"/>
  <c r="M399" i="39"/>
  <c r="M400" i="39"/>
  <c r="M401" i="39"/>
  <c r="M402" i="39"/>
  <c r="M403" i="39"/>
  <c r="M404" i="39"/>
  <c r="M405" i="39"/>
  <c r="M406" i="39"/>
  <c r="M407" i="39"/>
  <c r="M408" i="39"/>
  <c r="M409" i="39"/>
  <c r="M410" i="39"/>
  <c r="M411" i="39"/>
  <c r="M412" i="39"/>
  <c r="M413" i="39"/>
  <c r="M414" i="39"/>
  <c r="M415" i="39"/>
  <c r="M416" i="39"/>
  <c r="M417" i="39"/>
  <c r="M418" i="39"/>
  <c r="M419" i="39"/>
  <c r="M420" i="39"/>
  <c r="M421" i="39"/>
  <c r="M422" i="39"/>
  <c r="M423" i="39"/>
  <c r="M424" i="39"/>
  <c r="M425" i="39"/>
  <c r="M426" i="39"/>
  <c r="M427" i="39"/>
  <c r="M428" i="39"/>
  <c r="M429" i="39"/>
  <c r="M430" i="39"/>
  <c r="M431" i="39"/>
  <c r="M432" i="39"/>
  <c r="M433" i="39"/>
  <c r="M434" i="39"/>
  <c r="M435" i="39"/>
  <c r="M436" i="39"/>
  <c r="M437" i="39"/>
  <c r="M438" i="39"/>
  <c r="M439" i="39"/>
  <c r="M440" i="39"/>
  <c r="M441" i="39"/>
  <c r="M442" i="39"/>
  <c r="M443" i="39"/>
  <c r="M444" i="39"/>
  <c r="M445" i="39"/>
  <c r="M446" i="39"/>
  <c r="M447" i="39"/>
  <c r="M448" i="39"/>
  <c r="M449" i="39"/>
  <c r="M450" i="39"/>
  <c r="M451" i="39"/>
  <c r="M452" i="39"/>
  <c r="M453" i="39"/>
  <c r="M454" i="39"/>
  <c r="M455" i="39"/>
  <c r="M456" i="39"/>
  <c r="M457" i="39"/>
  <c r="M458" i="39"/>
  <c r="M459" i="39"/>
  <c r="M460" i="39"/>
  <c r="M461" i="39"/>
  <c r="M462" i="39"/>
  <c r="M463" i="39"/>
  <c r="M464" i="39"/>
  <c r="M465" i="39"/>
  <c r="M466" i="39"/>
  <c r="M467" i="39"/>
  <c r="M468" i="39"/>
  <c r="M469" i="39"/>
  <c r="M470" i="39"/>
  <c r="M471" i="39"/>
  <c r="M472" i="39"/>
  <c r="M473" i="39"/>
  <c r="M474" i="39"/>
  <c r="M475" i="39"/>
  <c r="M476" i="39"/>
  <c r="M477" i="39"/>
  <c r="M478" i="39"/>
  <c r="M479" i="39"/>
  <c r="M480" i="39"/>
  <c r="M481" i="39"/>
  <c r="M482" i="39"/>
  <c r="M483" i="39"/>
  <c r="M484" i="39"/>
  <c r="M485" i="39"/>
  <c r="M486" i="39"/>
  <c r="M487" i="39"/>
  <c r="M488" i="39"/>
  <c r="M489" i="39"/>
  <c r="M490" i="39"/>
  <c r="M491" i="39"/>
  <c r="M492" i="39"/>
  <c r="M493" i="39"/>
  <c r="M494" i="39"/>
  <c r="M495" i="39"/>
  <c r="M496" i="39"/>
  <c r="M497" i="39"/>
  <c r="M498" i="39"/>
  <c r="M499" i="39"/>
  <c r="M500" i="39"/>
  <c r="M501" i="39"/>
  <c r="H64" i="65"/>
  <c r="H63" i="65"/>
  <c r="H62" i="65"/>
  <c r="H65" i="65"/>
  <c r="H60" i="65"/>
  <c r="H66" i="65"/>
  <c r="H61" i="65"/>
  <c r="H67" i="65"/>
  <c r="J62" i="65" l="1"/>
  <c r="J67" i="65"/>
  <c r="J60" i="65"/>
  <c r="J65" i="65"/>
  <c r="J63" i="65"/>
  <c r="J64" i="65"/>
  <c r="J61" i="65"/>
  <c r="J66" i="65"/>
  <c r="K401" i="66"/>
  <c r="K393" i="66"/>
  <c r="K385" i="66"/>
  <c r="K377" i="66"/>
  <c r="K369" i="66"/>
  <c r="K361" i="66"/>
  <c r="K353" i="66"/>
  <c r="K345" i="66"/>
  <c r="K337" i="66"/>
  <c r="K329" i="66"/>
  <c r="K321" i="66"/>
  <c r="K313" i="66"/>
  <c r="K305" i="66"/>
  <c r="K297" i="66"/>
  <c r="K289" i="66"/>
  <c r="K281" i="66"/>
  <c r="K273" i="66"/>
  <c r="K265" i="66"/>
  <c r="K257" i="66"/>
  <c r="K249" i="66"/>
  <c r="K241" i="66"/>
  <c r="K233" i="66"/>
  <c r="K225" i="66"/>
  <c r="K217" i="66"/>
  <c r="K209" i="66"/>
  <c r="K201" i="66"/>
  <c r="K193" i="66"/>
  <c r="K185" i="66"/>
  <c r="K177" i="66"/>
  <c r="K169" i="66"/>
  <c r="K161" i="66"/>
  <c r="K153" i="66"/>
  <c r="K145" i="66"/>
  <c r="K137" i="66"/>
  <c r="K129" i="66"/>
  <c r="K121" i="66"/>
  <c r="K113" i="66"/>
  <c r="K105" i="66"/>
  <c r="K97" i="66"/>
  <c r="K89" i="66"/>
  <c r="K81" i="66"/>
  <c r="K73" i="66"/>
  <c r="K65" i="66"/>
  <c r="K57" i="66"/>
  <c r="K49" i="66"/>
  <c r="K41" i="66"/>
  <c r="K33" i="66"/>
  <c r="K25" i="66"/>
  <c r="K17" i="66"/>
  <c r="K9" i="66"/>
  <c r="Q494" i="39"/>
  <c r="Q486" i="39"/>
  <c r="Q478" i="39"/>
  <c r="Q470" i="39"/>
  <c r="J486" i="39"/>
  <c r="K486" i="39" s="1"/>
  <c r="J478" i="39"/>
  <c r="K478" i="39" s="1"/>
  <c r="J470" i="39"/>
  <c r="K470" i="39" s="1"/>
  <c r="J462" i="39"/>
  <c r="K462" i="39" s="1"/>
  <c r="J454" i="39"/>
  <c r="K454" i="39" s="1"/>
  <c r="J446" i="39"/>
  <c r="K446" i="39" s="1"/>
  <c r="J438" i="39"/>
  <c r="K438" i="39" s="1"/>
  <c r="J414" i="39"/>
  <c r="K414" i="39" s="1"/>
  <c r="J406" i="39"/>
  <c r="K406" i="39" s="1"/>
  <c r="J398" i="39"/>
  <c r="K398" i="39" s="1"/>
  <c r="J390" i="39"/>
  <c r="K390" i="39" s="1"/>
  <c r="J374" i="39"/>
  <c r="K374" i="39" s="1"/>
  <c r="J366" i="39"/>
  <c r="K366" i="39" s="1"/>
  <c r="J358" i="39"/>
  <c r="K358" i="39" s="1"/>
  <c r="J350" i="39"/>
  <c r="K350" i="39" s="1"/>
  <c r="J342" i="39"/>
  <c r="K342" i="39" s="1"/>
  <c r="J334" i="39"/>
  <c r="K334" i="39" s="1"/>
  <c r="J326" i="39"/>
  <c r="K326" i="39" s="1"/>
  <c r="J318" i="39"/>
  <c r="K318" i="39" s="1"/>
  <c r="J310" i="39"/>
  <c r="K310" i="39" s="1"/>
  <c r="J302" i="39"/>
  <c r="K302" i="39" s="1"/>
  <c r="J294" i="39"/>
  <c r="K294" i="39" s="1"/>
  <c r="J286" i="39"/>
  <c r="K286" i="39" s="1"/>
  <c r="J278" i="39"/>
  <c r="K278" i="39" s="1"/>
  <c r="J270" i="39"/>
  <c r="K270" i="39" s="1"/>
  <c r="J262" i="39"/>
  <c r="K262" i="39" s="1"/>
  <c r="J254" i="39"/>
  <c r="K254" i="39" s="1"/>
  <c r="J246" i="39"/>
  <c r="K246" i="39" s="1"/>
  <c r="J238" i="39"/>
  <c r="K238" i="39" s="1"/>
  <c r="J214" i="39"/>
  <c r="K214" i="39" s="1"/>
  <c r="J206" i="39"/>
  <c r="K206" i="39" s="1"/>
  <c r="J198" i="39"/>
  <c r="K198" i="39" s="1"/>
  <c r="J190" i="39"/>
  <c r="K190" i="39" s="1"/>
  <c r="J182" i="39"/>
  <c r="K182" i="39" s="1"/>
  <c r="J174" i="39"/>
  <c r="K174" i="39" s="1"/>
  <c r="J166" i="39"/>
  <c r="K166" i="39" s="1"/>
  <c r="J158" i="39"/>
  <c r="K158" i="39" s="1"/>
  <c r="J150" i="39"/>
  <c r="K150" i="39" s="1"/>
  <c r="J142" i="39"/>
  <c r="K142" i="39" s="1"/>
  <c r="J126" i="39"/>
  <c r="K126" i="39" s="1"/>
  <c r="J110" i="39"/>
  <c r="K110" i="39" s="1"/>
  <c r="J102" i="39"/>
  <c r="K102" i="39" s="1"/>
  <c r="J94" i="39"/>
  <c r="K94" i="39" s="1"/>
  <c r="J86" i="39"/>
  <c r="K86" i="39" s="1"/>
  <c r="J78" i="39"/>
  <c r="K78" i="39" s="1"/>
  <c r="J70" i="39"/>
  <c r="K70" i="39" s="1"/>
  <c r="J62" i="39"/>
  <c r="K62" i="39" s="1"/>
  <c r="J54" i="39"/>
  <c r="K54" i="39" s="1"/>
  <c r="J46" i="39"/>
  <c r="K46" i="39" s="1"/>
  <c r="J38" i="39"/>
  <c r="K38" i="39" s="1"/>
  <c r="J30" i="39"/>
  <c r="K30" i="39" s="1"/>
  <c r="J22" i="39"/>
  <c r="K22" i="39" s="1"/>
  <c r="J14" i="39"/>
  <c r="K14" i="39" s="1"/>
  <c r="J6" i="39"/>
  <c r="K6" i="39" s="1"/>
  <c r="J501" i="39"/>
  <c r="K501" i="39" s="1"/>
  <c r="J493" i="39"/>
  <c r="K493" i="39" s="1"/>
  <c r="J485" i="39"/>
  <c r="K485" i="39" s="1"/>
  <c r="J469" i="39"/>
  <c r="K469" i="39" s="1"/>
  <c r="J453" i="39"/>
  <c r="K453" i="39" s="1"/>
  <c r="J445" i="39"/>
  <c r="K445" i="39" s="1"/>
  <c r="J437" i="39"/>
  <c r="K437" i="39" s="1"/>
  <c r="J429" i="39"/>
  <c r="K429" i="39" s="1"/>
  <c r="J421" i="39"/>
  <c r="K421" i="39" s="1"/>
  <c r="J413" i="39"/>
  <c r="K413" i="39" s="1"/>
  <c r="J405" i="39"/>
  <c r="K405" i="39" s="1"/>
  <c r="J397" i="39"/>
  <c r="K397" i="39" s="1"/>
  <c r="J389" i="39"/>
  <c r="K389" i="39" s="1"/>
  <c r="J381" i="39"/>
  <c r="K381" i="39" s="1"/>
  <c r="J373" i="39"/>
  <c r="K373" i="39" s="1"/>
  <c r="J365" i="39"/>
  <c r="K365" i="39" s="1"/>
  <c r="J357" i="39"/>
  <c r="K357" i="39" s="1"/>
  <c r="J349" i="39"/>
  <c r="K349" i="39" s="1"/>
  <c r="J341" i="39"/>
  <c r="K341" i="39" s="1"/>
  <c r="J333" i="39"/>
  <c r="K333" i="39" s="1"/>
  <c r="J317" i="39"/>
  <c r="K317" i="39" s="1"/>
  <c r="J309" i="39"/>
  <c r="K309" i="39" s="1"/>
  <c r="J301" i="39"/>
  <c r="K301" i="39" s="1"/>
  <c r="J293" i="39"/>
  <c r="K293" i="39" s="1"/>
  <c r="J285" i="39"/>
  <c r="K285" i="39" s="1"/>
  <c r="J277" i="39"/>
  <c r="K277" i="39" s="1"/>
  <c r="J269" i="39"/>
  <c r="K269" i="39" s="1"/>
  <c r="J261" i="39"/>
  <c r="K261" i="39" s="1"/>
  <c r="J253" i="39"/>
  <c r="K253" i="39" s="1"/>
  <c r="J245" i="39"/>
  <c r="K245" i="39" s="1"/>
  <c r="J237" i="39"/>
  <c r="K237" i="39" s="1"/>
  <c r="J229" i="39"/>
  <c r="K229" i="39" s="1"/>
  <c r="J221" i="39"/>
  <c r="K221" i="39" s="1"/>
  <c r="J213" i="39"/>
  <c r="K213" i="39" s="1"/>
  <c r="J205" i="39"/>
  <c r="K205" i="39" s="1"/>
  <c r="J197" i="39"/>
  <c r="K197" i="39" s="1"/>
  <c r="J189" i="39"/>
  <c r="K189" i="39" s="1"/>
  <c r="J181" i="39"/>
  <c r="K181" i="39" s="1"/>
  <c r="J173" i="39"/>
  <c r="K173" i="39" s="1"/>
  <c r="J165" i="39"/>
  <c r="K165" i="39" s="1"/>
  <c r="J157" i="39"/>
  <c r="K157" i="39" s="1"/>
  <c r="J149" i="39"/>
  <c r="K149" i="39" s="1"/>
  <c r="J141" i="39"/>
  <c r="K141" i="39" s="1"/>
  <c r="J133" i="39"/>
  <c r="K133" i="39" s="1"/>
  <c r="J125" i="39"/>
  <c r="K125" i="39" s="1"/>
  <c r="J117" i="39"/>
  <c r="K117" i="39" s="1"/>
  <c r="J109" i="39"/>
  <c r="K109" i="39" s="1"/>
  <c r="J101" i="39"/>
  <c r="K101" i="39" s="1"/>
  <c r="J93" i="39"/>
  <c r="K93" i="39" s="1"/>
  <c r="J85" i="39"/>
  <c r="K85" i="39" s="1"/>
  <c r="J77" i="39"/>
  <c r="K77" i="39" s="1"/>
  <c r="J69" i="39"/>
  <c r="K69" i="39" s="1"/>
  <c r="J61" i="39"/>
  <c r="K61" i="39" s="1"/>
  <c r="J45" i="39"/>
  <c r="K45" i="39" s="1"/>
  <c r="J37" i="39"/>
  <c r="K37" i="39" s="1"/>
  <c r="J21" i="39"/>
  <c r="K21" i="39" s="1"/>
  <c r="J13" i="39"/>
  <c r="K13" i="39" s="1"/>
  <c r="J5" i="39"/>
  <c r="K5" i="39" s="1"/>
  <c r="J497" i="39"/>
  <c r="K497" i="39" s="1"/>
  <c r="J489" i="39"/>
  <c r="K489" i="39" s="1"/>
  <c r="J481" i="39"/>
  <c r="K481" i="39" s="1"/>
  <c r="J473" i="39"/>
  <c r="K473" i="39" s="1"/>
  <c r="J465" i="39"/>
  <c r="K465" i="39" s="1"/>
  <c r="J457" i="39"/>
  <c r="K457" i="39" s="1"/>
  <c r="J441" i="39"/>
  <c r="K441" i="39" s="1"/>
  <c r="J433" i="39"/>
  <c r="K433" i="39" s="1"/>
  <c r="J425" i="39"/>
  <c r="K425" i="39" s="1"/>
  <c r="J417" i="39"/>
  <c r="K417" i="39" s="1"/>
  <c r="J409" i="39"/>
  <c r="K409" i="39" s="1"/>
  <c r="J401" i="39"/>
  <c r="K401" i="39" s="1"/>
  <c r="J393" i="39"/>
  <c r="K393" i="39" s="1"/>
  <c r="J385" i="39"/>
  <c r="K385" i="39" s="1"/>
  <c r="J377" i="39"/>
  <c r="K377" i="39" s="1"/>
  <c r="J369" i="39"/>
  <c r="K369" i="39" s="1"/>
  <c r="J361" i="39"/>
  <c r="K361" i="39" s="1"/>
  <c r="J353" i="39"/>
  <c r="K353" i="39" s="1"/>
  <c r="J345" i="39"/>
  <c r="K345" i="39" s="1"/>
  <c r="J329" i="39"/>
  <c r="K329" i="39" s="1"/>
  <c r="J321" i="39"/>
  <c r="K321" i="39" s="1"/>
  <c r="J313" i="39"/>
  <c r="K313" i="39" s="1"/>
  <c r="J305" i="39"/>
  <c r="K305" i="39" s="1"/>
  <c r="J297" i="39"/>
  <c r="K297" i="39" s="1"/>
  <c r="J289" i="39"/>
  <c r="K289" i="39" s="1"/>
  <c r="J281" i="39"/>
  <c r="K281" i="39" s="1"/>
  <c r="J273" i="39"/>
  <c r="K273" i="39" s="1"/>
  <c r="J265" i="39"/>
  <c r="K265" i="39" s="1"/>
  <c r="J249" i="39"/>
  <c r="K249" i="39" s="1"/>
  <c r="J241" i="39"/>
  <c r="K241" i="39" s="1"/>
  <c r="J233" i="39"/>
  <c r="K233" i="39" s="1"/>
  <c r="J225" i="39"/>
  <c r="K225" i="39" s="1"/>
  <c r="J217" i="39"/>
  <c r="K217" i="39" s="1"/>
  <c r="J209" i="39"/>
  <c r="K209" i="39" s="1"/>
  <c r="J201" i="39"/>
  <c r="K201" i="39" s="1"/>
  <c r="J193" i="39"/>
  <c r="K193" i="39" s="1"/>
  <c r="J185" i="39"/>
  <c r="K185" i="39" s="1"/>
  <c r="J177" i="39"/>
  <c r="K177" i="39" s="1"/>
  <c r="J169" i="39"/>
  <c r="K169" i="39" s="1"/>
  <c r="J161" i="39"/>
  <c r="K161" i="39" s="1"/>
  <c r="J153" i="39"/>
  <c r="K153" i="39" s="1"/>
  <c r="J145" i="39"/>
  <c r="K145" i="39" s="1"/>
  <c r="J137" i="39"/>
  <c r="K137" i="39" s="1"/>
  <c r="J129" i="39"/>
  <c r="K129" i="39" s="1"/>
  <c r="J121" i="39"/>
  <c r="K121" i="39" s="1"/>
  <c r="J113" i="39"/>
  <c r="K113" i="39" s="1"/>
  <c r="J105" i="39"/>
  <c r="K105" i="39" s="1"/>
  <c r="J97" i="39"/>
  <c r="K97" i="39" s="1"/>
  <c r="J89" i="39"/>
  <c r="K89" i="39" s="1"/>
  <c r="J81" i="39"/>
  <c r="K81" i="39" s="1"/>
  <c r="J73" i="39"/>
  <c r="K73" i="39" s="1"/>
  <c r="J65" i="39"/>
  <c r="K65" i="39" s="1"/>
  <c r="J57" i="39"/>
  <c r="K57" i="39" s="1"/>
  <c r="J49" i="39"/>
  <c r="K49" i="39" s="1"/>
  <c r="J41" i="39"/>
  <c r="K41" i="39" s="1"/>
  <c r="J33" i="39"/>
  <c r="K33" i="39" s="1"/>
  <c r="J25" i="39"/>
  <c r="K25" i="39" s="1"/>
  <c r="J17" i="39"/>
  <c r="K17" i="39" s="1"/>
  <c r="J9" i="39"/>
  <c r="K9" i="39" s="1"/>
  <c r="J500" i="39"/>
  <c r="K500" i="39" s="1"/>
  <c r="J492" i="39"/>
  <c r="K492" i="39" s="1"/>
  <c r="J484" i="39"/>
  <c r="K484" i="39" s="1"/>
  <c r="J476" i="39"/>
  <c r="K476" i="39" s="1"/>
  <c r="J468" i="39"/>
  <c r="K468" i="39" s="1"/>
  <c r="J452" i="39"/>
  <c r="K452" i="39" s="1"/>
  <c r="J444" i="39"/>
  <c r="K444" i="39" s="1"/>
  <c r="J436" i="39"/>
  <c r="K436" i="39" s="1"/>
  <c r="J428" i="39"/>
  <c r="K428" i="39" s="1"/>
  <c r="J420" i="39"/>
  <c r="K420" i="39" s="1"/>
  <c r="J412" i="39"/>
  <c r="K412" i="39" s="1"/>
  <c r="J404" i="39"/>
  <c r="K404" i="39" s="1"/>
  <c r="J396" i="39"/>
  <c r="K396" i="39" s="1"/>
  <c r="J388" i="39"/>
  <c r="K388" i="39" s="1"/>
  <c r="J372" i="39"/>
  <c r="K372" i="39" s="1"/>
  <c r="J364" i="39"/>
  <c r="K364" i="39" s="1"/>
  <c r="J356" i="39"/>
  <c r="K356" i="39" s="1"/>
  <c r="J348" i="39"/>
  <c r="K348" i="39" s="1"/>
  <c r="J340" i="39"/>
  <c r="K340" i="39" s="1"/>
  <c r="J332" i="39"/>
  <c r="K332" i="39" s="1"/>
  <c r="J324" i="39"/>
  <c r="K324" i="39" s="1"/>
  <c r="J316" i="39"/>
  <c r="K316" i="39" s="1"/>
  <c r="J308" i="39"/>
  <c r="K308" i="39" s="1"/>
  <c r="J300" i="39"/>
  <c r="K300" i="39" s="1"/>
  <c r="J292" i="39"/>
  <c r="K292" i="39" s="1"/>
  <c r="J284" i="39"/>
  <c r="K284" i="39" s="1"/>
  <c r="J276" i="39"/>
  <c r="K276" i="39" s="1"/>
  <c r="J268" i="39"/>
  <c r="K268" i="39" s="1"/>
  <c r="J260" i="39"/>
  <c r="K260" i="39" s="1"/>
  <c r="J252" i="39"/>
  <c r="K252" i="39" s="1"/>
  <c r="J236" i="39"/>
  <c r="K236" i="39" s="1"/>
  <c r="J228" i="39"/>
  <c r="K228" i="39" s="1"/>
  <c r="J220" i="39"/>
  <c r="K220" i="39" s="1"/>
  <c r="J212" i="39"/>
  <c r="K212" i="39" s="1"/>
  <c r="J204" i="39"/>
  <c r="K204" i="39" s="1"/>
  <c r="J196" i="39"/>
  <c r="K196" i="39" s="1"/>
  <c r="J188" i="39"/>
  <c r="K188" i="39" s="1"/>
  <c r="J180" i="39"/>
  <c r="K180" i="39" s="1"/>
  <c r="J172" i="39"/>
  <c r="K172" i="39" s="1"/>
  <c r="J164" i="39"/>
  <c r="K164" i="39" s="1"/>
  <c r="J156" i="39"/>
  <c r="K156" i="39" s="1"/>
  <c r="J148" i="39"/>
  <c r="K148" i="39" s="1"/>
  <c r="J140" i="39"/>
  <c r="K140" i="39" s="1"/>
  <c r="J124" i="39"/>
  <c r="K124" i="39" s="1"/>
  <c r="J108" i="39"/>
  <c r="K108" i="39" s="1"/>
  <c r="J100" i="39"/>
  <c r="K100" i="39" s="1"/>
  <c r="J92" i="39"/>
  <c r="K92" i="39" s="1"/>
  <c r="J84" i="39"/>
  <c r="K84" i="39" s="1"/>
  <c r="J68" i="39"/>
  <c r="K68" i="39" s="1"/>
  <c r="J60" i="39"/>
  <c r="K60" i="39" s="1"/>
  <c r="J52" i="39"/>
  <c r="K52" i="39" s="1"/>
  <c r="J44" i="39"/>
  <c r="K44" i="39" s="1"/>
  <c r="J36" i="39"/>
  <c r="K36" i="39" s="1"/>
  <c r="J20" i="39"/>
  <c r="K20" i="39" s="1"/>
  <c r="J12" i="39"/>
  <c r="K12" i="39" s="1"/>
  <c r="J4" i="39"/>
  <c r="K4" i="39" s="1"/>
  <c r="J499" i="39"/>
  <c r="K499" i="39" s="1"/>
  <c r="J491" i="39"/>
  <c r="K491" i="39" s="1"/>
  <c r="J483" i="39"/>
  <c r="K483" i="39" s="1"/>
  <c r="J475" i="39"/>
  <c r="K475" i="39" s="1"/>
  <c r="J467" i="39"/>
  <c r="K467" i="39" s="1"/>
  <c r="J459" i="39"/>
  <c r="K459" i="39" s="1"/>
  <c r="J443" i="39"/>
  <c r="K443" i="39" s="1"/>
  <c r="J435" i="39"/>
  <c r="K435" i="39" s="1"/>
  <c r="J427" i="39"/>
  <c r="K427" i="39" s="1"/>
  <c r="J411" i="39"/>
  <c r="K411" i="39" s="1"/>
  <c r="J403" i="39"/>
  <c r="K403" i="39" s="1"/>
  <c r="J395" i="39"/>
  <c r="K395" i="39" s="1"/>
  <c r="J379" i="39"/>
  <c r="K379" i="39" s="1"/>
  <c r="J363" i="39"/>
  <c r="K363" i="39" s="1"/>
  <c r="J355" i="39"/>
  <c r="K355" i="39" s="1"/>
  <c r="J347" i="39"/>
  <c r="K347" i="39" s="1"/>
  <c r="J339" i="39"/>
  <c r="K339" i="39" s="1"/>
  <c r="J331" i="39"/>
  <c r="K331" i="39" s="1"/>
  <c r="J323" i="39"/>
  <c r="K323" i="39" s="1"/>
  <c r="J315" i="39"/>
  <c r="K315" i="39" s="1"/>
  <c r="J307" i="39"/>
  <c r="K307" i="39" s="1"/>
  <c r="J299" i="39"/>
  <c r="K299" i="39" s="1"/>
  <c r="J291" i="39"/>
  <c r="K291" i="39" s="1"/>
  <c r="J283" i="39"/>
  <c r="K283" i="39" s="1"/>
  <c r="J275" i="39"/>
  <c r="K275" i="39" s="1"/>
  <c r="J267" i="39"/>
  <c r="K267" i="39" s="1"/>
  <c r="J259" i="39"/>
  <c r="K259" i="39" s="1"/>
  <c r="J243" i="39"/>
  <c r="K243" i="39" s="1"/>
  <c r="J235" i="39"/>
  <c r="K235" i="39" s="1"/>
  <c r="J227" i="39"/>
  <c r="K227" i="39" s="1"/>
  <c r="J219" i="39"/>
  <c r="K219" i="39" s="1"/>
  <c r="J211" i="39"/>
  <c r="K211" i="39" s="1"/>
  <c r="J203" i="39"/>
  <c r="K203" i="39" s="1"/>
  <c r="J187" i="39"/>
  <c r="K187" i="39" s="1"/>
  <c r="J179" i="39"/>
  <c r="K179" i="39" s="1"/>
  <c r="J171" i="39"/>
  <c r="K171" i="39" s="1"/>
  <c r="J163" i="39"/>
  <c r="K163" i="39" s="1"/>
  <c r="J155" i="39"/>
  <c r="K155" i="39" s="1"/>
  <c r="J147" i="39"/>
  <c r="K147" i="39" s="1"/>
  <c r="J139" i="39"/>
  <c r="K139" i="39" s="1"/>
  <c r="J131" i="39"/>
  <c r="K131" i="39" s="1"/>
  <c r="J123" i="39"/>
  <c r="K123" i="39" s="1"/>
  <c r="J99" i="39"/>
  <c r="K99" i="39" s="1"/>
  <c r="J91" i="39"/>
  <c r="K91" i="39" s="1"/>
  <c r="J83" i="39"/>
  <c r="K83" i="39" s="1"/>
  <c r="J75" i="39"/>
  <c r="K75" i="39" s="1"/>
  <c r="J67" i="39"/>
  <c r="K67" i="39" s="1"/>
  <c r="J59" i="39"/>
  <c r="K59" i="39" s="1"/>
  <c r="J51" i="39"/>
  <c r="K51" i="39" s="1"/>
  <c r="J43" i="39"/>
  <c r="K43" i="39" s="1"/>
  <c r="J35" i="39"/>
  <c r="K35" i="39" s="1"/>
  <c r="J27" i="39"/>
  <c r="K27" i="39" s="1"/>
  <c r="J19" i="39"/>
  <c r="K19" i="39" s="1"/>
  <c r="J11" i="39"/>
  <c r="K11" i="39" s="1"/>
  <c r="J3" i="39"/>
  <c r="K3" i="39" s="1"/>
  <c r="Q2" i="39"/>
  <c r="J498" i="39"/>
  <c r="K498" i="39" s="1"/>
  <c r="J490" i="39"/>
  <c r="K490" i="39" s="1"/>
  <c r="J482" i="39"/>
  <c r="K482" i="39" s="1"/>
  <c r="J474" i="39"/>
  <c r="K474" i="39" s="1"/>
  <c r="J466" i="39"/>
  <c r="K466" i="39" s="1"/>
  <c r="J458" i="39"/>
  <c r="K458" i="39" s="1"/>
  <c r="J450" i="39"/>
  <c r="K450" i="39" s="1"/>
  <c r="J442" i="39"/>
  <c r="K442" i="39" s="1"/>
  <c r="J434" i="39"/>
  <c r="K434" i="39" s="1"/>
  <c r="J426" i="39"/>
  <c r="K426" i="39" s="1"/>
  <c r="J418" i="39"/>
  <c r="K418" i="39" s="1"/>
  <c r="J410" i="39"/>
  <c r="K410" i="39" s="1"/>
  <c r="J402" i="39"/>
  <c r="K402" i="39" s="1"/>
  <c r="J394" i="39"/>
  <c r="K394" i="39" s="1"/>
  <c r="J378" i="39"/>
  <c r="K378" i="39" s="1"/>
  <c r="J362" i="39"/>
  <c r="K362" i="39" s="1"/>
  <c r="J354" i="39"/>
  <c r="K354" i="39" s="1"/>
  <c r="J346" i="39"/>
  <c r="K346" i="39" s="1"/>
  <c r="J338" i="39"/>
  <c r="K338" i="39" s="1"/>
  <c r="J322" i="39"/>
  <c r="K322" i="39" s="1"/>
  <c r="J314" i="39"/>
  <c r="K314" i="39" s="1"/>
  <c r="J306" i="39"/>
  <c r="K306" i="39" s="1"/>
  <c r="J298" i="39"/>
  <c r="K298" i="39" s="1"/>
  <c r="J290" i="39"/>
  <c r="K290" i="39" s="1"/>
  <c r="J282" i="39"/>
  <c r="K282" i="39" s="1"/>
  <c r="J274" i="39"/>
  <c r="K274" i="39" s="1"/>
  <c r="J266" i="39"/>
  <c r="K266" i="39" s="1"/>
  <c r="J250" i="39"/>
  <c r="K250" i="39" s="1"/>
  <c r="J242" i="39"/>
  <c r="K242" i="39" s="1"/>
  <c r="J234" i="39"/>
  <c r="K234" i="39" s="1"/>
  <c r="J226" i="39"/>
  <c r="K226" i="39" s="1"/>
  <c r="J218" i="39"/>
  <c r="K218" i="39" s="1"/>
  <c r="J210" i="39"/>
  <c r="K210" i="39" s="1"/>
  <c r="J202" i="39"/>
  <c r="K202" i="39" s="1"/>
  <c r="J186" i="39"/>
  <c r="K186" i="39" s="1"/>
  <c r="J178" i="39"/>
  <c r="K178" i="39" s="1"/>
  <c r="J170" i="39"/>
  <c r="K170" i="39" s="1"/>
  <c r="J162" i="39"/>
  <c r="K162" i="39" s="1"/>
  <c r="J154" i="39"/>
  <c r="K154" i="39" s="1"/>
  <c r="J146" i="39"/>
  <c r="K146" i="39" s="1"/>
  <c r="J138" i="39"/>
  <c r="K138" i="39" s="1"/>
  <c r="J130" i="39"/>
  <c r="K130" i="39" s="1"/>
  <c r="J122" i="39"/>
  <c r="K122" i="39" s="1"/>
  <c r="J114" i="39"/>
  <c r="K114" i="39" s="1"/>
  <c r="J98" i="39"/>
  <c r="K98" i="39" s="1"/>
  <c r="J90" i="39"/>
  <c r="K90" i="39" s="1"/>
  <c r="J82" i="39"/>
  <c r="K82" i="39" s="1"/>
  <c r="J74" i="39"/>
  <c r="K74" i="39" s="1"/>
  <c r="J66" i="39"/>
  <c r="K66" i="39" s="1"/>
  <c r="J50" i="39"/>
  <c r="K50" i="39" s="1"/>
  <c r="J42" i="39"/>
  <c r="K42" i="39" s="1"/>
  <c r="J34" i="39"/>
  <c r="K34" i="39" s="1"/>
  <c r="J26" i="39"/>
  <c r="K26" i="39" s="1"/>
  <c r="J18" i="39"/>
  <c r="K18" i="39" s="1"/>
  <c r="J10" i="39"/>
  <c r="K10" i="39" s="1"/>
  <c r="J2" i="39"/>
  <c r="Q462" i="39"/>
  <c r="Q454" i="39"/>
  <c r="Q446" i="39"/>
  <c r="Q438" i="39"/>
  <c r="Q430" i="39"/>
  <c r="Q422" i="39"/>
  <c r="Q414" i="39"/>
  <c r="Q406" i="39"/>
  <c r="Q398" i="39"/>
  <c r="Q390" i="39"/>
  <c r="Q382" i="39"/>
  <c r="Q374" i="39"/>
  <c r="Q366" i="39"/>
  <c r="Q358" i="39"/>
  <c r="Q350" i="39"/>
  <c r="Q342" i="39"/>
  <c r="Q334" i="39"/>
  <c r="Q326" i="39"/>
  <c r="Q318" i="39"/>
  <c r="Q310" i="39"/>
  <c r="Q302" i="39"/>
  <c r="R370" i="39"/>
  <c r="R414" i="39"/>
  <c r="R406" i="39"/>
  <c r="R342" i="39"/>
  <c r="R286" i="39"/>
  <c r="R278" i="39"/>
  <c r="R222" i="39"/>
  <c r="R158" i="39"/>
  <c r="Q497" i="39"/>
  <c r="Q489" i="39"/>
  <c r="Q481" i="39"/>
  <c r="Q473" i="39"/>
  <c r="Q465" i="39"/>
  <c r="Q457" i="39"/>
  <c r="Q449" i="39"/>
  <c r="Q441" i="39"/>
  <c r="Q433" i="39"/>
  <c r="Q425" i="39"/>
  <c r="Q417" i="39"/>
  <c r="Q409" i="39"/>
  <c r="Q401" i="39"/>
  <c r="Q393" i="39"/>
  <c r="Q385" i="39"/>
  <c r="Q377" i="39"/>
  <c r="Q369" i="39"/>
  <c r="Q361" i="39"/>
  <c r="Q353" i="39"/>
  <c r="Q345" i="39"/>
  <c r="Q337" i="39"/>
  <c r="Q329" i="39"/>
  <c r="Q321" i="39"/>
  <c r="Q313" i="39"/>
  <c r="Q305" i="39"/>
  <c r="Q297" i="39"/>
  <c r="Q289" i="39"/>
  <c r="Q281" i="39"/>
  <c r="Q273" i="39"/>
  <c r="Q265" i="39"/>
  <c r="Q257" i="39"/>
  <c r="Q249" i="39"/>
  <c r="Q241" i="39"/>
  <c r="Q294" i="39"/>
  <c r="Q286" i="39"/>
  <c r="Q278" i="39"/>
  <c r="Q270" i="39"/>
  <c r="Q262" i="39"/>
  <c r="Q254" i="39"/>
  <c r="Q246" i="39"/>
  <c r="Q238" i="39"/>
  <c r="Q230" i="39"/>
  <c r="Q222" i="39"/>
  <c r="Q214" i="39"/>
  <c r="Q206" i="39"/>
  <c r="Q198" i="39"/>
  <c r="Q190" i="39"/>
  <c r="Q182" i="39"/>
  <c r="Q174" i="39"/>
  <c r="Q166" i="39"/>
  <c r="Q158" i="39"/>
  <c r="Q150" i="39"/>
  <c r="Q142" i="39"/>
  <c r="Q134" i="39"/>
  <c r="Q126" i="39"/>
  <c r="Q118" i="39"/>
  <c r="Q110" i="39"/>
  <c r="Q102" i="39"/>
  <c r="Q94" i="39"/>
  <c r="Q86" i="39"/>
  <c r="Q78" i="39"/>
  <c r="Q70" i="39"/>
  <c r="Q62" i="39"/>
  <c r="Q54" i="39"/>
  <c r="Q46" i="39"/>
  <c r="Q38" i="39"/>
  <c r="Q30" i="39"/>
  <c r="Q22" i="39"/>
  <c r="Q14" i="39"/>
  <c r="Q6" i="39"/>
  <c r="Q500" i="39"/>
  <c r="Q492" i="39"/>
  <c r="Q484" i="39"/>
  <c r="Q476" i="39"/>
  <c r="Q468" i="39"/>
  <c r="Q460" i="39"/>
  <c r="Q452" i="39"/>
  <c r="Q444" i="39"/>
  <c r="Q436" i="39"/>
  <c r="Q428" i="39"/>
  <c r="Q412" i="39"/>
  <c r="Q404" i="39"/>
  <c r="Q396" i="39"/>
  <c r="Q388" i="39"/>
  <c r="Q380" i="39"/>
  <c r="Q372" i="39"/>
  <c r="Q364" i="39"/>
  <c r="Q356" i="39"/>
  <c r="Q348" i="39"/>
  <c r="Q340" i="39"/>
  <c r="Q332" i="39"/>
  <c r="Q324" i="39"/>
  <c r="Q316" i="39"/>
  <c r="Q308" i="39"/>
  <c r="Q300" i="39"/>
  <c r="Q292" i="39"/>
  <c r="Q284" i="39"/>
  <c r="Q276" i="39"/>
  <c r="Q268" i="39"/>
  <c r="Q260" i="39"/>
  <c r="Q252" i="39"/>
  <c r="Q244" i="39"/>
  <c r="Q236" i="39"/>
  <c r="Q228" i="39"/>
  <c r="Q220" i="39"/>
  <c r="Q212" i="39"/>
  <c r="Q204" i="39"/>
  <c r="Q196" i="39"/>
  <c r="Q188" i="39"/>
  <c r="Q180" i="39"/>
  <c r="Q172" i="39"/>
  <c r="Q164" i="39"/>
  <c r="Q156" i="39"/>
  <c r="Q148" i="39"/>
  <c r="Q140" i="39"/>
  <c r="Q132" i="39"/>
  <c r="Q124" i="39"/>
  <c r="Q116" i="39"/>
  <c r="Q108" i="39"/>
  <c r="Q100" i="39"/>
  <c r="Q92" i="39"/>
  <c r="Q84" i="39"/>
  <c r="Q76" i="39"/>
  <c r="Q68" i="39"/>
  <c r="Q60" i="39"/>
  <c r="Q52" i="39"/>
  <c r="Q44" i="39"/>
  <c r="Q36" i="39"/>
  <c r="Q28" i="39"/>
  <c r="Q20" i="39"/>
  <c r="Q12" i="39"/>
  <c r="Q4" i="39"/>
  <c r="Q233" i="39"/>
  <c r="Q225" i="39"/>
  <c r="Q217" i="39"/>
  <c r="Q209" i="39"/>
  <c r="Q201" i="39"/>
  <c r="Q193" i="39"/>
  <c r="Q185" i="39"/>
  <c r="Q177" i="39"/>
  <c r="Q169" i="39"/>
  <c r="Q161" i="39"/>
  <c r="Q153" i="39"/>
  <c r="Q145" i="39"/>
  <c r="Q137" i="39"/>
  <c r="Q129" i="39"/>
  <c r="Q121" i="39"/>
  <c r="Q113" i="39"/>
  <c r="Q105" i="39"/>
  <c r="Q97" i="39"/>
  <c r="Q89" i="39"/>
  <c r="Q81" i="39"/>
  <c r="Q73" i="39"/>
  <c r="Q65" i="39"/>
  <c r="Q57" i="39"/>
  <c r="Q49" i="39"/>
  <c r="Q41" i="39"/>
  <c r="Q33" i="39"/>
  <c r="Q25" i="39"/>
  <c r="Q17" i="39"/>
  <c r="R420" i="39"/>
  <c r="R491" i="39"/>
  <c r="R416" i="39"/>
  <c r="R392" i="39"/>
  <c r="R487" i="39"/>
  <c r="R459" i="39"/>
  <c r="R430" i="39"/>
  <c r="R412" i="39"/>
  <c r="R471" i="39"/>
  <c r="R408" i="39"/>
  <c r="R455" i="39"/>
  <c r="R384" i="39"/>
  <c r="R207" i="39"/>
  <c r="R482" i="39"/>
  <c r="R454" i="39"/>
  <c r="R439" i="39"/>
  <c r="R423" i="39"/>
  <c r="R380" i="39"/>
  <c r="R494" i="39"/>
  <c r="R451" i="39"/>
  <c r="R422" i="39"/>
  <c r="R400" i="39"/>
  <c r="R496" i="39"/>
  <c r="R480" i="39"/>
  <c r="R464" i="39"/>
  <c r="R453" i="39"/>
  <c r="R448" i="39"/>
  <c r="R437" i="39"/>
  <c r="R432" i="39"/>
  <c r="R419" i="39"/>
  <c r="R387" i="39"/>
  <c r="R379" i="39"/>
  <c r="R371" i="39"/>
  <c r="R360" i="39"/>
  <c r="R344" i="39"/>
  <c r="R287" i="39"/>
  <c r="R159" i="39"/>
  <c r="R495" i="39"/>
  <c r="R490" i="39"/>
  <c r="R479" i="39"/>
  <c r="R463" i="39"/>
  <c r="R447" i="39"/>
  <c r="R431" i="39"/>
  <c r="R386" i="39"/>
  <c r="R357" i="39"/>
  <c r="R319" i="39"/>
  <c r="R239" i="39"/>
  <c r="R468" i="39"/>
  <c r="R424" i="39"/>
  <c r="R393" i="39"/>
  <c r="R191" i="39"/>
  <c r="R376" i="39"/>
  <c r="R368" i="39"/>
  <c r="R335" i="39"/>
  <c r="R271" i="39"/>
  <c r="R186" i="39"/>
  <c r="R143" i="39"/>
  <c r="R493" i="39"/>
  <c r="R488" i="39"/>
  <c r="R477" i="39"/>
  <c r="R472" i="39"/>
  <c r="R461" i="39"/>
  <c r="R456" i="39"/>
  <c r="R440" i="39"/>
  <c r="R429" i="39"/>
  <c r="R415" i="39"/>
  <c r="R407" i="39"/>
  <c r="R399" i="39"/>
  <c r="R391" i="39"/>
  <c r="R383" i="39"/>
  <c r="R375" i="39"/>
  <c r="R366" i="39"/>
  <c r="R352" i="39"/>
  <c r="R223" i="39"/>
  <c r="R382" i="39"/>
  <c r="R349" i="39"/>
  <c r="R330" i="39"/>
  <c r="R303" i="39"/>
  <c r="R175" i="39"/>
  <c r="R492" i="39"/>
  <c r="R465" i="39"/>
  <c r="R460" i="39"/>
  <c r="R449" i="39"/>
  <c r="R413" i="39"/>
  <c r="R373" i="39"/>
  <c r="R348" i="39"/>
  <c r="R255" i="39"/>
  <c r="R127" i="39"/>
  <c r="R324" i="39"/>
  <c r="R249" i="39"/>
  <c r="R244" i="39"/>
  <c r="R185" i="39"/>
  <c r="R132" i="39"/>
  <c r="R121" i="39"/>
  <c r="R302" i="39"/>
  <c r="R238" i="39"/>
  <c r="R195" i="39"/>
  <c r="R126" i="39"/>
  <c r="R328" i="39"/>
  <c r="R312" i="39"/>
  <c r="R301" i="39"/>
  <c r="R296" i="39"/>
  <c r="R280" i="39"/>
  <c r="R264" i="39"/>
  <c r="R248" i="39"/>
  <c r="R237" i="39"/>
  <c r="R232" i="39"/>
  <c r="R216" i="39"/>
  <c r="R200" i="39"/>
  <c r="R184" i="39"/>
  <c r="R173" i="39"/>
  <c r="R168" i="39"/>
  <c r="R152" i="39"/>
  <c r="R136" i="39"/>
  <c r="R119" i="39"/>
  <c r="R367" i="39"/>
  <c r="R359" i="39"/>
  <c r="R351" i="39"/>
  <c r="R343" i="39"/>
  <c r="R327" i="39"/>
  <c r="R311" i="39"/>
  <c r="R295" i="39"/>
  <c r="R279" i="39"/>
  <c r="R274" i="39"/>
  <c r="R263" i="39"/>
  <c r="R258" i="39"/>
  <c r="R247" i="39"/>
  <c r="R231" i="39"/>
  <c r="R215" i="39"/>
  <c r="R199" i="39"/>
  <c r="R194" i="39"/>
  <c r="R183" i="39"/>
  <c r="R167" i="39"/>
  <c r="R151" i="39"/>
  <c r="R135" i="39"/>
  <c r="R337" i="39"/>
  <c r="R321" i="39"/>
  <c r="R289" i="39"/>
  <c r="R284" i="39"/>
  <c r="R257" i="39"/>
  <c r="R161" i="39"/>
  <c r="R140" i="39"/>
  <c r="R124" i="39"/>
  <c r="R251" i="39"/>
  <c r="R230" i="39"/>
  <c r="R198" i="39"/>
  <c r="R134" i="39"/>
  <c r="R336" i="39"/>
  <c r="R325" i="39"/>
  <c r="R320" i="39"/>
  <c r="R304" i="39"/>
  <c r="R288" i="39"/>
  <c r="R277" i="39"/>
  <c r="R272" i="39"/>
  <c r="R256" i="39"/>
  <c r="R240" i="39"/>
  <c r="R229" i="39"/>
  <c r="R224" i="39"/>
  <c r="R213" i="39"/>
  <c r="R208" i="39"/>
  <c r="R192" i="39"/>
  <c r="R176" i="39"/>
  <c r="R160" i="39"/>
  <c r="R149" i="39"/>
  <c r="R144" i="39"/>
  <c r="R128" i="39"/>
  <c r="R109" i="39"/>
  <c r="R85" i="39"/>
  <c r="R57" i="39"/>
  <c r="R53" i="39"/>
  <c r="R37" i="39"/>
  <c r="R29" i="39"/>
  <c r="R5" i="39"/>
  <c r="R120" i="39"/>
  <c r="R116" i="39"/>
  <c r="R112" i="39"/>
  <c r="R108" i="39"/>
  <c r="R104" i="39"/>
  <c r="R96" i="39"/>
  <c r="R88" i="39"/>
  <c r="R80" i="39"/>
  <c r="R76" i="39"/>
  <c r="R72" i="39"/>
  <c r="R64" i="39"/>
  <c r="R56" i="39"/>
  <c r="R48" i="39"/>
  <c r="R40" i="39"/>
  <c r="R36" i="39"/>
  <c r="R32" i="39"/>
  <c r="R28" i="39"/>
  <c r="R24" i="39"/>
  <c r="R16" i="39"/>
  <c r="R8" i="39"/>
  <c r="R115" i="39"/>
  <c r="R111" i="39"/>
  <c r="R107" i="39"/>
  <c r="R103" i="39"/>
  <c r="R95" i="39"/>
  <c r="R87" i="39"/>
  <c r="R79" i="39"/>
  <c r="R71" i="39"/>
  <c r="R63" i="39"/>
  <c r="R55" i="39"/>
  <c r="R47" i="39"/>
  <c r="R39" i="39"/>
  <c r="R31" i="39"/>
  <c r="R27" i="39"/>
  <c r="R23" i="39"/>
  <c r="R15" i="39"/>
  <c r="R7" i="39"/>
  <c r="R118" i="39"/>
  <c r="R106" i="39"/>
  <c r="R78" i="39"/>
  <c r="R70" i="39"/>
  <c r="R58" i="39"/>
  <c r="R54" i="39"/>
  <c r="R14" i="39"/>
  <c r="R6" i="39"/>
  <c r="Q498" i="39"/>
  <c r="Q490" i="39"/>
  <c r="Q482" i="39"/>
  <c r="Q474" i="39"/>
  <c r="Q466" i="39"/>
  <c r="Q458" i="39"/>
  <c r="Q450" i="39"/>
  <c r="Q442" i="39"/>
  <c r="Q434" i="39"/>
  <c r="Q426" i="39"/>
  <c r="Q418" i="39"/>
  <c r="Q410" i="39"/>
  <c r="Q402" i="39"/>
  <c r="Q394" i="39"/>
  <c r="Q386" i="39"/>
  <c r="Q378" i="39"/>
  <c r="Q370" i="39"/>
  <c r="Q362" i="39"/>
  <c r="Q354" i="39"/>
  <c r="Q346" i="39"/>
  <c r="Q338" i="39"/>
  <c r="Q330" i="39"/>
  <c r="Q322" i="39"/>
  <c r="Q314" i="39"/>
  <c r="Q306" i="39"/>
  <c r="Q298" i="39"/>
  <c r="Q290" i="39"/>
  <c r="Q282" i="39"/>
  <c r="Q274" i="39"/>
  <c r="Q266" i="39"/>
  <c r="Q258" i="39"/>
  <c r="Q250" i="39"/>
  <c r="Q242" i="39"/>
  <c r="Q234" i="39"/>
  <c r="Q226" i="39"/>
  <c r="Q218" i="39"/>
  <c r="Q210" i="39"/>
  <c r="Q202" i="39"/>
  <c r="Q194" i="39"/>
  <c r="Q186" i="39"/>
  <c r="Q178" i="39"/>
  <c r="Q170" i="39"/>
  <c r="Q162" i="39"/>
  <c r="Q154" i="39"/>
  <c r="Q146" i="39"/>
  <c r="Q138" i="39"/>
  <c r="Q130" i="39"/>
  <c r="Q122" i="39"/>
  <c r="Q114" i="39"/>
  <c r="Q106" i="39"/>
  <c r="Q98" i="39"/>
  <c r="Q90" i="39"/>
  <c r="Q82" i="39"/>
  <c r="Q74" i="39"/>
  <c r="Q66" i="39"/>
  <c r="Q58" i="39"/>
  <c r="Q50" i="39"/>
  <c r="Q42" i="39"/>
  <c r="Q34" i="39"/>
  <c r="Q26" i="39"/>
  <c r="Q18" i="39"/>
  <c r="Q10" i="39"/>
  <c r="Q495" i="39"/>
  <c r="Q487" i="39"/>
  <c r="Q496" i="39"/>
  <c r="Q488" i="39"/>
  <c r="Q480" i="39"/>
  <c r="Q472" i="39"/>
  <c r="Q464" i="39"/>
  <c r="Q456" i="39"/>
  <c r="Q448" i="39"/>
  <c r="Q440" i="39"/>
  <c r="Q432" i="39"/>
  <c r="Q424" i="39"/>
  <c r="Q416" i="39"/>
  <c r="Q408" i="39"/>
  <c r="Q400" i="39"/>
  <c r="Q392" i="39"/>
  <c r="Q384" i="39"/>
  <c r="Q376" i="39"/>
  <c r="Q368" i="39"/>
  <c r="Q360" i="39"/>
  <c r="Q352" i="39"/>
  <c r="Q344" i="39"/>
  <c r="Q336" i="39"/>
  <c r="Q328" i="39"/>
  <c r="Q320" i="39"/>
  <c r="Q312" i="39"/>
  <c r="Q304" i="39"/>
  <c r="Q296" i="39"/>
  <c r="Q288" i="39"/>
  <c r="Q280" i="39"/>
  <c r="Q272" i="39"/>
  <c r="Q264" i="39"/>
  <c r="Q256" i="39"/>
  <c r="Q248" i="39"/>
  <c r="Q240" i="39"/>
  <c r="Q232" i="39"/>
  <c r="Q224" i="39"/>
  <c r="Q208" i="39"/>
  <c r="Q200" i="39"/>
  <c r="Q192" i="39"/>
  <c r="Q184" i="39"/>
  <c r="Q176" i="39"/>
  <c r="Q168" i="39"/>
  <c r="Q160" i="39"/>
  <c r="Q152" i="39"/>
  <c r="Q144" i="39"/>
  <c r="Q136" i="39"/>
  <c r="Q128" i="39"/>
  <c r="Q120" i="39"/>
  <c r="Q112" i="39"/>
  <c r="Q104" i="39"/>
  <c r="Q96" i="39"/>
  <c r="Q88" i="39"/>
  <c r="Q80" i="39"/>
  <c r="Q72" i="39"/>
  <c r="Q64" i="39"/>
  <c r="Q56" i="39"/>
  <c r="Q48" i="39"/>
  <c r="Q40" i="39"/>
  <c r="Q32" i="39"/>
  <c r="Q24" i="39"/>
  <c r="Q16" i="39"/>
  <c r="Q8" i="39"/>
  <c r="Q479" i="39"/>
  <c r="Q471" i="39"/>
  <c r="Q463" i="39"/>
  <c r="Q455" i="39"/>
  <c r="Q447" i="39"/>
  <c r="Q439" i="39"/>
  <c r="Q431" i="39"/>
  <c r="Q423" i="39"/>
  <c r="Q415" i="39"/>
  <c r="Q407" i="39"/>
  <c r="Q399" i="39"/>
  <c r="Q391" i="39"/>
  <c r="Q383" i="39"/>
  <c r="Q375" i="39"/>
  <c r="Q367" i="39"/>
  <c r="Q359" i="39"/>
  <c r="Q351" i="39"/>
  <c r="Q343" i="39"/>
  <c r="Q335" i="39"/>
  <c r="Q327" i="39"/>
  <c r="Q319" i="39"/>
  <c r="Q311" i="39"/>
  <c r="Q303" i="39"/>
  <c r="Q295" i="39"/>
  <c r="Q287" i="39"/>
  <c r="Q279" i="39"/>
  <c r="Q271" i="39"/>
  <c r="Q263" i="39"/>
  <c r="Q255" i="39"/>
  <c r="Q247" i="39"/>
  <c r="Q239" i="39"/>
  <c r="Q231" i="39"/>
  <c r="Q223" i="39"/>
  <c r="Q215" i="39"/>
  <c r="Q207" i="39"/>
  <c r="Q199" i="39"/>
  <c r="Q191" i="39"/>
  <c r="Q183" i="39"/>
  <c r="Q175" i="39"/>
  <c r="Q167" i="39"/>
  <c r="Q159" i="39"/>
  <c r="Q151" i="39"/>
  <c r="Q143" i="39"/>
  <c r="Q135" i="39"/>
  <c r="Q127" i="39"/>
  <c r="Q119" i="39"/>
  <c r="Q111" i="39"/>
  <c r="Q103" i="39"/>
  <c r="Q95" i="39"/>
  <c r="Q87" i="39"/>
  <c r="Q79" i="39"/>
  <c r="Q71" i="39"/>
  <c r="Q63" i="39"/>
  <c r="Q55" i="39"/>
  <c r="Q47" i="39"/>
  <c r="Q39" i="39"/>
  <c r="Q31" i="39"/>
  <c r="Q23" i="39"/>
  <c r="Q15" i="39"/>
  <c r="Q7" i="39"/>
  <c r="Q9" i="39"/>
  <c r="Q420" i="39"/>
  <c r="Q216" i="39"/>
  <c r="Q501" i="39"/>
  <c r="Q493" i="39"/>
  <c r="Q485" i="39"/>
  <c r="Q477" i="39"/>
  <c r="Q469" i="39"/>
  <c r="Q461" i="39"/>
  <c r="Q453" i="39"/>
  <c r="Q445" i="39"/>
  <c r="Q437" i="39"/>
  <c r="Q429" i="39"/>
  <c r="Q421" i="39"/>
  <c r="Q413" i="39"/>
  <c r="Q405" i="39"/>
  <c r="Q397" i="39"/>
  <c r="Q389" i="39"/>
  <c r="Q381" i="39"/>
  <c r="Q373" i="39"/>
  <c r="Q365" i="39"/>
  <c r="Q357" i="39"/>
  <c r="Q349" i="39"/>
  <c r="Q341" i="39"/>
  <c r="Q333" i="39"/>
  <c r="Q325" i="39"/>
  <c r="Q317" i="39"/>
  <c r="Q309" i="39"/>
  <c r="Q301" i="39"/>
  <c r="Q293" i="39"/>
  <c r="Q285" i="39"/>
  <c r="Q277" i="39"/>
  <c r="Q269" i="39"/>
  <c r="Q261" i="39"/>
  <c r="Q253" i="39"/>
  <c r="Q245" i="39"/>
  <c r="Q237" i="39"/>
  <c r="Q229" i="39"/>
  <c r="Q221" i="39"/>
  <c r="Q213" i="39"/>
  <c r="Q205" i="39"/>
  <c r="Q197" i="39"/>
  <c r="Q189" i="39"/>
  <c r="Q181" i="39"/>
  <c r="Q173" i="39"/>
  <c r="Q165" i="39"/>
  <c r="Q157" i="39"/>
  <c r="Q149" i="39"/>
  <c r="Q141" i="39"/>
  <c r="Q133" i="39"/>
  <c r="Q125" i="39"/>
  <c r="Q117" i="39"/>
  <c r="Q109" i="39"/>
  <c r="Q101" i="39"/>
  <c r="Q93" i="39"/>
  <c r="Q85" i="39"/>
  <c r="Q77" i="39"/>
  <c r="Q69" i="39"/>
  <c r="Q61" i="39"/>
  <c r="Q53" i="39"/>
  <c r="Q45" i="39"/>
  <c r="Q37" i="39"/>
  <c r="Q29" i="39"/>
  <c r="Q21" i="39"/>
  <c r="Q13" i="39"/>
  <c r="Q5" i="39"/>
  <c r="Q499" i="39"/>
  <c r="Q491" i="39"/>
  <c r="Q483" i="39"/>
  <c r="Q475" i="39"/>
  <c r="Q467" i="39"/>
  <c r="Q459" i="39"/>
  <c r="Q451" i="39"/>
  <c r="Q443" i="39"/>
  <c r="Q435" i="39"/>
  <c r="Q427" i="39"/>
  <c r="Q419" i="39"/>
  <c r="Q411" i="39"/>
  <c r="Q403" i="39"/>
  <c r="Q395" i="39"/>
  <c r="Q387" i="39"/>
  <c r="Q379" i="39"/>
  <c r="Q371" i="39"/>
  <c r="Q363" i="39"/>
  <c r="Q355" i="39"/>
  <c r="Q347" i="39"/>
  <c r="Q339" i="39"/>
  <c r="Q331" i="39"/>
  <c r="Q323" i="39"/>
  <c r="Q315" i="39"/>
  <c r="Q307" i="39"/>
  <c r="Q299" i="39"/>
  <c r="Q291" i="39"/>
  <c r="Q283" i="39"/>
  <c r="Q275" i="39"/>
  <c r="Q267" i="39"/>
  <c r="Q259" i="39"/>
  <c r="Q251" i="39"/>
  <c r="Q243" i="39"/>
  <c r="Q235" i="39"/>
  <c r="Q227" i="39"/>
  <c r="Q219" i="39"/>
  <c r="Q211" i="39"/>
  <c r="Q203" i="39"/>
  <c r="Q195" i="39"/>
  <c r="Q187" i="39"/>
  <c r="Q179" i="39"/>
  <c r="Q171" i="39"/>
  <c r="Q163" i="39"/>
  <c r="Q155" i="39"/>
  <c r="Q147" i="39"/>
  <c r="Q139" i="39"/>
  <c r="Q131" i="39"/>
  <c r="Q123" i="39"/>
  <c r="Q115" i="39"/>
  <c r="Q107" i="39"/>
  <c r="Q99" i="39"/>
  <c r="Q91" i="39"/>
  <c r="Q83" i="39"/>
  <c r="Q75" i="39"/>
  <c r="Q67" i="39"/>
  <c r="Q59" i="39"/>
  <c r="Q51" i="39"/>
  <c r="Q43" i="39"/>
  <c r="Q35" i="39"/>
  <c r="Q27" i="39"/>
  <c r="Q19" i="39"/>
  <c r="Q11" i="39"/>
  <c r="Q3" i="39"/>
  <c r="R178" i="39" l="1"/>
  <c r="R438" i="39"/>
  <c r="R93" i="39"/>
  <c r="R179" i="39"/>
  <c r="R350" i="39"/>
  <c r="R42" i="39"/>
  <c r="R114" i="39"/>
  <c r="R91" i="39"/>
  <c r="R101" i="39"/>
  <c r="R165" i="39"/>
  <c r="R267" i="39"/>
  <c r="R177" i="39"/>
  <c r="R285" i="39"/>
  <c r="R148" i="39"/>
  <c r="R313" i="39"/>
  <c r="R421" i="39"/>
  <c r="R457" i="39"/>
  <c r="R418" i="39"/>
  <c r="R403" i="39"/>
  <c r="R150" i="39"/>
  <c r="R142" i="39"/>
  <c r="R21" i="39"/>
  <c r="R305" i="39"/>
  <c r="R276" i="39"/>
  <c r="R410" i="39"/>
  <c r="R50" i="39"/>
  <c r="R43" i="39"/>
  <c r="R60" i="39"/>
  <c r="R105" i="39"/>
  <c r="R123" i="39"/>
  <c r="R294" i="39"/>
  <c r="R204" i="39"/>
  <c r="R206" i="39"/>
  <c r="R169" i="39"/>
  <c r="R202" i="39"/>
  <c r="R411" i="39"/>
  <c r="K2" i="39"/>
  <c r="R35" i="39"/>
  <c r="R441" i="39"/>
  <c r="R99" i="39"/>
  <c r="R315" i="39"/>
  <c r="R241" i="39"/>
  <c r="R130" i="39"/>
  <c r="R221" i="39"/>
  <c r="R340" i="39"/>
  <c r="R365" i="39"/>
  <c r="R484" i="39"/>
  <c r="R501" i="39"/>
  <c r="R404" i="39"/>
  <c r="R483" i="39"/>
  <c r="R214" i="39"/>
  <c r="R34" i="39"/>
  <c r="R41" i="39"/>
  <c r="R49" i="39"/>
  <c r="R113" i="39"/>
  <c r="R171" i="39"/>
  <c r="R331" i="39"/>
  <c r="R322" i="39"/>
  <c r="R243" i="39"/>
  <c r="R196" i="39"/>
  <c r="R122" i="39"/>
  <c r="R250" i="39"/>
  <c r="R446" i="39"/>
  <c r="R13" i="39"/>
  <c r="R52" i="39"/>
  <c r="R62" i="39"/>
  <c r="R293" i="39"/>
  <c r="R187" i="39"/>
  <c r="R358" i="39"/>
  <c r="R268" i="39"/>
  <c r="R157" i="39"/>
  <c r="R259" i="39"/>
  <c r="R212" i="39"/>
  <c r="R476" i="39"/>
  <c r="R385" i="39"/>
  <c r="R474" i="39"/>
  <c r="R475" i="39"/>
  <c r="R346" i="39"/>
  <c r="R426" i="39"/>
  <c r="R273" i="39"/>
  <c r="R254" i="39"/>
  <c r="R338" i="39"/>
  <c r="R323" i="39"/>
  <c r="R282" i="39"/>
  <c r="R51" i="39"/>
  <c r="R427" i="39"/>
  <c r="R156" i="39"/>
  <c r="R500" i="39"/>
  <c r="R265" i="39"/>
  <c r="R401" i="39"/>
  <c r="R181" i="39"/>
  <c r="R381" i="39"/>
  <c r="R86" i="39"/>
  <c r="R462" i="39"/>
  <c r="R82" i="39"/>
  <c r="R154" i="39"/>
  <c r="R226" i="39"/>
  <c r="R298" i="39"/>
  <c r="R378" i="39"/>
  <c r="R450" i="39"/>
  <c r="R3" i="39"/>
  <c r="R67" i="39"/>
  <c r="R147" i="39"/>
  <c r="R219" i="39"/>
  <c r="R291" i="39"/>
  <c r="R355" i="39"/>
  <c r="R443" i="39"/>
  <c r="R12" i="39"/>
  <c r="R92" i="39"/>
  <c r="R172" i="39"/>
  <c r="R236" i="39"/>
  <c r="R308" i="39"/>
  <c r="R372" i="39"/>
  <c r="R444" i="39"/>
  <c r="R17" i="39"/>
  <c r="R81" i="39"/>
  <c r="R145" i="39"/>
  <c r="R209" i="39"/>
  <c r="R281" i="39"/>
  <c r="R353" i="39"/>
  <c r="R417" i="39"/>
  <c r="R489" i="39"/>
  <c r="R69" i="39"/>
  <c r="R133" i="39"/>
  <c r="R197" i="39"/>
  <c r="R261" i="39"/>
  <c r="R333" i="39"/>
  <c r="R397" i="39"/>
  <c r="R469" i="39"/>
  <c r="R38" i="39"/>
  <c r="R102" i="39"/>
  <c r="R182" i="39"/>
  <c r="R262" i="39"/>
  <c r="R326" i="39"/>
  <c r="R398" i="39"/>
  <c r="R478" i="39"/>
  <c r="R66" i="39"/>
  <c r="R434" i="39"/>
  <c r="R131" i="39"/>
  <c r="R339" i="39"/>
  <c r="R220" i="39"/>
  <c r="R428" i="39"/>
  <c r="R65" i="39"/>
  <c r="R329" i="39"/>
  <c r="R45" i="39"/>
  <c r="R309" i="39"/>
  <c r="R22" i="39"/>
  <c r="R374" i="39"/>
  <c r="R73" i="39"/>
  <c r="R18" i="39"/>
  <c r="R90" i="39"/>
  <c r="R162" i="39"/>
  <c r="R234" i="39"/>
  <c r="R306" i="39"/>
  <c r="R394" i="39"/>
  <c r="R458" i="39"/>
  <c r="R11" i="39"/>
  <c r="R75" i="39"/>
  <c r="R155" i="39"/>
  <c r="R227" i="39"/>
  <c r="R299" i="39"/>
  <c r="R363" i="39"/>
  <c r="R20" i="39"/>
  <c r="R100" i="39"/>
  <c r="R180" i="39"/>
  <c r="R252" i="39"/>
  <c r="R316" i="39"/>
  <c r="R388" i="39"/>
  <c r="R452" i="39"/>
  <c r="R25" i="39"/>
  <c r="R89" i="39"/>
  <c r="R153" i="39"/>
  <c r="R217" i="39"/>
  <c r="R361" i="39"/>
  <c r="R425" i="39"/>
  <c r="R497" i="39"/>
  <c r="R77" i="39"/>
  <c r="R141" i="39"/>
  <c r="R205" i="39"/>
  <c r="R269" i="39"/>
  <c r="R341" i="39"/>
  <c r="R405" i="39"/>
  <c r="R485" i="39"/>
  <c r="R46" i="39"/>
  <c r="R110" i="39"/>
  <c r="R190" i="39"/>
  <c r="R270" i="39"/>
  <c r="R334" i="39"/>
  <c r="R486" i="39"/>
  <c r="R146" i="39"/>
  <c r="R362" i="39"/>
  <c r="R211" i="39"/>
  <c r="R4" i="39"/>
  <c r="R164" i="39"/>
  <c r="R364" i="39"/>
  <c r="R9" i="39"/>
  <c r="R125" i="39"/>
  <c r="R253" i="39"/>
  <c r="R317" i="39"/>
  <c r="R30" i="39"/>
  <c r="R174" i="39"/>
  <c r="R390" i="39"/>
  <c r="R266" i="39"/>
  <c r="R26" i="39"/>
  <c r="R98" i="39"/>
  <c r="R170" i="39"/>
  <c r="R242" i="39"/>
  <c r="R314" i="39"/>
  <c r="R402" i="39"/>
  <c r="R466" i="39"/>
  <c r="R19" i="39"/>
  <c r="R83" i="39"/>
  <c r="R163" i="39"/>
  <c r="R235" i="39"/>
  <c r="R307" i="39"/>
  <c r="R467" i="39"/>
  <c r="R188" i="39"/>
  <c r="R260" i="39"/>
  <c r="R396" i="39"/>
  <c r="R33" i="39"/>
  <c r="R97" i="39"/>
  <c r="R225" i="39"/>
  <c r="R297" i="39"/>
  <c r="R369" i="39"/>
  <c r="R433" i="39"/>
  <c r="R210" i="39"/>
  <c r="R166" i="39"/>
  <c r="R283" i="39"/>
  <c r="R395" i="39"/>
  <c r="R44" i="39"/>
  <c r="R332" i="39"/>
  <c r="R233" i="39"/>
  <c r="R377" i="39"/>
  <c r="R354" i="39"/>
  <c r="R275" i="39"/>
  <c r="R292" i="39"/>
  <c r="R193" i="39"/>
  <c r="R246" i="39"/>
  <c r="R74" i="39"/>
  <c r="R290" i="39"/>
  <c r="R139" i="39"/>
  <c r="R435" i="39"/>
  <c r="R228" i="39"/>
  <c r="R436" i="39"/>
  <c r="R201" i="39"/>
  <c r="R345" i="39"/>
  <c r="R481" i="39"/>
  <c r="R189" i="39"/>
  <c r="R389" i="39"/>
  <c r="R318" i="39"/>
  <c r="R137" i="39"/>
  <c r="R409" i="39"/>
  <c r="R138" i="39"/>
  <c r="R498" i="39"/>
  <c r="R203" i="39"/>
  <c r="R499" i="39"/>
  <c r="R68" i="39"/>
  <c r="R356" i="39"/>
  <c r="R129" i="39"/>
  <c r="R473" i="39"/>
  <c r="R117" i="39"/>
  <c r="R245" i="39"/>
  <c r="R445" i="39"/>
  <c r="R310" i="39"/>
  <c r="R218" i="39"/>
  <c r="R442" i="39"/>
  <c r="R59" i="39"/>
  <c r="R347" i="39"/>
  <c r="R84" i="39"/>
  <c r="R300" i="39"/>
  <c r="R94" i="39"/>
  <c r="R470" i="39"/>
  <c r="R61" i="39"/>
  <c r="R2" i="39"/>
  <c r="R10" i="3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<sst xmlns="http://schemas.openxmlformats.org/spreadsheetml/2006/main" count="3419" uniqueCount="795">
  <si>
    <t>Region</t>
  </si>
  <si>
    <t>Asia Pacific</t>
  </si>
  <si>
    <t>Greater China</t>
  </si>
  <si>
    <t>Japan</t>
  </si>
  <si>
    <t>Latin America</t>
  </si>
  <si>
    <t>North America</t>
  </si>
  <si>
    <t>South Asia</t>
  </si>
  <si>
    <t>Turkey</t>
  </si>
  <si>
    <t>Value USD</t>
  </si>
  <si>
    <t>Animal</t>
  </si>
  <si>
    <t>Diet</t>
  </si>
  <si>
    <t>Weight</t>
  </si>
  <si>
    <t>Aardvark</t>
  </si>
  <si>
    <t>Omnivore</t>
  </si>
  <si>
    <t>Abyssinian</t>
  </si>
  <si>
    <t>Carnivore</t>
  </si>
  <si>
    <t>10lbs</t>
  </si>
  <si>
    <t>Adelie penguin</t>
  </si>
  <si>
    <t>Affenpinscher dog</t>
  </si>
  <si>
    <t>8lbs</t>
  </si>
  <si>
    <t>Afghan hound</t>
  </si>
  <si>
    <t>60lbs</t>
  </si>
  <si>
    <t>African bush elephant</t>
  </si>
  <si>
    <t>Herbivore</t>
  </si>
  <si>
    <t>African civet</t>
  </si>
  <si>
    <t>African clawed frog</t>
  </si>
  <si>
    <t>African forest elephant</t>
  </si>
  <si>
    <t>African penguin</t>
  </si>
  <si>
    <t>African wild dog</t>
  </si>
  <si>
    <t>Shiba Inu</t>
  </si>
  <si>
    <t>65lbs</t>
  </si>
  <si>
    <t>Airedale terrier</t>
  </si>
  <si>
    <t>44lbs</t>
  </si>
  <si>
    <t>Akbash dog</t>
  </si>
  <si>
    <t>140lbs</t>
  </si>
  <si>
    <t>Akita dog</t>
  </si>
  <si>
    <t>110lbs</t>
  </si>
  <si>
    <t>Alaskan malamute</t>
  </si>
  <si>
    <t>85lbs</t>
  </si>
  <si>
    <t>Albatross</t>
  </si>
  <si>
    <t>Aldabra giant tortoise</t>
  </si>
  <si>
    <t>Alligator</t>
  </si>
  <si>
    <t>Alpine dachsbracke</t>
  </si>
  <si>
    <t>40lbs</t>
  </si>
  <si>
    <t>American bulldog</t>
  </si>
  <si>
    <t>105lbs</t>
  </si>
  <si>
    <t>American cocker spaniel</t>
  </si>
  <si>
    <t>28lbs</t>
  </si>
  <si>
    <t>American eskimo dog</t>
  </si>
  <si>
    <t>20lbs</t>
  </si>
  <si>
    <t>American foxhound</t>
  </si>
  <si>
    <t>American pit bull terrier</t>
  </si>
  <si>
    <t>80lbs</t>
  </si>
  <si>
    <t>American water spaniel</t>
  </si>
  <si>
    <t>45lbs</t>
  </si>
  <si>
    <t>Anatolian shepherd dog</t>
  </si>
  <si>
    <t>150lbs</t>
  </si>
  <si>
    <t>Angelfish</t>
  </si>
  <si>
    <t>Ant</t>
  </si>
  <si>
    <t>Anteater</t>
  </si>
  <si>
    <t>Antelope</t>
  </si>
  <si>
    <t>Appenzeller dog</t>
  </si>
  <si>
    <t>55lbs</t>
  </si>
  <si>
    <t>Arctic fox</t>
  </si>
  <si>
    <t>Arctic hare</t>
  </si>
  <si>
    <t>Arctic wolf</t>
  </si>
  <si>
    <t>Armadillo</t>
  </si>
  <si>
    <t>Asian black bear</t>
  </si>
  <si>
    <t>Asian elephant</t>
  </si>
  <si>
    <t>Asian giant hornet</t>
  </si>
  <si>
    <t>Australian cattle dog</t>
  </si>
  <si>
    <t>Australian kelpie dog</t>
  </si>
  <si>
    <t>Australian mist</t>
  </si>
  <si>
    <t>Australian shepherd</t>
  </si>
  <si>
    <t>70lbs</t>
  </si>
  <si>
    <t>Australian terrier</t>
  </si>
  <si>
    <t>14lbs</t>
  </si>
  <si>
    <t>Avocet</t>
  </si>
  <si>
    <t>Axolotl</t>
  </si>
  <si>
    <t>Aye aye</t>
  </si>
  <si>
    <t>Baboon</t>
  </si>
  <si>
    <t>Bactrian camel</t>
  </si>
  <si>
    <t>Badger</t>
  </si>
  <si>
    <t>Balinese</t>
  </si>
  <si>
    <t>12lbs</t>
  </si>
  <si>
    <t>Bandicoot</t>
  </si>
  <si>
    <t>Barb</t>
  </si>
  <si>
    <t>Barn owl</t>
  </si>
  <si>
    <t>Barnacle</t>
  </si>
  <si>
    <t>Barracuda</t>
  </si>
  <si>
    <t>Basenji dog</t>
  </si>
  <si>
    <t>24lbs</t>
  </si>
  <si>
    <t>Basking shark</t>
  </si>
  <si>
    <t>Basset hound</t>
  </si>
  <si>
    <t>Bat</t>
  </si>
  <si>
    <t>Bavarian mountain hound</t>
  </si>
  <si>
    <t>75lbs</t>
  </si>
  <si>
    <t>Beagle</t>
  </si>
  <si>
    <t>30lbs</t>
  </si>
  <si>
    <t>Bearded collie</t>
  </si>
  <si>
    <t>Bearded dragon</t>
  </si>
  <si>
    <t>Beaver</t>
  </si>
  <si>
    <t>Bedlington terrier</t>
  </si>
  <si>
    <t>23lbs</t>
  </si>
  <si>
    <t>Bengal tiger</t>
  </si>
  <si>
    <t>Bernese mountain dog</t>
  </si>
  <si>
    <t>88lbs</t>
  </si>
  <si>
    <t>Bichon frise</t>
  </si>
  <si>
    <t>18lbs</t>
  </si>
  <si>
    <t>Binturong</t>
  </si>
  <si>
    <t>Birman</t>
  </si>
  <si>
    <t>Bison</t>
  </si>
  <si>
    <t>Black bear</t>
  </si>
  <si>
    <t>Black rhinoceros</t>
  </si>
  <si>
    <t>Black russian terrier</t>
  </si>
  <si>
    <t>Black widow spider</t>
  </si>
  <si>
    <t>Bloodhound</t>
  </si>
  <si>
    <t>Blue whale</t>
  </si>
  <si>
    <t>Bluetick coonhound</t>
  </si>
  <si>
    <t>Bobcat</t>
  </si>
  <si>
    <t>Bolognese dog</t>
  </si>
  <si>
    <t>9lbs</t>
  </si>
  <si>
    <t>Bombay</t>
  </si>
  <si>
    <t>Bongo</t>
  </si>
  <si>
    <t>Bonobo</t>
  </si>
  <si>
    <t>Booby</t>
  </si>
  <si>
    <t>Border collie</t>
  </si>
  <si>
    <t>Border terrier</t>
  </si>
  <si>
    <t>Bornean orangutan</t>
  </si>
  <si>
    <t>Borneo elephant</t>
  </si>
  <si>
    <t>Boston terrier</t>
  </si>
  <si>
    <t>25lbs</t>
  </si>
  <si>
    <t>Bottle nosed dolphin</t>
  </si>
  <si>
    <t>Boxer dog</t>
  </si>
  <si>
    <t>Boykin spaniel</t>
  </si>
  <si>
    <t>38lbs</t>
  </si>
  <si>
    <t>Brazilian terrier</t>
  </si>
  <si>
    <t>Brown bear</t>
  </si>
  <si>
    <t>Budgerigar</t>
  </si>
  <si>
    <t>Buffalo</t>
  </si>
  <si>
    <t>Bull mastiff</t>
  </si>
  <si>
    <t>130lbs</t>
  </si>
  <si>
    <t>Bull shark</t>
  </si>
  <si>
    <t>Bull terrier</t>
  </si>
  <si>
    <t>62lbs</t>
  </si>
  <si>
    <t>Bulldog</t>
  </si>
  <si>
    <t>Bullfrog</t>
  </si>
  <si>
    <t>Bumble bee</t>
  </si>
  <si>
    <t>Burmese</t>
  </si>
  <si>
    <t>Burrowing frog</t>
  </si>
  <si>
    <t>Butterfly</t>
  </si>
  <si>
    <t>Butterfly fish</t>
  </si>
  <si>
    <t>Caiman</t>
  </si>
  <si>
    <t>Caiman lizard</t>
  </si>
  <si>
    <t>Cairn terrier</t>
  </si>
  <si>
    <t>Camel</t>
  </si>
  <si>
    <t>Capybara</t>
  </si>
  <si>
    <t>Caracal</t>
  </si>
  <si>
    <t>Cassowary</t>
  </si>
  <si>
    <t>Caterpillar</t>
  </si>
  <si>
    <t>Catfish</t>
  </si>
  <si>
    <t>Cavalier king charles spaniel</t>
  </si>
  <si>
    <t>Centipede</t>
  </si>
  <si>
    <t>Cesky fousek</t>
  </si>
  <si>
    <t>Chameleon</t>
  </si>
  <si>
    <t>Chamois</t>
  </si>
  <si>
    <t>Cheetah</t>
  </si>
  <si>
    <t>Chesapeake bay retriever</t>
  </si>
  <si>
    <t>Chicken</t>
  </si>
  <si>
    <t>Chihuahua</t>
  </si>
  <si>
    <t>6lbs</t>
  </si>
  <si>
    <t>Chimpanzee</t>
  </si>
  <si>
    <t>Chinchilla</t>
  </si>
  <si>
    <t>Chinese crested dog</t>
  </si>
  <si>
    <t>Chinstrap penguin</t>
  </si>
  <si>
    <t>Chipmunk</t>
  </si>
  <si>
    <t>Chow chow</t>
  </si>
  <si>
    <t>Cichlid</t>
  </si>
  <si>
    <t>Clouded leopard</t>
  </si>
  <si>
    <t>Clown fish</t>
  </si>
  <si>
    <t>Coati</t>
  </si>
  <si>
    <t>Cockroach</t>
  </si>
  <si>
    <t>Collared peccary</t>
  </si>
  <si>
    <t>Collie</t>
  </si>
  <si>
    <t>Common frog</t>
  </si>
  <si>
    <t>Common loon</t>
  </si>
  <si>
    <t>Common toad</t>
  </si>
  <si>
    <t>Coral</t>
  </si>
  <si>
    <t>Cottontop tamarin</t>
  </si>
  <si>
    <t>Cougar</t>
  </si>
  <si>
    <t>Cow</t>
  </si>
  <si>
    <t>Coyote</t>
  </si>
  <si>
    <t>Crab</t>
  </si>
  <si>
    <t>Crab eating macaque</t>
  </si>
  <si>
    <t>Crane</t>
  </si>
  <si>
    <t>Crested penguin</t>
  </si>
  <si>
    <t>Crocodile</t>
  </si>
  <si>
    <t>Curly coated retriever</t>
  </si>
  <si>
    <t>Cuttlefish</t>
  </si>
  <si>
    <t>Dachshund</t>
  </si>
  <si>
    <t>Dalmatian</t>
  </si>
  <si>
    <t>Deer</t>
  </si>
  <si>
    <t>Desert tortoise</t>
  </si>
  <si>
    <t>Dingo</t>
  </si>
  <si>
    <t>Discus</t>
  </si>
  <si>
    <t>Doberman pinscher</t>
  </si>
  <si>
    <t>Dodo</t>
  </si>
  <si>
    <t>Dogo argentino</t>
  </si>
  <si>
    <t>100lbs</t>
  </si>
  <si>
    <t>Dogue de bordeaux</t>
  </si>
  <si>
    <t>Dolphin</t>
  </si>
  <si>
    <t>Donkey</t>
  </si>
  <si>
    <t>Dormouse</t>
  </si>
  <si>
    <t>Dragonfly</t>
  </si>
  <si>
    <t>Duck</t>
  </si>
  <si>
    <t>Dusky dolphin</t>
  </si>
  <si>
    <t>Eagle</t>
  </si>
  <si>
    <t>Earwig</t>
  </si>
  <si>
    <t>Echidna</t>
  </si>
  <si>
    <t>Edible frog</t>
  </si>
  <si>
    <t>Egyptian mau</t>
  </si>
  <si>
    <t>Electric eel</t>
  </si>
  <si>
    <t>Elephant</t>
  </si>
  <si>
    <t>Elephant seal</t>
  </si>
  <si>
    <t>Elephant shrew</t>
  </si>
  <si>
    <t>Emperor penguin</t>
  </si>
  <si>
    <t>Emperor tamarin</t>
  </si>
  <si>
    <t>Emu</t>
  </si>
  <si>
    <t>English cocker spaniel</t>
  </si>
  <si>
    <t>34lbs</t>
  </si>
  <si>
    <t>English shepherd</t>
  </si>
  <si>
    <t>English springer spaniel</t>
  </si>
  <si>
    <t>Entlebucher mountain dog</t>
  </si>
  <si>
    <t>Falcon</t>
  </si>
  <si>
    <t>Fennec fox</t>
  </si>
  <si>
    <t>Ferret</t>
  </si>
  <si>
    <t>Field spaniel</t>
  </si>
  <si>
    <t>50lbs</t>
  </si>
  <si>
    <t>Fire bellied toad</t>
  </si>
  <si>
    <t>Fishing cat</t>
  </si>
  <si>
    <t>Flamingo</t>
  </si>
  <si>
    <t>Flat coat retriever</t>
  </si>
  <si>
    <t>Flounder</t>
  </si>
  <si>
    <t>Fly</t>
  </si>
  <si>
    <t>Flying squirrel</t>
  </si>
  <si>
    <t>Fossa</t>
  </si>
  <si>
    <t>Fox</t>
  </si>
  <si>
    <t>Fox terrier</t>
  </si>
  <si>
    <t>French bulldog</t>
  </si>
  <si>
    <t>22lbs</t>
  </si>
  <si>
    <t>Frigatebird</t>
  </si>
  <si>
    <t>Frilled lizard</t>
  </si>
  <si>
    <t>Frog</t>
  </si>
  <si>
    <t>Fur seal</t>
  </si>
  <si>
    <t>Galapagos penguin</t>
  </si>
  <si>
    <t>Galapagos tortoise</t>
  </si>
  <si>
    <t>Gar</t>
  </si>
  <si>
    <t>Gecko</t>
  </si>
  <si>
    <t>0.5oz</t>
  </si>
  <si>
    <t>Gentoo penguin</t>
  </si>
  <si>
    <t>Geoffroys tamarin</t>
  </si>
  <si>
    <t>Gerbil</t>
  </si>
  <si>
    <t>German pinscher</t>
  </si>
  <si>
    <t>35lbs</t>
  </si>
  <si>
    <t>German shepherd</t>
  </si>
  <si>
    <t>95lbs</t>
  </si>
  <si>
    <t>Gharial</t>
  </si>
  <si>
    <t>Giant african land snail</t>
  </si>
  <si>
    <t>Giant clam</t>
  </si>
  <si>
    <t>Giant panda bear</t>
  </si>
  <si>
    <t>Giant schauzer</t>
  </si>
  <si>
    <t>77lbs</t>
  </si>
  <si>
    <t>Gibbon</t>
  </si>
  <si>
    <t>Gila monster</t>
  </si>
  <si>
    <t>Giraffe</t>
  </si>
  <si>
    <t>Glow worm</t>
  </si>
  <si>
    <t>Goat</t>
  </si>
  <si>
    <t>Golden lion tamarin</t>
  </si>
  <si>
    <t>Golden oriole</t>
  </si>
  <si>
    <t>Golden retriever</t>
  </si>
  <si>
    <t>Goose</t>
  </si>
  <si>
    <t>Gopher</t>
  </si>
  <si>
    <t>Gorilla</t>
  </si>
  <si>
    <t>Grasshopper</t>
  </si>
  <si>
    <t>Great dane</t>
  </si>
  <si>
    <t>Great white shark</t>
  </si>
  <si>
    <t>Greater swiss mountain dog</t>
  </si>
  <si>
    <t>Green bee eater</t>
  </si>
  <si>
    <t>Greenland dog</t>
  </si>
  <si>
    <t>66lbs</t>
  </si>
  <si>
    <t>Grey mouse lemur</t>
  </si>
  <si>
    <t>Grey reef shark</t>
  </si>
  <si>
    <t>Grey seal</t>
  </si>
  <si>
    <t>Greyhound</t>
  </si>
  <si>
    <t>Grizzly bear</t>
  </si>
  <si>
    <t>Grouse</t>
  </si>
  <si>
    <t>Guinea fowl</t>
  </si>
  <si>
    <t>Guinea pig</t>
  </si>
  <si>
    <t>Guppy</t>
  </si>
  <si>
    <t>Hammerhead shark</t>
  </si>
  <si>
    <t>Hamster</t>
  </si>
  <si>
    <t>Hare</t>
  </si>
  <si>
    <t>Harrier</t>
  </si>
  <si>
    <t>Havanese</t>
  </si>
  <si>
    <t>Hedgehog</t>
  </si>
  <si>
    <t>Hercules beetle</t>
  </si>
  <si>
    <t>Hermit crab</t>
  </si>
  <si>
    <t>Heron</t>
  </si>
  <si>
    <t>Highland cattle</t>
  </si>
  <si>
    <t>Himalayan</t>
  </si>
  <si>
    <t>Hippo</t>
  </si>
  <si>
    <t>Honey bee</t>
  </si>
  <si>
    <t>Horn shark</t>
  </si>
  <si>
    <t>Horned frog</t>
  </si>
  <si>
    <t>Horse</t>
  </si>
  <si>
    <t>Horseshoe crab</t>
  </si>
  <si>
    <t>Howler monkey</t>
  </si>
  <si>
    <t>Humboldt penguin</t>
  </si>
  <si>
    <t>Hummingbird</t>
  </si>
  <si>
    <t>Humpback whale</t>
  </si>
  <si>
    <t>Hyena</t>
  </si>
  <si>
    <t>Ibis</t>
  </si>
  <si>
    <t>Ibizan hound</t>
  </si>
  <si>
    <t>Iguana</t>
  </si>
  <si>
    <t>Impala</t>
  </si>
  <si>
    <t>Indian elephant</t>
  </si>
  <si>
    <t>Indian palm squirrel</t>
  </si>
  <si>
    <t>Indian rhinoceros</t>
  </si>
  <si>
    <t>Indri</t>
  </si>
  <si>
    <t>Irish setter</t>
  </si>
  <si>
    <t>Irish wolfhound</t>
  </si>
  <si>
    <t>120lbs</t>
  </si>
  <si>
    <t>Jack russel</t>
  </si>
  <si>
    <t>Jackal</t>
  </si>
  <si>
    <t>Jaguar</t>
  </si>
  <si>
    <t>Japanese chin</t>
  </si>
  <si>
    <t>Japanese macaque</t>
  </si>
  <si>
    <t>Jellyfish</t>
  </si>
  <si>
    <t>Kangaroo</t>
  </si>
  <si>
    <t>Keel billed toucan</t>
  </si>
  <si>
    <t>Killer whale</t>
  </si>
  <si>
    <t>King crab</t>
  </si>
  <si>
    <t>King penguin</t>
  </si>
  <si>
    <t>Kingfisher</t>
  </si>
  <si>
    <t>Kiwi</t>
  </si>
  <si>
    <t>Koala</t>
  </si>
  <si>
    <t>Komodo dragon</t>
  </si>
  <si>
    <t>Kudu</t>
  </si>
  <si>
    <t>Labradoodle</t>
  </si>
  <si>
    <t>Labrador retriever</t>
  </si>
  <si>
    <t>Ladybug</t>
  </si>
  <si>
    <t>Leaf tailed gecko</t>
  </si>
  <si>
    <t>Lemming</t>
  </si>
  <si>
    <t>Lemur</t>
  </si>
  <si>
    <t>Leopard</t>
  </si>
  <si>
    <t>Leopard seal</t>
  </si>
  <si>
    <t>Leopard tortoise</t>
  </si>
  <si>
    <t>Liger</t>
  </si>
  <si>
    <t>Lion</t>
  </si>
  <si>
    <t>Lionfish</t>
  </si>
  <si>
    <t>Little penguin</t>
  </si>
  <si>
    <t>Lizard</t>
  </si>
  <si>
    <t>Llama</t>
  </si>
  <si>
    <t>Lobster</t>
  </si>
  <si>
    <t>Long eared owl</t>
  </si>
  <si>
    <t>Lynx</t>
  </si>
  <si>
    <t>Macaroni penguin</t>
  </si>
  <si>
    <t>Macaw</t>
  </si>
  <si>
    <t>Magellanic penguin</t>
  </si>
  <si>
    <t>Magpie</t>
  </si>
  <si>
    <t>Maine coon</t>
  </si>
  <si>
    <t>Malayan tiger</t>
  </si>
  <si>
    <t>Maltese</t>
  </si>
  <si>
    <t>7lbs</t>
  </si>
  <si>
    <t>Manatee</t>
  </si>
  <si>
    <t>Mandrill</t>
  </si>
  <si>
    <t>Manta ray</t>
  </si>
  <si>
    <t>Marine toad</t>
  </si>
  <si>
    <t>Markhor</t>
  </si>
  <si>
    <t>Marsh frog</t>
  </si>
  <si>
    <t>Mastiff</t>
  </si>
  <si>
    <t>190lbs</t>
  </si>
  <si>
    <t>Mayfly</t>
  </si>
  <si>
    <t>Meerkat</t>
  </si>
  <si>
    <t>Millipede</t>
  </si>
  <si>
    <t>Minke whale</t>
  </si>
  <si>
    <t>Mole</t>
  </si>
  <si>
    <t>Molly</t>
  </si>
  <si>
    <t>Mongoose</t>
  </si>
  <si>
    <t>Monitor lizard</t>
  </si>
  <si>
    <t>Monkey</t>
  </si>
  <si>
    <t>Moorhen</t>
  </si>
  <si>
    <t>Moose</t>
  </si>
  <si>
    <t>Moray eel</t>
  </si>
  <si>
    <t>Moth</t>
  </si>
  <si>
    <t>Mountain gorilla</t>
  </si>
  <si>
    <t>Mountain lion</t>
  </si>
  <si>
    <t>Mouse</t>
  </si>
  <si>
    <t>Mule</t>
  </si>
  <si>
    <t>Neapolitan mastiff</t>
  </si>
  <si>
    <t>165lbs</t>
  </si>
  <si>
    <t>Newfoundland</t>
  </si>
  <si>
    <t>Newt</t>
  </si>
  <si>
    <t>Nightingale</t>
  </si>
  <si>
    <t>Norfolk terrier</t>
  </si>
  <si>
    <t>Norwegian forest</t>
  </si>
  <si>
    <t>Numbat</t>
  </si>
  <si>
    <t>Nurse shark</t>
  </si>
  <si>
    <t>Ocelot</t>
  </si>
  <si>
    <t>Octopus</t>
  </si>
  <si>
    <t>Okapi</t>
  </si>
  <si>
    <t>Old english sheepdog</t>
  </si>
  <si>
    <t>Opossum</t>
  </si>
  <si>
    <t>Orangutan</t>
  </si>
  <si>
    <t>Ostrich</t>
  </si>
  <si>
    <t>Otter</t>
  </si>
  <si>
    <t>Oyster</t>
  </si>
  <si>
    <t>Pademelon</t>
  </si>
  <si>
    <t>Panther</t>
  </si>
  <si>
    <t>Parrot</t>
  </si>
  <si>
    <t>Peacock</t>
  </si>
  <si>
    <t>Pekingese</t>
  </si>
  <si>
    <t>Pelican</t>
  </si>
  <si>
    <t>Penguin</t>
  </si>
  <si>
    <t>Persian</t>
  </si>
  <si>
    <t>Pheasant</t>
  </si>
  <si>
    <t>Pig</t>
  </si>
  <si>
    <t>Pika</t>
  </si>
  <si>
    <t>Pike</t>
  </si>
  <si>
    <t>Piranha</t>
  </si>
  <si>
    <t>Platypus</t>
  </si>
  <si>
    <t>Pointer</t>
  </si>
  <si>
    <t>Poison dart frog</t>
  </si>
  <si>
    <t>Polar bear</t>
  </si>
  <si>
    <t>Pond skater</t>
  </si>
  <si>
    <t>Poodle</t>
  </si>
  <si>
    <t>Pool frog</t>
  </si>
  <si>
    <t>Porcupine</t>
  </si>
  <si>
    <t>Prawn</t>
  </si>
  <si>
    <t>Proboscis monkey</t>
  </si>
  <si>
    <t>Puffer fish</t>
  </si>
  <si>
    <t>Puffin</t>
  </si>
  <si>
    <t>Pug</t>
  </si>
  <si>
    <t>Puma</t>
  </si>
  <si>
    <t>Purple emperor</t>
  </si>
  <si>
    <t>Puss moth</t>
  </si>
  <si>
    <t>Pygmy hippopotamus</t>
  </si>
  <si>
    <t>Pygmy marmoset</t>
  </si>
  <si>
    <t>Quail</t>
  </si>
  <si>
    <t>Quetzal</t>
  </si>
  <si>
    <t>Quokka</t>
  </si>
  <si>
    <t>Rabbit</t>
  </si>
  <si>
    <t>Raccoon</t>
  </si>
  <si>
    <t>Raccoon dog</t>
  </si>
  <si>
    <t>Ragdoll</t>
  </si>
  <si>
    <t>Rat</t>
  </si>
  <si>
    <t>Red handed tamarin</t>
  </si>
  <si>
    <t>Red knee tarantula</t>
  </si>
  <si>
    <t>Red panda</t>
  </si>
  <si>
    <t>Red wolf</t>
  </si>
  <si>
    <t>Reindeer</t>
  </si>
  <si>
    <t>Rhino</t>
  </si>
  <si>
    <t>River dolphin</t>
  </si>
  <si>
    <t>River turtle</t>
  </si>
  <si>
    <t>Robin</t>
  </si>
  <si>
    <t>Rock hyrax</t>
  </si>
  <si>
    <t>Rockhopper penguin</t>
  </si>
  <si>
    <t>Roseate spoonbill</t>
  </si>
  <si>
    <t>Rottweiler</t>
  </si>
  <si>
    <t>Russian blue</t>
  </si>
  <si>
    <t>Saint bernard</t>
  </si>
  <si>
    <t>200lbs</t>
  </si>
  <si>
    <t>Salamander</t>
  </si>
  <si>
    <t>Sand lizard</t>
  </si>
  <si>
    <t>Scorpion</t>
  </si>
  <si>
    <t>Scorpion fish</t>
  </si>
  <si>
    <t>Sea lion</t>
  </si>
  <si>
    <t>Sea otter</t>
  </si>
  <si>
    <t>Sea slug</t>
  </si>
  <si>
    <t>Sea squirt</t>
  </si>
  <si>
    <t>Sea turtle</t>
  </si>
  <si>
    <t>Sea urchin</t>
  </si>
  <si>
    <t>Seahorse</t>
  </si>
  <si>
    <t>Seal</t>
  </si>
  <si>
    <t>Serval</t>
  </si>
  <si>
    <t>Sheep</t>
  </si>
  <si>
    <t>Shih tzu</t>
  </si>
  <si>
    <t>Siamese</t>
  </si>
  <si>
    <t>Siamese fighting fish</t>
  </si>
  <si>
    <t>Siberian</t>
  </si>
  <si>
    <t>Siberian husky</t>
  </si>
  <si>
    <t>Siberian tiger</t>
  </si>
  <si>
    <t>Skunk</t>
  </si>
  <si>
    <t>Sloth</t>
  </si>
  <si>
    <t>Slow worm</t>
  </si>
  <si>
    <t>Snail</t>
  </si>
  <si>
    <t>Snake</t>
  </si>
  <si>
    <t>330lbs</t>
  </si>
  <si>
    <t>Snapping turtle</t>
  </si>
  <si>
    <t>Snowy owl</t>
  </si>
  <si>
    <t>Sparrow</t>
  </si>
  <si>
    <t>Spectacled bear</t>
  </si>
  <si>
    <t>Spider monkey</t>
  </si>
  <si>
    <t>Squid</t>
  </si>
  <si>
    <t>Squirrel</t>
  </si>
  <si>
    <t>Squirrel monkey</t>
  </si>
  <si>
    <t>Sri lankan elephant</t>
  </si>
  <si>
    <t>Staffordshire bull terrier</t>
  </si>
  <si>
    <t>Stag beetle</t>
  </si>
  <si>
    <t>Starfish</t>
  </si>
  <si>
    <t>Stick insect</t>
  </si>
  <si>
    <t>Stingray</t>
  </si>
  <si>
    <t>Sun bear</t>
  </si>
  <si>
    <t>Swan</t>
  </si>
  <si>
    <t>Tang</t>
  </si>
  <si>
    <t>Tapir</t>
  </si>
  <si>
    <t>Tarsier</t>
  </si>
  <si>
    <t>Tasmanian devil</t>
  </si>
  <si>
    <t>Tawny owl</t>
  </si>
  <si>
    <t>Termite</t>
  </si>
  <si>
    <t>Tetra</t>
  </si>
  <si>
    <t>Thorny devil</t>
  </si>
  <si>
    <t>Tibetan mastiff</t>
  </si>
  <si>
    <t>180lbs</t>
  </si>
  <si>
    <t>Tiger</t>
  </si>
  <si>
    <t>Toucan</t>
  </si>
  <si>
    <t>Tree frog</t>
  </si>
  <si>
    <t>Tropicbird</t>
  </si>
  <si>
    <t>Tuatara</t>
  </si>
  <si>
    <t>Turkish angora</t>
  </si>
  <si>
    <t>Vampire bat</t>
  </si>
  <si>
    <t>Vervet monkey</t>
  </si>
  <si>
    <t>Vulture</t>
  </si>
  <si>
    <t>Wallaby</t>
  </si>
  <si>
    <t>Walrus</t>
  </si>
  <si>
    <t>Warthog</t>
  </si>
  <si>
    <t>Wasp</t>
  </si>
  <si>
    <t>Water buffalo</t>
  </si>
  <si>
    <t>Water dragon</t>
  </si>
  <si>
    <t>Water vole</t>
  </si>
  <si>
    <t>Weasel</t>
  </si>
  <si>
    <t>Welsh corgi</t>
  </si>
  <si>
    <t>West highland terrier</t>
  </si>
  <si>
    <t>Western gorilla</t>
  </si>
  <si>
    <t>Whale shark</t>
  </si>
  <si>
    <t>Whippet</t>
  </si>
  <si>
    <t>White rhino</t>
  </si>
  <si>
    <t>White tiger</t>
  </si>
  <si>
    <t>Wild boar</t>
  </si>
  <si>
    <t>Wildebeest</t>
  </si>
  <si>
    <t>Wolf</t>
  </si>
  <si>
    <t>Wolverine</t>
  </si>
  <si>
    <t>Wombat</t>
  </si>
  <si>
    <t>Woodlouse</t>
  </si>
  <si>
    <t>Woodpecker</t>
  </si>
  <si>
    <t>Wrasse</t>
  </si>
  <si>
    <t>Yak</t>
  </si>
  <si>
    <t>Yorkshire terrier</t>
  </si>
  <si>
    <t>Zebra</t>
  </si>
  <si>
    <t>Zebu</t>
  </si>
  <si>
    <t>Zonkey</t>
  </si>
  <si>
    <t>Transport</t>
  </si>
  <si>
    <t>Air</t>
  </si>
  <si>
    <t>Road</t>
  </si>
  <si>
    <t>Boat</t>
  </si>
  <si>
    <t>7,900lbs</t>
  </si>
  <si>
    <t>3lbs</t>
  </si>
  <si>
    <t>1oz</t>
  </si>
  <si>
    <t>1,984lbs</t>
  </si>
  <si>
    <t>4.4lbs</t>
  </si>
  <si>
    <t>39lbs</t>
  </si>
  <si>
    <t>17lbs</t>
  </si>
  <si>
    <t>400lbs</t>
  </si>
  <si>
    <t/>
  </si>
  <si>
    <t>1,100lbs</t>
  </si>
  <si>
    <t>198lbs</t>
  </si>
  <si>
    <t>6,500lbs</t>
  </si>
  <si>
    <t>5oz</t>
  </si>
  <si>
    <t>2oz</t>
  </si>
  <si>
    <t>4lbs</t>
  </si>
  <si>
    <t>1,322lbs</t>
  </si>
  <si>
    <t>0.4lbs</t>
  </si>
  <si>
    <t>10oz</t>
  </si>
  <si>
    <t>0.07oz</t>
  </si>
  <si>
    <t>9oz</t>
  </si>
  <si>
    <t>309lbs</t>
  </si>
  <si>
    <t>2,200lbs</t>
  </si>
  <si>
    <t>220lbs</t>
  </si>
  <si>
    <t>1,800lbs</t>
  </si>
  <si>
    <t>220,000lbs</t>
  </si>
  <si>
    <t>2lbs</t>
  </si>
  <si>
    <t>440lbs</t>
  </si>
  <si>
    <t>300lbs</t>
  </si>
  <si>
    <t>1,323lbs</t>
  </si>
  <si>
    <t>10.5oz</t>
  </si>
  <si>
    <t>0.7oz</t>
  </si>
  <si>
    <t>13lbs</t>
  </si>
  <si>
    <t>660lbs</t>
  </si>
  <si>
    <t>0.02lbs</t>
  </si>
  <si>
    <t>2.2lbs</t>
  </si>
  <si>
    <t>57lbs</t>
  </si>
  <si>
    <t>14oz</t>
  </si>
  <si>
    <t>6.6lbs</t>
  </si>
  <si>
    <t>7.7oz</t>
  </si>
  <si>
    <t>64lbs</t>
  </si>
  <si>
    <t>881lbs</t>
  </si>
  <si>
    <t>15lbs</t>
  </si>
  <si>
    <t>3.5oz</t>
  </si>
  <si>
    <t>8.2lbs</t>
  </si>
  <si>
    <t>441lbs</t>
  </si>
  <si>
    <t>1.5lbs</t>
  </si>
  <si>
    <t>176lbs</t>
  </si>
  <si>
    <t>1.1lbs</t>
  </si>
  <si>
    <t>0.17oz</t>
  </si>
  <si>
    <t>2,000lbs</t>
  </si>
  <si>
    <t>49lbs</t>
  </si>
  <si>
    <t>11lbs</t>
  </si>
  <si>
    <t>1.9lbs</t>
  </si>
  <si>
    <t>230lbs</t>
  </si>
  <si>
    <t>8.8lbs</t>
  </si>
  <si>
    <t>330.7lbs</t>
  </si>
  <si>
    <t>8.8oz</t>
  </si>
  <si>
    <t>242lbs</t>
  </si>
  <si>
    <t>13.2lbs</t>
  </si>
  <si>
    <t>1,200lbs</t>
  </si>
  <si>
    <t>19oz</t>
  </si>
  <si>
    <t>3.3lbs</t>
  </si>
  <si>
    <t>7.8oz</t>
  </si>
  <si>
    <t>2,450lbs</t>
  </si>
  <si>
    <t>353lbs</t>
  </si>
  <si>
    <t>0.6lbs</t>
  </si>
  <si>
    <t>1lbs</t>
  </si>
  <si>
    <t>500lbs</t>
  </si>
  <si>
    <t>7oz</t>
  </si>
  <si>
    <t>882lbs</t>
  </si>
  <si>
    <t>11.2oz</t>
  </si>
  <si>
    <t>840lbs</t>
  </si>
  <si>
    <t>90lbs</t>
  </si>
  <si>
    <t>81.6lbs</t>
  </si>
  <si>
    <t>4,900lbs</t>
  </si>
  <si>
    <t>79lbs</t>
  </si>
  <si>
    <t>4.7lbs</t>
  </si>
  <si>
    <t>15,000lbs</t>
  </si>
  <si>
    <t>0.4oz</t>
  </si>
  <si>
    <t>2.6lbs</t>
  </si>
  <si>
    <t>265lbs</t>
  </si>
  <si>
    <t>0.35oz</t>
  </si>
  <si>
    <t>1.1oz</t>
  </si>
  <si>
    <t>264lbs</t>
  </si>
  <si>
    <t>280lbs</t>
  </si>
  <si>
    <t>5.9lbs</t>
  </si>
  <si>
    <t>800lbs</t>
  </si>
  <si>
    <t>71lbs</t>
  </si>
  <si>
    <t>1.3lbs</t>
  </si>
  <si>
    <t>5lbs</t>
  </si>
  <si>
    <t>0.7lbs</t>
  </si>
  <si>
    <t>2.5oz</t>
  </si>
  <si>
    <t>600lbs</t>
  </si>
  <si>
    <t>450lbs</t>
  </si>
  <si>
    <t>0.2lbs</t>
  </si>
  <si>
    <t>771lbs</t>
  </si>
  <si>
    <t>0.3lbs</t>
  </si>
  <si>
    <t>9.9lbs</t>
  </si>
  <si>
    <t>1.7oz</t>
  </si>
  <si>
    <t>7.7lbs</t>
  </si>
  <si>
    <t>0.07lbs</t>
  </si>
  <si>
    <t>0.004oz</t>
  </si>
  <si>
    <t>13oz</t>
  </si>
  <si>
    <t>148lbs</t>
  </si>
  <si>
    <t>350lbs</t>
  </si>
  <si>
    <t>4.2lbs</t>
  </si>
  <si>
    <t>2.4oz</t>
  </si>
  <si>
    <t>0.5lbs</t>
  </si>
  <si>
    <t>132lbs</t>
  </si>
  <si>
    <t>1,765lbs</t>
  </si>
  <si>
    <t>3.5lbs</t>
  </si>
  <si>
    <t>2.4lbs</t>
  </si>
  <si>
    <t>286lbs</t>
  </si>
  <si>
    <t>1.7lbs</t>
  </si>
  <si>
    <t>2.8oz</t>
  </si>
  <si>
    <t>12oz</t>
  </si>
  <si>
    <t>2.5lbs</t>
  </si>
  <si>
    <t>589lbs</t>
  </si>
  <si>
    <t>4.6oz</t>
  </si>
  <si>
    <t>880lbs</t>
  </si>
  <si>
    <t>5.6oz</t>
  </si>
  <si>
    <t>4.2oz</t>
  </si>
  <si>
    <t>3,168lbs</t>
  </si>
  <si>
    <t>0.2oz</t>
  </si>
  <si>
    <t>661lbs</t>
  </si>
  <si>
    <t>485lbs</t>
  </si>
  <si>
    <t>331lbs</t>
  </si>
  <si>
    <t>50000lbs</t>
  </si>
  <si>
    <t>Cost USD</t>
  </si>
  <si>
    <t>Lifespan</t>
  </si>
  <si>
    <t>Participant Status</t>
  </si>
  <si>
    <t>Revenue</t>
  </si>
  <si>
    <t>Cost</t>
  </si>
  <si>
    <t>Row Labels</t>
  </si>
  <si>
    <t>Grand Total</t>
  </si>
  <si>
    <t>Profit</t>
  </si>
  <si>
    <t>Number of Missing Values</t>
  </si>
  <si>
    <t>New Participant</t>
  </si>
  <si>
    <t>Previous Participant</t>
  </si>
  <si>
    <t>Count of Animal</t>
  </si>
  <si>
    <t>Column Labels</t>
  </si>
  <si>
    <t>years</t>
  </si>
  <si>
    <t>months</t>
  </si>
  <si>
    <t>year</t>
  </si>
  <si>
    <t>days</t>
  </si>
  <si>
    <t>weeks</t>
  </si>
  <si>
    <t>Lifespan Unit</t>
  </si>
  <si>
    <t>Weight Unit</t>
  </si>
  <si>
    <t>Weight (Digits)</t>
  </si>
  <si>
    <t>Weight (lbs)</t>
  </si>
  <si>
    <t>Lifespan (Years)</t>
  </si>
  <si>
    <t>Manual Chart Table - Profitability Analysis</t>
  </si>
  <si>
    <t>Profit Margin</t>
  </si>
  <si>
    <t>Manual Chart Table - Revenue vs Cost</t>
  </si>
  <si>
    <t>Manual Table for Chart</t>
  </si>
  <si>
    <t># Participant</t>
  </si>
  <si>
    <t>% Participant</t>
  </si>
  <si>
    <t>Manual Table for Chart - Transport Breakdown</t>
  </si>
  <si>
    <t>Spacer</t>
  </si>
  <si>
    <t>Europe &amp; Eurasia</t>
  </si>
  <si>
    <t>Africa &amp; MENA</t>
  </si>
  <si>
    <t>Manual Table for Chart - Region and Transport Breakdown</t>
  </si>
  <si>
    <t>Manual Table for Chart - Breakdown by Diet</t>
  </si>
  <si>
    <t>&lt;25</t>
  </si>
  <si>
    <t>&gt;=100</t>
  </si>
  <si>
    <t>Lifespan Group</t>
  </si>
  <si>
    <t>Weight Group</t>
  </si>
  <si>
    <t>&lt;100</t>
  </si>
  <si>
    <t>25-49</t>
  </si>
  <si>
    <t>50-74</t>
  </si>
  <si>
    <t>75-99</t>
  </si>
  <si>
    <t>100-199</t>
  </si>
  <si>
    <t>200-299</t>
  </si>
  <si>
    <t>300-399</t>
  </si>
  <si>
    <t>400-499</t>
  </si>
  <si>
    <t>&gt;= 500</t>
  </si>
  <si>
    <t>N/A</t>
  </si>
  <si>
    <t>&gt;=500</t>
  </si>
  <si>
    <t>Revenue ($)</t>
  </si>
  <si>
    <t>Cost ($)</t>
  </si>
  <si>
    <t>Profit ($)</t>
  </si>
  <si>
    <t>Profit Margin (%)</t>
  </si>
  <si>
    <t>Biodiversity Event Analysis - Prepared by Lan Hoang</t>
  </si>
  <si>
    <t>1. Participant Analysis</t>
  </si>
  <si>
    <t>Manual Table for Chart - Lifespan</t>
  </si>
  <si>
    <t>Manual Table for Chart - Weight Group</t>
  </si>
  <si>
    <t>2. Logistics and Diversity Analysis</t>
  </si>
  <si>
    <t>Weight Group by Region</t>
  </si>
  <si>
    <t>Lifespan Group by Region</t>
  </si>
  <si>
    <t>Lifespan Group by Diet</t>
  </si>
  <si>
    <t>Weight Group by Diet</t>
  </si>
  <si>
    <t>Weight Group by Lifespan Group</t>
  </si>
  <si>
    <t>3. Profitability Analysis</t>
  </si>
  <si>
    <t>By Region</t>
  </si>
  <si>
    <t>By Diet</t>
  </si>
  <si>
    <t>By Region and Diet (high level)</t>
  </si>
  <si>
    <t># Participant by Weight Group</t>
  </si>
  <si>
    <t># Participant by Lifespan Group</t>
  </si>
  <si>
    <t># New Participant by Diet</t>
  </si>
  <si>
    <t># All Participant by Diet</t>
  </si>
  <si>
    <t># Participant by Transport &amp; Region</t>
  </si>
  <si>
    <t># Participant by Transport</t>
  </si>
  <si>
    <t># Participant by Region by Diet</t>
  </si>
  <si>
    <t># Participant by Region and Participation Status</t>
  </si>
  <si>
    <t>By Diet and Region (detailed)</t>
  </si>
  <si>
    <t>By Region and Diet (detailed)</t>
  </si>
  <si>
    <t>% New Participant</t>
  </si>
  <si>
    <t>Values</t>
  </si>
  <si>
    <t>Total % of Region Total</t>
  </si>
  <si>
    <t>% of Region Total</t>
  </si>
  <si>
    <t>Total # Participant</t>
  </si>
  <si>
    <t>Count of Animal2</t>
  </si>
  <si>
    <t xml:space="preserve"> </t>
  </si>
  <si>
    <t>Total Revenue</t>
  </si>
  <si>
    <t>Membership</t>
  </si>
  <si>
    <t>Participation Fees</t>
  </si>
  <si>
    <t>Partnership</t>
  </si>
  <si>
    <t>Direct Funding</t>
  </si>
  <si>
    <t>Other</t>
  </si>
  <si>
    <t>Company partnership fees</t>
  </si>
  <si>
    <t>Different tiers of partnership</t>
  </si>
  <si>
    <t>Strategic Partnership</t>
  </si>
  <si>
    <t>Strategic Foundation Partnership</t>
  </si>
  <si>
    <t>Strategic Technology Partnership</t>
  </si>
  <si>
    <t>Strategic Partnership Associate</t>
  </si>
  <si>
    <t>Associate Partnership</t>
  </si>
  <si>
    <t>Platform Partner</t>
  </si>
  <si>
    <t>New Champions</t>
  </si>
  <si>
    <t>Global Innovators</t>
  </si>
  <si>
    <t>Unicorns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</si>
</sst>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43" formatCode="_(* #,##0.00_);_(* \(#,##0.00\);_(* &quot;-&quot;??_);_(@_)"/>
    <numFmt numFmtId="164" formatCode="_(&quot;$&quot;* #,##0_);_(&quot;$&quot;* \(#,##0\);_(&quot;$&quot;* &quot;-&quot;??_);_(@_)"/>
    <numFmt numFmtId="165" formatCode="_(* #,##0.0_);_(* \(#,##0.0\);_(* &quot;-&quot;??_);_(@_)"/>
    <numFmt numFmtId="166" formatCode="0.0%"/>
  </numFmts>
  <fonts count="12" x14ac:knownFonts="1">
    <font>
      <sz val="11"/>
      <color theme="1"/>
      <name val="Calibri"/>
      <family val="2"/>
      <scheme val="minor"/>
    </font>
    <font>
      <sz val="8"/>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1"/>
      <color theme="0"/>
      <name val="Calibri"/>
      <family val="2"/>
      <scheme val="minor"/>
    </font>
    <font>
      <b/>
      <sz val="16"/>
      <color theme="1"/>
      <name val="Calibri"/>
      <family val="2"/>
      <scheme val="minor"/>
    </font>
    <font>
      <b/>
      <sz val="9"/>
      <color theme="1"/>
      <name val="Calibri"/>
      <family val="2"/>
      <scheme val="minor"/>
    </font>
    <font>
      <b/>
      <sz val="16"/>
      <color theme="4" tint="-0.499984740745262"/>
      <name val="Calibri"/>
      <family val="2"/>
      <scheme val="minor"/>
    </font>
    <font>
      <b/>
      <sz val="18"/>
      <color theme="1"/>
      <name val="Calibri"/>
      <family val="2"/>
      <scheme val="minor"/>
    </font>
    <font>
      <sz val="12"/>
      <color rgb="FF374151"/>
      <name val="Segoe UI"/>
      <family val="2"/>
    </font>
    <font>
      <sz val="11"/>
      <color rgb="FF050505"/>
      <name val="Segoe UI Historic"/>
      <family val="2"/>
    </font>
  </fonts>
  <fills count="8">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6"/>
        <bgColor theme="6"/>
      </patternFill>
    </fill>
    <fill>
      <patternFill patternType="solid">
        <fgColor theme="0"/>
        <bgColor indexed="64"/>
      </patternFill>
    </fill>
    <fill>
      <patternFill patternType="solid">
        <fgColor rgb="FFFFC000"/>
        <bgColor indexed="64"/>
      </patternFill>
    </fill>
    <fill>
      <patternFill patternType="solid">
        <fgColor theme="9" tint="0.59999389629810485"/>
        <bgColor indexed="64"/>
      </patternFill>
    </fill>
  </fills>
  <borders count="8">
    <border>
      <left/>
      <right/>
      <top/>
      <bottom/>
      <diagonal/>
    </border>
    <border>
      <left style="thin">
        <color theme="6"/>
      </left>
      <right/>
      <top style="thin">
        <color theme="6"/>
      </top>
      <bottom/>
      <diagonal/>
    </border>
    <border>
      <left/>
      <right/>
      <top style="thin">
        <color theme="6"/>
      </top>
      <bottom/>
      <diagonal/>
    </border>
    <border>
      <left/>
      <right style="thin">
        <color theme="6"/>
      </right>
      <top style="thin">
        <color theme="6"/>
      </top>
      <bottom/>
      <diagonal/>
    </border>
    <border>
      <left style="thin">
        <color theme="6"/>
      </left>
      <right/>
      <top style="thin">
        <color theme="6"/>
      </top>
      <bottom style="thin">
        <color theme="6"/>
      </bottom>
      <diagonal/>
    </border>
    <border>
      <left/>
      <right/>
      <top style="thin">
        <color theme="6"/>
      </top>
      <bottom style="thin">
        <color theme="6"/>
      </bottom>
      <diagonal/>
    </border>
    <border>
      <left/>
      <right style="thin">
        <color theme="6"/>
      </right>
      <top style="thin">
        <color theme="6"/>
      </top>
      <bottom style="thin">
        <color theme="6"/>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cellStyleXfs>
  <cellXfs count="55">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pivotButton="1"/>
    <xf numFmtId="0" fontId="0" fillId="0" borderId="0" xfId="0" applyAlignment="1">
      <alignment horizontal="left"/>
    </xf>
    <xf numFmtId="164" fontId="0" fillId="0" borderId="0" xfId="0" applyNumberFormat="1"/>
    <xf numFmtId="1" fontId="0" fillId="0" borderId="0" xfId="1" applyNumberFormat="1" applyFont="1" applyAlignment="1">
      <alignment horizontal="center" vertical="center"/>
    </xf>
    <xf numFmtId="1" fontId="0" fillId="0" borderId="0" xfId="1" applyNumberFormat="1" applyFont="1"/>
    <xf numFmtId="0" fontId="3" fillId="0" borderId="0" xfId="0" applyFont="1" applyAlignment="1">
      <alignment horizontal="center" vertical="center"/>
    </xf>
    <xf numFmtId="9" fontId="0" fillId="0" borderId="0" xfId="0" applyNumberFormat="1"/>
    <xf numFmtId="0" fontId="4" fillId="0" borderId="0" xfId="0" applyFont="1"/>
    <xf numFmtId="9" fontId="0" fillId="0" borderId="0" xfId="2" applyFont="1"/>
    <xf numFmtId="0" fontId="4" fillId="2" borderId="0" xfId="0" applyFont="1" applyFill="1"/>
    <xf numFmtId="0" fontId="4" fillId="2" borderId="0" xfId="0" applyFont="1" applyFill="1" applyAlignment="1">
      <alignment horizontal="left"/>
    </xf>
    <xf numFmtId="43" fontId="0" fillId="0" borderId="0" xfId="1" applyFont="1" applyAlignment="1">
      <alignment horizontal="center" vertical="center"/>
    </xf>
    <xf numFmtId="164" fontId="0" fillId="0" borderId="0" xfId="3" applyNumberFormat="1" applyFont="1"/>
    <xf numFmtId="164" fontId="4" fillId="0" borderId="0" xfId="3" applyNumberFormat="1" applyFont="1"/>
    <xf numFmtId="0" fontId="0" fillId="0" borderId="0" xfId="0" applyAlignment="1">
      <alignment horizontal="center"/>
    </xf>
    <xf numFmtId="164" fontId="2" fillId="0" borderId="0" xfId="3" applyNumberFormat="1" applyFont="1"/>
    <xf numFmtId="165" fontId="0" fillId="0" borderId="0" xfId="1" applyNumberFormat="1" applyFont="1" applyAlignment="1">
      <alignment horizontal="center"/>
    </xf>
    <xf numFmtId="166" fontId="0" fillId="0" borderId="0" xfId="0" applyNumberFormat="1"/>
    <xf numFmtId="166" fontId="4" fillId="0" borderId="0" xfId="0" applyNumberFormat="1" applyFont="1"/>
    <xf numFmtId="0" fontId="4" fillId="0" borderId="4" xfId="0" applyFont="1" applyBorder="1"/>
    <xf numFmtId="0" fontId="4" fillId="0" borderId="5" xfId="0" applyFont="1" applyBorder="1"/>
    <xf numFmtId="164" fontId="0" fillId="0" borderId="2" xfId="3" applyNumberFormat="1" applyFont="1" applyBorder="1"/>
    <xf numFmtId="9" fontId="0" fillId="0" borderId="3" xfId="0" applyNumberFormat="1" applyBorder="1"/>
    <xf numFmtId="164" fontId="4" fillId="0" borderId="5" xfId="3" applyNumberFormat="1" applyFont="1" applyBorder="1"/>
    <xf numFmtId="166" fontId="4" fillId="0" borderId="6" xfId="0" applyNumberFormat="1" applyFont="1" applyBorder="1"/>
    <xf numFmtId="0" fontId="5" fillId="4" borderId="1" xfId="0" applyFont="1" applyFill="1" applyBorder="1" applyAlignment="1">
      <alignment horizontal="center"/>
    </xf>
    <xf numFmtId="0" fontId="5" fillId="4" borderId="2" xfId="0" applyFont="1" applyFill="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4" fillId="0" borderId="1" xfId="0" applyFont="1" applyBorder="1" applyAlignment="1">
      <alignment horizontal="center"/>
    </xf>
    <xf numFmtId="0" fontId="5" fillId="4" borderId="3" xfId="0" applyFont="1" applyFill="1" applyBorder="1" applyAlignment="1">
      <alignment horizontal="center"/>
    </xf>
    <xf numFmtId="0" fontId="6" fillId="5" borderId="0" xfId="0" applyFont="1" applyFill="1" applyAlignment="1">
      <alignment vertical="center"/>
    </xf>
    <xf numFmtId="0" fontId="4" fillId="3" borderId="7" xfId="0" applyFont="1" applyFill="1" applyBorder="1"/>
    <xf numFmtId="0" fontId="0" fillId="0" borderId="7" xfId="0" applyBorder="1"/>
    <xf numFmtId="9" fontId="0" fillId="0" borderId="7" xfId="2" applyFont="1" applyBorder="1"/>
    <xf numFmtId="0" fontId="4" fillId="0" borderId="7" xfId="0" applyFont="1" applyBorder="1"/>
    <xf numFmtId="9" fontId="4" fillId="0" borderId="7" xfId="2" applyFont="1" applyBorder="1"/>
    <xf numFmtId="0" fontId="0" fillId="2" borderId="0" xfId="0" applyFill="1"/>
    <xf numFmtId="164" fontId="0" fillId="2" borderId="0" xfId="0" applyNumberFormat="1" applyFill="1"/>
    <xf numFmtId="0" fontId="7" fillId="3" borderId="7" xfId="0" applyFont="1" applyFill="1" applyBorder="1" applyAlignment="1">
      <alignment horizontal="left" vertical="center"/>
    </xf>
    <xf numFmtId="164" fontId="0" fillId="0" borderId="7" xfId="3" applyNumberFormat="1" applyFont="1" applyBorder="1"/>
    <xf numFmtId="164" fontId="4" fillId="0" borderId="7" xfId="3" applyNumberFormat="1" applyFont="1" applyBorder="1"/>
    <xf numFmtId="0" fontId="0" fillId="7" borderId="0" xfId="0" applyFill="1"/>
    <xf numFmtId="0" fontId="8" fillId="7" borderId="0" xfId="0" applyFont="1" applyFill="1"/>
    <xf numFmtId="0" fontId="4" fillId="2" borderId="0" xfId="0" applyFont="1" applyFill="1" applyAlignment="1">
      <alignment horizontal="center"/>
    </xf>
    <xf numFmtId="0" fontId="4" fillId="3" borderId="0" xfId="0" applyFont="1" applyFill="1" applyAlignment="1">
      <alignment horizontal="center"/>
    </xf>
    <xf numFmtId="0" fontId="9" fillId="6" borderId="0" xfId="0" applyFont="1" applyFill="1" applyAlignment="1">
      <alignment horizontal="center" vertical="center"/>
    </xf>
    <xf numFmtId="3" fontId="0" fillId="0" borderId="0" xfId="0" applyNumberFormat="1"/>
    <xf numFmtId="0" fontId="10" fillId="0" borderId="0" xfId="0" applyFont="1" applyAlignment="1">
      <alignment horizontal="left" vertical="center" indent="1"/>
    </xf>
    <xf numFmtId="0" fontId="10" fillId="0" borderId="0" xfId="0" applyFont="1"/>
    <xf numFmtId="0" fontId="10" fillId="0" borderId="0" xfId="0" applyFont="1" applyAlignment="1">
      <alignment horizontal="left" vertical="center" indent="2"/>
    </xf>
    <xf numFmtId="0" fontId="11" fillId="0" borderId="0" xfId="0" applyFont="1"/>
  </cellXfs>
  <cellStyles count="4">
    <cellStyle name="Comma" xfId="1" builtinId="3"/>
    <cellStyle name="Currency" xfId="3" builtinId="4"/>
    <cellStyle name="Normal" xfId="0" builtinId="0"/>
    <cellStyle name="Percent" xfId="2" builtinId="5"/>
  </cellStyles>
  <dxfs count="64">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alignment horizontal="center" textRotation="0" wrapText="0" indent="0" justifyLastLine="0" shrinkToFit="0" readingOrder="0"/>
    </dxf>
    <dxf>
      <numFmt numFmtId="0" formatCode="General"/>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165" formatCode="_(* #,##0.0_);_(* \(#,##0.0\);_(* &quot;-&quot;??_);_(@_)"/>
      <alignment horizontal="center" textRotation="0" wrapText="0" indent="0" justifyLastLine="0" shrinkToFit="0" readingOrder="0"/>
    </dxf>
    <dxf>
      <numFmt numFmtId="0" formatCode="General"/>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5" formatCode="_(* #,##0.00_);_(* \(#,##0.00\);_(* &quot;-&quot;??_);_(@_)"/>
      <alignment horizontal="center" vertical="center" textRotation="0" wrapText="0" indent="0" justifyLastLine="0" shrinkToFit="0" readingOrder="0"/>
    </dxf>
    <dxf>
      <numFmt numFmtId="35" formatCode="_(* #,##0.00_);_(* \(#,##0.00\);_(* &quot;-&quot;??_);_(@_)"/>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6" formatCode="0.0%"/>
    </dxf>
    <dxf>
      <numFmt numFmtId="164" formatCode="_(&quot;$&quot;* #,##0_);_(&quot;$&quot;* \(#,##0\);_(&quot;$&quot;* &quot;-&quot;??_);_(@_)"/>
    </dxf>
    <dxf>
      <numFmt numFmtId="164" formatCode="_(&quot;$&quot;* #,##0_);_(&quot;$&quot;* \(#,##0\);_(&quot;$&quot;* &quot;-&quot;??_);_(@_)"/>
    </dxf>
    <dxf>
      <numFmt numFmtId="164" formatCode="_(&quot;$&quot;* #,##0_);_(&quot;$&quot;* \(#,##0\);_(&quot;$&quot;* &quot;-&quot;??_);_(@_)"/>
    </dxf>
    <dxf>
      <numFmt numFmtId="166" formatCode="0.0%"/>
    </dxf>
    <dxf>
      <numFmt numFmtId="13" formatCode="0%"/>
    </dxf>
    <dxf>
      <numFmt numFmtId="13" formatCode="0%"/>
    </dxf>
    <dxf>
      <numFmt numFmtId="13" formatCode="0%"/>
    </dxf>
    <dxf>
      <numFmt numFmtId="0" formatCode="General"/>
    </dxf>
    <dxf>
      <numFmt numFmtId="13" formatCode="0%"/>
    </dxf>
    <dxf>
      <numFmt numFmtId="166" formatCode="0.0%"/>
    </dxf>
    <dxf>
      <numFmt numFmtId="13" formatCode="0%"/>
    </dxf>
    <dxf>
      <numFmt numFmtId="13" formatCode="0%"/>
    </dxf>
    <dxf>
      <numFmt numFmtId="164" formatCode="_(&quot;$&quot;* #,##0_);_(&quot;$&quot;* \(#,##0\);_(&quot;$&quot;* &quot;-&quot;??_);_(@_)"/>
    </dxf>
    <dxf>
      <numFmt numFmtId="0" formatCode="General"/>
    </dxf>
    <dxf>
      <numFmt numFmtId="13" formatCode="0%"/>
    </dxf>
    <dxf>
      <numFmt numFmtId="0" formatCode="General"/>
    </dxf>
    <dxf>
      <numFmt numFmtId="13" formatCode="0%"/>
    </dxf>
    <dxf>
      <numFmt numFmtId="166" formatCode="0.0%"/>
    </dxf>
    <dxf>
      <fill>
        <patternFill patternType="none">
          <bgColor auto="1"/>
        </patternFill>
      </fill>
    </dxf>
    <dxf>
      <fill>
        <patternFill patternType="none">
          <bgColor auto="1"/>
        </patternFill>
      </fill>
    </dxf>
    <dxf>
      <fill>
        <patternFill patternType="none">
          <bgColor auto="1"/>
        </patternFill>
      </fill>
    </dxf>
    <dxf>
      <numFmt numFmtId="164" formatCode="_(&quot;$&quot;* #,##0_);_(&quot;$&quot;* \(#,##0\);_(&quot;$&quot;* &quot;-&quot;??_);_(@_)"/>
    </dxf>
    <dxf>
      <numFmt numFmtId="0" formatCode="General"/>
    </dxf>
    <dxf>
      <numFmt numFmtId="13" formatCode="0%"/>
    </dxf>
    <dxf>
      <numFmt numFmtId="13" formatCode="0%"/>
    </dxf>
    <dxf>
      <numFmt numFmtId="0" formatCode="General"/>
    </dxf>
    <dxf>
      <numFmt numFmtId="13" formatCode="0%"/>
    </dxf>
  </dxfs>
  <tableStyles count="1" defaultTableStyle="TableStyleMedium2" defaultPivotStyle="PivotStyleLight16">
    <tableStyle name="Invisible" pivot="0" table="0" count="0" xr9:uid="{1298477D-D93B-4E09-BCD9-961F55E136B1}"/>
  </tableStyles>
  <colors>
    <mruColors>
      <color rgb="FFFF2D2D"/>
      <color rgb="FF0000CC"/>
      <color rgb="FF305496"/>
      <color rgb="FF0900C0"/>
      <color rgb="FFF9F9F9"/>
      <color rgb="FFF3F3F3"/>
      <color rgb="FFD0A0C7"/>
      <color rgb="FFAD5B9D"/>
      <color rgb="FFA66BD3"/>
      <color rgb="FF29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latin typeface="+mn-lt"/>
              </a:rPr>
              <a:t>First-time</a:t>
            </a:r>
            <a:r>
              <a:rPr lang="en-US" b="1" baseline="0">
                <a:solidFill>
                  <a:schemeClr val="tx1"/>
                </a:solidFill>
                <a:latin typeface="+mn-lt"/>
              </a:rPr>
              <a:t> Participant % </a:t>
            </a:r>
            <a:r>
              <a:rPr lang="en-US" b="1">
                <a:solidFill>
                  <a:schemeClr val="tx1"/>
                </a:solidFill>
                <a:latin typeface="+mn-lt"/>
              </a:rPr>
              <a:t>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Cover!$C$21</c:f>
              <c:strCache>
                <c:ptCount val="1"/>
                <c:pt idx="0">
                  <c:v>% New Participant</c:v>
                </c:pt>
              </c:strCache>
            </c:strRef>
          </c:tx>
          <c:spPr>
            <a:solidFill>
              <a:schemeClr val="accent6">
                <a:lumMod val="75000"/>
              </a:schemeClr>
            </a:solidFill>
            <a:ln>
              <a:noFill/>
            </a:ln>
            <a:effectLst/>
          </c:spPr>
          <c:invertIfNegative val="0"/>
          <c:dPt>
            <c:idx val="0"/>
            <c:invertIfNegative val="0"/>
            <c:bubble3D val="0"/>
            <c:spPr>
              <a:solidFill>
                <a:schemeClr val="accent5">
                  <a:lumMod val="75000"/>
                </a:schemeClr>
              </a:solidFill>
              <a:ln>
                <a:noFill/>
              </a:ln>
              <a:effectLst/>
            </c:spPr>
            <c:extLst>
              <c:ext xmlns:c16="http://schemas.microsoft.com/office/drawing/2014/chart" uri="{C3380CC4-5D6E-409C-BE32-E72D297353CC}">
                <c16:uniqueId val="{00000001-56BD-4EED-9435-19D7F9224683}"/>
              </c:ext>
            </c:extLst>
          </c:dPt>
          <c:dPt>
            <c:idx val="7"/>
            <c:invertIfNegative val="0"/>
            <c:bubble3D val="0"/>
            <c:spPr>
              <a:solidFill>
                <a:schemeClr val="accent6">
                  <a:lumMod val="75000"/>
                </a:schemeClr>
              </a:solidFill>
              <a:ln>
                <a:noFill/>
              </a:ln>
              <a:effectLst/>
            </c:spPr>
            <c:extLst>
              <c:ext xmlns:c16="http://schemas.microsoft.com/office/drawing/2014/chart" uri="{C3380CC4-5D6E-409C-BE32-E72D297353CC}">
                <c16:uniqueId val="{00000003-1F60-4F3B-A640-075B01673CFB}"/>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Cover!$B$22:$B$29</c:f>
              <c:strCache>
                <c:ptCount val="8"/>
                <c:pt idx="0">
                  <c:v>Asia Pacific</c:v>
                </c:pt>
                <c:pt idx="1">
                  <c:v>Greater China</c:v>
                </c:pt>
                <c:pt idx="2">
                  <c:v>Japan</c:v>
                </c:pt>
                <c:pt idx="3">
                  <c:v>Africa &amp; MENA</c:v>
                </c:pt>
                <c:pt idx="4">
                  <c:v>South Asia</c:v>
                </c:pt>
                <c:pt idx="5">
                  <c:v>Latin America</c:v>
                </c:pt>
                <c:pt idx="6">
                  <c:v>Europe &amp; Eurasia</c:v>
                </c:pt>
                <c:pt idx="7">
                  <c:v>North America</c:v>
                </c:pt>
              </c:strCache>
            </c:strRef>
          </c:cat>
          <c:val>
            <c:numRef>
              <c:f>Cover!$C$22:$C$29</c:f>
              <c:numCache>
                <c:formatCode>0%</c:formatCode>
                <c:ptCount val="8"/>
                <c:pt idx="0">
                  <c:v>0.31034482758620691</c:v>
                </c:pt>
                <c:pt idx="1">
                  <c:v>0.22222222222222221</c:v>
                </c:pt>
                <c:pt idx="2">
                  <c:v>0.22222222222222221</c:v>
                </c:pt>
                <c:pt idx="3">
                  <c:v>0.21875</c:v>
                </c:pt>
                <c:pt idx="4">
                  <c:v>0.20689655172413793</c:v>
                </c:pt>
                <c:pt idx="5">
                  <c:v>0.19047619047619047</c:v>
                </c:pt>
                <c:pt idx="6">
                  <c:v>0.18181818181818182</c:v>
                </c:pt>
                <c:pt idx="7">
                  <c:v>0.16875000000000001</c:v>
                </c:pt>
              </c:numCache>
            </c:numRef>
          </c:val>
          <c:extLst>
            <c:ext xmlns:c16="http://schemas.microsoft.com/office/drawing/2014/chart" uri="{C3380CC4-5D6E-409C-BE32-E72D297353CC}">
              <c16:uniqueId val="{00000002-56BD-4EED-9435-19D7F9224683}"/>
            </c:ext>
          </c:extLst>
        </c:ser>
        <c:dLbls>
          <c:dLblPos val="outEnd"/>
          <c:showLegendKey val="0"/>
          <c:showVal val="1"/>
          <c:showCatName val="0"/>
          <c:showSerName val="0"/>
          <c:showPercent val="0"/>
          <c:showBubbleSize val="0"/>
        </c:dLbls>
        <c:gapWidth val="76"/>
        <c:overlap val="-27"/>
        <c:axId val="1646669600"/>
        <c:axId val="1640897952"/>
      </c:barChart>
      <c:catAx>
        <c:axId val="1646669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0897952"/>
        <c:crosses val="autoZero"/>
        <c:auto val="1"/>
        <c:lblAlgn val="ctr"/>
        <c:lblOffset val="100"/>
        <c:noMultiLvlLbl val="0"/>
      </c:catAx>
      <c:valAx>
        <c:axId val="1640897952"/>
        <c:scaling>
          <c:orientation val="minMax"/>
        </c:scaling>
        <c:delete val="1"/>
        <c:axPos val="l"/>
        <c:numFmt formatCode="0%" sourceLinked="1"/>
        <c:majorTickMark val="none"/>
        <c:minorTickMark val="none"/>
        <c:tickLblPos val="nextTo"/>
        <c:crossAx val="1646669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Participant Breakdown by Transport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Cover!$F$51</c:f>
              <c:strCache>
                <c:ptCount val="1"/>
                <c:pt idx="0">
                  <c:v># Participant</c:v>
                </c:pt>
              </c:strCache>
            </c:strRef>
          </c:tx>
          <c:spPr>
            <a:solidFill>
              <a:schemeClr val="accent1"/>
            </a:solidFill>
            <a:ln>
              <a:noFill/>
            </a:ln>
            <a:effectLst/>
          </c:spPr>
          <c:invertIfNegative val="0"/>
          <c:dPt>
            <c:idx val="0"/>
            <c:invertIfNegative val="0"/>
            <c:bubble3D val="0"/>
            <c:spPr>
              <a:solidFill>
                <a:schemeClr val="accent5">
                  <a:lumMod val="75000"/>
                </a:schemeClr>
              </a:solidFill>
              <a:ln>
                <a:noFill/>
              </a:ln>
              <a:effectLst/>
            </c:spPr>
            <c:extLst>
              <c:ext xmlns:c16="http://schemas.microsoft.com/office/drawing/2014/chart" uri="{C3380CC4-5D6E-409C-BE32-E72D297353CC}">
                <c16:uniqueId val="{00000001-88E2-4C67-BE34-49DBAE75B867}"/>
              </c:ext>
            </c:extLst>
          </c:dPt>
          <c:dPt>
            <c:idx val="1"/>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3-88E2-4C67-BE34-49DBAE75B867}"/>
              </c:ext>
            </c:extLst>
          </c:dPt>
          <c:dPt>
            <c:idx val="2"/>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5-88E2-4C67-BE34-49DBAE75B867}"/>
              </c:ext>
            </c:extLst>
          </c:dPt>
          <c:cat>
            <c:strRef>
              <c:f>Cover!$E$52:$E$54</c:f>
              <c:strCache>
                <c:ptCount val="3"/>
                <c:pt idx="0">
                  <c:v>Boat</c:v>
                </c:pt>
                <c:pt idx="1">
                  <c:v>Air</c:v>
                </c:pt>
                <c:pt idx="2">
                  <c:v>Road</c:v>
                </c:pt>
              </c:strCache>
            </c:strRef>
          </c:cat>
          <c:val>
            <c:numRef>
              <c:f>Cover!$F$52:$F$54</c:f>
              <c:numCache>
                <c:formatCode>General</c:formatCode>
                <c:ptCount val="3"/>
                <c:pt idx="0">
                  <c:v>181</c:v>
                </c:pt>
                <c:pt idx="1">
                  <c:v>176</c:v>
                </c:pt>
                <c:pt idx="2">
                  <c:v>143</c:v>
                </c:pt>
              </c:numCache>
            </c:numRef>
          </c:val>
          <c:extLst>
            <c:ext xmlns:c16="http://schemas.microsoft.com/office/drawing/2014/chart" uri="{C3380CC4-5D6E-409C-BE32-E72D297353CC}">
              <c16:uniqueId val="{00000006-88E2-4C67-BE34-49DBAE75B867}"/>
            </c:ext>
          </c:extLst>
        </c:ser>
        <c:ser>
          <c:idx val="1"/>
          <c:order val="1"/>
          <c:tx>
            <c:strRef>
              <c:f>Cover!$G$51</c:f>
              <c:strCache>
                <c:ptCount val="1"/>
                <c:pt idx="0">
                  <c:v>Spacer</c:v>
                </c:pt>
              </c:strCache>
            </c:strRef>
          </c:tx>
          <c:spPr>
            <a:noFill/>
            <a:ln>
              <a:noFill/>
            </a:ln>
            <a:effectLst/>
          </c:spPr>
          <c:invertIfNegative val="0"/>
          <c:cat>
            <c:strRef>
              <c:f>Cover!$E$52:$E$54</c:f>
              <c:strCache>
                <c:ptCount val="3"/>
                <c:pt idx="0">
                  <c:v>Boat</c:v>
                </c:pt>
                <c:pt idx="1">
                  <c:v>Air</c:v>
                </c:pt>
                <c:pt idx="2">
                  <c:v>Road</c:v>
                </c:pt>
              </c:strCache>
            </c:strRef>
          </c:cat>
          <c:val>
            <c:numRef>
              <c:f>Cover!$G$52:$G$54</c:f>
              <c:numCache>
                <c:formatCode>General</c:formatCode>
                <c:ptCount val="3"/>
                <c:pt idx="0">
                  <c:v>20</c:v>
                </c:pt>
                <c:pt idx="1">
                  <c:v>20</c:v>
                </c:pt>
                <c:pt idx="2">
                  <c:v>20</c:v>
                </c:pt>
              </c:numCache>
            </c:numRef>
          </c:val>
          <c:extLst>
            <c:ext xmlns:c16="http://schemas.microsoft.com/office/drawing/2014/chart" uri="{C3380CC4-5D6E-409C-BE32-E72D297353CC}">
              <c16:uniqueId val="{00000007-88E2-4C67-BE34-49DBAE75B867}"/>
            </c:ext>
          </c:extLst>
        </c:ser>
        <c:ser>
          <c:idx val="2"/>
          <c:order val="2"/>
          <c:tx>
            <c:strRef>
              <c:f>Cover!$H$51</c:f>
              <c:strCache>
                <c:ptCount val="1"/>
                <c:pt idx="0">
                  <c:v>% Participant</c:v>
                </c:pt>
              </c:strCache>
            </c:strRef>
          </c:tx>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Cover!$E$52:$E$54</c:f>
              <c:strCache>
                <c:ptCount val="3"/>
                <c:pt idx="0">
                  <c:v>Boat</c:v>
                </c:pt>
                <c:pt idx="1">
                  <c:v>Air</c:v>
                </c:pt>
                <c:pt idx="2">
                  <c:v>Road</c:v>
                </c:pt>
              </c:strCache>
            </c:strRef>
          </c:cat>
          <c:val>
            <c:numRef>
              <c:f>Cover!$H$52:$H$54</c:f>
              <c:numCache>
                <c:formatCode>0%</c:formatCode>
                <c:ptCount val="3"/>
                <c:pt idx="0">
                  <c:v>0.36199999999999999</c:v>
                </c:pt>
                <c:pt idx="1">
                  <c:v>0.35199999999999998</c:v>
                </c:pt>
                <c:pt idx="2">
                  <c:v>0.28599999999999998</c:v>
                </c:pt>
              </c:numCache>
            </c:numRef>
          </c:val>
          <c:extLst>
            <c:ext xmlns:c16="http://schemas.microsoft.com/office/drawing/2014/chart" uri="{C3380CC4-5D6E-409C-BE32-E72D297353CC}">
              <c16:uniqueId val="{00000008-88E2-4C67-BE34-49DBAE75B867}"/>
            </c:ext>
          </c:extLst>
        </c:ser>
        <c:dLbls>
          <c:showLegendKey val="0"/>
          <c:showVal val="0"/>
          <c:showCatName val="0"/>
          <c:showSerName val="0"/>
          <c:showPercent val="0"/>
          <c:showBubbleSize val="0"/>
        </c:dLbls>
        <c:gapWidth val="20"/>
        <c:overlap val="100"/>
        <c:axId val="900530592"/>
        <c:axId val="1685715984"/>
      </c:barChart>
      <c:catAx>
        <c:axId val="900530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5715984"/>
        <c:crosses val="autoZero"/>
        <c:auto val="1"/>
        <c:lblAlgn val="ctr"/>
        <c:lblOffset val="100"/>
        <c:noMultiLvlLbl val="0"/>
      </c:catAx>
      <c:valAx>
        <c:axId val="1685715984"/>
        <c:scaling>
          <c:orientation val="minMax"/>
        </c:scaling>
        <c:delete val="1"/>
        <c:axPos val="l"/>
        <c:numFmt formatCode="General" sourceLinked="1"/>
        <c:majorTickMark val="none"/>
        <c:minorTickMark val="none"/>
        <c:tickLblPos val="nextTo"/>
        <c:crossAx val="900530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Participant Breakdown by Region &amp; Transport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Cover!$H$59</c:f>
              <c:strCache>
                <c:ptCount val="1"/>
                <c:pt idx="0">
                  <c:v># Participant</c:v>
                </c:pt>
              </c:strCache>
            </c:strRef>
          </c:tx>
          <c:spPr>
            <a:solidFill>
              <a:schemeClr val="accent1"/>
            </a:solidFill>
            <a:ln>
              <a:noFill/>
            </a:ln>
            <a:effectLst/>
          </c:spPr>
          <c:invertIfNegative val="0"/>
          <c:dPt>
            <c:idx val="0"/>
            <c:invertIfNegative val="0"/>
            <c:bubble3D val="0"/>
            <c:spPr>
              <a:solidFill>
                <a:schemeClr val="accent5">
                  <a:lumMod val="75000"/>
                </a:schemeClr>
              </a:solidFill>
              <a:ln>
                <a:noFill/>
              </a:ln>
              <a:effectLst/>
            </c:spPr>
            <c:extLst>
              <c:ext xmlns:c16="http://schemas.microsoft.com/office/drawing/2014/chart" uri="{C3380CC4-5D6E-409C-BE32-E72D297353CC}">
                <c16:uniqueId val="{00000001-BEF8-4A0D-9815-22A7A16E3435}"/>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BEF8-4A0D-9815-22A7A16E3435}"/>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BEF8-4A0D-9815-22A7A16E3435}"/>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7-BEF8-4A0D-9815-22A7A16E3435}"/>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9-BEF8-4A0D-9815-22A7A16E3435}"/>
              </c:ext>
            </c:extLst>
          </c:dPt>
          <c:dPt>
            <c:idx val="5"/>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B-BEF8-4A0D-9815-22A7A16E3435}"/>
              </c:ext>
            </c:extLst>
          </c:dPt>
          <c:dPt>
            <c:idx val="6"/>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D-BEF8-4A0D-9815-22A7A16E3435}"/>
              </c:ext>
            </c:extLst>
          </c:dPt>
          <c:dPt>
            <c:idx val="7"/>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F-BEF8-4A0D-9815-22A7A16E3435}"/>
              </c:ext>
            </c:extLst>
          </c:dPt>
          <c:cat>
            <c:multiLvlStrRef>
              <c:f>Cover!$F$60:$G$67</c:f>
              <c:multiLvlStrCache>
                <c:ptCount val="8"/>
                <c:lvl>
                  <c:pt idx="0">
                    <c:v>North America</c:v>
                  </c:pt>
                  <c:pt idx="1">
                    <c:v>Latin America</c:v>
                  </c:pt>
                  <c:pt idx="2">
                    <c:v>Africa &amp; MENA</c:v>
                  </c:pt>
                  <c:pt idx="3">
                    <c:v>Greater China</c:v>
                  </c:pt>
                  <c:pt idx="4">
                    <c:v>South Asia</c:v>
                  </c:pt>
                  <c:pt idx="5">
                    <c:v>Asia Pacific</c:v>
                  </c:pt>
                  <c:pt idx="6">
                    <c:v>Japan</c:v>
                  </c:pt>
                  <c:pt idx="7">
                    <c:v>Europe &amp; Eurasia</c:v>
                  </c:pt>
                </c:lvl>
                <c:lvl>
                  <c:pt idx="0">
                    <c:v>Boat</c:v>
                  </c:pt>
                  <c:pt idx="2">
                    <c:v>Air</c:v>
                  </c:pt>
                  <c:pt idx="7">
                    <c:v>Road</c:v>
                  </c:pt>
                </c:lvl>
              </c:multiLvlStrCache>
            </c:multiLvlStrRef>
          </c:cat>
          <c:val>
            <c:numRef>
              <c:f>Cover!$H$60:$H$67</c:f>
              <c:numCache>
                <c:formatCode>General</c:formatCode>
                <c:ptCount val="8"/>
                <c:pt idx="0">
                  <c:v>160</c:v>
                </c:pt>
                <c:pt idx="1">
                  <c:v>21</c:v>
                </c:pt>
                <c:pt idx="2">
                  <c:v>64</c:v>
                </c:pt>
                <c:pt idx="3">
                  <c:v>45</c:v>
                </c:pt>
                <c:pt idx="4">
                  <c:v>29</c:v>
                </c:pt>
                <c:pt idx="5">
                  <c:v>29</c:v>
                </c:pt>
                <c:pt idx="6">
                  <c:v>9</c:v>
                </c:pt>
                <c:pt idx="7">
                  <c:v>143</c:v>
                </c:pt>
              </c:numCache>
            </c:numRef>
          </c:val>
          <c:extLst>
            <c:ext xmlns:c16="http://schemas.microsoft.com/office/drawing/2014/chart" uri="{C3380CC4-5D6E-409C-BE32-E72D297353CC}">
              <c16:uniqueId val="{00000010-BEF8-4A0D-9815-22A7A16E3435}"/>
            </c:ext>
          </c:extLst>
        </c:ser>
        <c:ser>
          <c:idx val="1"/>
          <c:order val="1"/>
          <c:tx>
            <c:strRef>
              <c:f>Cover!$I$59</c:f>
              <c:strCache>
                <c:ptCount val="1"/>
                <c:pt idx="0">
                  <c:v>Spacer</c:v>
                </c:pt>
              </c:strCache>
            </c:strRef>
          </c:tx>
          <c:spPr>
            <a:noFill/>
            <a:ln>
              <a:noFill/>
            </a:ln>
            <a:effectLst/>
          </c:spPr>
          <c:invertIfNegative val="0"/>
          <c:cat>
            <c:multiLvlStrRef>
              <c:f>Cover!$F$60:$G$67</c:f>
              <c:multiLvlStrCache>
                <c:ptCount val="8"/>
                <c:lvl>
                  <c:pt idx="0">
                    <c:v>North America</c:v>
                  </c:pt>
                  <c:pt idx="1">
                    <c:v>Latin America</c:v>
                  </c:pt>
                  <c:pt idx="2">
                    <c:v>Africa &amp; MENA</c:v>
                  </c:pt>
                  <c:pt idx="3">
                    <c:v>Greater China</c:v>
                  </c:pt>
                  <c:pt idx="4">
                    <c:v>South Asia</c:v>
                  </c:pt>
                  <c:pt idx="5">
                    <c:v>Asia Pacific</c:v>
                  </c:pt>
                  <c:pt idx="6">
                    <c:v>Japan</c:v>
                  </c:pt>
                  <c:pt idx="7">
                    <c:v>Europe &amp; Eurasia</c:v>
                  </c:pt>
                </c:lvl>
                <c:lvl>
                  <c:pt idx="0">
                    <c:v>Boat</c:v>
                  </c:pt>
                  <c:pt idx="2">
                    <c:v>Air</c:v>
                  </c:pt>
                  <c:pt idx="7">
                    <c:v>Road</c:v>
                  </c:pt>
                </c:lvl>
              </c:multiLvlStrCache>
            </c:multiLvlStrRef>
          </c:cat>
          <c:val>
            <c:numRef>
              <c:f>Cover!$I$60:$I$67</c:f>
              <c:numCache>
                <c:formatCode>General</c:formatCode>
                <c:ptCount val="8"/>
                <c:pt idx="0">
                  <c:v>20</c:v>
                </c:pt>
                <c:pt idx="1">
                  <c:v>20</c:v>
                </c:pt>
                <c:pt idx="2">
                  <c:v>20</c:v>
                </c:pt>
                <c:pt idx="3">
                  <c:v>20</c:v>
                </c:pt>
                <c:pt idx="4">
                  <c:v>20</c:v>
                </c:pt>
                <c:pt idx="5">
                  <c:v>20</c:v>
                </c:pt>
                <c:pt idx="6">
                  <c:v>20</c:v>
                </c:pt>
                <c:pt idx="7">
                  <c:v>20</c:v>
                </c:pt>
              </c:numCache>
            </c:numRef>
          </c:val>
          <c:extLst>
            <c:ext xmlns:c16="http://schemas.microsoft.com/office/drawing/2014/chart" uri="{C3380CC4-5D6E-409C-BE32-E72D297353CC}">
              <c16:uniqueId val="{00000011-BEF8-4A0D-9815-22A7A16E3435}"/>
            </c:ext>
          </c:extLst>
        </c:ser>
        <c:ser>
          <c:idx val="2"/>
          <c:order val="2"/>
          <c:tx>
            <c:strRef>
              <c:f>Cover!$J$59</c:f>
              <c:strCache>
                <c:ptCount val="1"/>
                <c:pt idx="0">
                  <c:v>% Participant</c:v>
                </c:pt>
              </c:strCache>
            </c:strRef>
          </c:tx>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Cover!$F$60:$G$67</c:f>
              <c:multiLvlStrCache>
                <c:ptCount val="8"/>
                <c:lvl>
                  <c:pt idx="0">
                    <c:v>North America</c:v>
                  </c:pt>
                  <c:pt idx="1">
                    <c:v>Latin America</c:v>
                  </c:pt>
                  <c:pt idx="2">
                    <c:v>Africa &amp; MENA</c:v>
                  </c:pt>
                  <c:pt idx="3">
                    <c:v>Greater China</c:v>
                  </c:pt>
                  <c:pt idx="4">
                    <c:v>South Asia</c:v>
                  </c:pt>
                  <c:pt idx="5">
                    <c:v>Asia Pacific</c:v>
                  </c:pt>
                  <c:pt idx="6">
                    <c:v>Japan</c:v>
                  </c:pt>
                  <c:pt idx="7">
                    <c:v>Europe &amp; Eurasia</c:v>
                  </c:pt>
                </c:lvl>
                <c:lvl>
                  <c:pt idx="0">
                    <c:v>Boat</c:v>
                  </c:pt>
                  <c:pt idx="2">
                    <c:v>Air</c:v>
                  </c:pt>
                  <c:pt idx="7">
                    <c:v>Road</c:v>
                  </c:pt>
                </c:lvl>
              </c:multiLvlStrCache>
            </c:multiLvlStrRef>
          </c:cat>
          <c:val>
            <c:numRef>
              <c:f>Cover!$J$60:$J$67</c:f>
              <c:numCache>
                <c:formatCode>0%</c:formatCode>
                <c:ptCount val="8"/>
                <c:pt idx="0">
                  <c:v>0.32</c:v>
                </c:pt>
                <c:pt idx="1">
                  <c:v>4.2000000000000003E-2</c:v>
                </c:pt>
                <c:pt idx="2">
                  <c:v>0.128</c:v>
                </c:pt>
                <c:pt idx="3">
                  <c:v>0.09</c:v>
                </c:pt>
                <c:pt idx="4">
                  <c:v>5.8000000000000003E-2</c:v>
                </c:pt>
                <c:pt idx="5">
                  <c:v>5.8000000000000003E-2</c:v>
                </c:pt>
                <c:pt idx="6">
                  <c:v>1.7999999999999999E-2</c:v>
                </c:pt>
                <c:pt idx="7">
                  <c:v>0.28599999999999998</c:v>
                </c:pt>
              </c:numCache>
            </c:numRef>
          </c:val>
          <c:extLst>
            <c:ext xmlns:c16="http://schemas.microsoft.com/office/drawing/2014/chart" uri="{C3380CC4-5D6E-409C-BE32-E72D297353CC}">
              <c16:uniqueId val="{00000012-BEF8-4A0D-9815-22A7A16E3435}"/>
            </c:ext>
          </c:extLst>
        </c:ser>
        <c:dLbls>
          <c:showLegendKey val="0"/>
          <c:showVal val="0"/>
          <c:showCatName val="0"/>
          <c:showSerName val="0"/>
          <c:showPercent val="0"/>
          <c:showBubbleSize val="0"/>
        </c:dLbls>
        <c:gapWidth val="20"/>
        <c:overlap val="100"/>
        <c:axId val="1672163296"/>
        <c:axId val="888364128"/>
      </c:barChart>
      <c:catAx>
        <c:axId val="1672163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8364128"/>
        <c:crosses val="autoZero"/>
        <c:auto val="1"/>
        <c:lblAlgn val="ctr"/>
        <c:lblOffset val="100"/>
        <c:noMultiLvlLbl val="0"/>
      </c:catAx>
      <c:valAx>
        <c:axId val="888364128"/>
        <c:scaling>
          <c:orientation val="minMax"/>
        </c:scaling>
        <c:delete val="1"/>
        <c:axPos val="l"/>
        <c:numFmt formatCode="General" sourceLinked="1"/>
        <c:majorTickMark val="none"/>
        <c:minorTickMark val="none"/>
        <c:tickLblPos val="nextTo"/>
        <c:crossAx val="1672163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All</a:t>
            </a:r>
            <a:r>
              <a:rPr lang="en-US"/>
              <a:t> Participant</a:t>
            </a:r>
            <a:r>
              <a:rPr lang="en-US" baseline="0"/>
              <a:t> Breakdown by Diet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Cover!$G$72</c:f>
              <c:strCache>
                <c:ptCount val="1"/>
                <c:pt idx="0">
                  <c:v># Participant</c:v>
                </c:pt>
              </c:strCache>
            </c:strRef>
          </c:tx>
          <c:spPr>
            <a:solidFill>
              <a:schemeClr val="accent1"/>
            </a:solidFill>
            <a:ln>
              <a:noFill/>
            </a:ln>
            <a:effectLst/>
          </c:spPr>
          <c:invertIfNegative val="0"/>
          <c:dPt>
            <c:idx val="0"/>
            <c:invertIfNegative val="0"/>
            <c:bubble3D val="0"/>
            <c:spPr>
              <a:solidFill>
                <a:schemeClr val="accent4">
                  <a:lumMod val="75000"/>
                </a:schemeClr>
              </a:solidFill>
              <a:ln>
                <a:noFill/>
              </a:ln>
              <a:effectLst/>
            </c:spPr>
            <c:extLst>
              <c:ext xmlns:c16="http://schemas.microsoft.com/office/drawing/2014/chart" uri="{C3380CC4-5D6E-409C-BE32-E72D297353CC}">
                <c16:uniqueId val="{00000001-0867-4236-A751-2C54CE28BF80}"/>
              </c:ext>
            </c:extLst>
          </c:dPt>
          <c:dPt>
            <c:idx val="1"/>
            <c:invertIfNegative val="0"/>
            <c:bubble3D val="0"/>
            <c:spPr>
              <a:solidFill>
                <a:srgbClr val="C00000"/>
              </a:solidFill>
              <a:ln>
                <a:noFill/>
              </a:ln>
              <a:effectLst/>
            </c:spPr>
            <c:extLst>
              <c:ext xmlns:c16="http://schemas.microsoft.com/office/drawing/2014/chart" uri="{C3380CC4-5D6E-409C-BE32-E72D297353CC}">
                <c16:uniqueId val="{00000003-0867-4236-A751-2C54CE28BF80}"/>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5-0867-4236-A751-2C54CE28BF80}"/>
              </c:ext>
            </c:extLst>
          </c:dPt>
          <c:cat>
            <c:strRef>
              <c:f>Cover!$F$73:$F$75</c:f>
              <c:strCache>
                <c:ptCount val="3"/>
                <c:pt idx="0">
                  <c:v>Omnivore</c:v>
                </c:pt>
                <c:pt idx="1">
                  <c:v>Carnivore</c:v>
                </c:pt>
                <c:pt idx="2">
                  <c:v>Herbivore</c:v>
                </c:pt>
              </c:strCache>
            </c:strRef>
          </c:cat>
          <c:val>
            <c:numRef>
              <c:f>Cover!$G$73:$G$75</c:f>
              <c:numCache>
                <c:formatCode>General</c:formatCode>
                <c:ptCount val="3"/>
                <c:pt idx="0">
                  <c:v>261</c:v>
                </c:pt>
                <c:pt idx="1">
                  <c:v>158</c:v>
                </c:pt>
                <c:pt idx="2">
                  <c:v>81</c:v>
                </c:pt>
              </c:numCache>
            </c:numRef>
          </c:val>
          <c:extLst>
            <c:ext xmlns:c16="http://schemas.microsoft.com/office/drawing/2014/chart" uri="{C3380CC4-5D6E-409C-BE32-E72D297353CC}">
              <c16:uniqueId val="{00000006-0867-4236-A751-2C54CE28BF80}"/>
            </c:ext>
          </c:extLst>
        </c:ser>
        <c:ser>
          <c:idx val="1"/>
          <c:order val="1"/>
          <c:tx>
            <c:strRef>
              <c:f>Cover!$H$72</c:f>
              <c:strCache>
                <c:ptCount val="1"/>
                <c:pt idx="0">
                  <c:v>Spacer</c:v>
                </c:pt>
              </c:strCache>
            </c:strRef>
          </c:tx>
          <c:spPr>
            <a:noFill/>
            <a:ln>
              <a:noFill/>
            </a:ln>
            <a:effectLst/>
          </c:spPr>
          <c:invertIfNegative val="0"/>
          <c:cat>
            <c:strRef>
              <c:f>Cover!$F$73:$F$75</c:f>
              <c:strCache>
                <c:ptCount val="3"/>
                <c:pt idx="0">
                  <c:v>Omnivore</c:v>
                </c:pt>
                <c:pt idx="1">
                  <c:v>Carnivore</c:v>
                </c:pt>
                <c:pt idx="2">
                  <c:v>Herbivore</c:v>
                </c:pt>
              </c:strCache>
            </c:strRef>
          </c:cat>
          <c:val>
            <c:numRef>
              <c:f>Cover!$H$73:$H$75</c:f>
              <c:numCache>
                <c:formatCode>General</c:formatCode>
                <c:ptCount val="3"/>
                <c:pt idx="0">
                  <c:v>20</c:v>
                </c:pt>
                <c:pt idx="1">
                  <c:v>20</c:v>
                </c:pt>
                <c:pt idx="2">
                  <c:v>20</c:v>
                </c:pt>
              </c:numCache>
            </c:numRef>
          </c:val>
          <c:extLst>
            <c:ext xmlns:c16="http://schemas.microsoft.com/office/drawing/2014/chart" uri="{C3380CC4-5D6E-409C-BE32-E72D297353CC}">
              <c16:uniqueId val="{00000007-0867-4236-A751-2C54CE28BF80}"/>
            </c:ext>
          </c:extLst>
        </c:ser>
        <c:ser>
          <c:idx val="2"/>
          <c:order val="2"/>
          <c:tx>
            <c:strRef>
              <c:f>Cover!$I$72</c:f>
              <c:strCache>
                <c:ptCount val="1"/>
                <c:pt idx="0">
                  <c:v>% Participant</c:v>
                </c:pt>
              </c:strCache>
            </c:strRef>
          </c:tx>
          <c:spPr>
            <a:noFill/>
            <a:ln>
              <a:noFill/>
            </a:ln>
            <a:effectLst/>
          </c:spPr>
          <c:invertIfNegative val="0"/>
          <c:dLbls>
            <c:dLbl>
              <c:idx val="0"/>
              <c:tx>
                <c:rich>
                  <a:bodyPr/>
                  <a:lstStyle/>
                  <a:p>
                    <a:fld id="{D31A51B6-A91C-447D-B975-6BABD9D5BCE2}" type="CELLRANGE">
                      <a:rPr lang="en-US"/>
                      <a:pPr/>
                      <a:t>[CELLRANGE]</a:t>
                    </a:fld>
                    <a:r>
                      <a:rPr lang="en-US" baseline="0"/>
                      <a:t>; </a:t>
                    </a:r>
                    <a:fld id="{9239A708-D3D2-4CFB-9A00-3E3B0EBE4DBB}" type="VALUE">
                      <a:rPr lang="en-US" baseline="0"/>
                      <a:pPr/>
                      <a:t>[VALUE]</a:t>
                    </a:fld>
                    <a:endParaRPr lang="en-US" baseline="0"/>
                  </a:p>
                </c:rich>
              </c:tx>
              <c:dLblPos val="ct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867-4236-A751-2C54CE28BF80}"/>
                </c:ext>
              </c:extLst>
            </c:dLbl>
            <c:dLbl>
              <c:idx val="1"/>
              <c:tx>
                <c:rich>
                  <a:bodyPr/>
                  <a:lstStyle/>
                  <a:p>
                    <a:fld id="{4B1C3CBE-07E1-4053-8ECB-5B177D20FE42}" type="CELLRANGE">
                      <a:rPr lang="en-US"/>
                      <a:pPr/>
                      <a:t>[CELLRANGE]</a:t>
                    </a:fld>
                    <a:r>
                      <a:rPr lang="en-US" baseline="0"/>
                      <a:t>; </a:t>
                    </a:r>
                    <a:fld id="{A67CAC95-12A4-4963-A4A5-5526059260BD}" type="VALUE">
                      <a:rPr lang="en-US" baseline="0"/>
                      <a:pPr/>
                      <a:t>[VALUE]</a:t>
                    </a:fld>
                    <a:endParaRPr lang="en-US" baseline="0"/>
                  </a:p>
                </c:rich>
              </c:tx>
              <c:dLblPos val="ct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867-4236-A751-2C54CE28BF80}"/>
                </c:ext>
              </c:extLst>
            </c:dLbl>
            <c:dLbl>
              <c:idx val="2"/>
              <c:tx>
                <c:rich>
                  <a:bodyPr/>
                  <a:lstStyle/>
                  <a:p>
                    <a:fld id="{95A88583-F124-4E62-8887-6948C45F84EB}" type="CELLRANGE">
                      <a:rPr lang="en-US"/>
                      <a:pPr/>
                      <a:t>[CELLRANGE]</a:t>
                    </a:fld>
                    <a:r>
                      <a:rPr lang="en-US" baseline="0"/>
                      <a:t>; </a:t>
                    </a:r>
                    <a:fld id="{34CEABCB-FE20-4CAB-AA7D-A3B9E5683452}" type="VALUE">
                      <a:rPr lang="en-US" baseline="0"/>
                      <a:pPr/>
                      <a:t>[VALUE]</a:t>
                    </a:fld>
                    <a:endParaRPr lang="en-US" baseline="0"/>
                  </a:p>
                </c:rich>
              </c:tx>
              <c:dLblPos val="ct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867-4236-A751-2C54CE28BF8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Cover!$F$73:$F$75</c:f>
              <c:strCache>
                <c:ptCount val="3"/>
                <c:pt idx="0">
                  <c:v>Omnivore</c:v>
                </c:pt>
                <c:pt idx="1">
                  <c:v>Carnivore</c:v>
                </c:pt>
                <c:pt idx="2">
                  <c:v>Herbivore</c:v>
                </c:pt>
              </c:strCache>
            </c:strRef>
          </c:cat>
          <c:val>
            <c:numRef>
              <c:f>Cover!$I$73:$I$75</c:f>
              <c:numCache>
                <c:formatCode>0%</c:formatCode>
                <c:ptCount val="3"/>
                <c:pt idx="0">
                  <c:v>0.52200000000000002</c:v>
                </c:pt>
                <c:pt idx="1">
                  <c:v>0.316</c:v>
                </c:pt>
                <c:pt idx="2">
                  <c:v>0.16200000000000001</c:v>
                </c:pt>
              </c:numCache>
            </c:numRef>
          </c:val>
          <c:extLst>
            <c:ext xmlns:c15="http://schemas.microsoft.com/office/drawing/2012/chart" uri="{02D57815-91ED-43cb-92C2-25804820EDAC}">
              <c15:datalabelsRange>
                <c15:f>Cover!$G$73:$G$75</c15:f>
                <c15:dlblRangeCache>
                  <c:ptCount val="3"/>
                  <c:pt idx="0">
                    <c:v>261</c:v>
                  </c:pt>
                  <c:pt idx="1">
                    <c:v>158</c:v>
                  </c:pt>
                  <c:pt idx="2">
                    <c:v>81</c:v>
                  </c:pt>
                </c15:dlblRangeCache>
              </c15:datalabelsRange>
            </c:ext>
            <c:ext xmlns:c16="http://schemas.microsoft.com/office/drawing/2014/chart" uri="{C3380CC4-5D6E-409C-BE32-E72D297353CC}">
              <c16:uniqueId val="{0000000B-0867-4236-A751-2C54CE28BF80}"/>
            </c:ext>
          </c:extLst>
        </c:ser>
        <c:dLbls>
          <c:showLegendKey val="0"/>
          <c:showVal val="0"/>
          <c:showCatName val="0"/>
          <c:showSerName val="0"/>
          <c:showPercent val="0"/>
          <c:showBubbleSize val="0"/>
        </c:dLbls>
        <c:gapWidth val="20"/>
        <c:overlap val="100"/>
        <c:axId val="1752405872"/>
        <c:axId val="1669401648"/>
      </c:barChart>
      <c:catAx>
        <c:axId val="1752405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9401648"/>
        <c:crosses val="autoZero"/>
        <c:auto val="1"/>
        <c:lblAlgn val="ctr"/>
        <c:lblOffset val="100"/>
        <c:noMultiLvlLbl val="0"/>
      </c:catAx>
      <c:valAx>
        <c:axId val="1669401648"/>
        <c:scaling>
          <c:orientation val="minMax"/>
        </c:scaling>
        <c:delete val="1"/>
        <c:axPos val="l"/>
        <c:numFmt formatCode="General" sourceLinked="1"/>
        <c:majorTickMark val="none"/>
        <c:minorTickMark val="none"/>
        <c:tickLblPos val="nextTo"/>
        <c:crossAx val="1752405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Participant</a:t>
            </a:r>
            <a:r>
              <a:rPr lang="en-US" baseline="0"/>
              <a:t> Lifespan Distribution (Years)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Cover!$G$89</c:f>
              <c:strCache>
                <c:ptCount val="1"/>
                <c:pt idx="0">
                  <c:v># Participant</c:v>
                </c:pt>
              </c:strCache>
            </c:strRef>
          </c:tx>
          <c:spPr>
            <a:solidFill>
              <a:schemeClr val="accent1"/>
            </a:solidFill>
            <a:ln>
              <a:noFill/>
            </a:ln>
            <a:effectLst/>
          </c:spPr>
          <c:invertIfNegative val="0"/>
          <c:cat>
            <c:strRef>
              <c:f>Cover!$F$90:$F$94</c:f>
              <c:strCache>
                <c:ptCount val="5"/>
                <c:pt idx="0">
                  <c:v>&lt;25</c:v>
                </c:pt>
                <c:pt idx="1">
                  <c:v>25-49</c:v>
                </c:pt>
                <c:pt idx="2">
                  <c:v>50-74</c:v>
                </c:pt>
                <c:pt idx="3">
                  <c:v>75-99</c:v>
                </c:pt>
                <c:pt idx="4">
                  <c:v>&gt;=100</c:v>
                </c:pt>
              </c:strCache>
            </c:strRef>
          </c:cat>
          <c:val>
            <c:numRef>
              <c:f>Cover!$G$90:$G$94</c:f>
              <c:numCache>
                <c:formatCode>General</c:formatCode>
                <c:ptCount val="5"/>
                <c:pt idx="0">
                  <c:v>368</c:v>
                </c:pt>
                <c:pt idx="1">
                  <c:v>87</c:v>
                </c:pt>
                <c:pt idx="2">
                  <c:v>34</c:v>
                </c:pt>
                <c:pt idx="3">
                  <c:v>3</c:v>
                </c:pt>
                <c:pt idx="4">
                  <c:v>8</c:v>
                </c:pt>
              </c:numCache>
            </c:numRef>
          </c:val>
          <c:extLst>
            <c:ext xmlns:c16="http://schemas.microsoft.com/office/drawing/2014/chart" uri="{C3380CC4-5D6E-409C-BE32-E72D297353CC}">
              <c16:uniqueId val="{00000000-8573-42B4-850D-BA12A04F2F6B}"/>
            </c:ext>
          </c:extLst>
        </c:ser>
        <c:ser>
          <c:idx val="1"/>
          <c:order val="1"/>
          <c:tx>
            <c:strRef>
              <c:f>Cover!$H$89</c:f>
              <c:strCache>
                <c:ptCount val="1"/>
                <c:pt idx="0">
                  <c:v>Spacer</c:v>
                </c:pt>
              </c:strCache>
            </c:strRef>
          </c:tx>
          <c:spPr>
            <a:noFill/>
            <a:ln>
              <a:noFill/>
            </a:ln>
            <a:effectLst/>
          </c:spPr>
          <c:invertIfNegative val="0"/>
          <c:cat>
            <c:strRef>
              <c:f>Cover!$F$90:$F$94</c:f>
              <c:strCache>
                <c:ptCount val="5"/>
                <c:pt idx="0">
                  <c:v>&lt;25</c:v>
                </c:pt>
                <c:pt idx="1">
                  <c:v>25-49</c:v>
                </c:pt>
                <c:pt idx="2">
                  <c:v>50-74</c:v>
                </c:pt>
                <c:pt idx="3">
                  <c:v>75-99</c:v>
                </c:pt>
                <c:pt idx="4">
                  <c:v>&gt;=100</c:v>
                </c:pt>
              </c:strCache>
            </c:strRef>
          </c:cat>
          <c:val>
            <c:numRef>
              <c:f>Cover!$H$90:$H$94</c:f>
              <c:numCache>
                <c:formatCode>General</c:formatCode>
                <c:ptCount val="5"/>
                <c:pt idx="0">
                  <c:v>40</c:v>
                </c:pt>
                <c:pt idx="1">
                  <c:v>40</c:v>
                </c:pt>
                <c:pt idx="2">
                  <c:v>40</c:v>
                </c:pt>
                <c:pt idx="3">
                  <c:v>40</c:v>
                </c:pt>
                <c:pt idx="4">
                  <c:v>40</c:v>
                </c:pt>
              </c:numCache>
            </c:numRef>
          </c:val>
          <c:extLst>
            <c:ext xmlns:c16="http://schemas.microsoft.com/office/drawing/2014/chart" uri="{C3380CC4-5D6E-409C-BE32-E72D297353CC}">
              <c16:uniqueId val="{00000001-8573-42B4-850D-BA12A04F2F6B}"/>
            </c:ext>
          </c:extLst>
        </c:ser>
        <c:ser>
          <c:idx val="2"/>
          <c:order val="2"/>
          <c:tx>
            <c:strRef>
              <c:f>Cover!$I$89</c:f>
              <c:strCache>
                <c:ptCount val="1"/>
                <c:pt idx="0">
                  <c:v>% Participant</c:v>
                </c:pt>
              </c:strCache>
            </c:strRef>
          </c:tx>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Cover!$F$90:$F$94</c:f>
              <c:strCache>
                <c:ptCount val="5"/>
                <c:pt idx="0">
                  <c:v>&lt;25</c:v>
                </c:pt>
                <c:pt idx="1">
                  <c:v>25-49</c:v>
                </c:pt>
                <c:pt idx="2">
                  <c:v>50-74</c:v>
                </c:pt>
                <c:pt idx="3">
                  <c:v>75-99</c:v>
                </c:pt>
                <c:pt idx="4">
                  <c:v>&gt;=100</c:v>
                </c:pt>
              </c:strCache>
            </c:strRef>
          </c:cat>
          <c:val>
            <c:numRef>
              <c:f>Cover!$I$90:$I$94</c:f>
              <c:numCache>
                <c:formatCode>0%</c:formatCode>
                <c:ptCount val="5"/>
                <c:pt idx="0">
                  <c:v>0.73599999999999999</c:v>
                </c:pt>
                <c:pt idx="1">
                  <c:v>0.17399999999999999</c:v>
                </c:pt>
                <c:pt idx="2">
                  <c:v>6.8000000000000005E-2</c:v>
                </c:pt>
                <c:pt idx="3">
                  <c:v>6.0000000000000001E-3</c:v>
                </c:pt>
                <c:pt idx="4">
                  <c:v>1.6E-2</c:v>
                </c:pt>
              </c:numCache>
            </c:numRef>
          </c:val>
          <c:extLst>
            <c:ext xmlns:c16="http://schemas.microsoft.com/office/drawing/2014/chart" uri="{C3380CC4-5D6E-409C-BE32-E72D297353CC}">
              <c16:uniqueId val="{00000002-8573-42B4-850D-BA12A04F2F6B}"/>
            </c:ext>
          </c:extLst>
        </c:ser>
        <c:dLbls>
          <c:showLegendKey val="0"/>
          <c:showVal val="0"/>
          <c:showCatName val="0"/>
          <c:showSerName val="0"/>
          <c:showPercent val="0"/>
          <c:showBubbleSize val="0"/>
        </c:dLbls>
        <c:gapWidth val="20"/>
        <c:overlap val="100"/>
        <c:axId val="1759833984"/>
        <c:axId val="1734440880"/>
      </c:barChart>
      <c:catAx>
        <c:axId val="1759833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4440880"/>
        <c:crosses val="autoZero"/>
        <c:auto val="1"/>
        <c:lblAlgn val="ctr"/>
        <c:lblOffset val="100"/>
        <c:noMultiLvlLbl val="0"/>
      </c:catAx>
      <c:valAx>
        <c:axId val="1734440880"/>
        <c:scaling>
          <c:orientation val="minMax"/>
        </c:scaling>
        <c:delete val="1"/>
        <c:axPos val="l"/>
        <c:numFmt formatCode="General" sourceLinked="1"/>
        <c:majorTickMark val="none"/>
        <c:minorTickMark val="none"/>
        <c:tickLblPos val="nextTo"/>
        <c:crossAx val="1759833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Participant Weight Distribution</a:t>
            </a:r>
            <a:r>
              <a:rPr lang="en-US" baseline="0"/>
              <a:t> (lbs)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9007092198581561E-2"/>
          <c:y val="0.21075075075075075"/>
          <c:w val="0.92198581560283688"/>
          <c:h val="0.63790830200279014"/>
        </c:manualLayout>
      </c:layout>
      <c:barChart>
        <c:barDir val="col"/>
        <c:grouping val="stacked"/>
        <c:varyColors val="0"/>
        <c:ser>
          <c:idx val="0"/>
          <c:order val="0"/>
          <c:tx>
            <c:strRef>
              <c:f>Cover!$G$102</c:f>
              <c:strCache>
                <c:ptCount val="1"/>
                <c:pt idx="0">
                  <c:v># Participant</c:v>
                </c:pt>
              </c:strCache>
            </c:strRef>
          </c:tx>
          <c:spPr>
            <a:solidFill>
              <a:schemeClr val="accent1"/>
            </a:solidFill>
            <a:ln>
              <a:noFill/>
            </a:ln>
            <a:effectLst/>
          </c:spPr>
          <c:invertIfNegative val="0"/>
          <c:cat>
            <c:strRef>
              <c:f>Cover!$F$103:$F$109</c:f>
              <c:strCache>
                <c:ptCount val="7"/>
                <c:pt idx="0">
                  <c:v>&lt;100</c:v>
                </c:pt>
                <c:pt idx="1">
                  <c:v>100-199</c:v>
                </c:pt>
                <c:pt idx="2">
                  <c:v>200-299</c:v>
                </c:pt>
                <c:pt idx="3">
                  <c:v>300-399</c:v>
                </c:pt>
                <c:pt idx="4">
                  <c:v>400-499</c:v>
                </c:pt>
                <c:pt idx="5">
                  <c:v>&gt;= 500</c:v>
                </c:pt>
                <c:pt idx="6">
                  <c:v>N/A</c:v>
                </c:pt>
              </c:strCache>
            </c:strRef>
          </c:cat>
          <c:val>
            <c:numRef>
              <c:f>Cover!$G$103:$G$109</c:f>
              <c:numCache>
                <c:formatCode>General</c:formatCode>
                <c:ptCount val="7"/>
                <c:pt idx="0">
                  <c:v>337</c:v>
                </c:pt>
                <c:pt idx="1">
                  <c:v>31</c:v>
                </c:pt>
                <c:pt idx="2">
                  <c:v>17</c:v>
                </c:pt>
                <c:pt idx="3">
                  <c:v>14</c:v>
                </c:pt>
                <c:pt idx="4">
                  <c:v>8</c:v>
                </c:pt>
                <c:pt idx="5">
                  <c:v>38</c:v>
                </c:pt>
                <c:pt idx="6">
                  <c:v>55</c:v>
                </c:pt>
              </c:numCache>
            </c:numRef>
          </c:val>
          <c:extLst>
            <c:ext xmlns:c16="http://schemas.microsoft.com/office/drawing/2014/chart" uri="{C3380CC4-5D6E-409C-BE32-E72D297353CC}">
              <c16:uniqueId val="{00000000-47A8-4327-9983-B8E3580903C3}"/>
            </c:ext>
          </c:extLst>
        </c:ser>
        <c:ser>
          <c:idx val="1"/>
          <c:order val="1"/>
          <c:tx>
            <c:strRef>
              <c:f>Cover!$H$102</c:f>
              <c:strCache>
                <c:ptCount val="1"/>
                <c:pt idx="0">
                  <c:v>Spacer</c:v>
                </c:pt>
              </c:strCache>
            </c:strRef>
          </c:tx>
          <c:spPr>
            <a:noFill/>
            <a:ln>
              <a:noFill/>
            </a:ln>
            <a:effectLst/>
          </c:spPr>
          <c:invertIfNegative val="0"/>
          <c:cat>
            <c:strRef>
              <c:f>Cover!$F$103:$F$109</c:f>
              <c:strCache>
                <c:ptCount val="7"/>
                <c:pt idx="0">
                  <c:v>&lt;100</c:v>
                </c:pt>
                <c:pt idx="1">
                  <c:v>100-199</c:v>
                </c:pt>
                <c:pt idx="2">
                  <c:v>200-299</c:v>
                </c:pt>
                <c:pt idx="3">
                  <c:v>300-399</c:v>
                </c:pt>
                <c:pt idx="4">
                  <c:v>400-499</c:v>
                </c:pt>
                <c:pt idx="5">
                  <c:v>&gt;= 500</c:v>
                </c:pt>
                <c:pt idx="6">
                  <c:v>N/A</c:v>
                </c:pt>
              </c:strCache>
            </c:strRef>
          </c:cat>
          <c:val>
            <c:numRef>
              <c:f>Cover!$H$103:$H$109</c:f>
              <c:numCache>
                <c:formatCode>General</c:formatCode>
                <c:ptCount val="7"/>
                <c:pt idx="0">
                  <c:v>40</c:v>
                </c:pt>
                <c:pt idx="1">
                  <c:v>40</c:v>
                </c:pt>
                <c:pt idx="2">
                  <c:v>40</c:v>
                </c:pt>
                <c:pt idx="3">
                  <c:v>40</c:v>
                </c:pt>
                <c:pt idx="4">
                  <c:v>40</c:v>
                </c:pt>
                <c:pt idx="5">
                  <c:v>40</c:v>
                </c:pt>
                <c:pt idx="6">
                  <c:v>40</c:v>
                </c:pt>
              </c:numCache>
            </c:numRef>
          </c:val>
          <c:extLst>
            <c:ext xmlns:c16="http://schemas.microsoft.com/office/drawing/2014/chart" uri="{C3380CC4-5D6E-409C-BE32-E72D297353CC}">
              <c16:uniqueId val="{00000001-47A8-4327-9983-B8E3580903C3}"/>
            </c:ext>
          </c:extLst>
        </c:ser>
        <c:ser>
          <c:idx val="2"/>
          <c:order val="2"/>
          <c:tx>
            <c:strRef>
              <c:f>Cover!$I$102</c:f>
              <c:strCache>
                <c:ptCount val="1"/>
                <c:pt idx="0">
                  <c:v>% Participant</c:v>
                </c:pt>
              </c:strCache>
            </c:strRef>
          </c:tx>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Cover!$F$103:$F$109</c:f>
              <c:strCache>
                <c:ptCount val="7"/>
                <c:pt idx="0">
                  <c:v>&lt;100</c:v>
                </c:pt>
                <c:pt idx="1">
                  <c:v>100-199</c:v>
                </c:pt>
                <c:pt idx="2">
                  <c:v>200-299</c:v>
                </c:pt>
                <c:pt idx="3">
                  <c:v>300-399</c:v>
                </c:pt>
                <c:pt idx="4">
                  <c:v>400-499</c:v>
                </c:pt>
                <c:pt idx="5">
                  <c:v>&gt;= 500</c:v>
                </c:pt>
                <c:pt idx="6">
                  <c:v>N/A</c:v>
                </c:pt>
              </c:strCache>
            </c:strRef>
          </c:cat>
          <c:val>
            <c:numRef>
              <c:f>Cover!$I$103:$I$109</c:f>
              <c:numCache>
                <c:formatCode>0%</c:formatCode>
                <c:ptCount val="7"/>
                <c:pt idx="0">
                  <c:v>0.67400000000000004</c:v>
                </c:pt>
                <c:pt idx="1">
                  <c:v>6.2E-2</c:v>
                </c:pt>
                <c:pt idx="2">
                  <c:v>3.4000000000000002E-2</c:v>
                </c:pt>
                <c:pt idx="3">
                  <c:v>2.8000000000000001E-2</c:v>
                </c:pt>
                <c:pt idx="4">
                  <c:v>1.6E-2</c:v>
                </c:pt>
                <c:pt idx="5">
                  <c:v>7.5999999999999998E-2</c:v>
                </c:pt>
                <c:pt idx="6">
                  <c:v>0.11</c:v>
                </c:pt>
              </c:numCache>
            </c:numRef>
          </c:val>
          <c:extLst>
            <c:ext xmlns:c16="http://schemas.microsoft.com/office/drawing/2014/chart" uri="{C3380CC4-5D6E-409C-BE32-E72D297353CC}">
              <c16:uniqueId val="{00000002-47A8-4327-9983-B8E3580903C3}"/>
            </c:ext>
          </c:extLst>
        </c:ser>
        <c:dLbls>
          <c:showLegendKey val="0"/>
          <c:showVal val="0"/>
          <c:showCatName val="0"/>
          <c:showSerName val="0"/>
          <c:showPercent val="0"/>
          <c:showBubbleSize val="0"/>
        </c:dLbls>
        <c:gapWidth val="20"/>
        <c:overlap val="100"/>
        <c:axId val="1735851056"/>
        <c:axId val="1640443120"/>
      </c:barChart>
      <c:catAx>
        <c:axId val="1735851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0443120"/>
        <c:crosses val="autoZero"/>
        <c:auto val="1"/>
        <c:lblAlgn val="ctr"/>
        <c:lblOffset val="100"/>
        <c:noMultiLvlLbl val="0"/>
      </c:catAx>
      <c:valAx>
        <c:axId val="1640443120"/>
        <c:scaling>
          <c:orientation val="minMax"/>
        </c:scaling>
        <c:delete val="1"/>
        <c:axPos val="l"/>
        <c:numFmt formatCode="General" sourceLinked="1"/>
        <c:majorTickMark val="none"/>
        <c:minorTickMark val="none"/>
        <c:tickLblPos val="nextTo"/>
        <c:crossAx val="1735851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New</a:t>
            </a:r>
            <a:r>
              <a:rPr lang="en-US"/>
              <a:t> Participant</a:t>
            </a:r>
            <a:r>
              <a:rPr lang="en-US" baseline="0"/>
              <a:t> Breakdown by Diet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Cover!$G$81</c:f>
              <c:strCache>
                <c:ptCount val="1"/>
                <c:pt idx="0">
                  <c:v># Participant</c:v>
                </c:pt>
              </c:strCache>
            </c:strRef>
          </c:tx>
          <c:spPr>
            <a:solidFill>
              <a:schemeClr val="accent1"/>
            </a:solidFill>
            <a:ln>
              <a:noFill/>
            </a:ln>
            <a:effectLst/>
          </c:spPr>
          <c:invertIfNegative val="0"/>
          <c:dPt>
            <c:idx val="0"/>
            <c:invertIfNegative val="0"/>
            <c:bubble3D val="0"/>
            <c:spPr>
              <a:solidFill>
                <a:schemeClr val="accent4">
                  <a:lumMod val="75000"/>
                </a:schemeClr>
              </a:solidFill>
              <a:ln>
                <a:noFill/>
              </a:ln>
              <a:effectLst/>
            </c:spPr>
            <c:extLst>
              <c:ext xmlns:c16="http://schemas.microsoft.com/office/drawing/2014/chart" uri="{C3380CC4-5D6E-409C-BE32-E72D297353CC}">
                <c16:uniqueId val="{00000001-A23B-410F-9FDA-0FBDC5834977}"/>
              </c:ext>
            </c:extLst>
          </c:dPt>
          <c:dPt>
            <c:idx val="1"/>
            <c:invertIfNegative val="0"/>
            <c:bubble3D val="0"/>
            <c:spPr>
              <a:solidFill>
                <a:srgbClr val="C00000"/>
              </a:solidFill>
              <a:ln>
                <a:noFill/>
              </a:ln>
              <a:effectLst/>
            </c:spPr>
            <c:extLst>
              <c:ext xmlns:c16="http://schemas.microsoft.com/office/drawing/2014/chart" uri="{C3380CC4-5D6E-409C-BE32-E72D297353CC}">
                <c16:uniqueId val="{00000003-A23B-410F-9FDA-0FBDC5834977}"/>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5-A23B-410F-9FDA-0FBDC5834977}"/>
              </c:ext>
            </c:extLst>
          </c:dPt>
          <c:cat>
            <c:strRef>
              <c:f>Cover!$F$82:$F$84</c:f>
              <c:strCache>
                <c:ptCount val="3"/>
                <c:pt idx="0">
                  <c:v>Omnivore</c:v>
                </c:pt>
                <c:pt idx="1">
                  <c:v>Carnivore</c:v>
                </c:pt>
                <c:pt idx="2">
                  <c:v>Herbivore</c:v>
                </c:pt>
              </c:strCache>
            </c:strRef>
          </c:cat>
          <c:val>
            <c:numRef>
              <c:f>Cover!$G$82:$G$84</c:f>
              <c:numCache>
                <c:formatCode>General</c:formatCode>
                <c:ptCount val="3"/>
                <c:pt idx="0">
                  <c:v>57</c:v>
                </c:pt>
                <c:pt idx="1">
                  <c:v>26</c:v>
                </c:pt>
                <c:pt idx="2">
                  <c:v>15</c:v>
                </c:pt>
              </c:numCache>
            </c:numRef>
          </c:val>
          <c:extLst>
            <c:ext xmlns:c16="http://schemas.microsoft.com/office/drawing/2014/chart" uri="{C3380CC4-5D6E-409C-BE32-E72D297353CC}">
              <c16:uniqueId val="{00000006-A23B-410F-9FDA-0FBDC5834977}"/>
            </c:ext>
          </c:extLst>
        </c:ser>
        <c:ser>
          <c:idx val="1"/>
          <c:order val="1"/>
          <c:tx>
            <c:strRef>
              <c:f>Cover!$H$81</c:f>
              <c:strCache>
                <c:ptCount val="1"/>
                <c:pt idx="0">
                  <c:v>Spacer</c:v>
                </c:pt>
              </c:strCache>
            </c:strRef>
          </c:tx>
          <c:spPr>
            <a:noFill/>
            <a:ln>
              <a:noFill/>
            </a:ln>
            <a:effectLst/>
          </c:spPr>
          <c:invertIfNegative val="0"/>
          <c:cat>
            <c:strRef>
              <c:f>Cover!$F$82:$F$84</c:f>
              <c:strCache>
                <c:ptCount val="3"/>
                <c:pt idx="0">
                  <c:v>Omnivore</c:v>
                </c:pt>
                <c:pt idx="1">
                  <c:v>Carnivore</c:v>
                </c:pt>
                <c:pt idx="2">
                  <c:v>Herbivore</c:v>
                </c:pt>
              </c:strCache>
            </c:strRef>
          </c:cat>
          <c:val>
            <c:numRef>
              <c:f>Cover!$H$82:$H$84</c:f>
              <c:numCache>
                <c:formatCode>General</c:formatCode>
                <c:ptCount val="3"/>
                <c:pt idx="0">
                  <c:v>20</c:v>
                </c:pt>
                <c:pt idx="1">
                  <c:v>20</c:v>
                </c:pt>
                <c:pt idx="2">
                  <c:v>20</c:v>
                </c:pt>
              </c:numCache>
            </c:numRef>
          </c:val>
          <c:extLst>
            <c:ext xmlns:c16="http://schemas.microsoft.com/office/drawing/2014/chart" uri="{C3380CC4-5D6E-409C-BE32-E72D297353CC}">
              <c16:uniqueId val="{0000000C-A23B-410F-9FDA-0FBDC5834977}"/>
            </c:ext>
          </c:extLst>
        </c:ser>
        <c:ser>
          <c:idx val="2"/>
          <c:order val="2"/>
          <c:tx>
            <c:strRef>
              <c:f>Cover!$I$81</c:f>
              <c:strCache>
                <c:ptCount val="1"/>
                <c:pt idx="0">
                  <c:v>% Participant</c:v>
                </c:pt>
              </c:strCache>
            </c:strRef>
          </c:tx>
          <c:spPr>
            <a:solidFill>
              <a:sysClr val="window" lastClr="FFFFFF"/>
            </a:solidFill>
            <a:ln>
              <a:noFill/>
            </a:ln>
            <a:effectLst/>
          </c:spPr>
          <c:invertIfNegative val="0"/>
          <c:dLbls>
            <c:dLbl>
              <c:idx val="0"/>
              <c:tx>
                <c:rich>
                  <a:bodyPr/>
                  <a:lstStyle/>
                  <a:p>
                    <a:fld id="{B9E0C5CD-A35E-486F-B2FA-DCA09E6A85AD}" type="CELLRANGE">
                      <a:rPr lang="en-US"/>
                      <a:pPr/>
                      <a:t>[CELLRANGE]</a:t>
                    </a:fld>
                    <a:r>
                      <a:rPr lang="en-US" baseline="0"/>
                      <a:t>; </a:t>
                    </a:r>
                    <a:fld id="{4B3929AC-DCE3-47A2-9BFE-E107BEACA8B9}" type="VALUE">
                      <a:rPr lang="en-US" baseline="0"/>
                      <a:pPr/>
                      <a:t>[VALUE]</a:t>
                    </a:fld>
                    <a:endParaRPr lang="en-US" baseline="0"/>
                  </a:p>
                </c:rich>
              </c:tx>
              <c:dLblPos val="ct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A23B-410F-9FDA-0FBDC5834977}"/>
                </c:ext>
              </c:extLst>
            </c:dLbl>
            <c:dLbl>
              <c:idx val="1"/>
              <c:tx>
                <c:rich>
                  <a:bodyPr/>
                  <a:lstStyle/>
                  <a:p>
                    <a:fld id="{5D0D6F96-6FCA-45C5-BDE8-31296FAD9692}" type="CELLRANGE">
                      <a:rPr lang="en-US"/>
                      <a:pPr/>
                      <a:t>[CELLRANGE]</a:t>
                    </a:fld>
                    <a:r>
                      <a:rPr lang="en-US" baseline="0"/>
                      <a:t>; </a:t>
                    </a:r>
                    <a:fld id="{AEBCFD55-37F4-4231-B0EC-837A645CE03E}" type="VALUE">
                      <a:rPr lang="en-US" baseline="0"/>
                      <a:pPr/>
                      <a:t>[VALUE]</a:t>
                    </a:fld>
                    <a:endParaRPr lang="en-US" baseline="0"/>
                  </a:p>
                </c:rich>
              </c:tx>
              <c:dLblPos val="ct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A23B-410F-9FDA-0FBDC5834977}"/>
                </c:ext>
              </c:extLst>
            </c:dLbl>
            <c:dLbl>
              <c:idx val="2"/>
              <c:tx>
                <c:rich>
                  <a:bodyPr/>
                  <a:lstStyle/>
                  <a:p>
                    <a:fld id="{1633C390-26A0-4C98-899C-54DE0272CFF9}" type="CELLRANGE">
                      <a:rPr lang="en-US"/>
                      <a:pPr/>
                      <a:t>[CELLRANGE]</a:t>
                    </a:fld>
                    <a:r>
                      <a:rPr lang="en-US" baseline="0"/>
                      <a:t>; </a:t>
                    </a:r>
                    <a:fld id="{C91E70B2-8F44-40EA-BD8B-9E75CF8A9EC7}" type="VALUE">
                      <a:rPr lang="en-US" baseline="0"/>
                      <a:pPr/>
                      <a:t>[VALUE]</a:t>
                    </a:fld>
                    <a:endParaRPr lang="en-US" baseline="0"/>
                  </a:p>
                </c:rich>
              </c:tx>
              <c:dLblPos val="ct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A23B-410F-9FDA-0FBDC583497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Cover!$F$82:$F$84</c:f>
              <c:strCache>
                <c:ptCount val="3"/>
                <c:pt idx="0">
                  <c:v>Omnivore</c:v>
                </c:pt>
                <c:pt idx="1">
                  <c:v>Carnivore</c:v>
                </c:pt>
                <c:pt idx="2">
                  <c:v>Herbivore</c:v>
                </c:pt>
              </c:strCache>
            </c:strRef>
          </c:cat>
          <c:val>
            <c:numRef>
              <c:f>Cover!$I$82:$I$84</c:f>
              <c:numCache>
                <c:formatCode>0%</c:formatCode>
                <c:ptCount val="3"/>
                <c:pt idx="0">
                  <c:v>0.58163265306122447</c:v>
                </c:pt>
                <c:pt idx="1">
                  <c:v>0.26530612244897961</c:v>
                </c:pt>
                <c:pt idx="2">
                  <c:v>0.15306122448979592</c:v>
                </c:pt>
              </c:numCache>
            </c:numRef>
          </c:val>
          <c:extLst>
            <c:ext xmlns:c15="http://schemas.microsoft.com/office/drawing/2012/chart" uri="{02D57815-91ED-43cb-92C2-25804820EDAC}">
              <c15:datalabelsRange>
                <c15:f>Cover!$G$82:$G$84</c15:f>
                <c15:dlblRangeCache>
                  <c:ptCount val="3"/>
                  <c:pt idx="0">
                    <c:v>57</c:v>
                  </c:pt>
                  <c:pt idx="1">
                    <c:v>26</c:v>
                  </c:pt>
                  <c:pt idx="2">
                    <c:v>15</c:v>
                  </c:pt>
                </c15:dlblRangeCache>
              </c15:datalabelsRange>
            </c:ext>
            <c:ext xmlns:c16="http://schemas.microsoft.com/office/drawing/2014/chart" uri="{C3380CC4-5D6E-409C-BE32-E72D297353CC}">
              <c16:uniqueId val="{0000000D-A23B-410F-9FDA-0FBDC5834977}"/>
            </c:ext>
          </c:extLst>
        </c:ser>
        <c:dLbls>
          <c:showLegendKey val="0"/>
          <c:showVal val="0"/>
          <c:showCatName val="0"/>
          <c:showSerName val="0"/>
          <c:showPercent val="0"/>
          <c:showBubbleSize val="0"/>
        </c:dLbls>
        <c:gapWidth val="20"/>
        <c:overlap val="100"/>
        <c:axId val="1752405872"/>
        <c:axId val="1669401648"/>
      </c:barChart>
      <c:catAx>
        <c:axId val="1752405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9401648"/>
        <c:crosses val="autoZero"/>
        <c:auto val="1"/>
        <c:lblAlgn val="ctr"/>
        <c:lblOffset val="100"/>
        <c:noMultiLvlLbl val="0"/>
      </c:catAx>
      <c:valAx>
        <c:axId val="1669401648"/>
        <c:scaling>
          <c:orientation val="minMax"/>
        </c:scaling>
        <c:delete val="1"/>
        <c:axPos val="l"/>
        <c:numFmt formatCode="General" sourceLinked="1"/>
        <c:majorTickMark val="none"/>
        <c:minorTickMark val="none"/>
        <c:tickLblPos val="nextTo"/>
        <c:crossAx val="1752405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vs Cost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Cover!$F$226</c:f>
              <c:strCache>
                <c:ptCount val="1"/>
                <c:pt idx="0">
                  <c:v>Revenue</c:v>
                </c:pt>
              </c:strCache>
            </c:strRef>
          </c:tx>
          <c:spPr>
            <a:solidFill>
              <a:srgbClr val="92D050">
                <a:alpha val="97000"/>
              </a:srgbClr>
            </a:solidFill>
            <a:ln>
              <a:noFill/>
            </a:ln>
            <a:effectLst/>
          </c:spPr>
          <c:invertIfNegative val="0"/>
          <c:dLbls>
            <c:dLbl>
              <c:idx val="4"/>
              <c:layout>
                <c:manualLayout>
                  <c:x val="-9.6200081626147994E-3"/>
                  <c:y val="-1.1766144477316624E-16"/>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5104-4DA4-8B66-EB0AA3D2AD4E}"/>
                </c:ext>
              </c:extLst>
            </c:dLbl>
            <c:numFmt formatCode="&quot;$&quot;#,##0,&quot;k&quot;" sourceLinked="0"/>
            <c:spPr>
              <a:noFill/>
              <a:ln>
                <a:noFill/>
              </a:ln>
              <a:effectLst/>
            </c:spPr>
            <c:txPr>
              <a:bodyPr rot="0" spcFirstLastPara="1" vertOverflow="ellipsis" horzOverflow="clip" vert="horz" wrap="square" lIns="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Cover!$E$227:$E$235</c:f>
              <c:strCache>
                <c:ptCount val="9"/>
                <c:pt idx="0">
                  <c:v>Asia Pacific</c:v>
                </c:pt>
                <c:pt idx="1">
                  <c:v>Africa &amp; MENA</c:v>
                </c:pt>
                <c:pt idx="2">
                  <c:v>Greater China</c:v>
                </c:pt>
                <c:pt idx="3">
                  <c:v>South Asia</c:v>
                </c:pt>
                <c:pt idx="4">
                  <c:v>Europe &amp; Eurasia</c:v>
                </c:pt>
                <c:pt idx="5">
                  <c:v>North America</c:v>
                </c:pt>
                <c:pt idx="6">
                  <c:v>Japan</c:v>
                </c:pt>
                <c:pt idx="7">
                  <c:v>Latin America</c:v>
                </c:pt>
                <c:pt idx="8">
                  <c:v>Grand Total</c:v>
                </c:pt>
              </c:strCache>
            </c:strRef>
          </c:cat>
          <c:val>
            <c:numRef>
              <c:f>Cover!$F$227:$F$235</c:f>
              <c:numCache>
                <c:formatCode>_("$"* #,##0_);_("$"* \(#,##0\);_("$"* "-"??_);_(@_)</c:formatCode>
                <c:ptCount val="9"/>
                <c:pt idx="0">
                  <c:v>20300</c:v>
                </c:pt>
                <c:pt idx="1">
                  <c:v>38400</c:v>
                </c:pt>
                <c:pt idx="2">
                  <c:v>27000</c:v>
                </c:pt>
                <c:pt idx="3">
                  <c:v>13050</c:v>
                </c:pt>
                <c:pt idx="4">
                  <c:v>64350</c:v>
                </c:pt>
                <c:pt idx="5">
                  <c:v>64000</c:v>
                </c:pt>
                <c:pt idx="6">
                  <c:v>3150</c:v>
                </c:pt>
                <c:pt idx="7">
                  <c:v>4200</c:v>
                </c:pt>
                <c:pt idx="8">
                  <c:v>234450</c:v>
                </c:pt>
              </c:numCache>
            </c:numRef>
          </c:val>
          <c:extLst>
            <c:ext xmlns:c16="http://schemas.microsoft.com/office/drawing/2014/chart" uri="{C3380CC4-5D6E-409C-BE32-E72D297353CC}">
              <c16:uniqueId val="{00000001-5104-4DA4-8B66-EB0AA3D2AD4E}"/>
            </c:ext>
          </c:extLst>
        </c:ser>
        <c:ser>
          <c:idx val="1"/>
          <c:order val="1"/>
          <c:tx>
            <c:strRef>
              <c:f>Cover!$G$226</c:f>
              <c:strCache>
                <c:ptCount val="1"/>
                <c:pt idx="0">
                  <c:v>Cost</c:v>
                </c:pt>
              </c:strCache>
            </c:strRef>
          </c:tx>
          <c:spPr>
            <a:solidFill>
              <a:schemeClr val="accent2">
                <a:lumMod val="75000"/>
              </a:schemeClr>
            </a:solidFill>
            <a:ln>
              <a:noFill/>
            </a:ln>
            <a:effectLst/>
          </c:spPr>
          <c:invertIfNegative val="0"/>
          <c:dLbls>
            <c:dLbl>
              <c:idx val="3"/>
              <c:layout>
                <c:manualLayout>
                  <c:x val="1.154400979513776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104-4DA4-8B66-EB0AA3D2AD4E}"/>
                </c:ext>
              </c:extLst>
            </c:dLbl>
            <c:dLbl>
              <c:idx val="5"/>
              <c:layout>
                <c:manualLayout>
                  <c:x val="5.7720048975688802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104-4DA4-8B66-EB0AA3D2AD4E}"/>
                </c:ext>
              </c:extLst>
            </c:dLbl>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Cover!$E$227:$E$235</c:f>
              <c:strCache>
                <c:ptCount val="9"/>
                <c:pt idx="0">
                  <c:v>Asia Pacific</c:v>
                </c:pt>
                <c:pt idx="1">
                  <c:v>Africa &amp; MENA</c:v>
                </c:pt>
                <c:pt idx="2">
                  <c:v>Greater China</c:v>
                </c:pt>
                <c:pt idx="3">
                  <c:v>South Asia</c:v>
                </c:pt>
                <c:pt idx="4">
                  <c:v>Europe &amp; Eurasia</c:v>
                </c:pt>
                <c:pt idx="5">
                  <c:v>North America</c:v>
                </c:pt>
                <c:pt idx="6">
                  <c:v>Japan</c:v>
                </c:pt>
                <c:pt idx="7">
                  <c:v>Latin America</c:v>
                </c:pt>
                <c:pt idx="8">
                  <c:v>Grand Total</c:v>
                </c:pt>
              </c:strCache>
            </c:strRef>
          </c:cat>
          <c:val>
            <c:numRef>
              <c:f>Cover!$G$227:$G$235</c:f>
              <c:numCache>
                <c:formatCode>_("$"* #,##0_);_("$"* \(#,##0\);_("$"* "-"??_);_(@_)</c:formatCode>
                <c:ptCount val="9"/>
                <c:pt idx="0">
                  <c:v>12200</c:v>
                </c:pt>
                <c:pt idx="1">
                  <c:v>25900</c:v>
                </c:pt>
                <c:pt idx="2">
                  <c:v>18400</c:v>
                </c:pt>
                <c:pt idx="3">
                  <c:v>11700</c:v>
                </c:pt>
                <c:pt idx="4">
                  <c:v>60600</c:v>
                </c:pt>
                <c:pt idx="5">
                  <c:v>67500</c:v>
                </c:pt>
                <c:pt idx="6">
                  <c:v>3400</c:v>
                </c:pt>
                <c:pt idx="7">
                  <c:v>8000</c:v>
                </c:pt>
                <c:pt idx="8">
                  <c:v>207700</c:v>
                </c:pt>
              </c:numCache>
            </c:numRef>
          </c:val>
          <c:extLst>
            <c:ext xmlns:c16="http://schemas.microsoft.com/office/drawing/2014/chart" uri="{C3380CC4-5D6E-409C-BE32-E72D297353CC}">
              <c16:uniqueId val="{00000004-5104-4DA4-8B66-EB0AA3D2AD4E}"/>
            </c:ext>
          </c:extLst>
        </c:ser>
        <c:dLbls>
          <c:dLblPos val="outEnd"/>
          <c:showLegendKey val="0"/>
          <c:showVal val="1"/>
          <c:showCatName val="0"/>
          <c:showSerName val="0"/>
          <c:showPercent val="0"/>
          <c:showBubbleSize val="0"/>
        </c:dLbls>
        <c:gapWidth val="203"/>
        <c:overlap val="-27"/>
        <c:axId val="974250352"/>
        <c:axId val="480098495"/>
      </c:barChart>
      <c:catAx>
        <c:axId val="974250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0098495"/>
        <c:crosses val="autoZero"/>
        <c:auto val="1"/>
        <c:lblAlgn val="ctr"/>
        <c:lblOffset val="100"/>
        <c:noMultiLvlLbl val="0"/>
      </c:catAx>
      <c:valAx>
        <c:axId val="480098495"/>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250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Margin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Cover!$K$226</c:f>
              <c:strCache>
                <c:ptCount val="1"/>
                <c:pt idx="0">
                  <c:v>Profit Margin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Cover!$J$227:$J$235</c:f>
              <c:strCache>
                <c:ptCount val="9"/>
                <c:pt idx="0">
                  <c:v>Asia Pacific</c:v>
                </c:pt>
                <c:pt idx="1">
                  <c:v>Africa &amp; MENA</c:v>
                </c:pt>
                <c:pt idx="2">
                  <c:v>Greater China</c:v>
                </c:pt>
                <c:pt idx="3">
                  <c:v>South Asia</c:v>
                </c:pt>
                <c:pt idx="4">
                  <c:v>Europe &amp; Eurasia</c:v>
                </c:pt>
                <c:pt idx="5">
                  <c:v>North America</c:v>
                </c:pt>
                <c:pt idx="6">
                  <c:v>Japan</c:v>
                </c:pt>
                <c:pt idx="7">
                  <c:v>Latin America</c:v>
                </c:pt>
                <c:pt idx="8">
                  <c:v>Grand Total</c:v>
                </c:pt>
              </c:strCache>
            </c:strRef>
          </c:cat>
          <c:val>
            <c:numRef>
              <c:f>Cover!$K$227:$K$235</c:f>
              <c:numCache>
                <c:formatCode>0%</c:formatCode>
                <c:ptCount val="9"/>
                <c:pt idx="0">
                  <c:v>0.39901477832512317</c:v>
                </c:pt>
                <c:pt idx="1">
                  <c:v>0.32552083333333331</c:v>
                </c:pt>
                <c:pt idx="2">
                  <c:v>0.31851851851851853</c:v>
                </c:pt>
                <c:pt idx="3">
                  <c:v>0.10344827586206896</c:v>
                </c:pt>
                <c:pt idx="4">
                  <c:v>5.8275058275058272E-2</c:v>
                </c:pt>
                <c:pt idx="5">
                  <c:v>-5.46875E-2</c:v>
                </c:pt>
                <c:pt idx="6">
                  <c:v>-7.9365079365079361E-2</c:v>
                </c:pt>
                <c:pt idx="7">
                  <c:v>-0.90476190476190477</c:v>
                </c:pt>
                <c:pt idx="8">
                  <c:v>0.11409682235018127</c:v>
                </c:pt>
              </c:numCache>
            </c:numRef>
          </c:val>
          <c:extLst>
            <c:ext xmlns:c16="http://schemas.microsoft.com/office/drawing/2014/chart" uri="{C3380CC4-5D6E-409C-BE32-E72D297353CC}">
              <c16:uniqueId val="{00000000-1F6E-46CE-82E7-A9886EE50678}"/>
            </c:ext>
          </c:extLst>
        </c:ser>
        <c:dLbls>
          <c:dLblPos val="outEnd"/>
          <c:showLegendKey val="0"/>
          <c:showVal val="1"/>
          <c:showCatName val="0"/>
          <c:showSerName val="0"/>
          <c:showPercent val="0"/>
          <c:showBubbleSize val="0"/>
        </c:dLbls>
        <c:gapWidth val="219"/>
        <c:overlap val="-27"/>
        <c:axId val="1979838368"/>
        <c:axId val="788518912"/>
      </c:barChart>
      <c:catAx>
        <c:axId val="197983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518912"/>
        <c:crosses val="autoZero"/>
        <c:auto val="1"/>
        <c:lblAlgn val="ctr"/>
        <c:lblOffset val="100"/>
        <c:noMultiLvlLbl val="0"/>
      </c:catAx>
      <c:valAx>
        <c:axId val="78851891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8383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Reversed" id="22">
  <a:schemeClr val="accent2"/>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1340644</xdr:colOff>
      <xdr:row>3</xdr:row>
      <xdr:rowOff>180973</xdr:rowOff>
    </xdr:from>
    <xdr:to>
      <xdr:col>7</xdr:col>
      <xdr:colOff>738187</xdr:colOff>
      <xdr:row>15</xdr:row>
      <xdr:rowOff>119062</xdr:rowOff>
    </xdr:to>
    <xdr:sp macro="" textlink="">
      <xdr:nvSpPr>
        <xdr:cNvPr id="2" name="TextBox 1">
          <a:extLst>
            <a:ext uri="{FF2B5EF4-FFF2-40B4-BE49-F238E27FC236}">
              <a16:creationId xmlns:a16="http://schemas.microsoft.com/office/drawing/2014/main" id="{C2545B54-6CF4-37B7-C263-F01CF87E6BD6}"/>
            </a:ext>
          </a:extLst>
        </xdr:cNvPr>
        <xdr:cNvSpPr txBox="1"/>
      </xdr:nvSpPr>
      <xdr:spPr>
        <a:xfrm>
          <a:off x="1340644" y="1133473"/>
          <a:ext cx="8898731" cy="22240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Steps taken and Assumptions:</a:t>
          </a:r>
          <a:br>
            <a:rPr lang="en-US" sz="1200" b="1"/>
          </a:br>
          <a:endParaRPr lang="en-US" sz="1200" b="1"/>
        </a:p>
        <a:p>
          <a:r>
            <a:rPr lang="en-US" sz="1200"/>
            <a:t>- </a:t>
          </a:r>
          <a:r>
            <a:rPr lang="en-US" sz="1200" b="1"/>
            <a:t>Diet</a:t>
          </a:r>
          <a:r>
            <a:rPr lang="en-US" sz="1200"/>
            <a:t> column</a:t>
          </a:r>
          <a:r>
            <a:rPr lang="en-US" sz="1200" baseline="0"/>
            <a:t>: </a:t>
          </a:r>
          <a:r>
            <a:rPr lang="en-US" sz="1200"/>
            <a:t>Missing</a:t>
          </a:r>
          <a:r>
            <a:rPr lang="en-US" sz="1200" baseline="0"/>
            <a:t> data and a data entry error were identified . The typo was corrected and missing data were filled in based on the animals' diet information found on the Internet.</a:t>
          </a:r>
        </a:p>
        <a:p>
          <a:r>
            <a:rPr lang="en-US" sz="1200" baseline="0"/>
            <a:t>- </a:t>
          </a:r>
          <a:r>
            <a:rPr lang="en-US" sz="1200" b="1" baseline="0"/>
            <a:t>Weight column</a:t>
          </a:r>
          <a:r>
            <a:rPr lang="en-US" sz="1200" baseline="0"/>
            <a:t>: Missing data was identified. Attempts were made to find the animals' average weight online to populate missing fields. However, animals with weight information do not fall into consistent pattern of average weight information available. Given the lack of reliable source and method of estimation, missing weight data are marked as "N/A".</a:t>
          </a:r>
        </a:p>
        <a:p>
          <a:r>
            <a:rPr lang="en-US" sz="1200" baseline="0"/>
            <a:t>- Animals' weight and lifespan information were transformed into consistent units (lbs and years respectively) and grouped into more meaningful buckets - </a:t>
          </a:r>
          <a:r>
            <a:rPr lang="en-US" sz="1200" b="1" baseline="0"/>
            <a:t>Weight Group</a:t>
          </a:r>
          <a:r>
            <a:rPr lang="en-US" sz="1200" baseline="0"/>
            <a:t> and </a:t>
          </a:r>
          <a:r>
            <a:rPr lang="en-US" sz="1200" b="1" baseline="0"/>
            <a:t>Lifespan Group</a:t>
          </a:r>
          <a:r>
            <a:rPr lang="en-US" sz="1200" baseline="0"/>
            <a:t>. </a:t>
          </a:r>
        </a:p>
        <a:p>
          <a:r>
            <a:rPr lang="en-US" sz="1200" baseline="0"/>
            <a:t>- Columns </a:t>
          </a:r>
          <a:r>
            <a:rPr lang="en-US" sz="1200" b="1" baseline="0"/>
            <a:t>Participation Status</a:t>
          </a:r>
          <a:r>
            <a:rPr lang="en-US" sz="1200" baseline="0"/>
            <a:t> (new vs past participants) </a:t>
          </a:r>
          <a:r>
            <a:rPr lang="en-US" sz="1200" b="1" baseline="0"/>
            <a:t>Transport</a:t>
          </a:r>
          <a:r>
            <a:rPr lang="en-US" sz="1200" baseline="0"/>
            <a:t>, </a:t>
          </a:r>
          <a:r>
            <a:rPr lang="en-US" sz="1200" b="1" baseline="0"/>
            <a:t>Revenue</a:t>
          </a:r>
          <a:r>
            <a:rPr lang="en-US" sz="1200" baseline="0"/>
            <a:t> and </a:t>
          </a:r>
          <a:r>
            <a:rPr lang="en-US" sz="1200" b="1" baseline="0"/>
            <a:t>Cost</a:t>
          </a:r>
          <a:r>
            <a:rPr lang="en-US" sz="1200" baseline="0"/>
            <a:t> were brought in from provided supporting tables, additional field of </a:t>
          </a:r>
          <a:r>
            <a:rPr lang="en-US" sz="1200" b="1" baseline="0"/>
            <a:t>Profit</a:t>
          </a:r>
          <a:r>
            <a:rPr lang="en-US" sz="1200" baseline="0"/>
            <a:t> was calculated. </a:t>
          </a:r>
          <a:endParaRPr lang="en-US" sz="1200"/>
        </a:p>
      </xdr:txBody>
    </xdr:sp>
    <xdr:clientData/>
  </xdr:twoCellAnchor>
  <xdr:twoCellAnchor>
    <xdr:from>
      <xdr:col>3</xdr:col>
      <xdr:colOff>714375</xdr:colOff>
      <xdr:row>17</xdr:row>
      <xdr:rowOff>142875</xdr:rowOff>
    </xdr:from>
    <xdr:to>
      <xdr:col>7</xdr:col>
      <xdr:colOff>1052512</xdr:colOff>
      <xdr:row>30</xdr:row>
      <xdr:rowOff>109538</xdr:rowOff>
    </xdr:to>
    <xdr:graphicFrame macro="">
      <xdr:nvGraphicFramePr>
        <xdr:cNvPr id="10" name="Chart 9">
          <a:extLst>
            <a:ext uri="{FF2B5EF4-FFF2-40B4-BE49-F238E27FC236}">
              <a16:creationId xmlns:a16="http://schemas.microsoft.com/office/drawing/2014/main" id="{4CAE3F10-54CE-48D0-A75B-03EF0BF2A8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1294607</xdr:colOff>
      <xdr:row>44</xdr:row>
      <xdr:rowOff>128587</xdr:rowOff>
    </xdr:from>
    <xdr:to>
      <xdr:col>11</xdr:col>
      <xdr:colOff>922337</xdr:colOff>
      <xdr:row>55</xdr:row>
      <xdr:rowOff>95250</xdr:rowOff>
    </xdr:to>
    <xdr:graphicFrame macro="">
      <xdr:nvGraphicFramePr>
        <xdr:cNvPr id="12" name="Chart 11">
          <a:extLst>
            <a:ext uri="{FF2B5EF4-FFF2-40B4-BE49-F238E27FC236}">
              <a16:creationId xmlns:a16="http://schemas.microsoft.com/office/drawing/2014/main" id="{6886AF9B-FCDE-4D28-87FD-F17264E35D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955674</xdr:colOff>
      <xdr:row>56</xdr:row>
      <xdr:rowOff>2381</xdr:rowOff>
    </xdr:from>
    <xdr:to>
      <xdr:col>13</xdr:col>
      <xdr:colOff>718607</xdr:colOff>
      <xdr:row>67</xdr:row>
      <xdr:rowOff>45243</xdr:rowOff>
    </xdr:to>
    <xdr:graphicFrame macro="">
      <xdr:nvGraphicFramePr>
        <xdr:cNvPr id="13" name="Chart 12">
          <a:extLst>
            <a:ext uri="{FF2B5EF4-FFF2-40B4-BE49-F238E27FC236}">
              <a16:creationId xmlns:a16="http://schemas.microsoft.com/office/drawing/2014/main" id="{0DA020B5-3AD7-412F-B55D-7B9434F2D8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850108</xdr:colOff>
      <xdr:row>68</xdr:row>
      <xdr:rowOff>21434</xdr:rowOff>
    </xdr:from>
    <xdr:to>
      <xdr:col>11</xdr:col>
      <xdr:colOff>1188772</xdr:colOff>
      <xdr:row>78</xdr:row>
      <xdr:rowOff>111918</xdr:rowOff>
    </xdr:to>
    <xdr:graphicFrame macro="">
      <xdr:nvGraphicFramePr>
        <xdr:cNvPr id="14" name="Chart 13">
          <a:extLst>
            <a:ext uri="{FF2B5EF4-FFF2-40B4-BE49-F238E27FC236}">
              <a16:creationId xmlns:a16="http://schemas.microsoft.com/office/drawing/2014/main" id="{A2F91BE2-214A-4059-B833-4DFF1E5526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219075</xdr:colOff>
      <xdr:row>88</xdr:row>
      <xdr:rowOff>14288</xdr:rowOff>
    </xdr:from>
    <xdr:to>
      <xdr:col>12</xdr:col>
      <xdr:colOff>857778</xdr:colOff>
      <xdr:row>99</xdr:row>
      <xdr:rowOff>33338</xdr:rowOff>
    </xdr:to>
    <xdr:graphicFrame macro="">
      <xdr:nvGraphicFramePr>
        <xdr:cNvPr id="15" name="Chart 14">
          <a:extLst>
            <a:ext uri="{FF2B5EF4-FFF2-40B4-BE49-F238E27FC236}">
              <a16:creationId xmlns:a16="http://schemas.microsoft.com/office/drawing/2014/main" id="{5E8A8EE9-6E84-4460-970B-DA2255BC70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103187</xdr:colOff>
      <xdr:row>100</xdr:row>
      <xdr:rowOff>147637</xdr:rowOff>
    </xdr:from>
    <xdr:to>
      <xdr:col>12</xdr:col>
      <xdr:colOff>1131887</xdr:colOff>
      <xdr:row>111</xdr:row>
      <xdr:rowOff>166687</xdr:rowOff>
    </xdr:to>
    <xdr:graphicFrame macro="">
      <xdr:nvGraphicFramePr>
        <xdr:cNvPr id="16" name="Chart 15">
          <a:extLst>
            <a:ext uri="{FF2B5EF4-FFF2-40B4-BE49-F238E27FC236}">
              <a16:creationId xmlns:a16="http://schemas.microsoft.com/office/drawing/2014/main" id="{E44E2733-7E8E-4969-8C34-FA4FA87828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47625</xdr:colOff>
      <xdr:row>76</xdr:row>
      <xdr:rowOff>35719</xdr:rowOff>
    </xdr:from>
    <xdr:to>
      <xdr:col>14</xdr:col>
      <xdr:colOff>386289</xdr:colOff>
      <xdr:row>86</xdr:row>
      <xdr:rowOff>126203</xdr:rowOff>
    </xdr:to>
    <xdr:graphicFrame macro="">
      <xdr:nvGraphicFramePr>
        <xdr:cNvPr id="18" name="Chart 17">
          <a:extLst>
            <a:ext uri="{FF2B5EF4-FFF2-40B4-BE49-F238E27FC236}">
              <a16:creationId xmlns:a16="http://schemas.microsoft.com/office/drawing/2014/main" id="{1879B776-20EA-442A-AB6F-0EE109D657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892968</xdr:colOff>
      <xdr:row>195</xdr:row>
      <xdr:rowOff>145256</xdr:rowOff>
    </xdr:from>
    <xdr:to>
      <xdr:col>8</xdr:col>
      <xdr:colOff>488155</xdr:colOff>
      <xdr:row>219</xdr:row>
      <xdr:rowOff>178593</xdr:rowOff>
    </xdr:to>
    <xdr:graphicFrame macro="">
      <xdr:nvGraphicFramePr>
        <xdr:cNvPr id="19" name="Chart 18">
          <a:extLst>
            <a:ext uri="{FF2B5EF4-FFF2-40B4-BE49-F238E27FC236}">
              <a16:creationId xmlns:a16="http://schemas.microsoft.com/office/drawing/2014/main" id="{F1C90465-F508-4E88-9297-2E04B9801A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788194</xdr:colOff>
      <xdr:row>194</xdr:row>
      <xdr:rowOff>119061</xdr:rowOff>
    </xdr:from>
    <xdr:to>
      <xdr:col>13</xdr:col>
      <xdr:colOff>35718</xdr:colOff>
      <xdr:row>220</xdr:row>
      <xdr:rowOff>23812</xdr:rowOff>
    </xdr:to>
    <xdr:graphicFrame macro="">
      <xdr:nvGraphicFramePr>
        <xdr:cNvPr id="20" name="Chart 19">
          <a:extLst>
            <a:ext uri="{FF2B5EF4-FFF2-40B4-BE49-F238E27FC236}">
              <a16:creationId xmlns:a16="http://schemas.microsoft.com/office/drawing/2014/main" id="{96616461-120D-421B-AC26-DF4962593B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n Hoang" refreshedDate="45145.778927777777" createdVersion="8" refreshedVersion="8" minRefreshableVersion="3" recordCount="500" xr:uid="{64E7274A-0A1E-4437-8EC8-E9839C4E6DAB}">
  <cacheSource type="worksheet">
    <worksheetSource name="Table1"/>
  </cacheSource>
  <cacheFields count="19">
    <cacheField name="Animal" numFmtId="0">
      <sharedItems/>
    </cacheField>
    <cacheField name="Diet" numFmtId="0">
      <sharedItems count="3">
        <s v="Omnivore"/>
        <s v="Carnivore"/>
        <s v="Herbivore"/>
      </sharedItems>
    </cacheField>
    <cacheField name="Lifespan" numFmtId="0">
      <sharedItems containsSemiMixedTypes="0" containsString="0" containsNumber="1" containsInteger="1" minValue="1" maxValue="255"/>
    </cacheField>
    <cacheField name="Lifespan Unit" numFmtId="0">
      <sharedItems/>
    </cacheField>
    <cacheField name="Lifespan (Years)" numFmtId="0">
      <sharedItems containsSemiMixedTypes="0" containsString="0" containsNumber="1" minValue="0.16666666666666666" maxValue="255"/>
    </cacheField>
    <cacheField name="Weight" numFmtId="0">
      <sharedItems/>
    </cacheField>
    <cacheField name="Weight (Digits)" numFmtId="0">
      <sharedItems/>
    </cacheField>
    <cacheField name="Weight Unit" numFmtId="0">
      <sharedItems/>
    </cacheField>
    <cacheField name="Lifespan Group" numFmtId="0">
      <sharedItems count="5">
        <s v="&lt;25"/>
        <s v="50-74"/>
        <s v="25-49"/>
        <s v="&gt;=100"/>
        <s v="75-99"/>
      </sharedItems>
    </cacheField>
    <cacheField name="Weight (lbs)" numFmtId="43">
      <sharedItems containsSemiMixedTypes="0" containsString="0" containsNumber="1" minValue="0" maxValue="220000"/>
    </cacheField>
    <cacheField name="Weight Group" numFmtId="43">
      <sharedItems count="7">
        <s v="100-199"/>
        <s v="&lt;100"/>
        <s v="&gt;=500"/>
        <s v="300-399"/>
        <s v="400-499"/>
        <s v="N/A"/>
        <s v="200-299"/>
      </sharedItems>
    </cacheField>
    <cacheField name="Region" numFmtId="0">
      <sharedItems count="10">
        <s v="Europe &amp; Eurasia"/>
        <s v="North America"/>
        <s v="Africa &amp; MENA"/>
        <s v="Asia Pacific"/>
        <s v="Latin America"/>
        <s v="South Asia"/>
        <s v="Japan"/>
        <s v="Greater China"/>
        <s v="Europe and Eurasia" u="1"/>
        <s v="Africa and MENA" u="1"/>
      </sharedItems>
    </cacheField>
    <cacheField name="Participant Status" numFmtId="0">
      <sharedItems count="2">
        <s v="Previous Participant"/>
        <s v="New Participant"/>
      </sharedItems>
    </cacheField>
    <cacheField name="Transport" numFmtId="0">
      <sharedItems count="3">
        <s v="Road"/>
        <s v="Boat"/>
        <s v="Air"/>
      </sharedItems>
    </cacheField>
    <cacheField name="Revenue" numFmtId="1">
      <sharedItems containsSemiMixedTypes="0" containsString="0" containsNumber="1" containsInteger="1" minValue="200" maxValue="700"/>
    </cacheField>
    <cacheField name="Cost" numFmtId="1">
      <sharedItems containsSemiMixedTypes="0" containsString="0" containsNumber="1" containsInteger="1" minValue="300" maxValue="500"/>
    </cacheField>
    <cacheField name="Profit" numFmtId="1">
      <sharedItems containsSemiMixedTypes="0" containsString="0" containsNumber="1" containsInteger="1" minValue="-300" maxValue="400"/>
    </cacheField>
    <cacheField name="Number of Missing Values" numFmtId="1">
      <sharedItems containsSemiMixedTypes="0" containsString="0" containsNumber="1" containsInteger="1" minValue="0" maxValue="3"/>
    </cacheField>
    <cacheField name="Profit Margin" numFmtId="0" formula=" (Profit/Revenue)"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s v="Aardvark"/>
    <x v="0"/>
    <n v="23"/>
    <s v="years"/>
    <n v="23"/>
    <s v="130lbs"/>
    <s v="130"/>
    <s v="lbs"/>
    <x v="0"/>
    <n v="130"/>
    <x v="0"/>
    <x v="0"/>
    <x v="0"/>
    <x v="0"/>
    <n v="450"/>
    <n v="400"/>
    <n v="50"/>
    <n v="0"/>
  </r>
  <r>
    <s v="Abyssinian"/>
    <x v="1"/>
    <n v="15"/>
    <s v="years"/>
    <n v="15"/>
    <s v="10lbs"/>
    <s v="10"/>
    <s v="lbs"/>
    <x v="0"/>
    <n v="10"/>
    <x v="1"/>
    <x v="1"/>
    <x v="0"/>
    <x v="1"/>
    <n v="400"/>
    <n v="500"/>
    <n v="-100"/>
    <n v="0"/>
  </r>
  <r>
    <s v="Adelie penguin"/>
    <x v="1"/>
    <n v="20"/>
    <s v="years"/>
    <n v="20"/>
    <s v="7lbs"/>
    <s v="7"/>
    <s v="lbs"/>
    <x v="0"/>
    <n v="7"/>
    <x v="1"/>
    <x v="1"/>
    <x v="1"/>
    <x v="1"/>
    <n v="400"/>
    <n v="500"/>
    <n v="-100"/>
    <n v="0"/>
  </r>
  <r>
    <s v="Affenpinscher dog"/>
    <x v="0"/>
    <n v="12"/>
    <s v="years"/>
    <n v="12"/>
    <s v="8lbs"/>
    <s v="8"/>
    <s v="lbs"/>
    <x v="0"/>
    <n v="8"/>
    <x v="1"/>
    <x v="0"/>
    <x v="1"/>
    <x v="0"/>
    <n v="450"/>
    <n v="400"/>
    <n v="50"/>
    <n v="0"/>
  </r>
  <r>
    <s v="Afghan hound"/>
    <x v="0"/>
    <n v="14"/>
    <s v="years"/>
    <n v="14"/>
    <s v="60lbs"/>
    <s v="60"/>
    <s v="lbs"/>
    <x v="0"/>
    <n v="60"/>
    <x v="1"/>
    <x v="0"/>
    <x v="0"/>
    <x v="0"/>
    <n v="450"/>
    <n v="400"/>
    <n v="50"/>
    <n v="0"/>
  </r>
  <r>
    <s v="African bush elephant"/>
    <x v="2"/>
    <n v="70"/>
    <s v="years"/>
    <n v="70"/>
    <s v="7,900lbs"/>
    <s v="7,900"/>
    <s v="lbs"/>
    <x v="1"/>
    <n v="7900"/>
    <x v="2"/>
    <x v="1"/>
    <x v="1"/>
    <x v="1"/>
    <n v="400"/>
    <n v="300"/>
    <n v="100"/>
    <n v="0"/>
  </r>
  <r>
    <s v="African civet"/>
    <x v="0"/>
    <n v="20"/>
    <s v="years"/>
    <n v="20"/>
    <s v="3lbs"/>
    <s v="3"/>
    <s v="lbs"/>
    <x v="0"/>
    <n v="3"/>
    <x v="1"/>
    <x v="0"/>
    <x v="1"/>
    <x v="0"/>
    <n v="450"/>
    <n v="400"/>
    <n v="50"/>
    <n v="0"/>
  </r>
  <r>
    <s v="African clawed frog"/>
    <x v="1"/>
    <n v="15"/>
    <s v="years"/>
    <n v="15"/>
    <s v="1oz"/>
    <s v="1"/>
    <s v="oz"/>
    <x v="0"/>
    <n v="6.25E-2"/>
    <x v="1"/>
    <x v="0"/>
    <x v="0"/>
    <x v="0"/>
    <n v="450"/>
    <n v="500"/>
    <n v="-50"/>
    <n v="0"/>
  </r>
  <r>
    <s v="African forest elephant"/>
    <x v="2"/>
    <n v="70"/>
    <s v="years"/>
    <n v="70"/>
    <s v="1,984lbs"/>
    <s v="1,984"/>
    <s v="lbs"/>
    <x v="1"/>
    <n v="1984"/>
    <x v="2"/>
    <x v="0"/>
    <x v="1"/>
    <x v="0"/>
    <n v="450"/>
    <n v="300"/>
    <n v="150"/>
    <n v="0"/>
  </r>
  <r>
    <s v="African penguin"/>
    <x v="1"/>
    <n v="15"/>
    <s v="years"/>
    <n v="15"/>
    <s v="4.4lbs"/>
    <s v="4.4"/>
    <s v="lbs"/>
    <x v="0"/>
    <n v="4.4000000000000004"/>
    <x v="1"/>
    <x v="1"/>
    <x v="0"/>
    <x v="1"/>
    <n v="400"/>
    <n v="500"/>
    <n v="-100"/>
    <n v="0"/>
  </r>
  <r>
    <s v="African wild dog"/>
    <x v="1"/>
    <n v="13"/>
    <s v="years"/>
    <n v="13"/>
    <s v="39lbs"/>
    <s v="39"/>
    <s v="lbs"/>
    <x v="0"/>
    <n v="39"/>
    <x v="1"/>
    <x v="2"/>
    <x v="0"/>
    <x v="2"/>
    <n v="600"/>
    <n v="500"/>
    <n v="100"/>
    <n v="0"/>
  </r>
  <r>
    <s v="Airedale terrier"/>
    <x v="0"/>
    <n v="12"/>
    <s v="years"/>
    <n v="12"/>
    <s v="44lbs"/>
    <s v="44"/>
    <s v="lbs"/>
    <x v="0"/>
    <n v="44"/>
    <x v="1"/>
    <x v="3"/>
    <x v="0"/>
    <x v="2"/>
    <n v="700"/>
    <n v="400"/>
    <n v="300"/>
    <n v="0"/>
  </r>
  <r>
    <s v="Akbash dog"/>
    <x v="0"/>
    <n v="11"/>
    <s v="years"/>
    <n v="11"/>
    <s v="140lbs"/>
    <s v="140"/>
    <s v="lbs"/>
    <x v="0"/>
    <n v="140"/>
    <x v="0"/>
    <x v="2"/>
    <x v="0"/>
    <x v="2"/>
    <n v="600"/>
    <n v="400"/>
    <n v="200"/>
    <n v="0"/>
  </r>
  <r>
    <s v="Akita dog"/>
    <x v="0"/>
    <n v="10"/>
    <s v="years"/>
    <n v="10"/>
    <s v="110lbs"/>
    <s v="110"/>
    <s v="lbs"/>
    <x v="0"/>
    <n v="110"/>
    <x v="0"/>
    <x v="2"/>
    <x v="0"/>
    <x v="2"/>
    <n v="600"/>
    <n v="400"/>
    <n v="200"/>
    <n v="0"/>
  </r>
  <r>
    <s v="Alaskan malamute"/>
    <x v="0"/>
    <n v="14"/>
    <s v="years"/>
    <n v="14"/>
    <s v="85lbs"/>
    <s v="85"/>
    <s v="lbs"/>
    <x v="0"/>
    <n v="85"/>
    <x v="1"/>
    <x v="0"/>
    <x v="1"/>
    <x v="0"/>
    <n v="450"/>
    <n v="400"/>
    <n v="50"/>
    <n v="0"/>
  </r>
  <r>
    <s v="Albatross"/>
    <x v="1"/>
    <n v="40"/>
    <s v="years"/>
    <n v="40"/>
    <s v="17lbs"/>
    <s v="17"/>
    <s v="lbs"/>
    <x v="2"/>
    <n v="17"/>
    <x v="1"/>
    <x v="2"/>
    <x v="0"/>
    <x v="2"/>
    <n v="600"/>
    <n v="500"/>
    <n v="100"/>
    <n v="0"/>
  </r>
  <r>
    <s v="Aldabra giant tortoise"/>
    <x v="2"/>
    <n v="255"/>
    <s v="years"/>
    <n v="255"/>
    <s v="330lbs"/>
    <s v="330"/>
    <s v="lbs"/>
    <x v="3"/>
    <n v="330"/>
    <x v="3"/>
    <x v="2"/>
    <x v="0"/>
    <x v="2"/>
    <n v="600"/>
    <n v="300"/>
    <n v="300"/>
    <n v="0"/>
  </r>
  <r>
    <s v="Alligator"/>
    <x v="1"/>
    <n v="60"/>
    <s v="years"/>
    <n v="60"/>
    <s v="400lbs"/>
    <s v="400"/>
    <s v="lbs"/>
    <x v="1"/>
    <n v="400"/>
    <x v="4"/>
    <x v="4"/>
    <x v="0"/>
    <x v="1"/>
    <n v="200"/>
    <n v="500"/>
    <n v="-300"/>
    <n v="0"/>
  </r>
  <r>
    <s v="Alpine dachsbracke"/>
    <x v="0"/>
    <n v="12"/>
    <s v="years"/>
    <n v="12"/>
    <s v="40lbs"/>
    <s v="40"/>
    <s v="lbs"/>
    <x v="0"/>
    <n v="40"/>
    <x v="1"/>
    <x v="5"/>
    <x v="0"/>
    <x v="2"/>
    <n v="450"/>
    <n v="400"/>
    <n v="50"/>
    <n v="0"/>
  </r>
  <r>
    <s v="American bulldog"/>
    <x v="0"/>
    <n v="14"/>
    <s v="years"/>
    <n v="14"/>
    <s v="105lbs"/>
    <s v="105"/>
    <s v="lbs"/>
    <x v="0"/>
    <n v="105"/>
    <x v="0"/>
    <x v="0"/>
    <x v="1"/>
    <x v="0"/>
    <n v="450"/>
    <n v="400"/>
    <n v="50"/>
    <n v="0"/>
  </r>
  <r>
    <s v="American cocker spaniel"/>
    <x v="0"/>
    <n v="15"/>
    <s v="years"/>
    <n v="15"/>
    <s v="28lbs"/>
    <s v="28"/>
    <s v="lbs"/>
    <x v="0"/>
    <n v="28"/>
    <x v="1"/>
    <x v="0"/>
    <x v="1"/>
    <x v="0"/>
    <n v="450"/>
    <n v="400"/>
    <n v="50"/>
    <n v="0"/>
  </r>
  <r>
    <s v="American eskimo dog"/>
    <x v="0"/>
    <n v="15"/>
    <s v="years"/>
    <n v="15"/>
    <s v="20lbs"/>
    <s v="20"/>
    <s v="lbs"/>
    <x v="0"/>
    <n v="20"/>
    <x v="1"/>
    <x v="1"/>
    <x v="0"/>
    <x v="1"/>
    <n v="400"/>
    <n v="400"/>
    <n v="0"/>
    <n v="0"/>
  </r>
  <r>
    <s v="American foxhound"/>
    <x v="0"/>
    <n v="11"/>
    <s v="years"/>
    <n v="11"/>
    <s v="65lbs"/>
    <s v="65"/>
    <s v="lbs"/>
    <x v="0"/>
    <n v="65"/>
    <x v="1"/>
    <x v="2"/>
    <x v="0"/>
    <x v="2"/>
    <n v="600"/>
    <n v="400"/>
    <n v="200"/>
    <n v="0"/>
  </r>
  <r>
    <s v="American pit bull terrier"/>
    <x v="0"/>
    <n v="12"/>
    <s v="years"/>
    <n v="12"/>
    <s v="80lbs"/>
    <s v="80"/>
    <s v="lbs"/>
    <x v="0"/>
    <n v="80"/>
    <x v="1"/>
    <x v="0"/>
    <x v="0"/>
    <x v="0"/>
    <n v="450"/>
    <n v="400"/>
    <n v="50"/>
    <n v="0"/>
  </r>
  <r>
    <s v="American water spaniel"/>
    <x v="0"/>
    <n v="12"/>
    <s v="years"/>
    <n v="12"/>
    <s v="45lbs"/>
    <s v="45"/>
    <s v="lbs"/>
    <x v="0"/>
    <n v="45"/>
    <x v="1"/>
    <x v="5"/>
    <x v="0"/>
    <x v="2"/>
    <n v="450"/>
    <n v="400"/>
    <n v="50"/>
    <n v="0"/>
  </r>
  <r>
    <s v="Anatolian shepherd dog"/>
    <x v="0"/>
    <n v="13"/>
    <s v="years"/>
    <n v="13"/>
    <s v="150lbs"/>
    <s v="150"/>
    <s v="lbs"/>
    <x v="0"/>
    <n v="150"/>
    <x v="0"/>
    <x v="0"/>
    <x v="0"/>
    <x v="0"/>
    <n v="450"/>
    <n v="400"/>
    <n v="50"/>
    <n v="0"/>
  </r>
  <r>
    <s v="Angelfish"/>
    <x v="0"/>
    <n v="15"/>
    <s v="years"/>
    <n v="15"/>
    <s v=""/>
    <s v=""/>
    <s v=""/>
    <x v="0"/>
    <n v="0"/>
    <x v="5"/>
    <x v="0"/>
    <x v="0"/>
    <x v="0"/>
    <n v="450"/>
    <n v="400"/>
    <n v="50"/>
    <n v="3"/>
  </r>
  <r>
    <s v="Ant"/>
    <x v="0"/>
    <n v="3"/>
    <s v="months"/>
    <n v="0.25"/>
    <s v=""/>
    <s v=""/>
    <s v=""/>
    <x v="0"/>
    <n v="0"/>
    <x v="5"/>
    <x v="1"/>
    <x v="0"/>
    <x v="1"/>
    <n v="400"/>
    <n v="400"/>
    <n v="0"/>
    <n v="3"/>
  </r>
  <r>
    <s v="Anteater"/>
    <x v="0"/>
    <n v="20"/>
    <s v="years"/>
    <n v="20"/>
    <s v="40lbs"/>
    <s v="40"/>
    <s v="lbs"/>
    <x v="0"/>
    <n v="40"/>
    <x v="1"/>
    <x v="2"/>
    <x v="0"/>
    <x v="2"/>
    <n v="600"/>
    <n v="400"/>
    <n v="200"/>
    <n v="0"/>
  </r>
  <r>
    <s v="Antelope"/>
    <x v="2"/>
    <n v="25"/>
    <s v="years"/>
    <n v="25"/>
    <s v="1,100lbs"/>
    <s v="1,100"/>
    <s v="lbs"/>
    <x v="2"/>
    <n v="1100"/>
    <x v="2"/>
    <x v="6"/>
    <x v="0"/>
    <x v="2"/>
    <n v="350"/>
    <n v="300"/>
    <n v="50"/>
    <n v="0"/>
  </r>
  <r>
    <s v="Appenzeller dog"/>
    <x v="0"/>
    <n v="12"/>
    <s v="years"/>
    <n v="12"/>
    <s v="55lbs"/>
    <s v="55"/>
    <s v="lbs"/>
    <x v="0"/>
    <n v="55"/>
    <x v="1"/>
    <x v="1"/>
    <x v="0"/>
    <x v="1"/>
    <n v="400"/>
    <n v="400"/>
    <n v="0"/>
    <n v="0"/>
  </r>
  <r>
    <s v="Arctic fox"/>
    <x v="1"/>
    <n v="10"/>
    <s v="years"/>
    <n v="10"/>
    <s v="3lbs"/>
    <s v="3"/>
    <s v="lbs"/>
    <x v="0"/>
    <n v="3"/>
    <x v="1"/>
    <x v="4"/>
    <x v="0"/>
    <x v="1"/>
    <n v="200"/>
    <n v="500"/>
    <n v="-300"/>
    <n v="0"/>
  </r>
  <r>
    <s v="Arctic hare"/>
    <x v="2"/>
    <n v="8"/>
    <s v="years"/>
    <n v="8"/>
    <s v="9lbs"/>
    <s v="9"/>
    <s v="lbs"/>
    <x v="0"/>
    <n v="9"/>
    <x v="1"/>
    <x v="4"/>
    <x v="0"/>
    <x v="1"/>
    <n v="200"/>
    <n v="300"/>
    <n v="-100"/>
    <n v="0"/>
  </r>
  <r>
    <s v="Arctic wolf"/>
    <x v="1"/>
    <n v="10"/>
    <s v="years"/>
    <n v="10"/>
    <s v="55lbs"/>
    <s v="55"/>
    <s v="lbs"/>
    <x v="0"/>
    <n v="55"/>
    <x v="1"/>
    <x v="0"/>
    <x v="0"/>
    <x v="0"/>
    <n v="450"/>
    <n v="500"/>
    <n v="-50"/>
    <n v="0"/>
  </r>
  <r>
    <s v="Armadillo"/>
    <x v="0"/>
    <n v="12"/>
    <s v="years"/>
    <n v="12"/>
    <s v="9lbs"/>
    <s v="9"/>
    <s v="lbs"/>
    <x v="0"/>
    <n v="9"/>
    <x v="1"/>
    <x v="1"/>
    <x v="0"/>
    <x v="1"/>
    <n v="400"/>
    <n v="400"/>
    <n v="0"/>
    <n v="0"/>
  </r>
  <r>
    <s v="Asian black bear"/>
    <x v="0"/>
    <n v="25"/>
    <s v="years"/>
    <n v="25"/>
    <s v="198lbs"/>
    <s v="198"/>
    <s v="lbs"/>
    <x v="2"/>
    <n v="198"/>
    <x v="0"/>
    <x v="1"/>
    <x v="0"/>
    <x v="1"/>
    <n v="400"/>
    <n v="400"/>
    <n v="0"/>
    <n v="0"/>
  </r>
  <r>
    <s v="Asian elephant"/>
    <x v="2"/>
    <n v="70"/>
    <s v="years"/>
    <n v="70"/>
    <s v="6,500lbs"/>
    <s v="6,500"/>
    <s v="lbs"/>
    <x v="1"/>
    <n v="6500"/>
    <x v="2"/>
    <x v="2"/>
    <x v="0"/>
    <x v="2"/>
    <n v="600"/>
    <n v="300"/>
    <n v="300"/>
    <n v="0"/>
  </r>
  <r>
    <s v="Asian giant hornet"/>
    <x v="1"/>
    <n v="5"/>
    <s v="months"/>
    <n v="0.41666666666666669"/>
    <s v=""/>
    <s v=""/>
    <s v=""/>
    <x v="0"/>
    <n v="0"/>
    <x v="5"/>
    <x v="2"/>
    <x v="1"/>
    <x v="2"/>
    <n v="600"/>
    <n v="500"/>
    <n v="100"/>
    <n v="3"/>
  </r>
  <r>
    <s v="Australian cattle dog"/>
    <x v="0"/>
    <n v="15"/>
    <s v="years"/>
    <n v="15"/>
    <s v="45lbs"/>
    <s v="45"/>
    <s v="lbs"/>
    <x v="0"/>
    <n v="45"/>
    <x v="1"/>
    <x v="2"/>
    <x v="0"/>
    <x v="2"/>
    <n v="600"/>
    <n v="400"/>
    <n v="200"/>
    <n v="0"/>
  </r>
  <r>
    <s v="Australian kelpie dog"/>
    <x v="0"/>
    <n v="14"/>
    <s v="years"/>
    <n v="14"/>
    <s v="45lbs"/>
    <s v="45"/>
    <s v="lbs"/>
    <x v="0"/>
    <n v="45"/>
    <x v="1"/>
    <x v="2"/>
    <x v="1"/>
    <x v="2"/>
    <n v="600"/>
    <n v="400"/>
    <n v="200"/>
    <n v="0"/>
  </r>
  <r>
    <s v="Australian mist"/>
    <x v="1"/>
    <n v="14"/>
    <s v="years"/>
    <n v="14"/>
    <s v="10lbs"/>
    <s v="10"/>
    <s v="lbs"/>
    <x v="0"/>
    <n v="10"/>
    <x v="1"/>
    <x v="2"/>
    <x v="0"/>
    <x v="2"/>
    <n v="600"/>
    <n v="500"/>
    <n v="100"/>
    <n v="0"/>
  </r>
  <r>
    <s v="Australian shepherd"/>
    <x v="0"/>
    <n v="14"/>
    <s v="years"/>
    <n v="14"/>
    <s v="70lbs"/>
    <s v="70"/>
    <s v="lbs"/>
    <x v="0"/>
    <n v="70"/>
    <x v="1"/>
    <x v="0"/>
    <x v="0"/>
    <x v="0"/>
    <n v="450"/>
    <n v="400"/>
    <n v="50"/>
    <n v="0"/>
  </r>
  <r>
    <s v="Australian terrier"/>
    <x v="0"/>
    <n v="14"/>
    <s v="years"/>
    <n v="14"/>
    <s v="14lbs"/>
    <s v="14"/>
    <s v="lbs"/>
    <x v="0"/>
    <n v="14"/>
    <x v="1"/>
    <x v="1"/>
    <x v="1"/>
    <x v="1"/>
    <n v="400"/>
    <n v="400"/>
    <n v="0"/>
    <n v="0"/>
  </r>
  <r>
    <s v="Avocet"/>
    <x v="1"/>
    <n v="15"/>
    <s v="years"/>
    <n v="15"/>
    <s v="5oz"/>
    <s v="5"/>
    <s v="oz"/>
    <x v="0"/>
    <n v="0.3125"/>
    <x v="1"/>
    <x v="1"/>
    <x v="0"/>
    <x v="1"/>
    <n v="400"/>
    <n v="500"/>
    <n v="-100"/>
    <n v="0"/>
  </r>
  <r>
    <s v="Axolotl"/>
    <x v="1"/>
    <n v="20"/>
    <s v="years"/>
    <n v="20"/>
    <s v="2oz"/>
    <s v="2"/>
    <s v="oz"/>
    <x v="0"/>
    <n v="0.125"/>
    <x v="1"/>
    <x v="2"/>
    <x v="0"/>
    <x v="2"/>
    <n v="600"/>
    <n v="500"/>
    <n v="100"/>
    <n v="0"/>
  </r>
  <r>
    <s v="Aye aye"/>
    <x v="0"/>
    <n v="23"/>
    <s v="years"/>
    <n v="23"/>
    <s v="4lbs"/>
    <s v="4"/>
    <s v="lbs"/>
    <x v="0"/>
    <n v="4"/>
    <x v="1"/>
    <x v="5"/>
    <x v="0"/>
    <x v="2"/>
    <n v="450"/>
    <n v="400"/>
    <n v="50"/>
    <n v="0"/>
  </r>
  <r>
    <s v="Baboon"/>
    <x v="0"/>
    <n v="40"/>
    <s v="years"/>
    <n v="40"/>
    <s v="30lbs"/>
    <s v="30"/>
    <s v="lbs"/>
    <x v="2"/>
    <n v="30"/>
    <x v="1"/>
    <x v="7"/>
    <x v="0"/>
    <x v="2"/>
    <n v="600"/>
    <n v="400"/>
    <n v="200"/>
    <n v="0"/>
  </r>
  <r>
    <s v="Bactrian camel"/>
    <x v="2"/>
    <n v="50"/>
    <s v="years"/>
    <n v="50"/>
    <s v="1,322lbs"/>
    <s v="1,322"/>
    <s v="lbs"/>
    <x v="1"/>
    <n v="1322"/>
    <x v="2"/>
    <x v="4"/>
    <x v="0"/>
    <x v="1"/>
    <n v="200"/>
    <n v="300"/>
    <n v="-100"/>
    <n v="0"/>
  </r>
  <r>
    <s v="Badger"/>
    <x v="0"/>
    <n v="10"/>
    <s v="years"/>
    <n v="10"/>
    <s v="24lbs"/>
    <s v="24"/>
    <s v="lbs"/>
    <x v="0"/>
    <n v="24"/>
    <x v="1"/>
    <x v="6"/>
    <x v="1"/>
    <x v="2"/>
    <n v="350"/>
    <n v="400"/>
    <n v="-50"/>
    <n v="0"/>
  </r>
  <r>
    <s v="Balinese"/>
    <x v="1"/>
    <n v="15"/>
    <s v="years"/>
    <n v="15"/>
    <s v="12lbs"/>
    <s v="12"/>
    <s v="lbs"/>
    <x v="0"/>
    <n v="12"/>
    <x v="1"/>
    <x v="1"/>
    <x v="0"/>
    <x v="1"/>
    <n v="400"/>
    <n v="500"/>
    <n v="-100"/>
    <n v="0"/>
  </r>
  <r>
    <s v="Bandicoot"/>
    <x v="0"/>
    <n v="7"/>
    <s v="years"/>
    <n v="7"/>
    <s v="0.4lbs"/>
    <s v="0.4"/>
    <s v="lbs"/>
    <x v="0"/>
    <n v="0.4"/>
    <x v="1"/>
    <x v="0"/>
    <x v="0"/>
    <x v="0"/>
    <n v="450"/>
    <n v="400"/>
    <n v="50"/>
    <n v="0"/>
  </r>
  <r>
    <s v="Barb"/>
    <x v="0"/>
    <n v="7"/>
    <s v="years"/>
    <n v="7"/>
    <s v=""/>
    <s v=""/>
    <s v=""/>
    <x v="0"/>
    <n v="0"/>
    <x v="5"/>
    <x v="0"/>
    <x v="1"/>
    <x v="0"/>
    <n v="450"/>
    <n v="400"/>
    <n v="50"/>
    <n v="3"/>
  </r>
  <r>
    <s v="Barn owl"/>
    <x v="1"/>
    <n v="10"/>
    <s v="years"/>
    <n v="10"/>
    <s v="10oz"/>
    <s v="10"/>
    <s v="oz"/>
    <x v="0"/>
    <n v="0.625"/>
    <x v="1"/>
    <x v="7"/>
    <x v="1"/>
    <x v="2"/>
    <n v="600"/>
    <n v="500"/>
    <n v="100"/>
    <n v="0"/>
  </r>
  <r>
    <s v="Barnacle"/>
    <x v="0"/>
    <n v="20"/>
    <s v="years"/>
    <n v="20"/>
    <s v=""/>
    <s v=""/>
    <s v=""/>
    <x v="0"/>
    <n v="0"/>
    <x v="5"/>
    <x v="1"/>
    <x v="0"/>
    <x v="1"/>
    <n v="400"/>
    <n v="400"/>
    <n v="0"/>
    <n v="3"/>
  </r>
  <r>
    <s v="Barracuda"/>
    <x v="1"/>
    <n v="15"/>
    <s v="years"/>
    <n v="15"/>
    <s v=""/>
    <s v=""/>
    <s v=""/>
    <x v="0"/>
    <n v="0"/>
    <x v="5"/>
    <x v="3"/>
    <x v="0"/>
    <x v="2"/>
    <n v="700"/>
    <n v="500"/>
    <n v="200"/>
    <n v="3"/>
  </r>
  <r>
    <s v="Basenji dog"/>
    <x v="0"/>
    <n v="12"/>
    <s v="years"/>
    <n v="12"/>
    <s v="24lbs"/>
    <s v="24"/>
    <s v="lbs"/>
    <x v="0"/>
    <n v="24"/>
    <x v="1"/>
    <x v="1"/>
    <x v="0"/>
    <x v="1"/>
    <n v="400"/>
    <n v="400"/>
    <n v="0"/>
    <n v="0"/>
  </r>
  <r>
    <s v="Basking shark"/>
    <x v="1"/>
    <n v="100"/>
    <s v="years"/>
    <n v="100"/>
    <s v=""/>
    <s v=""/>
    <s v=""/>
    <x v="3"/>
    <n v="0"/>
    <x v="5"/>
    <x v="0"/>
    <x v="0"/>
    <x v="0"/>
    <n v="450"/>
    <n v="500"/>
    <n v="-50"/>
    <n v="3"/>
  </r>
  <r>
    <s v="Basset hound"/>
    <x v="0"/>
    <n v="12"/>
    <s v="years"/>
    <n v="12"/>
    <s v="60lbs"/>
    <s v="60"/>
    <s v="lbs"/>
    <x v="0"/>
    <n v="60"/>
    <x v="1"/>
    <x v="7"/>
    <x v="0"/>
    <x v="2"/>
    <n v="600"/>
    <n v="400"/>
    <n v="200"/>
    <n v="0"/>
  </r>
  <r>
    <s v="Bat"/>
    <x v="0"/>
    <n v="30"/>
    <s v="years"/>
    <n v="30"/>
    <s v="0.07oz"/>
    <s v="0.07"/>
    <s v="oz"/>
    <x v="2"/>
    <n v="4.3750000000000004E-3"/>
    <x v="1"/>
    <x v="0"/>
    <x v="0"/>
    <x v="0"/>
    <n v="450"/>
    <n v="400"/>
    <n v="50"/>
    <n v="0"/>
  </r>
  <r>
    <s v="Bavarian mountain hound"/>
    <x v="0"/>
    <n v="14"/>
    <s v="years"/>
    <n v="14"/>
    <s v="75lbs"/>
    <s v="75"/>
    <s v="lbs"/>
    <x v="0"/>
    <n v="75"/>
    <x v="1"/>
    <x v="2"/>
    <x v="0"/>
    <x v="2"/>
    <n v="600"/>
    <n v="400"/>
    <n v="200"/>
    <n v="0"/>
  </r>
  <r>
    <s v="Beagle"/>
    <x v="0"/>
    <n v="15"/>
    <s v="years"/>
    <n v="15"/>
    <s v="30lbs"/>
    <s v="30"/>
    <s v="lbs"/>
    <x v="0"/>
    <n v="30"/>
    <x v="1"/>
    <x v="2"/>
    <x v="0"/>
    <x v="2"/>
    <n v="600"/>
    <n v="400"/>
    <n v="200"/>
    <n v="0"/>
  </r>
  <r>
    <s v="Bearded collie"/>
    <x v="0"/>
    <n v="14"/>
    <s v="years"/>
    <n v="14"/>
    <s v="60lbs"/>
    <s v="60"/>
    <s v="lbs"/>
    <x v="0"/>
    <n v="60"/>
    <x v="1"/>
    <x v="2"/>
    <x v="0"/>
    <x v="2"/>
    <n v="600"/>
    <n v="400"/>
    <n v="200"/>
    <n v="0"/>
  </r>
  <r>
    <s v="Bearded dragon"/>
    <x v="0"/>
    <n v="15"/>
    <s v="years"/>
    <n v="15"/>
    <s v="9oz"/>
    <s v="9"/>
    <s v="oz"/>
    <x v="0"/>
    <n v="0.5625"/>
    <x v="1"/>
    <x v="2"/>
    <x v="1"/>
    <x v="2"/>
    <n v="600"/>
    <n v="400"/>
    <n v="200"/>
    <n v="0"/>
  </r>
  <r>
    <s v="Beaver"/>
    <x v="2"/>
    <n v="20"/>
    <s v="years"/>
    <n v="20"/>
    <s v="35lbs"/>
    <s v="35"/>
    <s v="lbs"/>
    <x v="0"/>
    <n v="35"/>
    <x v="1"/>
    <x v="2"/>
    <x v="1"/>
    <x v="2"/>
    <n v="600"/>
    <n v="300"/>
    <n v="300"/>
    <n v="0"/>
  </r>
  <r>
    <s v="Bedlington terrier"/>
    <x v="0"/>
    <n v="16"/>
    <s v="years"/>
    <n v="16"/>
    <s v="23lbs"/>
    <s v="23"/>
    <s v="lbs"/>
    <x v="0"/>
    <n v="23"/>
    <x v="1"/>
    <x v="2"/>
    <x v="0"/>
    <x v="2"/>
    <n v="600"/>
    <n v="400"/>
    <n v="200"/>
    <n v="0"/>
  </r>
  <r>
    <s v="Bengal tiger"/>
    <x v="1"/>
    <n v="25"/>
    <s v="years"/>
    <n v="25"/>
    <s v="309lbs"/>
    <s v="309"/>
    <s v="lbs"/>
    <x v="2"/>
    <n v="309"/>
    <x v="3"/>
    <x v="1"/>
    <x v="0"/>
    <x v="1"/>
    <n v="400"/>
    <n v="500"/>
    <n v="-100"/>
    <n v="0"/>
  </r>
  <r>
    <s v="Bernese mountain dog"/>
    <x v="0"/>
    <n v="8"/>
    <s v="years"/>
    <n v="8"/>
    <s v="88lbs"/>
    <s v="88"/>
    <s v="lbs"/>
    <x v="0"/>
    <n v="88"/>
    <x v="1"/>
    <x v="0"/>
    <x v="0"/>
    <x v="0"/>
    <n v="450"/>
    <n v="400"/>
    <n v="50"/>
    <n v="0"/>
  </r>
  <r>
    <s v="Bichon frise"/>
    <x v="0"/>
    <n v="15"/>
    <s v="years"/>
    <n v="15"/>
    <s v="18lbs"/>
    <s v="18"/>
    <s v="lbs"/>
    <x v="0"/>
    <n v="18"/>
    <x v="1"/>
    <x v="2"/>
    <x v="1"/>
    <x v="2"/>
    <n v="600"/>
    <n v="400"/>
    <n v="200"/>
    <n v="0"/>
  </r>
  <r>
    <s v="Binturong"/>
    <x v="0"/>
    <n v="25"/>
    <s v="years"/>
    <n v="25"/>
    <s v="22lbs"/>
    <s v="22"/>
    <s v="lbs"/>
    <x v="2"/>
    <n v="22"/>
    <x v="1"/>
    <x v="7"/>
    <x v="1"/>
    <x v="2"/>
    <n v="600"/>
    <n v="400"/>
    <n v="200"/>
    <n v="0"/>
  </r>
  <r>
    <s v="Birman"/>
    <x v="1"/>
    <n v="20"/>
    <s v="years"/>
    <n v="20"/>
    <s v="18lbs"/>
    <s v="18"/>
    <s v="lbs"/>
    <x v="0"/>
    <n v="18"/>
    <x v="1"/>
    <x v="0"/>
    <x v="0"/>
    <x v="0"/>
    <n v="450"/>
    <n v="500"/>
    <n v="-50"/>
    <n v="0"/>
  </r>
  <r>
    <s v="Bison"/>
    <x v="2"/>
    <n v="20"/>
    <s v="years"/>
    <n v="20"/>
    <s v="2,200lbs"/>
    <s v="2,200"/>
    <s v="lbs"/>
    <x v="0"/>
    <n v="2200"/>
    <x v="2"/>
    <x v="2"/>
    <x v="0"/>
    <x v="2"/>
    <n v="600"/>
    <n v="300"/>
    <n v="300"/>
    <n v="0"/>
  </r>
  <r>
    <s v="Black bear"/>
    <x v="0"/>
    <n v="30"/>
    <s v="years"/>
    <n v="30"/>
    <s v="220lbs"/>
    <s v="220"/>
    <s v="lbs"/>
    <x v="2"/>
    <n v="220"/>
    <x v="6"/>
    <x v="4"/>
    <x v="0"/>
    <x v="1"/>
    <n v="200"/>
    <n v="400"/>
    <n v="-200"/>
    <n v="0"/>
  </r>
  <r>
    <s v="Black rhinoceros"/>
    <x v="2"/>
    <n v="50"/>
    <s v="years"/>
    <n v="50"/>
    <s v="1,800lbs"/>
    <s v="1,800"/>
    <s v="lbs"/>
    <x v="1"/>
    <n v="1800"/>
    <x v="2"/>
    <x v="7"/>
    <x v="0"/>
    <x v="2"/>
    <n v="600"/>
    <n v="300"/>
    <n v="300"/>
    <n v="0"/>
  </r>
  <r>
    <s v="Black russian terrier"/>
    <x v="0"/>
    <n v="11"/>
    <s v="years"/>
    <n v="11"/>
    <s v="150lbs"/>
    <s v="150"/>
    <s v="lbs"/>
    <x v="0"/>
    <n v="150"/>
    <x v="0"/>
    <x v="1"/>
    <x v="0"/>
    <x v="1"/>
    <n v="400"/>
    <n v="400"/>
    <n v="0"/>
    <n v="0"/>
  </r>
  <r>
    <s v="Black widow spider"/>
    <x v="1"/>
    <n v="3"/>
    <s v="years"/>
    <n v="3"/>
    <s v=""/>
    <s v=""/>
    <s v=""/>
    <x v="0"/>
    <n v="0"/>
    <x v="5"/>
    <x v="1"/>
    <x v="0"/>
    <x v="1"/>
    <n v="400"/>
    <n v="500"/>
    <n v="-100"/>
    <n v="3"/>
  </r>
  <r>
    <s v="Bloodhound"/>
    <x v="0"/>
    <n v="12"/>
    <s v="years"/>
    <n v="12"/>
    <s v="110lbs"/>
    <s v="110"/>
    <s v="lbs"/>
    <x v="0"/>
    <n v="110"/>
    <x v="0"/>
    <x v="1"/>
    <x v="0"/>
    <x v="1"/>
    <n v="400"/>
    <n v="400"/>
    <n v="0"/>
    <n v="0"/>
  </r>
  <r>
    <s v="Blue whale"/>
    <x v="1"/>
    <n v="45"/>
    <s v="years"/>
    <n v="45"/>
    <s v="220,000lbs"/>
    <s v="220,000"/>
    <s v="lbs"/>
    <x v="2"/>
    <n v="220000"/>
    <x v="2"/>
    <x v="1"/>
    <x v="0"/>
    <x v="1"/>
    <n v="400"/>
    <n v="500"/>
    <n v="-100"/>
    <n v="0"/>
  </r>
  <r>
    <s v="Bluetick coonhound"/>
    <x v="0"/>
    <n v="12"/>
    <s v="years"/>
    <n v="12"/>
    <s v="80lbs"/>
    <s v="80"/>
    <s v="lbs"/>
    <x v="0"/>
    <n v="80"/>
    <x v="1"/>
    <x v="3"/>
    <x v="0"/>
    <x v="2"/>
    <n v="700"/>
    <n v="400"/>
    <n v="300"/>
    <n v="0"/>
  </r>
  <r>
    <s v="Bobcat"/>
    <x v="1"/>
    <n v="15"/>
    <s v="years"/>
    <n v="15"/>
    <s v="9lbs"/>
    <s v="9"/>
    <s v="lbs"/>
    <x v="0"/>
    <n v="9"/>
    <x v="1"/>
    <x v="0"/>
    <x v="0"/>
    <x v="0"/>
    <n v="450"/>
    <n v="500"/>
    <n v="-50"/>
    <n v="0"/>
  </r>
  <r>
    <s v="Bolognese dog"/>
    <x v="0"/>
    <n v="14"/>
    <s v="years"/>
    <n v="14"/>
    <s v="9lbs"/>
    <s v="9"/>
    <s v="lbs"/>
    <x v="0"/>
    <n v="9"/>
    <x v="1"/>
    <x v="5"/>
    <x v="1"/>
    <x v="2"/>
    <n v="450"/>
    <n v="400"/>
    <n v="50"/>
    <n v="0"/>
  </r>
  <r>
    <s v="Bombay"/>
    <x v="1"/>
    <n v="13"/>
    <s v="years"/>
    <n v="13"/>
    <s v="10lbs"/>
    <s v="10"/>
    <s v="lbs"/>
    <x v="0"/>
    <n v="10"/>
    <x v="1"/>
    <x v="0"/>
    <x v="0"/>
    <x v="0"/>
    <n v="450"/>
    <n v="500"/>
    <n v="-50"/>
    <n v="0"/>
  </r>
  <r>
    <s v="Bongo"/>
    <x v="2"/>
    <n v="18"/>
    <s v="years"/>
    <n v="18"/>
    <s v="330lbs"/>
    <s v="330"/>
    <s v="lbs"/>
    <x v="0"/>
    <n v="330"/>
    <x v="3"/>
    <x v="7"/>
    <x v="0"/>
    <x v="2"/>
    <n v="600"/>
    <n v="300"/>
    <n v="300"/>
    <n v="0"/>
  </r>
  <r>
    <s v="Bonobo"/>
    <x v="0"/>
    <n v="40"/>
    <s v="years"/>
    <n v="40"/>
    <s v="55lbs"/>
    <s v="55"/>
    <s v="lbs"/>
    <x v="2"/>
    <n v="55"/>
    <x v="1"/>
    <x v="1"/>
    <x v="1"/>
    <x v="1"/>
    <n v="400"/>
    <n v="400"/>
    <n v="0"/>
    <n v="0"/>
  </r>
  <r>
    <s v="Booby"/>
    <x v="1"/>
    <n v="17"/>
    <s v="years"/>
    <n v="17"/>
    <s v="2lbs"/>
    <s v="2"/>
    <s v="lbs"/>
    <x v="0"/>
    <n v="2"/>
    <x v="1"/>
    <x v="1"/>
    <x v="0"/>
    <x v="1"/>
    <n v="400"/>
    <n v="500"/>
    <n v="-100"/>
    <n v="0"/>
  </r>
  <r>
    <s v="Border collie"/>
    <x v="0"/>
    <n v="20"/>
    <s v="years"/>
    <n v="20"/>
    <s v="45lbs"/>
    <s v="45"/>
    <s v="lbs"/>
    <x v="0"/>
    <n v="45"/>
    <x v="1"/>
    <x v="0"/>
    <x v="0"/>
    <x v="0"/>
    <n v="450"/>
    <n v="400"/>
    <n v="50"/>
    <n v="0"/>
  </r>
  <r>
    <s v="Border terrier"/>
    <x v="0"/>
    <n v="15"/>
    <s v="years"/>
    <n v="15"/>
    <s v="12lbs"/>
    <s v="12"/>
    <s v="lbs"/>
    <x v="0"/>
    <n v="12"/>
    <x v="1"/>
    <x v="2"/>
    <x v="0"/>
    <x v="2"/>
    <n v="600"/>
    <n v="400"/>
    <n v="200"/>
    <n v="0"/>
  </r>
  <r>
    <s v="Bornean orangutan"/>
    <x v="0"/>
    <n v="40"/>
    <s v="years"/>
    <n v="40"/>
    <s v="66lbs"/>
    <s v="66"/>
    <s v="lbs"/>
    <x v="2"/>
    <n v="66"/>
    <x v="1"/>
    <x v="1"/>
    <x v="0"/>
    <x v="1"/>
    <n v="400"/>
    <n v="400"/>
    <n v="0"/>
    <n v="0"/>
  </r>
  <r>
    <s v="Borneo elephant"/>
    <x v="2"/>
    <n v="70"/>
    <s v="years"/>
    <n v="70"/>
    <s v="6,500lbs"/>
    <s v="6,500"/>
    <s v="lbs"/>
    <x v="1"/>
    <n v="6500"/>
    <x v="2"/>
    <x v="2"/>
    <x v="0"/>
    <x v="2"/>
    <n v="600"/>
    <n v="300"/>
    <n v="300"/>
    <n v="0"/>
  </r>
  <r>
    <s v="Boston terrier"/>
    <x v="0"/>
    <n v="15"/>
    <s v="years"/>
    <n v="15"/>
    <s v="25lbs"/>
    <s v="25"/>
    <s v="lbs"/>
    <x v="0"/>
    <n v="25"/>
    <x v="1"/>
    <x v="5"/>
    <x v="0"/>
    <x v="2"/>
    <n v="450"/>
    <n v="400"/>
    <n v="50"/>
    <n v="0"/>
  </r>
  <r>
    <s v="Bottle nosed dolphin"/>
    <x v="0"/>
    <n v="35"/>
    <s v="years"/>
    <n v="35"/>
    <s v="440lbs"/>
    <s v="440"/>
    <s v="lbs"/>
    <x v="2"/>
    <n v="440"/>
    <x v="4"/>
    <x v="1"/>
    <x v="0"/>
    <x v="1"/>
    <n v="400"/>
    <n v="400"/>
    <n v="0"/>
    <n v="0"/>
  </r>
  <r>
    <s v="Boxer dog"/>
    <x v="0"/>
    <n v="11"/>
    <s v="years"/>
    <n v="11"/>
    <s v="70lbs"/>
    <s v="70"/>
    <s v="lbs"/>
    <x v="0"/>
    <n v="70"/>
    <x v="1"/>
    <x v="0"/>
    <x v="0"/>
    <x v="0"/>
    <n v="450"/>
    <n v="400"/>
    <n v="50"/>
    <n v="0"/>
  </r>
  <r>
    <s v="Boykin spaniel"/>
    <x v="0"/>
    <n v="16"/>
    <s v="years"/>
    <n v="16"/>
    <s v="38lbs"/>
    <s v="38"/>
    <s v="lbs"/>
    <x v="0"/>
    <n v="38"/>
    <x v="1"/>
    <x v="4"/>
    <x v="0"/>
    <x v="1"/>
    <n v="200"/>
    <n v="400"/>
    <n v="-200"/>
    <n v="0"/>
  </r>
  <r>
    <s v="Brazilian terrier"/>
    <x v="0"/>
    <n v="14"/>
    <s v="years"/>
    <n v="14"/>
    <s v="20lbs"/>
    <s v="20"/>
    <s v="lbs"/>
    <x v="0"/>
    <n v="20"/>
    <x v="1"/>
    <x v="1"/>
    <x v="0"/>
    <x v="1"/>
    <n v="400"/>
    <n v="400"/>
    <n v="0"/>
    <n v="0"/>
  </r>
  <r>
    <s v="Brown bear"/>
    <x v="0"/>
    <n v="30"/>
    <s v="years"/>
    <n v="30"/>
    <s v="300lbs"/>
    <s v="300"/>
    <s v="lbs"/>
    <x v="2"/>
    <n v="300"/>
    <x v="3"/>
    <x v="1"/>
    <x v="1"/>
    <x v="1"/>
    <n v="400"/>
    <n v="400"/>
    <n v="0"/>
    <n v="0"/>
  </r>
  <r>
    <s v="Budgerigar"/>
    <x v="0"/>
    <n v="6"/>
    <s v="years"/>
    <n v="6"/>
    <s v="1oz"/>
    <s v="1"/>
    <s v="oz"/>
    <x v="0"/>
    <n v="6.25E-2"/>
    <x v="1"/>
    <x v="1"/>
    <x v="0"/>
    <x v="1"/>
    <n v="400"/>
    <n v="400"/>
    <n v="0"/>
    <n v="0"/>
  </r>
  <r>
    <s v="Buffalo"/>
    <x v="2"/>
    <n v="22"/>
    <s v="years"/>
    <n v="22"/>
    <s v="1,323lbs"/>
    <s v="1,323"/>
    <s v="lbs"/>
    <x v="0"/>
    <n v="1323"/>
    <x v="2"/>
    <x v="1"/>
    <x v="0"/>
    <x v="1"/>
    <n v="400"/>
    <n v="300"/>
    <n v="100"/>
    <n v="0"/>
  </r>
  <r>
    <s v="Bull mastiff"/>
    <x v="0"/>
    <n v="10"/>
    <s v="years"/>
    <n v="10"/>
    <s v="130lbs"/>
    <s v="130"/>
    <s v="lbs"/>
    <x v="0"/>
    <n v="130"/>
    <x v="0"/>
    <x v="7"/>
    <x v="0"/>
    <x v="2"/>
    <n v="600"/>
    <n v="400"/>
    <n v="200"/>
    <n v="0"/>
  </r>
  <r>
    <s v="Bull shark"/>
    <x v="1"/>
    <n v="25"/>
    <s v="years"/>
    <n v="25"/>
    <s v="200lbs"/>
    <s v="200"/>
    <s v="lbs"/>
    <x v="2"/>
    <n v="200"/>
    <x v="6"/>
    <x v="2"/>
    <x v="1"/>
    <x v="2"/>
    <n v="600"/>
    <n v="500"/>
    <n v="100"/>
    <n v="0"/>
  </r>
  <r>
    <s v="Bull terrier"/>
    <x v="0"/>
    <n v="15"/>
    <s v="years"/>
    <n v="15"/>
    <s v="62lbs"/>
    <s v="62"/>
    <s v="lbs"/>
    <x v="0"/>
    <n v="62"/>
    <x v="1"/>
    <x v="7"/>
    <x v="0"/>
    <x v="2"/>
    <n v="600"/>
    <n v="400"/>
    <n v="200"/>
    <n v="0"/>
  </r>
  <r>
    <s v="Bulldog"/>
    <x v="0"/>
    <n v="14"/>
    <s v="years"/>
    <n v="14"/>
    <s v="55lbs"/>
    <s v="55"/>
    <s v="lbs"/>
    <x v="0"/>
    <n v="55"/>
    <x v="1"/>
    <x v="1"/>
    <x v="0"/>
    <x v="1"/>
    <n v="400"/>
    <n v="400"/>
    <n v="0"/>
    <n v="0"/>
  </r>
  <r>
    <s v="Bullfrog"/>
    <x v="1"/>
    <n v="10"/>
    <s v="years"/>
    <n v="10"/>
    <s v="10.5oz"/>
    <s v="10.5"/>
    <s v="oz"/>
    <x v="0"/>
    <n v="0.65625"/>
    <x v="1"/>
    <x v="5"/>
    <x v="0"/>
    <x v="2"/>
    <n v="450"/>
    <n v="500"/>
    <n v="-50"/>
    <n v="0"/>
  </r>
  <r>
    <s v="Bumble bee"/>
    <x v="2"/>
    <n v="1"/>
    <s v="year"/>
    <n v="1"/>
    <s v=""/>
    <s v=""/>
    <s v=""/>
    <x v="0"/>
    <n v="0"/>
    <x v="5"/>
    <x v="0"/>
    <x v="0"/>
    <x v="0"/>
    <n v="450"/>
    <n v="300"/>
    <n v="150"/>
    <n v="3"/>
  </r>
  <r>
    <s v="Burmese"/>
    <x v="1"/>
    <n v="12"/>
    <s v="years"/>
    <n v="12"/>
    <s v="10lbs"/>
    <s v="10"/>
    <s v="lbs"/>
    <x v="0"/>
    <n v="10"/>
    <x v="1"/>
    <x v="2"/>
    <x v="1"/>
    <x v="2"/>
    <n v="600"/>
    <n v="500"/>
    <n v="100"/>
    <n v="0"/>
  </r>
  <r>
    <s v="Burrowing frog"/>
    <x v="1"/>
    <n v="15"/>
    <s v="years"/>
    <n v="15"/>
    <s v="0.7oz"/>
    <s v="0.7"/>
    <s v="oz"/>
    <x v="0"/>
    <n v="4.3749999999999997E-2"/>
    <x v="1"/>
    <x v="0"/>
    <x v="0"/>
    <x v="0"/>
    <n v="450"/>
    <n v="500"/>
    <n v="-50"/>
    <n v="0"/>
  </r>
  <r>
    <s v="Butterfly"/>
    <x v="2"/>
    <n v="40"/>
    <s v="days"/>
    <n v="40"/>
    <s v=""/>
    <s v=""/>
    <s v=""/>
    <x v="2"/>
    <n v="0"/>
    <x v="5"/>
    <x v="7"/>
    <x v="0"/>
    <x v="2"/>
    <n v="600"/>
    <n v="300"/>
    <n v="300"/>
    <n v="3"/>
  </r>
  <r>
    <s v="Butterfly fish"/>
    <x v="0"/>
    <n v="12"/>
    <s v="years"/>
    <n v="12"/>
    <s v=""/>
    <s v=""/>
    <s v=""/>
    <x v="0"/>
    <n v="0"/>
    <x v="5"/>
    <x v="1"/>
    <x v="0"/>
    <x v="1"/>
    <n v="400"/>
    <n v="400"/>
    <n v="0"/>
    <n v="3"/>
  </r>
  <r>
    <s v="Caiman"/>
    <x v="1"/>
    <n v="40"/>
    <s v="years"/>
    <n v="40"/>
    <s v="13lbs"/>
    <s v="13"/>
    <s v="lbs"/>
    <x v="2"/>
    <n v="13"/>
    <x v="1"/>
    <x v="0"/>
    <x v="1"/>
    <x v="0"/>
    <n v="450"/>
    <n v="500"/>
    <n v="-50"/>
    <n v="0"/>
  </r>
  <r>
    <s v="Caiman lizard"/>
    <x v="1"/>
    <n v="30"/>
    <s v="years"/>
    <n v="30"/>
    <s v="3lbs"/>
    <s v="3"/>
    <s v="lbs"/>
    <x v="2"/>
    <n v="3"/>
    <x v="1"/>
    <x v="2"/>
    <x v="0"/>
    <x v="2"/>
    <n v="600"/>
    <n v="500"/>
    <n v="100"/>
    <n v="0"/>
  </r>
  <r>
    <s v="Cairn terrier"/>
    <x v="0"/>
    <n v="14"/>
    <s v="years"/>
    <n v="14"/>
    <s v="14lbs"/>
    <s v="14"/>
    <s v="lbs"/>
    <x v="0"/>
    <n v="14"/>
    <x v="1"/>
    <x v="5"/>
    <x v="0"/>
    <x v="2"/>
    <n v="450"/>
    <n v="400"/>
    <n v="50"/>
    <n v="0"/>
  </r>
  <r>
    <s v="Camel"/>
    <x v="2"/>
    <n v="50"/>
    <s v="years"/>
    <n v="50"/>
    <s v="660lbs"/>
    <s v="660"/>
    <s v="lbs"/>
    <x v="1"/>
    <n v="660"/>
    <x v="2"/>
    <x v="1"/>
    <x v="0"/>
    <x v="1"/>
    <n v="400"/>
    <n v="300"/>
    <n v="100"/>
    <n v="0"/>
  </r>
  <r>
    <s v="Capybara"/>
    <x v="2"/>
    <n v="10"/>
    <s v="years"/>
    <n v="10"/>
    <s v="66lbs"/>
    <s v="66"/>
    <s v="lbs"/>
    <x v="0"/>
    <n v="66"/>
    <x v="1"/>
    <x v="4"/>
    <x v="0"/>
    <x v="1"/>
    <n v="200"/>
    <n v="300"/>
    <n v="-100"/>
    <n v="0"/>
  </r>
  <r>
    <s v="Caracal"/>
    <x v="1"/>
    <n v="15"/>
    <s v="years"/>
    <n v="15"/>
    <s v="24lbs"/>
    <s v="24"/>
    <s v="lbs"/>
    <x v="0"/>
    <n v="24"/>
    <x v="1"/>
    <x v="0"/>
    <x v="0"/>
    <x v="0"/>
    <n v="450"/>
    <n v="500"/>
    <n v="-50"/>
    <n v="0"/>
  </r>
  <r>
    <s v="Cassowary"/>
    <x v="0"/>
    <n v="60"/>
    <s v="years"/>
    <n v="60"/>
    <s v="55lbs"/>
    <s v="55"/>
    <s v="lbs"/>
    <x v="1"/>
    <n v="55"/>
    <x v="1"/>
    <x v="0"/>
    <x v="0"/>
    <x v="0"/>
    <n v="450"/>
    <n v="400"/>
    <n v="50"/>
    <n v="0"/>
  </r>
  <r>
    <s v="Caterpillar"/>
    <x v="2"/>
    <n v="3"/>
    <s v="weeks"/>
    <n v="3"/>
    <s v=""/>
    <s v=""/>
    <s v=""/>
    <x v="0"/>
    <n v="0"/>
    <x v="5"/>
    <x v="5"/>
    <x v="0"/>
    <x v="2"/>
    <n v="450"/>
    <n v="300"/>
    <n v="150"/>
    <n v="3"/>
  </r>
  <r>
    <s v="Catfish"/>
    <x v="1"/>
    <n v="20"/>
    <s v="years"/>
    <n v="20"/>
    <s v=""/>
    <s v=""/>
    <s v=""/>
    <x v="0"/>
    <n v="0"/>
    <x v="5"/>
    <x v="5"/>
    <x v="0"/>
    <x v="2"/>
    <n v="450"/>
    <n v="500"/>
    <n v="-50"/>
    <n v="3"/>
  </r>
  <r>
    <s v="Cavalier king charles spaniel"/>
    <x v="0"/>
    <n v="15"/>
    <s v="years"/>
    <n v="15"/>
    <s v="18lbs"/>
    <s v="18"/>
    <s v="lbs"/>
    <x v="0"/>
    <n v="18"/>
    <x v="1"/>
    <x v="5"/>
    <x v="1"/>
    <x v="2"/>
    <n v="450"/>
    <n v="400"/>
    <n v="50"/>
    <n v="0"/>
  </r>
  <r>
    <s v="Centipede"/>
    <x v="1"/>
    <n v="5"/>
    <s v="years"/>
    <n v="5"/>
    <s v=""/>
    <s v=""/>
    <s v=""/>
    <x v="0"/>
    <n v="0"/>
    <x v="5"/>
    <x v="1"/>
    <x v="0"/>
    <x v="1"/>
    <n v="400"/>
    <n v="500"/>
    <n v="-100"/>
    <n v="3"/>
  </r>
  <r>
    <s v="Cesky fousek"/>
    <x v="0"/>
    <n v="15"/>
    <s v="years"/>
    <n v="15"/>
    <s v="75lbs"/>
    <s v="75"/>
    <s v="lbs"/>
    <x v="0"/>
    <n v="75"/>
    <x v="1"/>
    <x v="1"/>
    <x v="0"/>
    <x v="1"/>
    <n v="400"/>
    <n v="400"/>
    <n v="0"/>
    <n v="0"/>
  </r>
  <r>
    <s v="Chameleon"/>
    <x v="0"/>
    <n v="8"/>
    <s v="years"/>
    <n v="8"/>
    <s v="0.02lbs"/>
    <s v="0.02"/>
    <s v="lbs"/>
    <x v="0"/>
    <n v="0.02"/>
    <x v="1"/>
    <x v="1"/>
    <x v="0"/>
    <x v="1"/>
    <n v="400"/>
    <n v="400"/>
    <n v="0"/>
    <n v="0"/>
  </r>
  <r>
    <s v="Chamois"/>
    <x v="2"/>
    <n v="22"/>
    <s v="years"/>
    <n v="22"/>
    <s v="110lbs"/>
    <s v="110"/>
    <s v="lbs"/>
    <x v="0"/>
    <n v="110"/>
    <x v="0"/>
    <x v="0"/>
    <x v="0"/>
    <x v="0"/>
    <n v="450"/>
    <n v="300"/>
    <n v="150"/>
    <n v="0"/>
  </r>
  <r>
    <s v="Cheetah"/>
    <x v="1"/>
    <n v="12"/>
    <s v="years"/>
    <n v="12"/>
    <s v="88lbs"/>
    <s v="88"/>
    <s v="lbs"/>
    <x v="0"/>
    <n v="88"/>
    <x v="1"/>
    <x v="1"/>
    <x v="0"/>
    <x v="1"/>
    <n v="400"/>
    <n v="500"/>
    <n v="-100"/>
    <n v="0"/>
  </r>
  <r>
    <s v="Chesapeake bay retriever"/>
    <x v="0"/>
    <n v="13"/>
    <s v="years"/>
    <n v="13"/>
    <s v="75lbs"/>
    <s v="75"/>
    <s v="lbs"/>
    <x v="0"/>
    <n v="75"/>
    <x v="1"/>
    <x v="0"/>
    <x v="0"/>
    <x v="0"/>
    <n v="450"/>
    <n v="400"/>
    <n v="50"/>
    <n v="0"/>
  </r>
  <r>
    <s v="Chicken"/>
    <x v="0"/>
    <n v="4"/>
    <s v="years"/>
    <n v="4"/>
    <s v="2.2lbs"/>
    <s v="2.2"/>
    <s v="lbs"/>
    <x v="0"/>
    <n v="2.2000000000000002"/>
    <x v="1"/>
    <x v="0"/>
    <x v="0"/>
    <x v="0"/>
    <n v="450"/>
    <n v="400"/>
    <n v="50"/>
    <n v="0"/>
  </r>
  <r>
    <s v="Chihuahua"/>
    <x v="0"/>
    <n v="18"/>
    <s v="years"/>
    <n v="18"/>
    <s v="6lbs"/>
    <s v="6"/>
    <s v="lbs"/>
    <x v="0"/>
    <n v="6"/>
    <x v="1"/>
    <x v="1"/>
    <x v="0"/>
    <x v="1"/>
    <n v="400"/>
    <n v="400"/>
    <n v="0"/>
    <n v="0"/>
  </r>
  <r>
    <s v="Chimpanzee"/>
    <x v="0"/>
    <n v="60"/>
    <s v="years"/>
    <n v="60"/>
    <s v="57lbs"/>
    <s v="57"/>
    <s v="lbs"/>
    <x v="1"/>
    <n v="57"/>
    <x v="1"/>
    <x v="0"/>
    <x v="0"/>
    <x v="0"/>
    <n v="450"/>
    <n v="400"/>
    <n v="50"/>
    <n v="0"/>
  </r>
  <r>
    <s v="Chinchilla"/>
    <x v="2"/>
    <n v="18"/>
    <s v="years"/>
    <n v="18"/>
    <s v="14oz"/>
    <s v="14"/>
    <s v="oz"/>
    <x v="0"/>
    <n v="0.875"/>
    <x v="1"/>
    <x v="0"/>
    <x v="0"/>
    <x v="0"/>
    <n v="450"/>
    <n v="300"/>
    <n v="150"/>
    <n v="0"/>
  </r>
  <r>
    <s v="Chinese crested dog"/>
    <x v="0"/>
    <n v="13"/>
    <s v="years"/>
    <n v="13"/>
    <s v="10lbs"/>
    <s v="10"/>
    <s v="lbs"/>
    <x v="0"/>
    <n v="10"/>
    <x v="1"/>
    <x v="3"/>
    <x v="0"/>
    <x v="2"/>
    <n v="700"/>
    <n v="400"/>
    <n v="300"/>
    <n v="0"/>
  </r>
  <r>
    <s v="Chinstrap penguin"/>
    <x v="1"/>
    <n v="20"/>
    <s v="years"/>
    <n v="20"/>
    <s v="6.6lbs"/>
    <s v="6.6"/>
    <s v="lbs"/>
    <x v="0"/>
    <n v="6.6"/>
    <x v="1"/>
    <x v="0"/>
    <x v="1"/>
    <x v="0"/>
    <n v="450"/>
    <n v="500"/>
    <n v="-50"/>
    <n v="0"/>
  </r>
  <r>
    <s v="Chipmunk"/>
    <x v="0"/>
    <n v="8"/>
    <s v="years"/>
    <n v="8"/>
    <s v="2oz"/>
    <s v="2"/>
    <s v="oz"/>
    <x v="0"/>
    <n v="0.125"/>
    <x v="1"/>
    <x v="6"/>
    <x v="0"/>
    <x v="2"/>
    <n v="350"/>
    <n v="400"/>
    <n v="-50"/>
    <n v="0"/>
  </r>
  <r>
    <s v="Chow chow"/>
    <x v="0"/>
    <n v="10"/>
    <s v="years"/>
    <n v="10"/>
    <s v="70lbs"/>
    <s v="70"/>
    <s v="lbs"/>
    <x v="0"/>
    <n v="70"/>
    <x v="1"/>
    <x v="3"/>
    <x v="1"/>
    <x v="2"/>
    <n v="700"/>
    <n v="400"/>
    <n v="300"/>
    <n v="0"/>
  </r>
  <r>
    <s v="Cichlid"/>
    <x v="0"/>
    <n v="60"/>
    <s v="years"/>
    <n v="60"/>
    <s v=""/>
    <s v=""/>
    <s v=""/>
    <x v="1"/>
    <n v="0"/>
    <x v="5"/>
    <x v="2"/>
    <x v="0"/>
    <x v="2"/>
    <n v="600"/>
    <n v="400"/>
    <n v="200"/>
    <n v="3"/>
  </r>
  <r>
    <s v="Clouded leopard"/>
    <x v="1"/>
    <n v="17"/>
    <s v="years"/>
    <n v="17"/>
    <s v="24lbs"/>
    <s v="24"/>
    <s v="lbs"/>
    <x v="0"/>
    <n v="24"/>
    <x v="1"/>
    <x v="1"/>
    <x v="0"/>
    <x v="1"/>
    <n v="400"/>
    <n v="500"/>
    <n v="-100"/>
    <n v="0"/>
  </r>
  <r>
    <s v="Clown fish"/>
    <x v="0"/>
    <n v="8"/>
    <s v="years"/>
    <n v="8"/>
    <s v=""/>
    <s v=""/>
    <s v=""/>
    <x v="0"/>
    <n v="0"/>
    <x v="5"/>
    <x v="1"/>
    <x v="0"/>
    <x v="1"/>
    <n v="400"/>
    <n v="400"/>
    <n v="0"/>
    <n v="3"/>
  </r>
  <r>
    <s v="Coati"/>
    <x v="0"/>
    <n v="15"/>
    <s v="years"/>
    <n v="15"/>
    <s v="6lbs"/>
    <s v="6"/>
    <s v="lbs"/>
    <x v="0"/>
    <n v="6"/>
    <x v="1"/>
    <x v="0"/>
    <x v="0"/>
    <x v="0"/>
    <n v="450"/>
    <n v="400"/>
    <n v="50"/>
    <n v="0"/>
  </r>
  <r>
    <s v="Cockroach"/>
    <x v="0"/>
    <n v="18"/>
    <s v="months"/>
    <n v="1.5"/>
    <s v=""/>
    <s v=""/>
    <s v=""/>
    <x v="0"/>
    <n v="0"/>
    <x v="5"/>
    <x v="6"/>
    <x v="0"/>
    <x v="2"/>
    <n v="350"/>
    <n v="400"/>
    <n v="-50"/>
    <n v="3"/>
  </r>
  <r>
    <s v="Collared peccary"/>
    <x v="0"/>
    <n v="10"/>
    <s v="years"/>
    <n v="10"/>
    <s v="20lbs"/>
    <s v="20"/>
    <s v="lbs"/>
    <x v="0"/>
    <n v="20"/>
    <x v="1"/>
    <x v="7"/>
    <x v="0"/>
    <x v="2"/>
    <n v="600"/>
    <n v="400"/>
    <n v="200"/>
    <n v="0"/>
  </r>
  <r>
    <s v="Collie"/>
    <x v="0"/>
    <n v="13"/>
    <s v="years"/>
    <n v="13"/>
    <s v="75lbs"/>
    <s v="75"/>
    <s v="lbs"/>
    <x v="0"/>
    <n v="75"/>
    <x v="1"/>
    <x v="1"/>
    <x v="0"/>
    <x v="1"/>
    <n v="400"/>
    <n v="400"/>
    <n v="0"/>
    <n v="0"/>
  </r>
  <r>
    <s v="Common frog"/>
    <x v="1"/>
    <n v="10"/>
    <s v="years"/>
    <n v="10"/>
    <s v="0.7oz"/>
    <s v="0.7"/>
    <s v="oz"/>
    <x v="0"/>
    <n v="4.3749999999999997E-2"/>
    <x v="1"/>
    <x v="1"/>
    <x v="0"/>
    <x v="1"/>
    <n v="400"/>
    <n v="500"/>
    <n v="-100"/>
    <n v="0"/>
  </r>
  <r>
    <s v="Common loon"/>
    <x v="0"/>
    <n v="25"/>
    <s v="years"/>
    <n v="25"/>
    <s v="6.6lbs"/>
    <s v="6.6"/>
    <s v="lbs"/>
    <x v="2"/>
    <n v="6.6"/>
    <x v="1"/>
    <x v="2"/>
    <x v="0"/>
    <x v="2"/>
    <n v="600"/>
    <n v="400"/>
    <n v="200"/>
    <n v="0"/>
  </r>
  <r>
    <s v="Common toad"/>
    <x v="1"/>
    <n v="4"/>
    <s v="years"/>
    <n v="4"/>
    <s v="0.7oz"/>
    <s v="0.7"/>
    <s v="oz"/>
    <x v="0"/>
    <n v="4.3749999999999997E-2"/>
    <x v="1"/>
    <x v="5"/>
    <x v="0"/>
    <x v="2"/>
    <n v="450"/>
    <n v="500"/>
    <n v="-50"/>
    <n v="0"/>
  </r>
  <r>
    <s v="Coral"/>
    <x v="2"/>
    <n v="30"/>
    <s v="years"/>
    <n v="30"/>
    <s v="800lbs"/>
    <s v="800"/>
    <s v="lbs"/>
    <x v="2"/>
    <n v="800"/>
    <x v="2"/>
    <x v="7"/>
    <x v="0"/>
    <x v="2"/>
    <n v="600"/>
    <n v="300"/>
    <n v="300"/>
    <n v="0"/>
  </r>
  <r>
    <s v="Cottontop tamarin"/>
    <x v="0"/>
    <n v="15"/>
    <s v="years"/>
    <n v="15"/>
    <s v="7.7oz"/>
    <s v="7.7"/>
    <s v="oz"/>
    <x v="0"/>
    <n v="0.48125000000000001"/>
    <x v="1"/>
    <x v="1"/>
    <x v="0"/>
    <x v="1"/>
    <n v="400"/>
    <n v="400"/>
    <n v="0"/>
    <n v="0"/>
  </r>
  <r>
    <s v="Cougar"/>
    <x v="1"/>
    <n v="20"/>
    <s v="years"/>
    <n v="20"/>
    <s v="64lbs"/>
    <s v="64"/>
    <s v="lbs"/>
    <x v="0"/>
    <n v="64"/>
    <x v="1"/>
    <x v="1"/>
    <x v="0"/>
    <x v="1"/>
    <n v="400"/>
    <n v="500"/>
    <n v="-100"/>
    <n v="0"/>
  </r>
  <r>
    <s v="Cow"/>
    <x v="2"/>
    <n v="20"/>
    <s v="years"/>
    <n v="20"/>
    <s v="881lbs"/>
    <s v="881"/>
    <s v="lbs"/>
    <x v="0"/>
    <n v="881"/>
    <x v="2"/>
    <x v="1"/>
    <x v="0"/>
    <x v="1"/>
    <n v="400"/>
    <n v="300"/>
    <n v="100"/>
    <n v="0"/>
  </r>
  <r>
    <s v="Coyote"/>
    <x v="1"/>
    <n v="15"/>
    <s v="years"/>
    <n v="15"/>
    <s v="15lbs"/>
    <s v="15"/>
    <s v="lbs"/>
    <x v="0"/>
    <n v="15"/>
    <x v="1"/>
    <x v="1"/>
    <x v="0"/>
    <x v="1"/>
    <n v="400"/>
    <n v="500"/>
    <n v="-100"/>
    <n v="0"/>
  </r>
  <r>
    <s v="Crab"/>
    <x v="1"/>
    <n v="100"/>
    <s v="years"/>
    <n v="100"/>
    <s v="3.5oz"/>
    <s v="3.5"/>
    <s v="oz"/>
    <x v="3"/>
    <n v="0.21875"/>
    <x v="1"/>
    <x v="7"/>
    <x v="0"/>
    <x v="2"/>
    <n v="600"/>
    <n v="500"/>
    <n v="100"/>
    <n v="0"/>
  </r>
  <r>
    <s v="Crab eating macaque"/>
    <x v="1"/>
    <n v="30"/>
    <s v="years"/>
    <n v="30"/>
    <s v="7lbs"/>
    <s v="7"/>
    <s v="lbs"/>
    <x v="2"/>
    <n v="7"/>
    <x v="1"/>
    <x v="1"/>
    <x v="0"/>
    <x v="1"/>
    <n v="400"/>
    <n v="500"/>
    <n v="-100"/>
    <n v="0"/>
  </r>
  <r>
    <s v="Crane"/>
    <x v="0"/>
    <n v="30"/>
    <s v="years"/>
    <n v="30"/>
    <s v="8.2lbs"/>
    <s v="8.2"/>
    <s v="lbs"/>
    <x v="2"/>
    <n v="8.1999999999999993"/>
    <x v="1"/>
    <x v="0"/>
    <x v="0"/>
    <x v="0"/>
    <n v="450"/>
    <n v="400"/>
    <n v="50"/>
    <n v="0"/>
  </r>
  <r>
    <s v="Crested penguin"/>
    <x v="1"/>
    <n v="20"/>
    <s v="years"/>
    <n v="20"/>
    <s v="6.6lbs"/>
    <s v="6.6"/>
    <s v="lbs"/>
    <x v="0"/>
    <n v="6.6"/>
    <x v="1"/>
    <x v="1"/>
    <x v="0"/>
    <x v="1"/>
    <n v="400"/>
    <n v="500"/>
    <n v="-100"/>
    <n v="0"/>
  </r>
  <r>
    <s v="Crocodile"/>
    <x v="1"/>
    <n v="70"/>
    <s v="years"/>
    <n v="70"/>
    <s v="40lbs"/>
    <s v="40"/>
    <s v="lbs"/>
    <x v="1"/>
    <n v="40"/>
    <x v="1"/>
    <x v="0"/>
    <x v="0"/>
    <x v="0"/>
    <n v="450"/>
    <n v="500"/>
    <n v="-50"/>
    <n v="0"/>
  </r>
  <r>
    <s v="Curly coated retriever"/>
    <x v="0"/>
    <n v="14"/>
    <s v="years"/>
    <n v="14"/>
    <s v="75lbs"/>
    <s v="75"/>
    <s v="lbs"/>
    <x v="0"/>
    <n v="75"/>
    <x v="1"/>
    <x v="0"/>
    <x v="0"/>
    <x v="0"/>
    <n v="450"/>
    <n v="400"/>
    <n v="50"/>
    <n v="0"/>
  </r>
  <r>
    <s v="Cuttlefish"/>
    <x v="1"/>
    <n v="3"/>
    <s v="years"/>
    <n v="3"/>
    <s v="6.6lbs"/>
    <s v="6.6"/>
    <s v="lbs"/>
    <x v="0"/>
    <n v="6.6"/>
    <x v="1"/>
    <x v="1"/>
    <x v="0"/>
    <x v="1"/>
    <n v="400"/>
    <n v="500"/>
    <n v="-100"/>
    <n v="0"/>
  </r>
  <r>
    <s v="Dachshund"/>
    <x v="0"/>
    <n v="15"/>
    <s v="years"/>
    <n v="15"/>
    <s v="9lbs"/>
    <s v="9"/>
    <s v="lbs"/>
    <x v="0"/>
    <n v="9"/>
    <x v="1"/>
    <x v="5"/>
    <x v="0"/>
    <x v="2"/>
    <n v="450"/>
    <n v="400"/>
    <n v="50"/>
    <n v="0"/>
  </r>
  <r>
    <s v="Dalmatian"/>
    <x v="0"/>
    <n v="12"/>
    <s v="years"/>
    <n v="12"/>
    <s v="55lbs"/>
    <s v="55"/>
    <s v="lbs"/>
    <x v="0"/>
    <n v="55"/>
    <x v="1"/>
    <x v="1"/>
    <x v="1"/>
    <x v="1"/>
    <n v="400"/>
    <n v="400"/>
    <n v="0"/>
    <n v="0"/>
  </r>
  <r>
    <s v="Deer"/>
    <x v="2"/>
    <n v="20"/>
    <s v="years"/>
    <n v="20"/>
    <s v="22lbs"/>
    <s v="22"/>
    <s v="lbs"/>
    <x v="0"/>
    <n v="22"/>
    <x v="1"/>
    <x v="3"/>
    <x v="1"/>
    <x v="2"/>
    <n v="700"/>
    <n v="300"/>
    <n v="400"/>
    <n v="0"/>
  </r>
  <r>
    <s v="Desert tortoise"/>
    <x v="2"/>
    <n v="60"/>
    <s v="years"/>
    <n v="60"/>
    <s v="8lbs"/>
    <s v="8"/>
    <s v="lbs"/>
    <x v="1"/>
    <n v="8"/>
    <x v="1"/>
    <x v="0"/>
    <x v="0"/>
    <x v="0"/>
    <n v="450"/>
    <n v="300"/>
    <n v="150"/>
    <n v="0"/>
  </r>
  <r>
    <s v="Dingo"/>
    <x v="1"/>
    <n v="15"/>
    <s v="years"/>
    <n v="15"/>
    <s v="28lbs"/>
    <s v="28"/>
    <s v="lbs"/>
    <x v="0"/>
    <n v="28"/>
    <x v="1"/>
    <x v="1"/>
    <x v="0"/>
    <x v="1"/>
    <n v="400"/>
    <n v="500"/>
    <n v="-100"/>
    <n v="0"/>
  </r>
  <r>
    <s v="Discus"/>
    <x v="0"/>
    <n v="15"/>
    <s v="years"/>
    <n v="15"/>
    <s v=""/>
    <s v=""/>
    <s v=""/>
    <x v="0"/>
    <n v="0"/>
    <x v="5"/>
    <x v="2"/>
    <x v="0"/>
    <x v="2"/>
    <n v="600"/>
    <n v="400"/>
    <n v="200"/>
    <n v="3"/>
  </r>
  <r>
    <s v="Doberman pinscher"/>
    <x v="0"/>
    <n v="12"/>
    <s v="years"/>
    <n v="12"/>
    <s v="88lbs"/>
    <s v="88"/>
    <s v="lbs"/>
    <x v="0"/>
    <n v="88"/>
    <x v="1"/>
    <x v="1"/>
    <x v="1"/>
    <x v="1"/>
    <n v="400"/>
    <n v="400"/>
    <n v="0"/>
    <n v="0"/>
  </r>
  <r>
    <s v="Dodo"/>
    <x v="0"/>
    <n v="30"/>
    <s v="years"/>
    <n v="30"/>
    <s v="44lbs"/>
    <s v="44"/>
    <s v="lbs"/>
    <x v="2"/>
    <n v="44"/>
    <x v="1"/>
    <x v="1"/>
    <x v="0"/>
    <x v="1"/>
    <n v="400"/>
    <n v="400"/>
    <n v="0"/>
    <n v="0"/>
  </r>
  <r>
    <s v="Dogo argentino"/>
    <x v="0"/>
    <n v="13"/>
    <s v="years"/>
    <n v="13"/>
    <s v="100lbs"/>
    <s v="100"/>
    <s v="lbs"/>
    <x v="0"/>
    <n v="100"/>
    <x v="0"/>
    <x v="5"/>
    <x v="0"/>
    <x v="2"/>
    <n v="450"/>
    <n v="400"/>
    <n v="50"/>
    <n v="0"/>
  </r>
  <r>
    <s v="Dogue de bordeaux"/>
    <x v="0"/>
    <n v="12"/>
    <s v="years"/>
    <n v="12"/>
    <s v="100lbs"/>
    <s v="100"/>
    <s v="lbs"/>
    <x v="0"/>
    <n v="100"/>
    <x v="0"/>
    <x v="1"/>
    <x v="0"/>
    <x v="1"/>
    <n v="400"/>
    <n v="400"/>
    <n v="0"/>
    <n v="0"/>
  </r>
  <r>
    <s v="Dolphin"/>
    <x v="1"/>
    <n v="45"/>
    <s v="years"/>
    <n v="45"/>
    <s v="220lbs"/>
    <s v="220"/>
    <s v="lbs"/>
    <x v="2"/>
    <n v="220"/>
    <x v="6"/>
    <x v="1"/>
    <x v="0"/>
    <x v="1"/>
    <n v="400"/>
    <n v="500"/>
    <n v="-100"/>
    <n v="0"/>
  </r>
  <r>
    <s v="Donkey"/>
    <x v="2"/>
    <n v="30"/>
    <s v="years"/>
    <n v="30"/>
    <s v="441lbs"/>
    <s v="441"/>
    <s v="lbs"/>
    <x v="2"/>
    <n v="441"/>
    <x v="4"/>
    <x v="1"/>
    <x v="0"/>
    <x v="1"/>
    <n v="400"/>
    <n v="300"/>
    <n v="100"/>
    <n v="0"/>
  </r>
  <r>
    <s v="Dormouse"/>
    <x v="0"/>
    <n v="5"/>
    <s v="years"/>
    <n v="5"/>
    <s v="0.5oz"/>
    <s v="0.5"/>
    <s v="oz"/>
    <x v="0"/>
    <n v="3.125E-2"/>
    <x v="1"/>
    <x v="4"/>
    <x v="1"/>
    <x v="1"/>
    <n v="200"/>
    <n v="400"/>
    <n v="-200"/>
    <n v="0"/>
  </r>
  <r>
    <s v="Dragonfly"/>
    <x v="1"/>
    <n v="6"/>
    <s v="years"/>
    <n v="6"/>
    <s v=""/>
    <s v=""/>
    <s v=""/>
    <x v="0"/>
    <n v="0"/>
    <x v="5"/>
    <x v="4"/>
    <x v="0"/>
    <x v="1"/>
    <n v="200"/>
    <n v="500"/>
    <n v="-300"/>
    <n v="3"/>
  </r>
  <r>
    <s v="Duck"/>
    <x v="0"/>
    <n v="8"/>
    <s v="years"/>
    <n v="8"/>
    <s v="1.5lbs"/>
    <s v="1.5"/>
    <s v="lbs"/>
    <x v="0"/>
    <n v="1.5"/>
    <x v="1"/>
    <x v="4"/>
    <x v="1"/>
    <x v="1"/>
    <n v="200"/>
    <n v="400"/>
    <n v="-200"/>
    <n v="0"/>
  </r>
  <r>
    <s v="Dusky dolphin"/>
    <x v="1"/>
    <n v="25"/>
    <s v="years"/>
    <n v="25"/>
    <s v="176lbs"/>
    <s v="176"/>
    <s v="lbs"/>
    <x v="2"/>
    <n v="176"/>
    <x v="0"/>
    <x v="4"/>
    <x v="0"/>
    <x v="1"/>
    <n v="200"/>
    <n v="500"/>
    <n v="-300"/>
    <n v="0"/>
  </r>
  <r>
    <s v="Eagle"/>
    <x v="0"/>
    <n v="30"/>
    <s v="years"/>
    <n v="30"/>
    <s v="1.1lbs"/>
    <s v="1.1"/>
    <s v="lbs"/>
    <x v="2"/>
    <n v="1.1000000000000001"/>
    <x v="1"/>
    <x v="0"/>
    <x v="0"/>
    <x v="0"/>
    <n v="450"/>
    <n v="400"/>
    <n v="50"/>
    <n v="0"/>
  </r>
  <r>
    <s v="Earwig"/>
    <x v="0"/>
    <n v="3"/>
    <s v="years"/>
    <n v="3"/>
    <s v="0.07oz"/>
    <s v="0.07"/>
    <s v="oz"/>
    <x v="0"/>
    <n v="4.3750000000000004E-3"/>
    <x v="1"/>
    <x v="3"/>
    <x v="0"/>
    <x v="2"/>
    <n v="700"/>
    <n v="400"/>
    <n v="300"/>
    <n v="0"/>
  </r>
  <r>
    <s v="Echidna"/>
    <x v="1"/>
    <n v="40"/>
    <s v="years"/>
    <n v="40"/>
    <s v="9lbs"/>
    <s v="9"/>
    <s v="lbs"/>
    <x v="2"/>
    <n v="9"/>
    <x v="1"/>
    <x v="0"/>
    <x v="0"/>
    <x v="0"/>
    <n v="450"/>
    <n v="500"/>
    <n v="-50"/>
    <n v="0"/>
  </r>
  <r>
    <s v="Edible frog"/>
    <x v="1"/>
    <n v="15"/>
    <s v="years"/>
    <n v="15"/>
    <s v="0.17oz"/>
    <s v="0.17"/>
    <s v="oz"/>
    <x v="0"/>
    <n v="1.0625000000000001E-2"/>
    <x v="1"/>
    <x v="0"/>
    <x v="0"/>
    <x v="0"/>
    <n v="450"/>
    <n v="500"/>
    <n v="-50"/>
    <n v="0"/>
  </r>
  <r>
    <s v="Egyptian mau"/>
    <x v="1"/>
    <n v="14"/>
    <s v="years"/>
    <n v="14"/>
    <s v="10lbs"/>
    <s v="10"/>
    <s v="lbs"/>
    <x v="0"/>
    <n v="10"/>
    <x v="1"/>
    <x v="2"/>
    <x v="1"/>
    <x v="2"/>
    <n v="600"/>
    <n v="500"/>
    <n v="100"/>
    <n v="0"/>
  </r>
  <r>
    <s v="Electric eel"/>
    <x v="1"/>
    <n v="22"/>
    <s v="years"/>
    <n v="22"/>
    <s v="44lbs"/>
    <s v="44"/>
    <s v="lbs"/>
    <x v="0"/>
    <n v="44"/>
    <x v="1"/>
    <x v="0"/>
    <x v="1"/>
    <x v="0"/>
    <n v="450"/>
    <n v="500"/>
    <n v="-50"/>
    <n v="0"/>
  </r>
  <r>
    <s v="Elephant"/>
    <x v="2"/>
    <n v="70"/>
    <s v="years"/>
    <n v="70"/>
    <s v="6,500lbs"/>
    <s v="6,500"/>
    <s v="lbs"/>
    <x v="1"/>
    <n v="6500"/>
    <x v="2"/>
    <x v="1"/>
    <x v="0"/>
    <x v="1"/>
    <n v="400"/>
    <n v="300"/>
    <n v="100"/>
    <n v="0"/>
  </r>
  <r>
    <s v="Elephant seal"/>
    <x v="1"/>
    <n v="22"/>
    <s v="years"/>
    <n v="22"/>
    <s v="2,000lbs"/>
    <s v="2,000"/>
    <s v="lbs"/>
    <x v="0"/>
    <n v="2000"/>
    <x v="2"/>
    <x v="7"/>
    <x v="0"/>
    <x v="2"/>
    <n v="600"/>
    <n v="500"/>
    <n v="100"/>
    <n v="0"/>
  </r>
  <r>
    <s v="Elephant shrew"/>
    <x v="0"/>
    <n v="5"/>
    <s v="years"/>
    <n v="5"/>
    <s v="2oz"/>
    <s v="2"/>
    <s v="oz"/>
    <x v="0"/>
    <n v="0.125"/>
    <x v="1"/>
    <x v="2"/>
    <x v="0"/>
    <x v="2"/>
    <n v="600"/>
    <n v="400"/>
    <n v="200"/>
    <n v="0"/>
  </r>
  <r>
    <s v="Emperor penguin"/>
    <x v="1"/>
    <n v="50"/>
    <s v="years"/>
    <n v="50"/>
    <s v="49lbs"/>
    <s v="49"/>
    <s v="lbs"/>
    <x v="1"/>
    <n v="49"/>
    <x v="1"/>
    <x v="1"/>
    <x v="0"/>
    <x v="1"/>
    <n v="400"/>
    <n v="500"/>
    <n v="-100"/>
    <n v="0"/>
  </r>
  <r>
    <s v="Emperor tamarin"/>
    <x v="0"/>
    <n v="15"/>
    <s v="years"/>
    <n v="15"/>
    <s v="7.7oz"/>
    <s v="7.7"/>
    <s v="oz"/>
    <x v="0"/>
    <n v="0.48125000000000001"/>
    <x v="1"/>
    <x v="2"/>
    <x v="0"/>
    <x v="2"/>
    <n v="600"/>
    <n v="400"/>
    <n v="200"/>
    <n v="0"/>
  </r>
  <r>
    <s v="Emu"/>
    <x v="0"/>
    <n v="20"/>
    <s v="years"/>
    <n v="20"/>
    <s v="40lbs"/>
    <s v="40"/>
    <s v="lbs"/>
    <x v="0"/>
    <n v="40"/>
    <x v="1"/>
    <x v="7"/>
    <x v="0"/>
    <x v="2"/>
    <n v="600"/>
    <n v="400"/>
    <n v="200"/>
    <n v="0"/>
  </r>
  <r>
    <s v="English cocker spaniel"/>
    <x v="0"/>
    <n v="15"/>
    <s v="years"/>
    <n v="15"/>
    <s v="34lbs"/>
    <s v="34"/>
    <s v="lbs"/>
    <x v="0"/>
    <n v="34"/>
    <x v="1"/>
    <x v="0"/>
    <x v="0"/>
    <x v="0"/>
    <n v="450"/>
    <n v="400"/>
    <n v="50"/>
    <n v="0"/>
  </r>
  <r>
    <s v="English shepherd"/>
    <x v="0"/>
    <n v="16"/>
    <s v="years"/>
    <n v="16"/>
    <s v="60lbs"/>
    <s v="60"/>
    <s v="lbs"/>
    <x v="0"/>
    <n v="60"/>
    <x v="1"/>
    <x v="2"/>
    <x v="0"/>
    <x v="2"/>
    <n v="600"/>
    <n v="400"/>
    <n v="200"/>
    <n v="0"/>
  </r>
  <r>
    <s v="English springer spaniel"/>
    <x v="0"/>
    <n v="12"/>
    <s v="years"/>
    <n v="12"/>
    <s v="55lbs"/>
    <s v="55"/>
    <s v="lbs"/>
    <x v="0"/>
    <n v="55"/>
    <x v="1"/>
    <x v="4"/>
    <x v="0"/>
    <x v="1"/>
    <n v="200"/>
    <n v="400"/>
    <n v="-200"/>
    <n v="0"/>
  </r>
  <r>
    <s v="Entlebucher mountain dog"/>
    <x v="0"/>
    <n v="12"/>
    <s v="years"/>
    <n v="12"/>
    <s v="65lbs"/>
    <s v="65"/>
    <s v="lbs"/>
    <x v="0"/>
    <n v="65"/>
    <x v="1"/>
    <x v="5"/>
    <x v="0"/>
    <x v="2"/>
    <n v="450"/>
    <n v="400"/>
    <n v="50"/>
    <n v="0"/>
  </r>
  <r>
    <s v="Falcon"/>
    <x v="1"/>
    <n v="18"/>
    <s v="years"/>
    <n v="18"/>
    <s v="1.5lbs"/>
    <s v="1.5"/>
    <s v="lbs"/>
    <x v="0"/>
    <n v="1.5"/>
    <x v="1"/>
    <x v="0"/>
    <x v="0"/>
    <x v="0"/>
    <n v="450"/>
    <n v="500"/>
    <n v="-50"/>
    <n v="0"/>
  </r>
  <r>
    <s v="Fennec fox"/>
    <x v="0"/>
    <n v="14"/>
    <s v="years"/>
    <n v="14"/>
    <s v="2.2lbs"/>
    <s v="2.2"/>
    <s v="lbs"/>
    <x v="0"/>
    <n v="2.2000000000000002"/>
    <x v="1"/>
    <x v="0"/>
    <x v="0"/>
    <x v="0"/>
    <n v="450"/>
    <n v="400"/>
    <n v="50"/>
    <n v="0"/>
  </r>
  <r>
    <s v="Ferret"/>
    <x v="1"/>
    <n v="10"/>
    <s v="years"/>
    <n v="10"/>
    <s v="1.5lbs"/>
    <s v="1.5"/>
    <s v="lbs"/>
    <x v="0"/>
    <n v="1.5"/>
    <x v="1"/>
    <x v="0"/>
    <x v="0"/>
    <x v="0"/>
    <n v="450"/>
    <n v="500"/>
    <n v="-50"/>
    <n v="0"/>
  </r>
  <r>
    <s v="Field spaniel"/>
    <x v="0"/>
    <n v="14"/>
    <s v="years"/>
    <n v="14"/>
    <s v="50lbs"/>
    <s v="50"/>
    <s v="lbs"/>
    <x v="0"/>
    <n v="50"/>
    <x v="1"/>
    <x v="0"/>
    <x v="0"/>
    <x v="0"/>
    <n v="450"/>
    <n v="400"/>
    <n v="50"/>
    <n v="0"/>
  </r>
  <r>
    <s v="Fire bellied toad"/>
    <x v="1"/>
    <n v="15"/>
    <s v="years"/>
    <n v="15"/>
    <s v="0.7oz"/>
    <s v="0.7"/>
    <s v="oz"/>
    <x v="0"/>
    <n v="4.3749999999999997E-2"/>
    <x v="1"/>
    <x v="1"/>
    <x v="0"/>
    <x v="1"/>
    <n v="400"/>
    <n v="500"/>
    <n v="-100"/>
    <n v="0"/>
  </r>
  <r>
    <s v="Fishing cat"/>
    <x v="1"/>
    <n v="12"/>
    <s v="years"/>
    <n v="12"/>
    <s v="12lbs"/>
    <s v="12"/>
    <s v="lbs"/>
    <x v="0"/>
    <n v="12"/>
    <x v="1"/>
    <x v="0"/>
    <x v="0"/>
    <x v="0"/>
    <n v="450"/>
    <n v="500"/>
    <n v="-50"/>
    <n v="0"/>
  </r>
  <r>
    <s v="Flamingo"/>
    <x v="0"/>
    <n v="30"/>
    <s v="years"/>
    <n v="30"/>
    <s v="4.4lbs"/>
    <s v="4.4"/>
    <s v="lbs"/>
    <x v="2"/>
    <n v="4.4000000000000004"/>
    <x v="1"/>
    <x v="0"/>
    <x v="0"/>
    <x v="0"/>
    <n v="450"/>
    <n v="400"/>
    <n v="50"/>
    <n v="0"/>
  </r>
  <r>
    <s v="Flat coat retriever"/>
    <x v="0"/>
    <n v="12"/>
    <s v="years"/>
    <n v="12"/>
    <s v="70lbs"/>
    <s v="70"/>
    <s v="lbs"/>
    <x v="0"/>
    <n v="70"/>
    <x v="1"/>
    <x v="7"/>
    <x v="0"/>
    <x v="2"/>
    <n v="600"/>
    <n v="400"/>
    <n v="200"/>
    <n v="0"/>
  </r>
  <r>
    <s v="Flounder"/>
    <x v="1"/>
    <n v="10"/>
    <s v="years"/>
    <n v="10"/>
    <s v=""/>
    <s v=""/>
    <s v=""/>
    <x v="0"/>
    <n v="0"/>
    <x v="5"/>
    <x v="7"/>
    <x v="0"/>
    <x v="2"/>
    <n v="600"/>
    <n v="500"/>
    <n v="100"/>
    <n v="3"/>
  </r>
  <r>
    <s v="Fly"/>
    <x v="0"/>
    <n v="25"/>
    <s v="days"/>
    <n v="25"/>
    <s v=""/>
    <s v=""/>
    <s v=""/>
    <x v="2"/>
    <n v="0"/>
    <x v="5"/>
    <x v="1"/>
    <x v="1"/>
    <x v="1"/>
    <n v="400"/>
    <n v="400"/>
    <n v="0"/>
    <n v="3"/>
  </r>
  <r>
    <s v="Flying squirrel"/>
    <x v="0"/>
    <n v="8"/>
    <s v="years"/>
    <n v="8"/>
    <s v="2oz"/>
    <s v="2"/>
    <s v="oz"/>
    <x v="0"/>
    <n v="0.125"/>
    <x v="1"/>
    <x v="1"/>
    <x v="0"/>
    <x v="1"/>
    <n v="400"/>
    <n v="400"/>
    <n v="0"/>
    <n v="0"/>
  </r>
  <r>
    <s v="Fossa"/>
    <x v="1"/>
    <n v="20"/>
    <s v="years"/>
    <n v="20"/>
    <s v="15lbs"/>
    <s v="15"/>
    <s v="lbs"/>
    <x v="0"/>
    <n v="15"/>
    <x v="1"/>
    <x v="0"/>
    <x v="0"/>
    <x v="0"/>
    <n v="450"/>
    <n v="500"/>
    <n v="-50"/>
    <n v="0"/>
  </r>
  <r>
    <s v="Fox"/>
    <x v="1"/>
    <n v="11"/>
    <s v="years"/>
    <n v="11"/>
    <s v="11lbs"/>
    <s v="11"/>
    <s v="lbs"/>
    <x v="0"/>
    <n v="11"/>
    <x v="1"/>
    <x v="0"/>
    <x v="0"/>
    <x v="0"/>
    <n v="450"/>
    <n v="500"/>
    <n v="-50"/>
    <n v="0"/>
  </r>
  <r>
    <s v="Fox terrier"/>
    <x v="0"/>
    <n v="14"/>
    <s v="years"/>
    <n v="14"/>
    <s v="18lbs"/>
    <s v="18"/>
    <s v="lbs"/>
    <x v="0"/>
    <n v="18"/>
    <x v="1"/>
    <x v="0"/>
    <x v="0"/>
    <x v="0"/>
    <n v="450"/>
    <n v="400"/>
    <n v="50"/>
    <n v="0"/>
  </r>
  <r>
    <s v="French bulldog"/>
    <x v="0"/>
    <n v="12"/>
    <s v="years"/>
    <n v="12"/>
    <s v="22lbs"/>
    <s v="22"/>
    <s v="lbs"/>
    <x v="0"/>
    <n v="22"/>
    <x v="1"/>
    <x v="0"/>
    <x v="0"/>
    <x v="0"/>
    <n v="450"/>
    <n v="400"/>
    <n v="50"/>
    <n v="0"/>
  </r>
  <r>
    <s v="Frigatebird"/>
    <x v="1"/>
    <n v="25"/>
    <s v="years"/>
    <n v="25"/>
    <s v="1.9lbs"/>
    <s v="1.9"/>
    <s v="lbs"/>
    <x v="2"/>
    <n v="1.9"/>
    <x v="1"/>
    <x v="1"/>
    <x v="0"/>
    <x v="1"/>
    <n v="400"/>
    <n v="500"/>
    <n v="-100"/>
    <n v="0"/>
  </r>
  <r>
    <s v="Frilled lizard"/>
    <x v="0"/>
    <n v="20"/>
    <s v="years"/>
    <n v="20"/>
    <s v="1.1lbs"/>
    <s v="1.1"/>
    <s v="lbs"/>
    <x v="0"/>
    <n v="1.1000000000000001"/>
    <x v="1"/>
    <x v="5"/>
    <x v="1"/>
    <x v="2"/>
    <n v="450"/>
    <n v="400"/>
    <n v="50"/>
    <n v="0"/>
  </r>
  <r>
    <s v="Frog"/>
    <x v="0"/>
    <n v="8"/>
    <s v="years"/>
    <n v="8"/>
    <s v="0.07oz"/>
    <s v="0.07"/>
    <s v="oz"/>
    <x v="0"/>
    <n v="4.3750000000000004E-3"/>
    <x v="1"/>
    <x v="5"/>
    <x v="0"/>
    <x v="2"/>
    <n v="450"/>
    <n v="400"/>
    <n v="50"/>
    <n v="0"/>
  </r>
  <r>
    <s v="Fur seal"/>
    <x v="1"/>
    <n v="18"/>
    <s v="years"/>
    <n v="18"/>
    <s v="230lbs"/>
    <s v="230"/>
    <s v="lbs"/>
    <x v="0"/>
    <n v="230"/>
    <x v="6"/>
    <x v="5"/>
    <x v="0"/>
    <x v="2"/>
    <n v="450"/>
    <n v="500"/>
    <n v="-50"/>
    <n v="0"/>
  </r>
  <r>
    <s v="Galapagos penguin"/>
    <x v="1"/>
    <n v="20"/>
    <s v="years"/>
    <n v="20"/>
    <s v="4.4lbs"/>
    <s v="4.4"/>
    <s v="lbs"/>
    <x v="0"/>
    <n v="4.4000000000000004"/>
    <x v="1"/>
    <x v="5"/>
    <x v="0"/>
    <x v="2"/>
    <n v="450"/>
    <n v="500"/>
    <n v="-50"/>
    <n v="0"/>
  </r>
  <r>
    <s v="Galapagos tortoise"/>
    <x v="2"/>
    <n v="150"/>
    <s v="years"/>
    <n v="150"/>
    <s v="441lbs"/>
    <s v="441"/>
    <s v="lbs"/>
    <x v="3"/>
    <n v="441"/>
    <x v="4"/>
    <x v="3"/>
    <x v="1"/>
    <x v="2"/>
    <n v="700"/>
    <n v="300"/>
    <n v="400"/>
    <n v="0"/>
  </r>
  <r>
    <s v="Gar"/>
    <x v="1"/>
    <n v="20"/>
    <s v="years"/>
    <n v="20"/>
    <s v=""/>
    <s v=""/>
    <s v=""/>
    <x v="0"/>
    <n v="0"/>
    <x v="5"/>
    <x v="2"/>
    <x v="0"/>
    <x v="2"/>
    <n v="600"/>
    <n v="500"/>
    <n v="100"/>
    <n v="3"/>
  </r>
  <r>
    <s v="Gecko"/>
    <x v="1"/>
    <n v="9"/>
    <s v="years"/>
    <n v="9"/>
    <s v="0.5oz"/>
    <s v="0.5"/>
    <s v="oz"/>
    <x v="0"/>
    <n v="3.125E-2"/>
    <x v="1"/>
    <x v="3"/>
    <x v="0"/>
    <x v="2"/>
    <n v="700"/>
    <n v="500"/>
    <n v="200"/>
    <n v="0"/>
  </r>
  <r>
    <s v="Gentoo penguin"/>
    <x v="1"/>
    <n v="20"/>
    <s v="years"/>
    <n v="20"/>
    <s v="8.8lbs"/>
    <s v="8.8"/>
    <s v="lbs"/>
    <x v="0"/>
    <n v="8.8000000000000007"/>
    <x v="1"/>
    <x v="1"/>
    <x v="0"/>
    <x v="1"/>
    <n v="400"/>
    <n v="500"/>
    <n v="-100"/>
    <n v="0"/>
  </r>
  <r>
    <s v="Geoffroys tamarin"/>
    <x v="0"/>
    <n v="15"/>
    <s v="years"/>
    <n v="15"/>
    <s v="7.7oz"/>
    <s v="7.7"/>
    <s v="oz"/>
    <x v="0"/>
    <n v="0.48125000000000001"/>
    <x v="1"/>
    <x v="1"/>
    <x v="0"/>
    <x v="1"/>
    <n v="400"/>
    <n v="400"/>
    <n v="0"/>
    <n v="0"/>
  </r>
  <r>
    <s v="Gerbil"/>
    <x v="0"/>
    <n v="5"/>
    <s v="years"/>
    <n v="5"/>
    <s v="2oz"/>
    <s v="2"/>
    <s v="oz"/>
    <x v="0"/>
    <n v="0.125"/>
    <x v="1"/>
    <x v="7"/>
    <x v="1"/>
    <x v="2"/>
    <n v="600"/>
    <n v="400"/>
    <n v="200"/>
    <n v="0"/>
  </r>
  <r>
    <s v="German pinscher"/>
    <x v="0"/>
    <n v="15"/>
    <s v="years"/>
    <n v="15"/>
    <s v="35lbs"/>
    <s v="35"/>
    <s v="lbs"/>
    <x v="0"/>
    <n v="35"/>
    <x v="1"/>
    <x v="0"/>
    <x v="0"/>
    <x v="0"/>
    <n v="450"/>
    <n v="400"/>
    <n v="50"/>
    <n v="0"/>
  </r>
  <r>
    <s v="German shepherd"/>
    <x v="0"/>
    <n v="12"/>
    <s v="years"/>
    <n v="12"/>
    <s v="95lbs"/>
    <s v="95"/>
    <s v="lbs"/>
    <x v="0"/>
    <n v="95"/>
    <x v="1"/>
    <x v="1"/>
    <x v="0"/>
    <x v="1"/>
    <n v="400"/>
    <n v="400"/>
    <n v="0"/>
    <n v="0"/>
  </r>
  <r>
    <s v="Gharial"/>
    <x v="1"/>
    <n v="50"/>
    <s v="years"/>
    <n v="50"/>
    <s v="330.7lbs"/>
    <s v="330.7"/>
    <s v="lbs"/>
    <x v="1"/>
    <n v="330.7"/>
    <x v="3"/>
    <x v="3"/>
    <x v="0"/>
    <x v="2"/>
    <n v="700"/>
    <n v="500"/>
    <n v="200"/>
    <n v="0"/>
  </r>
  <r>
    <s v="Giant african land snail"/>
    <x v="2"/>
    <n v="10"/>
    <s v="years"/>
    <n v="10"/>
    <s v="8.8oz"/>
    <s v="8.8"/>
    <s v="oz"/>
    <x v="0"/>
    <n v="0.55000000000000004"/>
    <x v="1"/>
    <x v="7"/>
    <x v="0"/>
    <x v="2"/>
    <n v="600"/>
    <n v="300"/>
    <n v="300"/>
    <n v="0"/>
  </r>
  <r>
    <s v="Giant clam"/>
    <x v="0"/>
    <n v="100"/>
    <s v="years"/>
    <n v="100"/>
    <s v="220lbs"/>
    <s v="220"/>
    <s v="lbs"/>
    <x v="3"/>
    <n v="220"/>
    <x v="6"/>
    <x v="1"/>
    <x v="0"/>
    <x v="1"/>
    <n v="400"/>
    <n v="400"/>
    <n v="0"/>
    <n v="0"/>
  </r>
  <r>
    <s v="Giant panda bear"/>
    <x v="0"/>
    <n v="35"/>
    <s v="years"/>
    <n v="35"/>
    <s v="242lbs"/>
    <s v="242"/>
    <s v="lbs"/>
    <x v="2"/>
    <n v="242"/>
    <x v="6"/>
    <x v="1"/>
    <x v="0"/>
    <x v="1"/>
    <n v="400"/>
    <n v="400"/>
    <n v="0"/>
    <n v="0"/>
  </r>
  <r>
    <s v="Giant schauzer"/>
    <x v="0"/>
    <n v="12"/>
    <s v="years"/>
    <n v="12"/>
    <s v="77lbs"/>
    <s v="77"/>
    <s v="lbs"/>
    <x v="0"/>
    <n v="77"/>
    <x v="1"/>
    <x v="0"/>
    <x v="0"/>
    <x v="0"/>
    <n v="450"/>
    <n v="400"/>
    <n v="50"/>
    <n v="0"/>
  </r>
  <r>
    <s v="Gibbon"/>
    <x v="0"/>
    <n v="40"/>
    <s v="years"/>
    <n v="40"/>
    <s v="13.2lbs"/>
    <s v="13.2"/>
    <s v="lbs"/>
    <x v="2"/>
    <n v="13.2"/>
    <x v="1"/>
    <x v="1"/>
    <x v="0"/>
    <x v="1"/>
    <n v="400"/>
    <n v="400"/>
    <n v="0"/>
    <n v="0"/>
  </r>
  <r>
    <s v="Gila monster"/>
    <x v="1"/>
    <n v="30"/>
    <s v="years"/>
    <n v="30"/>
    <s v="3lbs"/>
    <s v="3"/>
    <s v="lbs"/>
    <x v="2"/>
    <n v="3"/>
    <x v="1"/>
    <x v="7"/>
    <x v="0"/>
    <x v="2"/>
    <n v="600"/>
    <n v="500"/>
    <n v="100"/>
    <n v="0"/>
  </r>
  <r>
    <s v="Giraffe"/>
    <x v="2"/>
    <n v="25"/>
    <s v="years"/>
    <n v="25"/>
    <s v="1,200lbs"/>
    <s v="1,200"/>
    <s v="lbs"/>
    <x v="2"/>
    <n v="1200"/>
    <x v="2"/>
    <x v="1"/>
    <x v="0"/>
    <x v="1"/>
    <n v="400"/>
    <n v="300"/>
    <n v="100"/>
    <n v="0"/>
  </r>
  <r>
    <s v="Glow worm"/>
    <x v="0"/>
    <n v="5"/>
    <s v="months"/>
    <n v="0.41666666666666669"/>
    <s v=""/>
    <s v=""/>
    <s v=""/>
    <x v="0"/>
    <n v="0"/>
    <x v="5"/>
    <x v="1"/>
    <x v="0"/>
    <x v="1"/>
    <n v="400"/>
    <n v="400"/>
    <n v="0"/>
    <n v="3"/>
  </r>
  <r>
    <s v="Goat"/>
    <x v="2"/>
    <n v="15"/>
    <s v="years"/>
    <n v="15"/>
    <s v="120lbs"/>
    <s v="120"/>
    <s v="lbs"/>
    <x v="0"/>
    <n v="120"/>
    <x v="0"/>
    <x v="1"/>
    <x v="1"/>
    <x v="1"/>
    <n v="400"/>
    <n v="300"/>
    <n v="100"/>
    <n v="0"/>
  </r>
  <r>
    <s v="Golden lion tamarin"/>
    <x v="0"/>
    <n v="15"/>
    <s v="years"/>
    <n v="15"/>
    <s v="19oz"/>
    <s v="19"/>
    <s v="oz"/>
    <x v="0"/>
    <n v="1.1875"/>
    <x v="1"/>
    <x v="1"/>
    <x v="0"/>
    <x v="1"/>
    <n v="400"/>
    <n v="400"/>
    <n v="0"/>
    <n v="0"/>
  </r>
  <r>
    <s v="Golden oriole"/>
    <x v="0"/>
    <n v="12"/>
    <s v="years"/>
    <n v="12"/>
    <s v="0.5oz"/>
    <s v="0.5"/>
    <s v="oz"/>
    <x v="0"/>
    <n v="3.125E-2"/>
    <x v="1"/>
    <x v="2"/>
    <x v="0"/>
    <x v="2"/>
    <n v="600"/>
    <n v="400"/>
    <n v="200"/>
    <n v="0"/>
  </r>
  <r>
    <s v="Golden retriever"/>
    <x v="0"/>
    <n v="12"/>
    <s v="years"/>
    <n v="12"/>
    <s v="75lbs"/>
    <s v="75"/>
    <s v="lbs"/>
    <x v="0"/>
    <n v="75"/>
    <x v="1"/>
    <x v="1"/>
    <x v="0"/>
    <x v="1"/>
    <n v="400"/>
    <n v="400"/>
    <n v="0"/>
    <n v="0"/>
  </r>
  <r>
    <s v="Goose"/>
    <x v="0"/>
    <n v="26"/>
    <s v="years"/>
    <n v="26"/>
    <s v="3.3lbs"/>
    <s v="3.3"/>
    <s v="lbs"/>
    <x v="2"/>
    <n v="3.3"/>
    <x v="1"/>
    <x v="7"/>
    <x v="0"/>
    <x v="2"/>
    <n v="600"/>
    <n v="400"/>
    <n v="200"/>
    <n v="0"/>
  </r>
  <r>
    <s v="Gopher"/>
    <x v="0"/>
    <n v="5"/>
    <s v="years"/>
    <n v="5"/>
    <s v="7.8oz"/>
    <s v="7.8"/>
    <s v="oz"/>
    <x v="0"/>
    <n v="0.48749999999999999"/>
    <x v="1"/>
    <x v="3"/>
    <x v="1"/>
    <x v="2"/>
    <n v="700"/>
    <n v="400"/>
    <n v="300"/>
    <n v="0"/>
  </r>
  <r>
    <s v="Gorilla"/>
    <x v="2"/>
    <n v="50"/>
    <s v="years"/>
    <n v="50"/>
    <s v="220lbs"/>
    <s v="220"/>
    <s v="lbs"/>
    <x v="1"/>
    <n v="220"/>
    <x v="6"/>
    <x v="1"/>
    <x v="0"/>
    <x v="1"/>
    <n v="400"/>
    <n v="300"/>
    <n v="100"/>
    <n v="0"/>
  </r>
  <r>
    <s v="Grasshopper"/>
    <x v="2"/>
    <n v="1"/>
    <s v="year"/>
    <n v="1"/>
    <s v=""/>
    <s v=""/>
    <s v=""/>
    <x v="0"/>
    <n v="0"/>
    <x v="5"/>
    <x v="0"/>
    <x v="0"/>
    <x v="0"/>
    <n v="450"/>
    <n v="300"/>
    <n v="150"/>
    <n v="3"/>
  </r>
  <r>
    <s v="Great dane"/>
    <x v="0"/>
    <n v="7"/>
    <s v="years"/>
    <n v="7"/>
    <s v="100lbs"/>
    <s v="100"/>
    <s v="lbs"/>
    <x v="0"/>
    <n v="100"/>
    <x v="0"/>
    <x v="1"/>
    <x v="0"/>
    <x v="1"/>
    <n v="400"/>
    <n v="400"/>
    <n v="0"/>
    <n v="0"/>
  </r>
  <r>
    <s v="Great white shark"/>
    <x v="1"/>
    <n v="40"/>
    <s v="years"/>
    <n v="40"/>
    <s v="2,450lbs"/>
    <s v="2,450"/>
    <s v="lbs"/>
    <x v="2"/>
    <n v="2450"/>
    <x v="2"/>
    <x v="2"/>
    <x v="0"/>
    <x v="2"/>
    <n v="600"/>
    <n v="500"/>
    <n v="100"/>
    <n v="0"/>
  </r>
  <r>
    <s v="Greater swiss mountain dog"/>
    <x v="0"/>
    <n v="12"/>
    <s v="years"/>
    <n v="12"/>
    <s v="130lbs"/>
    <s v="130"/>
    <s v="lbs"/>
    <x v="0"/>
    <n v="130"/>
    <x v="0"/>
    <x v="3"/>
    <x v="0"/>
    <x v="2"/>
    <n v="700"/>
    <n v="400"/>
    <n v="300"/>
    <n v="0"/>
  </r>
  <r>
    <s v="Green bee eater"/>
    <x v="0"/>
    <n v="18"/>
    <s v="years"/>
    <n v="18"/>
    <s v="0.5oz"/>
    <s v="0.5"/>
    <s v="oz"/>
    <x v="0"/>
    <n v="3.125E-2"/>
    <x v="1"/>
    <x v="1"/>
    <x v="0"/>
    <x v="1"/>
    <n v="400"/>
    <n v="400"/>
    <n v="0"/>
    <n v="0"/>
  </r>
  <r>
    <s v="Greenland dog"/>
    <x v="0"/>
    <n v="12"/>
    <s v="years"/>
    <n v="12"/>
    <s v="66lbs"/>
    <s v="66"/>
    <s v="lbs"/>
    <x v="0"/>
    <n v="66"/>
    <x v="1"/>
    <x v="1"/>
    <x v="0"/>
    <x v="1"/>
    <n v="400"/>
    <n v="400"/>
    <n v="0"/>
    <n v="0"/>
  </r>
  <r>
    <s v="Grey mouse lemur"/>
    <x v="0"/>
    <n v="8"/>
    <s v="years"/>
    <n v="8"/>
    <s v="2oz"/>
    <s v="2"/>
    <s v="oz"/>
    <x v="0"/>
    <n v="0.125"/>
    <x v="1"/>
    <x v="1"/>
    <x v="0"/>
    <x v="1"/>
    <n v="400"/>
    <n v="400"/>
    <n v="0"/>
    <n v="0"/>
  </r>
  <r>
    <s v="Grey reef shark"/>
    <x v="1"/>
    <n v="28"/>
    <s v="years"/>
    <n v="28"/>
    <s v="44lbs"/>
    <s v="44"/>
    <s v="lbs"/>
    <x v="2"/>
    <n v="44"/>
    <x v="1"/>
    <x v="1"/>
    <x v="0"/>
    <x v="1"/>
    <n v="400"/>
    <n v="500"/>
    <n v="-100"/>
    <n v="0"/>
  </r>
  <r>
    <s v="Grey seal"/>
    <x v="1"/>
    <n v="25"/>
    <s v="years"/>
    <n v="25"/>
    <s v="330lbs"/>
    <s v="330"/>
    <s v="lbs"/>
    <x v="2"/>
    <n v="330"/>
    <x v="3"/>
    <x v="1"/>
    <x v="0"/>
    <x v="1"/>
    <n v="400"/>
    <n v="500"/>
    <n v="-100"/>
    <n v="0"/>
  </r>
  <r>
    <s v="Greyhound"/>
    <x v="0"/>
    <n v="11"/>
    <s v="years"/>
    <n v="11"/>
    <s v="70lbs"/>
    <s v="70"/>
    <s v="lbs"/>
    <x v="0"/>
    <n v="70"/>
    <x v="1"/>
    <x v="1"/>
    <x v="0"/>
    <x v="1"/>
    <n v="400"/>
    <n v="400"/>
    <n v="0"/>
    <n v="0"/>
  </r>
  <r>
    <s v="Grizzly bear"/>
    <x v="0"/>
    <n v="25"/>
    <s v="years"/>
    <n v="25"/>
    <s v="353lbs"/>
    <s v="353"/>
    <s v="lbs"/>
    <x v="2"/>
    <n v="353"/>
    <x v="3"/>
    <x v="1"/>
    <x v="1"/>
    <x v="1"/>
    <n v="400"/>
    <n v="400"/>
    <n v="0"/>
    <n v="0"/>
  </r>
  <r>
    <s v="Grouse"/>
    <x v="0"/>
    <n v="10"/>
    <s v="years"/>
    <n v="10"/>
    <s v="0.6lbs"/>
    <s v="0.6"/>
    <s v="lbs"/>
    <x v="0"/>
    <n v="0.6"/>
    <x v="1"/>
    <x v="1"/>
    <x v="0"/>
    <x v="1"/>
    <n v="400"/>
    <n v="400"/>
    <n v="0"/>
    <n v="0"/>
  </r>
  <r>
    <s v="Guinea fowl"/>
    <x v="0"/>
    <n v="20"/>
    <s v="years"/>
    <n v="20"/>
    <s v="1.5lbs"/>
    <s v="1.5"/>
    <s v="lbs"/>
    <x v="0"/>
    <n v="1.5"/>
    <x v="1"/>
    <x v="1"/>
    <x v="0"/>
    <x v="1"/>
    <n v="400"/>
    <n v="400"/>
    <n v="0"/>
    <n v="0"/>
  </r>
  <r>
    <s v="Guinea pig"/>
    <x v="2"/>
    <n v="8"/>
    <s v="years"/>
    <n v="8"/>
    <s v="1lbs"/>
    <s v="1"/>
    <s v="lbs"/>
    <x v="0"/>
    <n v="1"/>
    <x v="1"/>
    <x v="0"/>
    <x v="1"/>
    <x v="0"/>
    <n v="450"/>
    <n v="300"/>
    <n v="150"/>
    <n v="0"/>
  </r>
  <r>
    <s v="Guppy"/>
    <x v="0"/>
    <n v="4"/>
    <s v="years"/>
    <n v="4"/>
    <s v=""/>
    <s v=""/>
    <s v=""/>
    <x v="0"/>
    <n v="0"/>
    <x v="5"/>
    <x v="0"/>
    <x v="0"/>
    <x v="0"/>
    <n v="450"/>
    <n v="400"/>
    <n v="50"/>
    <n v="3"/>
  </r>
  <r>
    <s v="Hammerhead shark"/>
    <x v="1"/>
    <n v="25"/>
    <s v="years"/>
    <n v="25"/>
    <s v="500lbs"/>
    <s v="500"/>
    <s v="lbs"/>
    <x v="2"/>
    <n v="500"/>
    <x v="2"/>
    <x v="0"/>
    <x v="1"/>
    <x v="0"/>
    <n v="450"/>
    <n v="500"/>
    <n v="-50"/>
    <n v="0"/>
  </r>
  <r>
    <s v="Hamster"/>
    <x v="0"/>
    <n v="3"/>
    <s v="years"/>
    <n v="3"/>
    <s v="3.5oz"/>
    <s v="3.5"/>
    <s v="oz"/>
    <x v="0"/>
    <n v="0.21875"/>
    <x v="1"/>
    <x v="0"/>
    <x v="1"/>
    <x v="0"/>
    <n v="450"/>
    <n v="400"/>
    <n v="50"/>
    <n v="0"/>
  </r>
  <r>
    <s v="Hare"/>
    <x v="2"/>
    <n v="8"/>
    <s v="years"/>
    <n v="8"/>
    <s v="3lbs"/>
    <s v="3"/>
    <s v="lbs"/>
    <x v="0"/>
    <n v="3"/>
    <x v="1"/>
    <x v="2"/>
    <x v="0"/>
    <x v="2"/>
    <n v="600"/>
    <n v="300"/>
    <n v="300"/>
    <n v="0"/>
  </r>
  <r>
    <s v="Harrier"/>
    <x v="0"/>
    <n v="16"/>
    <s v="years"/>
    <n v="16"/>
    <s v="60lbs"/>
    <s v="60"/>
    <s v="lbs"/>
    <x v="0"/>
    <n v="60"/>
    <x v="1"/>
    <x v="1"/>
    <x v="0"/>
    <x v="1"/>
    <n v="400"/>
    <n v="400"/>
    <n v="0"/>
    <n v="0"/>
  </r>
  <r>
    <s v="Havanese"/>
    <x v="0"/>
    <n v="15"/>
    <s v="years"/>
    <n v="15"/>
    <s v="12lbs"/>
    <s v="12"/>
    <s v="lbs"/>
    <x v="0"/>
    <n v="12"/>
    <x v="1"/>
    <x v="5"/>
    <x v="0"/>
    <x v="2"/>
    <n v="450"/>
    <n v="400"/>
    <n v="50"/>
    <n v="0"/>
  </r>
  <r>
    <s v="Hedgehog"/>
    <x v="0"/>
    <n v="6"/>
    <s v="years"/>
    <n v="6"/>
    <s v="2.2lbs"/>
    <s v="2.2"/>
    <s v="lbs"/>
    <x v="0"/>
    <n v="2.2000000000000002"/>
    <x v="1"/>
    <x v="3"/>
    <x v="0"/>
    <x v="2"/>
    <n v="700"/>
    <n v="400"/>
    <n v="300"/>
    <n v="0"/>
  </r>
  <r>
    <s v="Hercules beetle"/>
    <x v="0"/>
    <n v="5"/>
    <s v="months"/>
    <n v="0.41666666666666669"/>
    <s v=""/>
    <s v=""/>
    <s v=""/>
    <x v="0"/>
    <n v="0"/>
    <x v="5"/>
    <x v="1"/>
    <x v="0"/>
    <x v="1"/>
    <n v="400"/>
    <n v="400"/>
    <n v="0"/>
    <n v="3"/>
  </r>
  <r>
    <s v="Hermit crab"/>
    <x v="0"/>
    <n v="10"/>
    <s v="years"/>
    <n v="10"/>
    <s v="7oz"/>
    <s v="7"/>
    <s v="oz"/>
    <x v="0"/>
    <n v="0.4375"/>
    <x v="1"/>
    <x v="1"/>
    <x v="1"/>
    <x v="1"/>
    <n v="400"/>
    <n v="400"/>
    <n v="0"/>
    <n v="0"/>
  </r>
  <r>
    <s v="Heron"/>
    <x v="1"/>
    <n v="20"/>
    <s v="years"/>
    <n v="20"/>
    <s v="3.3lbs"/>
    <s v="3.3"/>
    <s v="lbs"/>
    <x v="0"/>
    <n v="3.3"/>
    <x v="1"/>
    <x v="1"/>
    <x v="0"/>
    <x v="1"/>
    <n v="400"/>
    <n v="500"/>
    <n v="-100"/>
    <n v="0"/>
  </r>
  <r>
    <s v="Highland cattle"/>
    <x v="2"/>
    <n v="22"/>
    <s v="years"/>
    <n v="22"/>
    <s v="882lbs"/>
    <s v="882"/>
    <s v="lbs"/>
    <x v="0"/>
    <n v="882"/>
    <x v="2"/>
    <x v="1"/>
    <x v="0"/>
    <x v="1"/>
    <n v="400"/>
    <n v="300"/>
    <n v="100"/>
    <n v="0"/>
  </r>
  <r>
    <s v="Himalayan"/>
    <x v="1"/>
    <n v="14"/>
    <s v="years"/>
    <n v="14"/>
    <s v="10lbs"/>
    <s v="10"/>
    <s v="lbs"/>
    <x v="0"/>
    <n v="10"/>
    <x v="1"/>
    <x v="0"/>
    <x v="0"/>
    <x v="0"/>
    <n v="450"/>
    <n v="500"/>
    <n v="-50"/>
    <n v="0"/>
  </r>
  <r>
    <s v="Hippo"/>
    <x v="2"/>
    <n v="50"/>
    <s v="years"/>
    <n v="50"/>
    <s v="2,200lbs"/>
    <s v="2,200"/>
    <s v="lbs"/>
    <x v="1"/>
    <n v="2200"/>
    <x v="2"/>
    <x v="2"/>
    <x v="0"/>
    <x v="2"/>
    <n v="600"/>
    <n v="300"/>
    <n v="300"/>
    <n v="0"/>
  </r>
  <r>
    <s v="Honey bee"/>
    <x v="2"/>
    <n v="6"/>
    <s v="weeks"/>
    <n v="6"/>
    <s v=""/>
    <s v=""/>
    <s v=""/>
    <x v="0"/>
    <n v="0"/>
    <x v="5"/>
    <x v="1"/>
    <x v="0"/>
    <x v="1"/>
    <n v="400"/>
    <n v="300"/>
    <n v="100"/>
    <n v="3"/>
  </r>
  <r>
    <s v="Horn shark"/>
    <x v="1"/>
    <n v="25"/>
    <s v="years"/>
    <n v="25"/>
    <s v=""/>
    <s v=""/>
    <s v=""/>
    <x v="2"/>
    <n v="0"/>
    <x v="5"/>
    <x v="0"/>
    <x v="0"/>
    <x v="0"/>
    <n v="450"/>
    <n v="500"/>
    <n v="-50"/>
    <n v="3"/>
  </r>
  <r>
    <s v="Horned frog"/>
    <x v="1"/>
    <n v="8"/>
    <s v="years"/>
    <n v="8"/>
    <s v="11.2oz"/>
    <s v="11.2"/>
    <s v="oz"/>
    <x v="0"/>
    <n v="0.7"/>
    <x v="1"/>
    <x v="0"/>
    <x v="0"/>
    <x v="0"/>
    <n v="450"/>
    <n v="500"/>
    <n v="-50"/>
    <n v="0"/>
  </r>
  <r>
    <s v="Horse"/>
    <x v="2"/>
    <n v="30"/>
    <s v="years"/>
    <n v="30"/>
    <s v="840lbs"/>
    <s v="840"/>
    <s v="lbs"/>
    <x v="2"/>
    <n v="840"/>
    <x v="2"/>
    <x v="1"/>
    <x v="0"/>
    <x v="1"/>
    <n v="400"/>
    <n v="300"/>
    <n v="100"/>
    <n v="0"/>
  </r>
  <r>
    <s v="Horseshoe crab"/>
    <x v="0"/>
    <n v="40"/>
    <s v="years"/>
    <n v="40"/>
    <s v="2.2lbs"/>
    <s v="2.2"/>
    <s v="lbs"/>
    <x v="2"/>
    <n v="2.2000000000000002"/>
    <x v="1"/>
    <x v="1"/>
    <x v="0"/>
    <x v="1"/>
    <n v="400"/>
    <n v="400"/>
    <n v="0"/>
    <n v="0"/>
  </r>
  <r>
    <s v="Howler monkey"/>
    <x v="0"/>
    <n v="20"/>
    <s v="years"/>
    <n v="20"/>
    <s v="6.6lbs"/>
    <s v="6.6"/>
    <s v="lbs"/>
    <x v="0"/>
    <n v="6.6"/>
    <x v="1"/>
    <x v="1"/>
    <x v="1"/>
    <x v="1"/>
    <n v="400"/>
    <n v="400"/>
    <n v="0"/>
    <n v="0"/>
  </r>
  <r>
    <s v="Humboldt penguin"/>
    <x v="1"/>
    <n v="20"/>
    <s v="years"/>
    <n v="20"/>
    <s v="4.4lbs"/>
    <s v="4.4"/>
    <s v="lbs"/>
    <x v="0"/>
    <n v="4.4000000000000004"/>
    <x v="1"/>
    <x v="0"/>
    <x v="0"/>
    <x v="0"/>
    <n v="450"/>
    <n v="500"/>
    <n v="-50"/>
    <n v="0"/>
  </r>
  <r>
    <s v="Hummingbird"/>
    <x v="0"/>
    <n v="5"/>
    <s v="years"/>
    <n v="5"/>
    <s v="0.07oz"/>
    <s v="0.07"/>
    <s v="oz"/>
    <x v="0"/>
    <n v="4.3750000000000004E-3"/>
    <x v="1"/>
    <x v="0"/>
    <x v="0"/>
    <x v="0"/>
    <n v="450"/>
    <n v="400"/>
    <n v="50"/>
    <n v="0"/>
  </r>
  <r>
    <s v="Humpback whale"/>
    <x v="0"/>
    <n v="60"/>
    <s v="years"/>
    <n v="60"/>
    <s v="50000lbs"/>
    <s v="50000"/>
    <s v="lbs"/>
    <x v="1"/>
    <n v="50000"/>
    <x v="2"/>
    <x v="1"/>
    <x v="0"/>
    <x v="1"/>
    <n v="400"/>
    <n v="400"/>
    <n v="0"/>
    <n v="0"/>
  </r>
  <r>
    <s v="Hyena"/>
    <x v="1"/>
    <n v="25"/>
    <s v="years"/>
    <n v="25"/>
    <s v="90lbs"/>
    <s v="90"/>
    <s v="lbs"/>
    <x v="2"/>
    <n v="90"/>
    <x v="1"/>
    <x v="0"/>
    <x v="0"/>
    <x v="0"/>
    <n v="450"/>
    <n v="500"/>
    <n v="-50"/>
    <n v="0"/>
  </r>
  <r>
    <s v="Ibis"/>
    <x v="0"/>
    <n v="15"/>
    <s v="years"/>
    <n v="15"/>
    <s v="0.6lbs"/>
    <s v="0.6"/>
    <s v="lbs"/>
    <x v="0"/>
    <n v="0.6"/>
    <x v="1"/>
    <x v="1"/>
    <x v="0"/>
    <x v="1"/>
    <n v="400"/>
    <n v="400"/>
    <n v="0"/>
    <n v="0"/>
  </r>
  <r>
    <s v="Ibizan hound"/>
    <x v="0"/>
    <n v="14"/>
    <s v="years"/>
    <n v="14"/>
    <s v="55lbs"/>
    <s v="55"/>
    <s v="lbs"/>
    <x v="0"/>
    <n v="55"/>
    <x v="1"/>
    <x v="0"/>
    <x v="0"/>
    <x v="0"/>
    <n v="450"/>
    <n v="400"/>
    <n v="50"/>
    <n v="0"/>
  </r>
  <r>
    <s v="Iguana"/>
    <x v="0"/>
    <n v="20"/>
    <s v="years"/>
    <n v="20"/>
    <s v="8.8lbs"/>
    <s v="8.8"/>
    <s v="lbs"/>
    <x v="0"/>
    <n v="8.8000000000000007"/>
    <x v="1"/>
    <x v="0"/>
    <x v="1"/>
    <x v="0"/>
    <n v="450"/>
    <n v="400"/>
    <n v="50"/>
    <n v="0"/>
  </r>
  <r>
    <s v="Impala"/>
    <x v="2"/>
    <n v="15"/>
    <s v="years"/>
    <n v="15"/>
    <s v="81.6lbs"/>
    <s v="81.6"/>
    <s v="lbs"/>
    <x v="0"/>
    <n v="81.599999999999994"/>
    <x v="1"/>
    <x v="5"/>
    <x v="0"/>
    <x v="2"/>
    <n v="450"/>
    <n v="300"/>
    <n v="150"/>
    <n v="0"/>
  </r>
  <r>
    <s v="Indian elephant"/>
    <x v="2"/>
    <n v="70"/>
    <s v="years"/>
    <n v="70"/>
    <s v="6,500lbs"/>
    <s v="6,500"/>
    <s v="lbs"/>
    <x v="1"/>
    <n v="6500"/>
    <x v="2"/>
    <x v="4"/>
    <x v="0"/>
    <x v="1"/>
    <n v="200"/>
    <n v="300"/>
    <n v="-100"/>
    <n v="0"/>
  </r>
  <r>
    <s v="Indian palm squirrel"/>
    <x v="0"/>
    <n v="4"/>
    <s v="years"/>
    <n v="4"/>
    <s v="3.5oz"/>
    <s v="3.5"/>
    <s v="oz"/>
    <x v="0"/>
    <n v="0.21875"/>
    <x v="1"/>
    <x v="0"/>
    <x v="0"/>
    <x v="0"/>
    <n v="450"/>
    <n v="400"/>
    <n v="50"/>
    <n v="0"/>
  </r>
  <r>
    <s v="Indian rhinoceros"/>
    <x v="2"/>
    <n v="50"/>
    <s v="years"/>
    <n v="50"/>
    <s v="4,900lbs"/>
    <s v="4,900"/>
    <s v="lbs"/>
    <x v="1"/>
    <n v="4900"/>
    <x v="2"/>
    <x v="4"/>
    <x v="0"/>
    <x v="1"/>
    <n v="200"/>
    <n v="300"/>
    <n v="-100"/>
    <n v="0"/>
  </r>
  <r>
    <s v="Indri"/>
    <x v="2"/>
    <n v="22"/>
    <s v="years"/>
    <n v="22"/>
    <s v="13lbs"/>
    <s v="13"/>
    <s v="lbs"/>
    <x v="0"/>
    <n v="13"/>
    <x v="1"/>
    <x v="4"/>
    <x v="1"/>
    <x v="1"/>
    <n v="200"/>
    <n v="300"/>
    <n v="-100"/>
    <n v="0"/>
  </r>
  <r>
    <s v="Irish setter"/>
    <x v="0"/>
    <n v="16"/>
    <s v="years"/>
    <n v="16"/>
    <s v="70lbs"/>
    <s v="70"/>
    <s v="lbs"/>
    <x v="0"/>
    <n v="70"/>
    <x v="1"/>
    <x v="0"/>
    <x v="1"/>
    <x v="0"/>
    <n v="450"/>
    <n v="400"/>
    <n v="50"/>
    <n v="0"/>
  </r>
  <r>
    <s v="Irish wolfhound"/>
    <x v="0"/>
    <n v="9"/>
    <s v="years"/>
    <n v="9"/>
    <s v="120lbs"/>
    <s v="120"/>
    <s v="lbs"/>
    <x v="0"/>
    <n v="120"/>
    <x v="0"/>
    <x v="1"/>
    <x v="0"/>
    <x v="1"/>
    <n v="400"/>
    <n v="400"/>
    <n v="0"/>
    <n v="0"/>
  </r>
  <r>
    <s v="Jack russel"/>
    <x v="0"/>
    <n v="16"/>
    <s v="years"/>
    <n v="16"/>
    <s v="8lbs"/>
    <s v="8"/>
    <s v="lbs"/>
    <x v="0"/>
    <n v="8"/>
    <x v="1"/>
    <x v="0"/>
    <x v="0"/>
    <x v="0"/>
    <n v="450"/>
    <n v="400"/>
    <n v="50"/>
    <n v="0"/>
  </r>
  <r>
    <s v="Jackal"/>
    <x v="1"/>
    <n v="15"/>
    <s v="years"/>
    <n v="15"/>
    <s v="15lbs"/>
    <s v="15"/>
    <s v="lbs"/>
    <x v="0"/>
    <n v="15"/>
    <x v="1"/>
    <x v="0"/>
    <x v="0"/>
    <x v="0"/>
    <n v="450"/>
    <n v="500"/>
    <n v="-50"/>
    <n v="0"/>
  </r>
  <r>
    <s v="Jaguar"/>
    <x v="1"/>
    <n v="15"/>
    <s v="years"/>
    <n v="15"/>
    <s v="79lbs"/>
    <s v="79"/>
    <s v="lbs"/>
    <x v="0"/>
    <n v="79"/>
    <x v="1"/>
    <x v="0"/>
    <x v="0"/>
    <x v="0"/>
    <n v="450"/>
    <n v="500"/>
    <n v="-50"/>
    <n v="0"/>
  </r>
  <r>
    <s v="Japanese chin"/>
    <x v="0"/>
    <n v="14"/>
    <s v="years"/>
    <n v="14"/>
    <s v="8lbs"/>
    <s v="8"/>
    <s v="lbs"/>
    <x v="0"/>
    <n v="8"/>
    <x v="1"/>
    <x v="1"/>
    <x v="0"/>
    <x v="1"/>
    <n v="400"/>
    <n v="400"/>
    <n v="0"/>
    <n v="0"/>
  </r>
  <r>
    <s v="Japanese macaque"/>
    <x v="0"/>
    <n v="32"/>
    <s v="years"/>
    <n v="32"/>
    <s v="11lbs"/>
    <s v="11"/>
    <s v="lbs"/>
    <x v="2"/>
    <n v="11"/>
    <x v="1"/>
    <x v="1"/>
    <x v="0"/>
    <x v="1"/>
    <n v="400"/>
    <n v="400"/>
    <n v="0"/>
    <n v="0"/>
  </r>
  <r>
    <s v="Jellyfish"/>
    <x v="1"/>
    <n v="5"/>
    <s v="years"/>
    <n v="5"/>
    <s v="0.7oz"/>
    <s v="0.7"/>
    <s v="oz"/>
    <x v="0"/>
    <n v="4.3749999999999997E-2"/>
    <x v="1"/>
    <x v="3"/>
    <x v="0"/>
    <x v="2"/>
    <n v="700"/>
    <n v="500"/>
    <n v="200"/>
    <n v="0"/>
  </r>
  <r>
    <s v="Kangaroo"/>
    <x v="0"/>
    <n v="10"/>
    <s v="years"/>
    <n v="10"/>
    <s v="40lbs"/>
    <s v="40"/>
    <s v="lbs"/>
    <x v="0"/>
    <n v="40"/>
    <x v="1"/>
    <x v="1"/>
    <x v="1"/>
    <x v="1"/>
    <n v="400"/>
    <n v="400"/>
    <n v="0"/>
    <n v="0"/>
  </r>
  <r>
    <s v="Keel billed toucan"/>
    <x v="0"/>
    <n v="20"/>
    <s v="years"/>
    <n v="20"/>
    <s v="4.7lbs"/>
    <s v="4.7"/>
    <s v="lbs"/>
    <x v="0"/>
    <n v="4.7"/>
    <x v="1"/>
    <x v="7"/>
    <x v="0"/>
    <x v="2"/>
    <n v="600"/>
    <n v="400"/>
    <n v="200"/>
    <n v="0"/>
  </r>
  <r>
    <s v="Killer whale"/>
    <x v="1"/>
    <n v="60"/>
    <s v="years"/>
    <n v="60"/>
    <s v="15,000lbs"/>
    <s v="15,000"/>
    <s v="lbs"/>
    <x v="1"/>
    <n v="15000"/>
    <x v="2"/>
    <x v="3"/>
    <x v="0"/>
    <x v="2"/>
    <n v="700"/>
    <n v="500"/>
    <n v="200"/>
    <n v="0"/>
  </r>
  <r>
    <s v="King crab"/>
    <x v="1"/>
    <n v="30"/>
    <s v="years"/>
    <n v="30"/>
    <s v="4.4lbs"/>
    <s v="4.4"/>
    <s v="lbs"/>
    <x v="2"/>
    <n v="4.4000000000000004"/>
    <x v="1"/>
    <x v="2"/>
    <x v="0"/>
    <x v="2"/>
    <n v="600"/>
    <n v="500"/>
    <n v="100"/>
    <n v="0"/>
  </r>
  <r>
    <s v="King penguin"/>
    <x v="1"/>
    <n v="20"/>
    <s v="years"/>
    <n v="20"/>
    <s v="24lbs"/>
    <s v="24"/>
    <s v="lbs"/>
    <x v="0"/>
    <n v="24"/>
    <x v="1"/>
    <x v="1"/>
    <x v="0"/>
    <x v="1"/>
    <n v="400"/>
    <n v="500"/>
    <n v="-100"/>
    <n v="0"/>
  </r>
  <r>
    <s v="Kingfisher"/>
    <x v="0"/>
    <n v="10"/>
    <s v="years"/>
    <n v="10"/>
    <s v="0.4oz"/>
    <s v="0.4"/>
    <s v="oz"/>
    <x v="0"/>
    <n v="2.5000000000000001E-2"/>
    <x v="1"/>
    <x v="1"/>
    <x v="0"/>
    <x v="1"/>
    <n v="400"/>
    <n v="400"/>
    <n v="0"/>
    <n v="0"/>
  </r>
  <r>
    <s v="Kiwi"/>
    <x v="0"/>
    <n v="12"/>
    <s v="years"/>
    <n v="12"/>
    <s v="2.6lbs"/>
    <s v="2.6"/>
    <s v="lbs"/>
    <x v="0"/>
    <n v="2.6"/>
    <x v="1"/>
    <x v="7"/>
    <x v="0"/>
    <x v="2"/>
    <n v="600"/>
    <n v="400"/>
    <n v="200"/>
    <n v="0"/>
  </r>
  <r>
    <s v="Koala"/>
    <x v="2"/>
    <n v="20"/>
    <s v="years"/>
    <n v="20"/>
    <s v="8.8lbs"/>
    <s v="8.8"/>
    <s v="lbs"/>
    <x v="0"/>
    <n v="8.8000000000000007"/>
    <x v="1"/>
    <x v="2"/>
    <x v="0"/>
    <x v="2"/>
    <n v="600"/>
    <n v="300"/>
    <n v="300"/>
    <n v="0"/>
  </r>
  <r>
    <s v="Komodo dragon"/>
    <x v="1"/>
    <n v="40"/>
    <s v="years"/>
    <n v="40"/>
    <s v="150lbs"/>
    <s v="150"/>
    <s v="lbs"/>
    <x v="2"/>
    <n v="150"/>
    <x v="0"/>
    <x v="1"/>
    <x v="0"/>
    <x v="1"/>
    <n v="400"/>
    <n v="500"/>
    <n v="-100"/>
    <n v="0"/>
  </r>
  <r>
    <s v="Kudu"/>
    <x v="2"/>
    <n v="14"/>
    <s v="years"/>
    <n v="14"/>
    <s v="265lbs"/>
    <s v="265"/>
    <s v="lbs"/>
    <x v="0"/>
    <n v="265"/>
    <x v="6"/>
    <x v="7"/>
    <x v="0"/>
    <x v="2"/>
    <n v="600"/>
    <n v="300"/>
    <n v="300"/>
    <n v="0"/>
  </r>
  <r>
    <s v="Labradoodle"/>
    <x v="0"/>
    <n v="12"/>
    <s v="years"/>
    <n v="12"/>
    <s v="75lbs"/>
    <s v="75"/>
    <s v="lbs"/>
    <x v="0"/>
    <n v="75"/>
    <x v="1"/>
    <x v="7"/>
    <x v="0"/>
    <x v="2"/>
    <n v="600"/>
    <n v="400"/>
    <n v="200"/>
    <n v="0"/>
  </r>
  <r>
    <s v="Labrador retriever"/>
    <x v="0"/>
    <n v="15"/>
    <s v="years"/>
    <n v="15"/>
    <s v="75lbs"/>
    <s v="75"/>
    <s v="lbs"/>
    <x v="0"/>
    <n v="75"/>
    <x v="1"/>
    <x v="7"/>
    <x v="0"/>
    <x v="2"/>
    <n v="600"/>
    <n v="400"/>
    <n v="200"/>
    <n v="0"/>
  </r>
  <r>
    <s v="Ladybug"/>
    <x v="1"/>
    <n v="2"/>
    <s v="years"/>
    <n v="2"/>
    <s v=""/>
    <s v=""/>
    <s v=""/>
    <x v="0"/>
    <n v="0"/>
    <x v="5"/>
    <x v="7"/>
    <x v="0"/>
    <x v="2"/>
    <n v="600"/>
    <n v="500"/>
    <n v="100"/>
    <n v="3"/>
  </r>
  <r>
    <s v="Leaf tailed gecko"/>
    <x v="1"/>
    <n v="9"/>
    <s v="years"/>
    <n v="9"/>
    <s v="0.35oz"/>
    <s v="0.35"/>
    <s v="oz"/>
    <x v="0"/>
    <n v="2.1874999999999999E-2"/>
    <x v="1"/>
    <x v="7"/>
    <x v="1"/>
    <x v="2"/>
    <n v="600"/>
    <n v="500"/>
    <n v="100"/>
    <n v="0"/>
  </r>
  <r>
    <s v="Lemming"/>
    <x v="2"/>
    <n v="3"/>
    <s v="years"/>
    <n v="3"/>
    <s v="1.1oz"/>
    <s v="1.1"/>
    <s v="oz"/>
    <x v="0"/>
    <n v="6.8750000000000006E-2"/>
    <x v="1"/>
    <x v="7"/>
    <x v="0"/>
    <x v="2"/>
    <n v="600"/>
    <n v="300"/>
    <n v="300"/>
    <n v="0"/>
  </r>
  <r>
    <s v="Lemur"/>
    <x v="0"/>
    <n v="14"/>
    <s v="years"/>
    <n v="14"/>
    <s v="10lbs"/>
    <s v="10"/>
    <s v="lbs"/>
    <x v="0"/>
    <n v="10"/>
    <x v="1"/>
    <x v="7"/>
    <x v="0"/>
    <x v="2"/>
    <n v="600"/>
    <n v="400"/>
    <n v="200"/>
    <n v="0"/>
  </r>
  <r>
    <s v="Leopard"/>
    <x v="1"/>
    <n v="15"/>
    <s v="years"/>
    <n v="15"/>
    <s v="66lbs"/>
    <s v="66"/>
    <s v="lbs"/>
    <x v="0"/>
    <n v="66"/>
    <x v="1"/>
    <x v="7"/>
    <x v="0"/>
    <x v="2"/>
    <n v="600"/>
    <n v="500"/>
    <n v="100"/>
    <n v="0"/>
  </r>
  <r>
    <s v="Leopard seal"/>
    <x v="1"/>
    <n v="24"/>
    <s v="years"/>
    <n v="24"/>
    <s v="440lbs"/>
    <s v="440"/>
    <s v="lbs"/>
    <x v="0"/>
    <n v="440"/>
    <x v="4"/>
    <x v="3"/>
    <x v="0"/>
    <x v="2"/>
    <n v="700"/>
    <n v="500"/>
    <n v="200"/>
    <n v="0"/>
  </r>
  <r>
    <s v="Leopard tortoise"/>
    <x v="2"/>
    <n v="100"/>
    <s v="years"/>
    <n v="100"/>
    <s v="40lbs"/>
    <s v="40"/>
    <s v="lbs"/>
    <x v="3"/>
    <n v="40"/>
    <x v="1"/>
    <x v="6"/>
    <x v="0"/>
    <x v="2"/>
    <n v="350"/>
    <n v="300"/>
    <n v="50"/>
    <n v="0"/>
  </r>
  <r>
    <s v="Liger"/>
    <x v="1"/>
    <n v="22"/>
    <s v="years"/>
    <n v="22"/>
    <s v="882lbs"/>
    <s v="882"/>
    <s v="lbs"/>
    <x v="0"/>
    <n v="882"/>
    <x v="2"/>
    <x v="1"/>
    <x v="1"/>
    <x v="1"/>
    <n v="400"/>
    <n v="500"/>
    <n v="-100"/>
    <n v="0"/>
  </r>
  <r>
    <s v="Lion"/>
    <x v="1"/>
    <n v="15"/>
    <s v="years"/>
    <n v="15"/>
    <s v="264lbs"/>
    <s v="264"/>
    <s v="lbs"/>
    <x v="0"/>
    <n v="264"/>
    <x v="6"/>
    <x v="0"/>
    <x v="0"/>
    <x v="0"/>
    <n v="450"/>
    <n v="500"/>
    <n v="-50"/>
    <n v="0"/>
  </r>
  <r>
    <s v="Lionfish"/>
    <x v="1"/>
    <n v="18"/>
    <s v="years"/>
    <n v="18"/>
    <s v=""/>
    <s v=""/>
    <s v=""/>
    <x v="0"/>
    <n v="0"/>
    <x v="5"/>
    <x v="1"/>
    <x v="1"/>
    <x v="1"/>
    <n v="400"/>
    <n v="500"/>
    <n v="-100"/>
    <n v="3"/>
  </r>
  <r>
    <s v="Little penguin"/>
    <x v="1"/>
    <n v="20"/>
    <s v="years"/>
    <n v="20"/>
    <s v="2.2lbs"/>
    <s v="2.2"/>
    <s v="lbs"/>
    <x v="0"/>
    <n v="2.2000000000000002"/>
    <x v="1"/>
    <x v="1"/>
    <x v="0"/>
    <x v="1"/>
    <n v="400"/>
    <n v="500"/>
    <n v="-100"/>
    <n v="0"/>
  </r>
  <r>
    <s v="Lizard"/>
    <x v="0"/>
    <n v="30"/>
    <s v="years"/>
    <n v="30"/>
    <s v="100lbs"/>
    <s v="100"/>
    <s v="lbs"/>
    <x v="2"/>
    <n v="100"/>
    <x v="0"/>
    <x v="0"/>
    <x v="0"/>
    <x v="0"/>
    <n v="450"/>
    <n v="400"/>
    <n v="50"/>
    <n v="0"/>
  </r>
  <r>
    <s v="Llama"/>
    <x v="2"/>
    <n v="20"/>
    <s v="years"/>
    <n v="20"/>
    <s v="280lbs"/>
    <s v="280"/>
    <s v="lbs"/>
    <x v="0"/>
    <n v="280"/>
    <x v="6"/>
    <x v="7"/>
    <x v="0"/>
    <x v="2"/>
    <n v="600"/>
    <n v="300"/>
    <n v="300"/>
    <n v="0"/>
  </r>
  <r>
    <s v="Lobster"/>
    <x v="1"/>
    <n v="80"/>
    <s v="years"/>
    <n v="80"/>
    <s v="2.2lbs"/>
    <s v="2.2"/>
    <s v="lbs"/>
    <x v="4"/>
    <n v="2.2000000000000002"/>
    <x v="1"/>
    <x v="7"/>
    <x v="0"/>
    <x v="2"/>
    <n v="600"/>
    <n v="500"/>
    <n v="100"/>
    <n v="0"/>
  </r>
  <r>
    <s v="Long eared owl"/>
    <x v="1"/>
    <n v="60"/>
    <s v="years"/>
    <n v="60"/>
    <s v="3.5oz"/>
    <s v="3.5"/>
    <s v="oz"/>
    <x v="1"/>
    <n v="0.21875"/>
    <x v="1"/>
    <x v="3"/>
    <x v="0"/>
    <x v="2"/>
    <n v="700"/>
    <n v="500"/>
    <n v="200"/>
    <n v="0"/>
  </r>
  <r>
    <s v="Lynx"/>
    <x v="1"/>
    <n v="20"/>
    <s v="years"/>
    <n v="20"/>
    <s v="22lbs"/>
    <s v="22"/>
    <s v="lbs"/>
    <x v="0"/>
    <n v="22"/>
    <x v="1"/>
    <x v="3"/>
    <x v="0"/>
    <x v="2"/>
    <n v="700"/>
    <n v="500"/>
    <n v="200"/>
    <n v="0"/>
  </r>
  <r>
    <s v="Macaroni penguin"/>
    <x v="1"/>
    <n v="20"/>
    <s v="years"/>
    <n v="20"/>
    <s v="7lbs"/>
    <s v="7"/>
    <s v="lbs"/>
    <x v="0"/>
    <n v="7"/>
    <x v="1"/>
    <x v="0"/>
    <x v="0"/>
    <x v="0"/>
    <n v="450"/>
    <n v="500"/>
    <n v="-50"/>
    <n v="0"/>
  </r>
  <r>
    <s v="Macaw"/>
    <x v="0"/>
    <n v="60"/>
    <s v="years"/>
    <n v="60"/>
    <s v="2lbs"/>
    <s v="2"/>
    <s v="lbs"/>
    <x v="1"/>
    <n v="2"/>
    <x v="1"/>
    <x v="2"/>
    <x v="1"/>
    <x v="2"/>
    <n v="600"/>
    <n v="400"/>
    <n v="200"/>
    <n v="0"/>
  </r>
  <r>
    <s v="Magellanic penguin"/>
    <x v="1"/>
    <n v="20"/>
    <s v="years"/>
    <n v="20"/>
    <s v="5.9lbs"/>
    <s v="5.9"/>
    <s v="lbs"/>
    <x v="0"/>
    <n v="5.9"/>
    <x v="1"/>
    <x v="1"/>
    <x v="0"/>
    <x v="1"/>
    <n v="400"/>
    <n v="500"/>
    <n v="-100"/>
    <n v="0"/>
  </r>
  <r>
    <s v="Magpie"/>
    <x v="0"/>
    <n v="15"/>
    <s v="years"/>
    <n v="15"/>
    <s v="7oz"/>
    <s v="7"/>
    <s v="oz"/>
    <x v="0"/>
    <n v="0.4375"/>
    <x v="1"/>
    <x v="1"/>
    <x v="1"/>
    <x v="1"/>
    <n v="400"/>
    <n v="400"/>
    <n v="0"/>
    <n v="0"/>
  </r>
  <r>
    <s v="Maine coon"/>
    <x v="1"/>
    <n v="12"/>
    <s v="years"/>
    <n v="12"/>
    <s v="25lbs"/>
    <s v="25"/>
    <s v="lbs"/>
    <x v="0"/>
    <n v="25"/>
    <x v="1"/>
    <x v="1"/>
    <x v="1"/>
    <x v="1"/>
    <n v="400"/>
    <n v="500"/>
    <n v="-100"/>
    <n v="0"/>
  </r>
  <r>
    <s v="Malayan tiger"/>
    <x v="1"/>
    <n v="25"/>
    <s v="years"/>
    <n v="25"/>
    <s v="176lbs"/>
    <s v="176"/>
    <s v="lbs"/>
    <x v="2"/>
    <n v="176"/>
    <x v="0"/>
    <x v="1"/>
    <x v="0"/>
    <x v="1"/>
    <n v="400"/>
    <n v="500"/>
    <n v="-100"/>
    <n v="0"/>
  </r>
  <r>
    <s v="Maltese"/>
    <x v="1"/>
    <n v="17"/>
    <s v="years"/>
    <n v="17"/>
    <s v="7lbs"/>
    <s v="7"/>
    <s v="lbs"/>
    <x v="0"/>
    <n v="7"/>
    <x v="1"/>
    <x v="0"/>
    <x v="0"/>
    <x v="0"/>
    <n v="450"/>
    <n v="500"/>
    <n v="-50"/>
    <n v="0"/>
  </r>
  <r>
    <s v="Manatee"/>
    <x v="2"/>
    <n v="70"/>
    <s v="years"/>
    <n v="70"/>
    <s v="800lbs"/>
    <s v="800"/>
    <s v="lbs"/>
    <x v="1"/>
    <n v="800"/>
    <x v="2"/>
    <x v="1"/>
    <x v="0"/>
    <x v="1"/>
    <n v="400"/>
    <n v="300"/>
    <n v="100"/>
    <n v="0"/>
  </r>
  <r>
    <s v="Mandrill"/>
    <x v="0"/>
    <n v="28"/>
    <s v="years"/>
    <n v="28"/>
    <s v="25lbs"/>
    <s v="25"/>
    <s v="lbs"/>
    <x v="2"/>
    <n v="25"/>
    <x v="1"/>
    <x v="0"/>
    <x v="0"/>
    <x v="0"/>
    <n v="450"/>
    <n v="400"/>
    <n v="50"/>
    <n v="0"/>
  </r>
  <r>
    <s v="Manta ray"/>
    <x v="1"/>
    <n v="20"/>
    <s v="years"/>
    <n v="20"/>
    <s v=""/>
    <s v=""/>
    <s v=""/>
    <x v="0"/>
    <n v="0"/>
    <x v="5"/>
    <x v="1"/>
    <x v="1"/>
    <x v="1"/>
    <n v="400"/>
    <n v="500"/>
    <n v="-100"/>
    <n v="3"/>
  </r>
  <r>
    <s v="Marine toad"/>
    <x v="1"/>
    <n v="15"/>
    <s v="years"/>
    <n v="15"/>
    <s v="7oz"/>
    <s v="7"/>
    <s v="oz"/>
    <x v="0"/>
    <n v="0.4375"/>
    <x v="1"/>
    <x v="1"/>
    <x v="0"/>
    <x v="1"/>
    <n v="400"/>
    <n v="500"/>
    <n v="-100"/>
    <n v="0"/>
  </r>
  <r>
    <s v="Markhor"/>
    <x v="2"/>
    <n v="13"/>
    <s v="years"/>
    <n v="13"/>
    <s v="71lbs"/>
    <s v="71"/>
    <s v="lbs"/>
    <x v="0"/>
    <n v="71"/>
    <x v="1"/>
    <x v="1"/>
    <x v="0"/>
    <x v="1"/>
    <n v="400"/>
    <n v="300"/>
    <n v="100"/>
    <n v="0"/>
  </r>
  <r>
    <s v="Marsh frog"/>
    <x v="1"/>
    <n v="10"/>
    <s v="years"/>
    <n v="10"/>
    <s v="0.4oz"/>
    <s v="0.4"/>
    <s v="oz"/>
    <x v="0"/>
    <n v="2.5000000000000001E-2"/>
    <x v="1"/>
    <x v="0"/>
    <x v="0"/>
    <x v="0"/>
    <n v="450"/>
    <n v="500"/>
    <n v="-50"/>
    <n v="0"/>
  </r>
  <r>
    <s v="Mastiff"/>
    <x v="0"/>
    <n v="12"/>
    <s v="years"/>
    <n v="12"/>
    <s v="190lbs"/>
    <s v="190"/>
    <s v="lbs"/>
    <x v="0"/>
    <n v="190"/>
    <x v="0"/>
    <x v="1"/>
    <x v="0"/>
    <x v="1"/>
    <n v="400"/>
    <n v="400"/>
    <n v="0"/>
    <n v="0"/>
  </r>
  <r>
    <s v="Mayfly"/>
    <x v="0"/>
    <n v="2"/>
    <s v="months"/>
    <n v="0.16666666666666666"/>
    <s v=""/>
    <s v=""/>
    <s v=""/>
    <x v="0"/>
    <n v="0"/>
    <x v="5"/>
    <x v="1"/>
    <x v="1"/>
    <x v="1"/>
    <n v="400"/>
    <n v="400"/>
    <n v="0"/>
    <n v="3"/>
  </r>
  <r>
    <s v="Meerkat"/>
    <x v="1"/>
    <n v="14"/>
    <s v="years"/>
    <n v="14"/>
    <s v="1.3lbs"/>
    <s v="1.3"/>
    <s v="lbs"/>
    <x v="0"/>
    <n v="1.3"/>
    <x v="1"/>
    <x v="2"/>
    <x v="0"/>
    <x v="2"/>
    <n v="600"/>
    <n v="500"/>
    <n v="100"/>
    <n v="0"/>
  </r>
  <r>
    <s v="Millipede"/>
    <x v="0"/>
    <n v="7"/>
    <s v="years"/>
    <n v="7"/>
    <s v=""/>
    <s v=""/>
    <s v=""/>
    <x v="0"/>
    <n v="0"/>
    <x v="5"/>
    <x v="0"/>
    <x v="0"/>
    <x v="0"/>
    <n v="450"/>
    <n v="400"/>
    <n v="50"/>
    <n v="3"/>
  </r>
  <r>
    <s v="Minke whale"/>
    <x v="1"/>
    <n v="50"/>
    <s v="years"/>
    <n v="50"/>
    <s v="5lbs"/>
    <s v="5"/>
    <s v="lbs"/>
    <x v="1"/>
    <n v="5"/>
    <x v="1"/>
    <x v="0"/>
    <x v="1"/>
    <x v="0"/>
    <n v="450"/>
    <n v="500"/>
    <n v="-50"/>
    <n v="0"/>
  </r>
  <r>
    <s v="Mole"/>
    <x v="0"/>
    <n v="6"/>
    <s v="years"/>
    <n v="6"/>
    <s v="8.8lbs"/>
    <s v="8.8"/>
    <s v="lbs"/>
    <x v="0"/>
    <n v="8.8000000000000007"/>
    <x v="1"/>
    <x v="0"/>
    <x v="0"/>
    <x v="0"/>
    <n v="450"/>
    <n v="400"/>
    <n v="50"/>
    <n v="0"/>
  </r>
  <r>
    <s v="Molly"/>
    <x v="0"/>
    <n v="5"/>
    <s v="years"/>
    <n v="5"/>
    <s v=""/>
    <s v=""/>
    <s v=""/>
    <x v="0"/>
    <n v="0"/>
    <x v="5"/>
    <x v="1"/>
    <x v="1"/>
    <x v="1"/>
    <n v="400"/>
    <n v="400"/>
    <n v="0"/>
    <n v="3"/>
  </r>
  <r>
    <s v="Mongoose"/>
    <x v="0"/>
    <n v="15"/>
    <s v="years"/>
    <n v="15"/>
    <s v="0.7lbs"/>
    <s v="0.7"/>
    <s v="lbs"/>
    <x v="0"/>
    <n v="0.7"/>
    <x v="1"/>
    <x v="0"/>
    <x v="0"/>
    <x v="0"/>
    <n v="450"/>
    <n v="400"/>
    <n v="50"/>
    <n v="0"/>
  </r>
  <r>
    <s v="Monitor lizard"/>
    <x v="0"/>
    <n v="30"/>
    <s v="years"/>
    <n v="30"/>
    <s v="2.2lbs"/>
    <s v="2.2"/>
    <s v="lbs"/>
    <x v="2"/>
    <n v="2.2000000000000002"/>
    <x v="1"/>
    <x v="0"/>
    <x v="0"/>
    <x v="0"/>
    <n v="450"/>
    <n v="400"/>
    <n v="50"/>
    <n v="0"/>
  </r>
  <r>
    <s v="Monkey"/>
    <x v="0"/>
    <n v="30"/>
    <s v="years"/>
    <n v="30"/>
    <s v="60lbs"/>
    <s v="60"/>
    <s v="lbs"/>
    <x v="2"/>
    <n v="60"/>
    <x v="1"/>
    <x v="7"/>
    <x v="1"/>
    <x v="2"/>
    <n v="600"/>
    <n v="400"/>
    <n v="200"/>
    <n v="0"/>
  </r>
  <r>
    <s v="Moorhen"/>
    <x v="0"/>
    <n v="3"/>
    <s v="years"/>
    <n v="3"/>
    <s v="2.5oz"/>
    <s v="2.5"/>
    <s v="oz"/>
    <x v="0"/>
    <n v="0.15625"/>
    <x v="1"/>
    <x v="3"/>
    <x v="0"/>
    <x v="2"/>
    <n v="700"/>
    <n v="400"/>
    <n v="300"/>
    <n v="0"/>
  </r>
  <r>
    <s v="Moose"/>
    <x v="2"/>
    <n v="16"/>
    <s v="years"/>
    <n v="16"/>
    <s v="600lbs"/>
    <s v="600"/>
    <s v="lbs"/>
    <x v="0"/>
    <n v="600"/>
    <x v="2"/>
    <x v="0"/>
    <x v="0"/>
    <x v="0"/>
    <n v="450"/>
    <n v="300"/>
    <n v="150"/>
    <n v="0"/>
  </r>
  <r>
    <s v="Moray eel"/>
    <x v="1"/>
    <n v="30"/>
    <s v="years"/>
    <n v="30"/>
    <s v=""/>
    <s v=""/>
    <s v=""/>
    <x v="2"/>
    <n v="0"/>
    <x v="5"/>
    <x v="1"/>
    <x v="1"/>
    <x v="1"/>
    <n v="400"/>
    <n v="500"/>
    <n v="-100"/>
    <n v="3"/>
  </r>
  <r>
    <s v="Moth"/>
    <x v="2"/>
    <n v="40"/>
    <s v="days"/>
    <n v="40"/>
    <s v=""/>
    <s v=""/>
    <s v=""/>
    <x v="2"/>
    <n v="0"/>
    <x v="5"/>
    <x v="4"/>
    <x v="0"/>
    <x v="1"/>
    <n v="200"/>
    <n v="300"/>
    <n v="-100"/>
    <n v="3"/>
  </r>
  <r>
    <s v="Mountain gorilla"/>
    <x v="0"/>
    <n v="50"/>
    <s v="years"/>
    <n v="50"/>
    <s v="450lbs"/>
    <s v="450"/>
    <s v="lbs"/>
    <x v="1"/>
    <n v="450"/>
    <x v="4"/>
    <x v="0"/>
    <x v="0"/>
    <x v="0"/>
    <n v="450"/>
    <n v="400"/>
    <n v="50"/>
    <n v="0"/>
  </r>
  <r>
    <s v="Mountain lion"/>
    <x v="1"/>
    <n v="20"/>
    <s v="years"/>
    <n v="20"/>
    <s v="64lbs"/>
    <s v="64"/>
    <s v="lbs"/>
    <x v="0"/>
    <n v="64"/>
    <x v="1"/>
    <x v="4"/>
    <x v="0"/>
    <x v="1"/>
    <n v="200"/>
    <n v="500"/>
    <n v="-300"/>
    <n v="0"/>
  </r>
  <r>
    <s v="Mouse"/>
    <x v="2"/>
    <n v="5"/>
    <s v="years"/>
    <n v="5"/>
    <s v="0.2lbs"/>
    <s v="0.2"/>
    <s v="lbs"/>
    <x v="0"/>
    <n v="0.2"/>
    <x v="1"/>
    <x v="4"/>
    <x v="1"/>
    <x v="1"/>
    <n v="200"/>
    <n v="300"/>
    <n v="-100"/>
    <n v="0"/>
  </r>
  <r>
    <s v="Mule"/>
    <x v="2"/>
    <n v="20"/>
    <s v="years"/>
    <n v="20"/>
    <s v="771lbs"/>
    <s v="771"/>
    <s v="lbs"/>
    <x v="0"/>
    <n v="771"/>
    <x v="2"/>
    <x v="1"/>
    <x v="0"/>
    <x v="1"/>
    <n v="400"/>
    <n v="300"/>
    <n v="100"/>
    <n v="0"/>
  </r>
  <r>
    <s v="Neapolitan mastiff"/>
    <x v="0"/>
    <n v="10"/>
    <s v="years"/>
    <n v="10"/>
    <s v="165lbs"/>
    <s v="165"/>
    <s v="lbs"/>
    <x v="0"/>
    <n v="165"/>
    <x v="0"/>
    <x v="0"/>
    <x v="1"/>
    <x v="0"/>
    <n v="450"/>
    <n v="400"/>
    <n v="50"/>
    <n v="0"/>
  </r>
  <r>
    <s v="Newfoundland"/>
    <x v="0"/>
    <n v="10"/>
    <s v="years"/>
    <n v="10"/>
    <s v="130lbs"/>
    <s v="130"/>
    <s v="lbs"/>
    <x v="0"/>
    <n v="130"/>
    <x v="0"/>
    <x v="1"/>
    <x v="0"/>
    <x v="1"/>
    <n v="400"/>
    <n v="400"/>
    <n v="0"/>
    <n v="0"/>
  </r>
  <r>
    <s v="Newt"/>
    <x v="0"/>
    <n v="15"/>
    <s v="years"/>
    <n v="15"/>
    <s v="0.3lbs"/>
    <s v="0.3"/>
    <s v="lbs"/>
    <x v="0"/>
    <n v="0.3"/>
    <x v="1"/>
    <x v="1"/>
    <x v="0"/>
    <x v="1"/>
    <n v="400"/>
    <n v="400"/>
    <n v="0"/>
    <n v="0"/>
  </r>
  <r>
    <s v="Nightingale"/>
    <x v="0"/>
    <n v="3"/>
    <s v="years"/>
    <n v="3"/>
    <s v="0.5oz"/>
    <s v="0.5"/>
    <s v="oz"/>
    <x v="0"/>
    <n v="3.125E-2"/>
    <x v="1"/>
    <x v="7"/>
    <x v="0"/>
    <x v="2"/>
    <n v="600"/>
    <n v="400"/>
    <n v="200"/>
    <n v="0"/>
  </r>
  <r>
    <s v="Norfolk terrier"/>
    <x v="0"/>
    <n v="15"/>
    <s v="years"/>
    <n v="15"/>
    <s v="12lbs"/>
    <s v="12"/>
    <s v="lbs"/>
    <x v="0"/>
    <n v="12"/>
    <x v="1"/>
    <x v="1"/>
    <x v="0"/>
    <x v="1"/>
    <n v="400"/>
    <n v="400"/>
    <n v="0"/>
    <n v="0"/>
  </r>
  <r>
    <s v="Norwegian forest"/>
    <x v="1"/>
    <n v="15"/>
    <s v="years"/>
    <n v="15"/>
    <s v="22lbs"/>
    <s v="22"/>
    <s v="lbs"/>
    <x v="0"/>
    <n v="22"/>
    <x v="1"/>
    <x v="0"/>
    <x v="0"/>
    <x v="0"/>
    <n v="450"/>
    <n v="500"/>
    <n v="-50"/>
    <n v="0"/>
  </r>
  <r>
    <s v="Numbat"/>
    <x v="0"/>
    <n v="8"/>
    <s v="years"/>
    <n v="8"/>
    <s v="9.9lbs"/>
    <s v="9.9"/>
    <s v="lbs"/>
    <x v="0"/>
    <n v="9.9"/>
    <x v="1"/>
    <x v="0"/>
    <x v="0"/>
    <x v="0"/>
    <n v="450"/>
    <n v="400"/>
    <n v="50"/>
    <n v="0"/>
  </r>
  <r>
    <s v="Nurse shark"/>
    <x v="1"/>
    <n v="25"/>
    <s v="years"/>
    <n v="25"/>
    <s v="198lbs"/>
    <s v="198"/>
    <s v="lbs"/>
    <x v="2"/>
    <n v="198"/>
    <x v="0"/>
    <x v="0"/>
    <x v="1"/>
    <x v="0"/>
    <n v="450"/>
    <n v="500"/>
    <n v="-50"/>
    <n v="0"/>
  </r>
  <r>
    <s v="Ocelot"/>
    <x v="1"/>
    <n v="12"/>
    <s v="years"/>
    <n v="12"/>
    <s v="25lbs"/>
    <s v="25"/>
    <s v="lbs"/>
    <x v="0"/>
    <n v="25"/>
    <x v="1"/>
    <x v="1"/>
    <x v="1"/>
    <x v="1"/>
    <n v="400"/>
    <n v="500"/>
    <n v="-100"/>
    <n v="0"/>
  </r>
  <r>
    <s v="Octopus"/>
    <x v="0"/>
    <n v="15"/>
    <s v="years"/>
    <n v="15"/>
    <s v="11lbs"/>
    <s v="11"/>
    <s v="lbs"/>
    <x v="0"/>
    <n v="11"/>
    <x v="1"/>
    <x v="3"/>
    <x v="1"/>
    <x v="2"/>
    <n v="700"/>
    <n v="400"/>
    <n v="300"/>
    <n v="0"/>
  </r>
  <r>
    <s v="Okapi"/>
    <x v="2"/>
    <n v="30"/>
    <s v="years"/>
    <n v="30"/>
    <s v="440lbs"/>
    <s v="440"/>
    <s v="lbs"/>
    <x v="2"/>
    <n v="440"/>
    <x v="4"/>
    <x v="2"/>
    <x v="1"/>
    <x v="2"/>
    <n v="600"/>
    <n v="300"/>
    <n v="300"/>
    <n v="0"/>
  </r>
  <r>
    <s v="Old english sheepdog"/>
    <x v="0"/>
    <n v="12"/>
    <s v="years"/>
    <n v="12"/>
    <s v="66lbs"/>
    <s v="66"/>
    <s v="lbs"/>
    <x v="0"/>
    <n v="66"/>
    <x v="1"/>
    <x v="2"/>
    <x v="0"/>
    <x v="2"/>
    <n v="600"/>
    <n v="400"/>
    <n v="200"/>
    <n v="0"/>
  </r>
  <r>
    <s v="Opossum"/>
    <x v="0"/>
    <n v="7"/>
    <s v="years"/>
    <n v="7"/>
    <s v="1.1lbs"/>
    <s v="1.1"/>
    <s v="lbs"/>
    <x v="0"/>
    <n v="1.1000000000000001"/>
    <x v="1"/>
    <x v="0"/>
    <x v="0"/>
    <x v="0"/>
    <n v="450"/>
    <n v="400"/>
    <n v="50"/>
    <n v="0"/>
  </r>
  <r>
    <s v="Orangutan"/>
    <x v="0"/>
    <n v="40"/>
    <s v="years"/>
    <n v="40"/>
    <s v="66lbs"/>
    <s v="66"/>
    <s v="lbs"/>
    <x v="2"/>
    <n v="66"/>
    <x v="1"/>
    <x v="2"/>
    <x v="0"/>
    <x v="2"/>
    <n v="600"/>
    <n v="400"/>
    <n v="200"/>
    <n v="0"/>
  </r>
  <r>
    <s v="Ostrich"/>
    <x v="0"/>
    <n v="70"/>
    <s v="years"/>
    <n v="70"/>
    <s v="140lbs"/>
    <s v="140"/>
    <s v="lbs"/>
    <x v="1"/>
    <n v="140"/>
    <x v="0"/>
    <x v="1"/>
    <x v="0"/>
    <x v="1"/>
    <n v="400"/>
    <n v="400"/>
    <n v="0"/>
    <n v="0"/>
  </r>
  <r>
    <s v="Otter"/>
    <x v="1"/>
    <n v="25"/>
    <s v="years"/>
    <n v="25"/>
    <s v="10lbs"/>
    <s v="10"/>
    <s v="lbs"/>
    <x v="2"/>
    <n v="10"/>
    <x v="1"/>
    <x v="1"/>
    <x v="0"/>
    <x v="1"/>
    <n v="400"/>
    <n v="500"/>
    <n v="-100"/>
    <n v="0"/>
  </r>
  <r>
    <s v="Oyster"/>
    <x v="0"/>
    <n v="3"/>
    <s v="years"/>
    <n v="3"/>
    <s v="1.7oz"/>
    <s v="1.7"/>
    <s v="oz"/>
    <x v="0"/>
    <n v="0.10625"/>
    <x v="1"/>
    <x v="1"/>
    <x v="0"/>
    <x v="1"/>
    <n v="400"/>
    <n v="400"/>
    <n v="0"/>
    <n v="0"/>
  </r>
  <r>
    <s v="Pademelon"/>
    <x v="2"/>
    <n v="8"/>
    <s v="years"/>
    <n v="8"/>
    <s v="7.7lbs"/>
    <s v="7.7"/>
    <s v="lbs"/>
    <x v="0"/>
    <n v="7.7"/>
    <x v="1"/>
    <x v="2"/>
    <x v="0"/>
    <x v="2"/>
    <n v="600"/>
    <n v="300"/>
    <n v="300"/>
    <n v="0"/>
  </r>
  <r>
    <s v="Panther"/>
    <x v="1"/>
    <n v="15"/>
    <s v="years"/>
    <n v="15"/>
    <s v="79lbs"/>
    <s v="79"/>
    <s v="lbs"/>
    <x v="0"/>
    <n v="79"/>
    <x v="1"/>
    <x v="1"/>
    <x v="0"/>
    <x v="1"/>
    <n v="400"/>
    <n v="500"/>
    <n v="-100"/>
    <n v="0"/>
  </r>
  <r>
    <s v="Parrot"/>
    <x v="0"/>
    <n v="80"/>
    <s v="years"/>
    <n v="80"/>
    <s v="0.02lbs"/>
    <s v="0.02"/>
    <s v="lbs"/>
    <x v="4"/>
    <n v="0.02"/>
    <x v="1"/>
    <x v="3"/>
    <x v="1"/>
    <x v="2"/>
    <n v="700"/>
    <n v="400"/>
    <n v="300"/>
    <n v="0"/>
  </r>
  <r>
    <s v="Peacock"/>
    <x v="0"/>
    <n v="20"/>
    <s v="years"/>
    <n v="20"/>
    <s v="6lbs"/>
    <s v="6"/>
    <s v="lbs"/>
    <x v="0"/>
    <n v="6"/>
    <x v="1"/>
    <x v="0"/>
    <x v="0"/>
    <x v="0"/>
    <n v="450"/>
    <n v="400"/>
    <n v="50"/>
    <n v="0"/>
  </r>
  <r>
    <s v="Pekingese"/>
    <x v="0"/>
    <n v="13"/>
    <s v="years"/>
    <n v="13"/>
    <s v="14lbs"/>
    <s v="14"/>
    <s v="lbs"/>
    <x v="0"/>
    <n v="14"/>
    <x v="1"/>
    <x v="0"/>
    <x v="0"/>
    <x v="0"/>
    <n v="450"/>
    <n v="400"/>
    <n v="50"/>
    <n v="0"/>
  </r>
  <r>
    <s v="Pelican"/>
    <x v="0"/>
    <n v="23"/>
    <s v="years"/>
    <n v="23"/>
    <s v="6lbs"/>
    <s v="6"/>
    <s v="lbs"/>
    <x v="0"/>
    <n v="6"/>
    <x v="1"/>
    <x v="1"/>
    <x v="0"/>
    <x v="1"/>
    <n v="400"/>
    <n v="400"/>
    <n v="0"/>
    <n v="0"/>
  </r>
  <r>
    <s v="Penguin"/>
    <x v="0"/>
    <n v="30"/>
    <s v="years"/>
    <n v="30"/>
    <s v="2.2lbs"/>
    <s v="2.2"/>
    <s v="lbs"/>
    <x v="2"/>
    <n v="2.2000000000000002"/>
    <x v="1"/>
    <x v="0"/>
    <x v="0"/>
    <x v="0"/>
    <n v="450"/>
    <n v="400"/>
    <n v="50"/>
    <n v="0"/>
  </r>
  <r>
    <s v="Persian"/>
    <x v="1"/>
    <n v="19"/>
    <s v="years"/>
    <n v="19"/>
    <s v="10lbs"/>
    <s v="10"/>
    <s v="lbs"/>
    <x v="0"/>
    <n v="10"/>
    <x v="1"/>
    <x v="1"/>
    <x v="0"/>
    <x v="1"/>
    <n v="400"/>
    <n v="500"/>
    <n v="-100"/>
    <n v="0"/>
  </r>
  <r>
    <s v="Pheasant"/>
    <x v="0"/>
    <n v="10"/>
    <s v="years"/>
    <n v="10"/>
    <s v="1.9lbs"/>
    <s v="1.9"/>
    <s v="lbs"/>
    <x v="0"/>
    <n v="1.9"/>
    <x v="1"/>
    <x v="0"/>
    <x v="1"/>
    <x v="0"/>
    <n v="450"/>
    <n v="400"/>
    <n v="50"/>
    <n v="0"/>
  </r>
  <r>
    <s v="Pig"/>
    <x v="0"/>
    <n v="15"/>
    <s v="years"/>
    <n v="15"/>
    <s v="66lbs"/>
    <s v="66"/>
    <s v="lbs"/>
    <x v="0"/>
    <n v="66"/>
    <x v="1"/>
    <x v="5"/>
    <x v="1"/>
    <x v="2"/>
    <n v="450"/>
    <n v="400"/>
    <n v="50"/>
    <n v="0"/>
  </r>
  <r>
    <s v="Pika"/>
    <x v="2"/>
    <n v="6"/>
    <s v="years"/>
    <n v="6"/>
    <s v="2.6lbs"/>
    <s v="2.6"/>
    <s v="lbs"/>
    <x v="0"/>
    <n v="2.6"/>
    <x v="1"/>
    <x v="3"/>
    <x v="0"/>
    <x v="2"/>
    <n v="700"/>
    <n v="300"/>
    <n v="400"/>
    <n v="0"/>
  </r>
  <r>
    <s v="Pike"/>
    <x v="1"/>
    <n v="15"/>
    <s v="years"/>
    <n v="15"/>
    <s v=""/>
    <s v=""/>
    <s v=""/>
    <x v="0"/>
    <n v="0"/>
    <x v="5"/>
    <x v="1"/>
    <x v="0"/>
    <x v="1"/>
    <n v="400"/>
    <n v="500"/>
    <n v="-100"/>
    <n v="3"/>
  </r>
  <r>
    <s v="Piranha"/>
    <x v="0"/>
    <n v="25"/>
    <s v="years"/>
    <n v="25"/>
    <s v=""/>
    <s v=""/>
    <s v=""/>
    <x v="2"/>
    <n v="0"/>
    <x v="5"/>
    <x v="6"/>
    <x v="0"/>
    <x v="2"/>
    <n v="350"/>
    <n v="400"/>
    <n v="-50"/>
    <n v="3"/>
  </r>
  <r>
    <s v="Platypus"/>
    <x v="1"/>
    <n v="12"/>
    <s v="years"/>
    <n v="12"/>
    <s v="1.5lbs"/>
    <s v="1.5"/>
    <s v="lbs"/>
    <x v="0"/>
    <n v="1.5"/>
    <x v="1"/>
    <x v="2"/>
    <x v="0"/>
    <x v="2"/>
    <n v="600"/>
    <n v="500"/>
    <n v="100"/>
    <n v="0"/>
  </r>
  <r>
    <s v="Pointer"/>
    <x v="0"/>
    <n v="13"/>
    <s v="years"/>
    <n v="13"/>
    <s v="66lbs"/>
    <s v="66"/>
    <s v="lbs"/>
    <x v="0"/>
    <n v="66"/>
    <x v="1"/>
    <x v="7"/>
    <x v="1"/>
    <x v="2"/>
    <n v="600"/>
    <n v="400"/>
    <n v="200"/>
    <n v="0"/>
  </r>
  <r>
    <s v="Poison dart frog"/>
    <x v="1"/>
    <n v="4"/>
    <s v="years"/>
    <n v="4"/>
    <s v="0.07lbs"/>
    <s v="0.07"/>
    <s v="lbs"/>
    <x v="0"/>
    <n v="7.0000000000000007E-2"/>
    <x v="1"/>
    <x v="7"/>
    <x v="0"/>
    <x v="2"/>
    <n v="600"/>
    <n v="500"/>
    <n v="100"/>
    <n v="0"/>
  </r>
  <r>
    <s v="Polar bear"/>
    <x v="1"/>
    <n v="30"/>
    <s v="years"/>
    <n v="30"/>
    <s v="330lbs"/>
    <s v="330"/>
    <s v="lbs"/>
    <x v="2"/>
    <n v="330"/>
    <x v="3"/>
    <x v="7"/>
    <x v="1"/>
    <x v="2"/>
    <n v="600"/>
    <n v="500"/>
    <n v="100"/>
    <n v="0"/>
  </r>
  <r>
    <s v="Pond skater"/>
    <x v="2"/>
    <n v="6"/>
    <s v="months"/>
    <n v="0.5"/>
    <s v="0.004oz"/>
    <s v="0.004"/>
    <s v="oz"/>
    <x v="0"/>
    <n v="2.5000000000000001E-4"/>
    <x v="1"/>
    <x v="5"/>
    <x v="0"/>
    <x v="2"/>
    <n v="450"/>
    <n v="300"/>
    <n v="150"/>
    <n v="0"/>
  </r>
  <r>
    <s v="Poodle"/>
    <x v="0"/>
    <n v="16"/>
    <s v="years"/>
    <n v="16"/>
    <s v="66lbs"/>
    <s v="66"/>
    <s v="lbs"/>
    <x v="0"/>
    <n v="66"/>
    <x v="1"/>
    <x v="2"/>
    <x v="0"/>
    <x v="2"/>
    <n v="600"/>
    <n v="400"/>
    <n v="200"/>
    <n v="0"/>
  </r>
  <r>
    <s v="Pool frog"/>
    <x v="1"/>
    <n v="6"/>
    <s v="years"/>
    <n v="6"/>
    <s v="0.7oz"/>
    <s v="0.7"/>
    <s v="oz"/>
    <x v="0"/>
    <n v="4.3749999999999997E-2"/>
    <x v="1"/>
    <x v="0"/>
    <x v="0"/>
    <x v="0"/>
    <n v="450"/>
    <n v="500"/>
    <n v="-50"/>
    <n v="0"/>
  </r>
  <r>
    <s v="Porcupine"/>
    <x v="0"/>
    <n v="12"/>
    <s v="years"/>
    <n v="12"/>
    <s v="12lbs"/>
    <s v="12"/>
    <s v="lbs"/>
    <x v="0"/>
    <n v="12"/>
    <x v="1"/>
    <x v="2"/>
    <x v="0"/>
    <x v="2"/>
    <n v="600"/>
    <n v="400"/>
    <n v="200"/>
    <n v="0"/>
  </r>
  <r>
    <s v="Prawn"/>
    <x v="0"/>
    <n v="4"/>
    <s v="years"/>
    <n v="4"/>
    <s v=""/>
    <s v=""/>
    <s v=""/>
    <x v="0"/>
    <n v="0"/>
    <x v="5"/>
    <x v="0"/>
    <x v="0"/>
    <x v="0"/>
    <n v="450"/>
    <n v="400"/>
    <n v="50"/>
    <n v="3"/>
  </r>
  <r>
    <s v="Proboscis monkey"/>
    <x v="0"/>
    <n v="20"/>
    <s v="years"/>
    <n v="20"/>
    <s v="15lbs"/>
    <s v="15"/>
    <s v="lbs"/>
    <x v="0"/>
    <n v="15"/>
    <x v="1"/>
    <x v="1"/>
    <x v="0"/>
    <x v="1"/>
    <n v="400"/>
    <n v="400"/>
    <n v="0"/>
    <n v="0"/>
  </r>
  <r>
    <s v="Puffer fish"/>
    <x v="0"/>
    <n v="8"/>
    <s v="years"/>
    <n v="8"/>
    <s v=""/>
    <s v=""/>
    <s v=""/>
    <x v="0"/>
    <n v="0"/>
    <x v="5"/>
    <x v="7"/>
    <x v="0"/>
    <x v="2"/>
    <n v="600"/>
    <n v="400"/>
    <n v="200"/>
    <n v="3"/>
  </r>
  <r>
    <s v="Puffin"/>
    <x v="1"/>
    <n v="30"/>
    <s v="years"/>
    <n v="30"/>
    <s v="13oz"/>
    <s v="13"/>
    <s v="oz"/>
    <x v="2"/>
    <n v="0.8125"/>
    <x v="1"/>
    <x v="2"/>
    <x v="0"/>
    <x v="2"/>
    <n v="600"/>
    <n v="500"/>
    <n v="100"/>
    <n v="0"/>
  </r>
  <r>
    <s v="Pug"/>
    <x v="0"/>
    <n v="14"/>
    <s v="years"/>
    <n v="14"/>
    <s v="18lbs"/>
    <s v="18"/>
    <s v="lbs"/>
    <x v="0"/>
    <n v="18"/>
    <x v="1"/>
    <x v="0"/>
    <x v="0"/>
    <x v="0"/>
    <n v="450"/>
    <n v="400"/>
    <n v="50"/>
    <n v="0"/>
  </r>
  <r>
    <s v="Puma"/>
    <x v="1"/>
    <n v="15"/>
    <s v="years"/>
    <n v="15"/>
    <s v="148lbs"/>
    <s v="148"/>
    <s v="lbs"/>
    <x v="0"/>
    <n v="148"/>
    <x v="0"/>
    <x v="3"/>
    <x v="0"/>
    <x v="2"/>
    <n v="700"/>
    <n v="500"/>
    <n v="200"/>
    <n v="0"/>
  </r>
  <r>
    <s v="Purple emperor"/>
    <x v="0"/>
    <n v="6"/>
    <s v="months"/>
    <n v="0.5"/>
    <s v=""/>
    <s v=""/>
    <s v=""/>
    <x v="0"/>
    <n v="0"/>
    <x v="5"/>
    <x v="1"/>
    <x v="0"/>
    <x v="1"/>
    <n v="400"/>
    <n v="400"/>
    <n v="0"/>
    <n v="3"/>
  </r>
  <r>
    <s v="Puss moth"/>
    <x v="0"/>
    <n v="5"/>
    <s v="months"/>
    <n v="0.41666666666666669"/>
    <s v=""/>
    <s v=""/>
    <s v=""/>
    <x v="0"/>
    <n v="0"/>
    <x v="5"/>
    <x v="1"/>
    <x v="0"/>
    <x v="1"/>
    <n v="400"/>
    <n v="400"/>
    <n v="0"/>
    <n v="3"/>
  </r>
  <r>
    <s v="Pygmy hippopotamus"/>
    <x v="2"/>
    <n v="40"/>
    <s v="years"/>
    <n v="40"/>
    <s v="350lbs"/>
    <s v="350"/>
    <s v="lbs"/>
    <x v="2"/>
    <n v="350"/>
    <x v="3"/>
    <x v="2"/>
    <x v="0"/>
    <x v="2"/>
    <n v="600"/>
    <n v="300"/>
    <n v="300"/>
    <n v="0"/>
  </r>
  <r>
    <s v="Pygmy marmoset"/>
    <x v="0"/>
    <n v="12"/>
    <s v="years"/>
    <n v="12"/>
    <s v="4.2lbs"/>
    <s v="4.2"/>
    <s v="lbs"/>
    <x v="0"/>
    <n v="4.2"/>
    <x v="1"/>
    <x v="1"/>
    <x v="1"/>
    <x v="1"/>
    <n v="400"/>
    <n v="400"/>
    <n v="0"/>
    <n v="0"/>
  </r>
  <r>
    <s v="Quail"/>
    <x v="0"/>
    <n v="5"/>
    <s v="years"/>
    <n v="5"/>
    <s v="2.4oz"/>
    <s v="2.4"/>
    <s v="oz"/>
    <x v="0"/>
    <n v="0.15"/>
    <x v="1"/>
    <x v="3"/>
    <x v="0"/>
    <x v="2"/>
    <n v="700"/>
    <n v="400"/>
    <n v="300"/>
    <n v="0"/>
  </r>
  <r>
    <s v="Quetzal"/>
    <x v="0"/>
    <n v="25"/>
    <s v="years"/>
    <n v="25"/>
    <s v="7oz"/>
    <s v="7"/>
    <s v="oz"/>
    <x v="2"/>
    <n v="0.4375"/>
    <x v="1"/>
    <x v="0"/>
    <x v="0"/>
    <x v="0"/>
    <n v="450"/>
    <n v="400"/>
    <n v="50"/>
    <n v="0"/>
  </r>
  <r>
    <s v="Quokka"/>
    <x v="2"/>
    <n v="10"/>
    <s v="years"/>
    <n v="10"/>
    <s v="3.3lbs"/>
    <s v="3.3"/>
    <s v="lbs"/>
    <x v="0"/>
    <n v="3.3"/>
    <x v="1"/>
    <x v="5"/>
    <x v="1"/>
    <x v="2"/>
    <n v="450"/>
    <n v="300"/>
    <n v="150"/>
    <n v="0"/>
  </r>
  <r>
    <s v="Rabbit"/>
    <x v="2"/>
    <n v="8"/>
    <s v="years"/>
    <n v="8"/>
    <s v="1.1lbs"/>
    <s v="1.1"/>
    <s v="lbs"/>
    <x v="0"/>
    <n v="1.1000000000000001"/>
    <x v="1"/>
    <x v="1"/>
    <x v="0"/>
    <x v="1"/>
    <n v="400"/>
    <n v="300"/>
    <n v="100"/>
    <n v="0"/>
  </r>
  <r>
    <s v="Raccoon"/>
    <x v="0"/>
    <n v="16"/>
    <s v="years"/>
    <n v="16"/>
    <s v="7.7lbs"/>
    <s v="7.7"/>
    <s v="lbs"/>
    <x v="0"/>
    <n v="7.7"/>
    <x v="1"/>
    <x v="4"/>
    <x v="0"/>
    <x v="1"/>
    <n v="200"/>
    <n v="400"/>
    <n v="-200"/>
    <n v="0"/>
  </r>
  <r>
    <s v="Raccoon dog"/>
    <x v="1"/>
    <n v="8"/>
    <s v="years"/>
    <n v="8"/>
    <s v="6.6lbs"/>
    <s v="6.6"/>
    <s v="lbs"/>
    <x v="0"/>
    <n v="6.6"/>
    <x v="1"/>
    <x v="1"/>
    <x v="0"/>
    <x v="1"/>
    <n v="400"/>
    <n v="500"/>
    <n v="-100"/>
    <n v="0"/>
  </r>
  <r>
    <s v="Ragdoll"/>
    <x v="1"/>
    <n v="14"/>
    <s v="years"/>
    <n v="14"/>
    <s v="35lbs"/>
    <s v="35"/>
    <s v="lbs"/>
    <x v="0"/>
    <n v="35"/>
    <x v="1"/>
    <x v="1"/>
    <x v="0"/>
    <x v="1"/>
    <n v="400"/>
    <n v="500"/>
    <n v="-100"/>
    <n v="0"/>
  </r>
  <r>
    <s v="Rat"/>
    <x v="0"/>
    <n v="5"/>
    <s v="years"/>
    <n v="5"/>
    <s v="0.4lbs"/>
    <s v="0.4"/>
    <s v="lbs"/>
    <x v="0"/>
    <n v="0.4"/>
    <x v="1"/>
    <x v="1"/>
    <x v="0"/>
    <x v="1"/>
    <n v="400"/>
    <n v="400"/>
    <n v="0"/>
    <n v="0"/>
  </r>
  <r>
    <s v="Red handed tamarin"/>
    <x v="0"/>
    <n v="15"/>
    <s v="years"/>
    <n v="15"/>
    <s v="7.7oz"/>
    <s v="7.7"/>
    <s v="oz"/>
    <x v="0"/>
    <n v="0.48125000000000001"/>
    <x v="1"/>
    <x v="1"/>
    <x v="0"/>
    <x v="1"/>
    <n v="400"/>
    <n v="400"/>
    <n v="0"/>
    <n v="0"/>
  </r>
  <r>
    <s v="Red knee tarantula"/>
    <x v="1"/>
    <n v="30"/>
    <s v="years"/>
    <n v="30"/>
    <s v="0.5lbs"/>
    <s v="0.5"/>
    <s v="lbs"/>
    <x v="2"/>
    <n v="0.5"/>
    <x v="1"/>
    <x v="0"/>
    <x v="0"/>
    <x v="0"/>
    <n v="450"/>
    <n v="500"/>
    <n v="-50"/>
    <n v="0"/>
  </r>
  <r>
    <s v="Red panda"/>
    <x v="0"/>
    <n v="12"/>
    <s v="years"/>
    <n v="12"/>
    <s v="7lbs"/>
    <s v="7"/>
    <s v="lbs"/>
    <x v="0"/>
    <n v="7"/>
    <x v="1"/>
    <x v="6"/>
    <x v="0"/>
    <x v="2"/>
    <n v="350"/>
    <n v="400"/>
    <n v="-50"/>
    <n v="0"/>
  </r>
  <r>
    <s v="Red wolf"/>
    <x v="1"/>
    <n v="12"/>
    <s v="years"/>
    <n v="12"/>
    <s v="40lbs"/>
    <s v="40"/>
    <s v="lbs"/>
    <x v="0"/>
    <n v="40"/>
    <x v="1"/>
    <x v="5"/>
    <x v="0"/>
    <x v="2"/>
    <n v="450"/>
    <n v="500"/>
    <n v="-50"/>
    <n v="0"/>
  </r>
  <r>
    <s v="Reindeer"/>
    <x v="2"/>
    <n v="15"/>
    <s v="years"/>
    <n v="15"/>
    <s v="132lbs"/>
    <s v="132"/>
    <s v="lbs"/>
    <x v="0"/>
    <n v="132"/>
    <x v="0"/>
    <x v="1"/>
    <x v="0"/>
    <x v="1"/>
    <n v="400"/>
    <n v="300"/>
    <n v="100"/>
    <n v="0"/>
  </r>
  <r>
    <s v="Rhino"/>
    <x v="2"/>
    <n v="50"/>
    <s v="years"/>
    <n v="50"/>
    <s v="1,765lbs"/>
    <s v="1,765"/>
    <s v="lbs"/>
    <x v="1"/>
    <n v="1765"/>
    <x v="2"/>
    <x v="0"/>
    <x v="0"/>
    <x v="0"/>
    <n v="450"/>
    <n v="300"/>
    <n v="150"/>
    <n v="0"/>
  </r>
  <r>
    <s v="River dolphin"/>
    <x v="1"/>
    <n v="18"/>
    <s v="years"/>
    <n v="18"/>
    <s v="220lbs"/>
    <s v="220"/>
    <s v="lbs"/>
    <x v="0"/>
    <n v="220"/>
    <x v="6"/>
    <x v="0"/>
    <x v="0"/>
    <x v="0"/>
    <n v="450"/>
    <n v="500"/>
    <n v="-50"/>
    <n v="0"/>
  </r>
  <r>
    <s v="River turtle"/>
    <x v="0"/>
    <n v="30"/>
    <s v="years"/>
    <n v="30"/>
    <s v="1.1lbs"/>
    <s v="1.1"/>
    <s v="lbs"/>
    <x v="2"/>
    <n v="1.1000000000000001"/>
    <x v="1"/>
    <x v="6"/>
    <x v="1"/>
    <x v="2"/>
    <n v="350"/>
    <n v="400"/>
    <n v="-50"/>
    <n v="0"/>
  </r>
  <r>
    <s v="Robin"/>
    <x v="0"/>
    <n v="3"/>
    <s v="years"/>
    <n v="3"/>
    <s v="0.5oz"/>
    <s v="0.5"/>
    <s v="oz"/>
    <x v="0"/>
    <n v="3.125E-2"/>
    <x v="1"/>
    <x v="2"/>
    <x v="1"/>
    <x v="2"/>
    <n v="600"/>
    <n v="400"/>
    <n v="200"/>
    <n v="0"/>
  </r>
  <r>
    <s v="Rock hyrax"/>
    <x v="0"/>
    <n v="12"/>
    <s v="years"/>
    <n v="12"/>
    <s v="6.6lbs"/>
    <s v="6.6"/>
    <s v="lbs"/>
    <x v="0"/>
    <n v="6.6"/>
    <x v="1"/>
    <x v="7"/>
    <x v="1"/>
    <x v="2"/>
    <n v="600"/>
    <n v="400"/>
    <n v="200"/>
    <n v="0"/>
  </r>
  <r>
    <s v="Rockhopper penguin"/>
    <x v="1"/>
    <n v="20"/>
    <s v="years"/>
    <n v="20"/>
    <s v="4.4lbs"/>
    <s v="4.4"/>
    <s v="lbs"/>
    <x v="0"/>
    <n v="4.4000000000000004"/>
    <x v="1"/>
    <x v="1"/>
    <x v="0"/>
    <x v="1"/>
    <n v="400"/>
    <n v="500"/>
    <n v="-100"/>
    <n v="0"/>
  </r>
  <r>
    <s v="Roseate spoonbill"/>
    <x v="0"/>
    <n v="15"/>
    <s v="years"/>
    <n v="15"/>
    <s v="2.6lbs"/>
    <s v="2.6"/>
    <s v="lbs"/>
    <x v="0"/>
    <n v="2.6"/>
    <x v="1"/>
    <x v="0"/>
    <x v="0"/>
    <x v="0"/>
    <n v="450"/>
    <n v="400"/>
    <n v="50"/>
    <n v="0"/>
  </r>
  <r>
    <s v="Rottweiler"/>
    <x v="0"/>
    <n v="9"/>
    <s v="years"/>
    <n v="9"/>
    <s v="110lbs"/>
    <s v="110"/>
    <s v="lbs"/>
    <x v="0"/>
    <n v="110"/>
    <x v="0"/>
    <x v="2"/>
    <x v="1"/>
    <x v="2"/>
    <n v="600"/>
    <n v="400"/>
    <n v="200"/>
    <n v="0"/>
  </r>
  <r>
    <s v="Russian blue"/>
    <x v="1"/>
    <n v="14"/>
    <s v="years"/>
    <n v="14"/>
    <s v="10lbs"/>
    <s v="10"/>
    <s v="lbs"/>
    <x v="0"/>
    <n v="10"/>
    <x v="1"/>
    <x v="1"/>
    <x v="0"/>
    <x v="1"/>
    <n v="400"/>
    <n v="500"/>
    <n v="-100"/>
    <n v="0"/>
  </r>
  <r>
    <s v="Saint bernard"/>
    <x v="0"/>
    <n v="10"/>
    <s v="years"/>
    <n v="10"/>
    <s v="200lbs"/>
    <s v="200"/>
    <s v="lbs"/>
    <x v="0"/>
    <n v="200"/>
    <x v="6"/>
    <x v="1"/>
    <x v="0"/>
    <x v="1"/>
    <n v="400"/>
    <n v="400"/>
    <n v="0"/>
    <n v="0"/>
  </r>
  <r>
    <s v="Salamander"/>
    <x v="1"/>
    <n v="20"/>
    <s v="years"/>
    <n v="20"/>
    <s v="0.2lbs"/>
    <s v="0.2"/>
    <s v="lbs"/>
    <x v="0"/>
    <n v="0.2"/>
    <x v="1"/>
    <x v="0"/>
    <x v="0"/>
    <x v="0"/>
    <n v="450"/>
    <n v="500"/>
    <n v="-50"/>
    <n v="0"/>
  </r>
  <r>
    <s v="Sand lizard"/>
    <x v="1"/>
    <n v="8"/>
    <s v="years"/>
    <n v="8"/>
    <s v="0.35oz"/>
    <s v="0.35"/>
    <s v="oz"/>
    <x v="0"/>
    <n v="2.1874999999999999E-2"/>
    <x v="1"/>
    <x v="0"/>
    <x v="0"/>
    <x v="0"/>
    <n v="450"/>
    <n v="500"/>
    <n v="-50"/>
    <n v="0"/>
  </r>
  <r>
    <s v="Scorpion"/>
    <x v="1"/>
    <n v="25"/>
    <s v="years"/>
    <n v="25"/>
    <s v="0.4lbs"/>
    <s v="0.4"/>
    <s v="lbs"/>
    <x v="2"/>
    <n v="0.4"/>
    <x v="1"/>
    <x v="0"/>
    <x v="0"/>
    <x v="0"/>
    <n v="450"/>
    <n v="500"/>
    <n v="-50"/>
    <n v="0"/>
  </r>
  <r>
    <s v="Scorpion fish"/>
    <x v="0"/>
    <n v="15"/>
    <s v="years"/>
    <n v="15"/>
    <s v=""/>
    <s v=""/>
    <s v=""/>
    <x v="0"/>
    <n v="0"/>
    <x v="5"/>
    <x v="3"/>
    <x v="1"/>
    <x v="2"/>
    <n v="700"/>
    <n v="400"/>
    <n v="300"/>
    <n v="3"/>
  </r>
  <r>
    <s v="Sea lion"/>
    <x v="0"/>
    <n v="22"/>
    <s v="years"/>
    <n v="22"/>
    <s v="660lbs"/>
    <s v="660"/>
    <s v="lbs"/>
    <x v="0"/>
    <n v="660"/>
    <x v="2"/>
    <x v="3"/>
    <x v="0"/>
    <x v="2"/>
    <n v="700"/>
    <n v="400"/>
    <n v="300"/>
    <n v="0"/>
  </r>
  <r>
    <s v="Sea otter"/>
    <x v="0"/>
    <n v="15"/>
    <s v="years"/>
    <n v="15"/>
    <s v="30lbs"/>
    <s v="30"/>
    <s v="lbs"/>
    <x v="0"/>
    <n v="30"/>
    <x v="1"/>
    <x v="0"/>
    <x v="0"/>
    <x v="0"/>
    <n v="450"/>
    <n v="400"/>
    <n v="50"/>
    <n v="0"/>
  </r>
  <r>
    <s v="Sea slug"/>
    <x v="2"/>
    <n v="4"/>
    <s v="years"/>
    <n v="4"/>
    <s v=""/>
    <s v=""/>
    <s v=""/>
    <x v="0"/>
    <n v="0"/>
    <x v="5"/>
    <x v="0"/>
    <x v="0"/>
    <x v="0"/>
    <n v="450"/>
    <n v="300"/>
    <n v="150"/>
    <n v="3"/>
  </r>
  <r>
    <s v="Sea squirt"/>
    <x v="0"/>
    <n v="30"/>
    <s v="years"/>
    <n v="30"/>
    <s v="3.5lbs"/>
    <s v="3.5"/>
    <s v="lbs"/>
    <x v="2"/>
    <n v="3.5"/>
    <x v="1"/>
    <x v="1"/>
    <x v="0"/>
    <x v="1"/>
    <n v="400"/>
    <n v="400"/>
    <n v="0"/>
    <n v="0"/>
  </r>
  <r>
    <s v="Sea turtle"/>
    <x v="0"/>
    <n v="80"/>
    <s v="years"/>
    <n v="80"/>
    <s v="350lbs"/>
    <s v="350"/>
    <s v="lbs"/>
    <x v="4"/>
    <n v="350"/>
    <x v="3"/>
    <x v="1"/>
    <x v="0"/>
    <x v="1"/>
    <n v="400"/>
    <n v="400"/>
    <n v="0"/>
    <n v="0"/>
  </r>
  <r>
    <s v="Sea urchin"/>
    <x v="0"/>
    <n v="200"/>
    <s v="years"/>
    <n v="200"/>
    <s v=""/>
    <s v=""/>
    <s v=""/>
    <x v="3"/>
    <n v="0"/>
    <x v="5"/>
    <x v="2"/>
    <x v="0"/>
    <x v="2"/>
    <n v="600"/>
    <n v="400"/>
    <n v="200"/>
    <n v="3"/>
  </r>
  <r>
    <s v="Seahorse"/>
    <x v="0"/>
    <n v="6"/>
    <s v="years"/>
    <n v="6"/>
    <s v=""/>
    <s v=""/>
    <s v=""/>
    <x v="0"/>
    <n v="0"/>
    <x v="5"/>
    <x v="5"/>
    <x v="0"/>
    <x v="2"/>
    <n v="450"/>
    <n v="400"/>
    <n v="50"/>
    <n v="3"/>
  </r>
  <r>
    <s v="Seal"/>
    <x v="1"/>
    <n v="25"/>
    <s v="years"/>
    <n v="25"/>
    <s v="230lbs"/>
    <s v="230"/>
    <s v="lbs"/>
    <x v="2"/>
    <n v="230"/>
    <x v="6"/>
    <x v="1"/>
    <x v="0"/>
    <x v="1"/>
    <n v="400"/>
    <n v="500"/>
    <n v="-100"/>
    <n v="0"/>
  </r>
  <r>
    <s v="Serval"/>
    <x v="1"/>
    <n v="20"/>
    <s v="years"/>
    <n v="20"/>
    <s v="7.7lbs"/>
    <s v="7.7"/>
    <s v="lbs"/>
    <x v="0"/>
    <n v="7.7"/>
    <x v="1"/>
    <x v="0"/>
    <x v="1"/>
    <x v="0"/>
    <n v="450"/>
    <n v="500"/>
    <n v="-50"/>
    <n v="0"/>
  </r>
  <r>
    <s v="Sheep"/>
    <x v="2"/>
    <n v="10"/>
    <s v="years"/>
    <n v="10"/>
    <s v="88lbs"/>
    <s v="88"/>
    <s v="lbs"/>
    <x v="0"/>
    <n v="88"/>
    <x v="1"/>
    <x v="7"/>
    <x v="0"/>
    <x v="2"/>
    <n v="600"/>
    <n v="300"/>
    <n v="300"/>
    <n v="0"/>
  </r>
  <r>
    <s v="Shiba Inu"/>
    <x v="0"/>
    <n v="12"/>
    <s v="years"/>
    <n v="12"/>
    <s v="65lbs"/>
    <s v="65"/>
    <s v="lbs"/>
    <x v="0"/>
    <n v="65"/>
    <x v="1"/>
    <x v="0"/>
    <x v="0"/>
    <x v="0"/>
    <n v="450"/>
    <n v="400"/>
    <n v="50"/>
    <n v="0"/>
  </r>
  <r>
    <s v="Shih tzu"/>
    <x v="0"/>
    <n v="15"/>
    <s v="years"/>
    <n v="15"/>
    <s v="18lbs"/>
    <s v="18"/>
    <s v="lbs"/>
    <x v="0"/>
    <n v="18"/>
    <x v="1"/>
    <x v="0"/>
    <x v="0"/>
    <x v="0"/>
    <n v="450"/>
    <n v="400"/>
    <n v="50"/>
    <n v="0"/>
  </r>
  <r>
    <s v="Siamese"/>
    <x v="1"/>
    <n v="12"/>
    <s v="years"/>
    <n v="12"/>
    <s v="10lbs"/>
    <s v="10"/>
    <s v="lbs"/>
    <x v="0"/>
    <n v="10"/>
    <x v="1"/>
    <x v="0"/>
    <x v="0"/>
    <x v="0"/>
    <n v="450"/>
    <n v="500"/>
    <n v="-50"/>
    <n v="0"/>
  </r>
  <r>
    <s v="Siamese fighting fish"/>
    <x v="1"/>
    <n v="4"/>
    <s v="years"/>
    <n v="4"/>
    <s v=""/>
    <s v=""/>
    <s v=""/>
    <x v="0"/>
    <n v="0"/>
    <x v="5"/>
    <x v="1"/>
    <x v="0"/>
    <x v="1"/>
    <n v="400"/>
    <n v="500"/>
    <n v="-100"/>
    <n v="3"/>
  </r>
  <r>
    <s v="Siberian"/>
    <x v="1"/>
    <n v="15"/>
    <s v="years"/>
    <n v="15"/>
    <s v="22lbs"/>
    <s v="22"/>
    <s v="lbs"/>
    <x v="0"/>
    <n v="22"/>
    <x v="1"/>
    <x v="2"/>
    <x v="0"/>
    <x v="2"/>
    <n v="600"/>
    <n v="500"/>
    <n v="100"/>
    <n v="0"/>
  </r>
  <r>
    <s v="Siberian husky"/>
    <x v="0"/>
    <n v="14"/>
    <s v="years"/>
    <n v="14"/>
    <s v="60lbs"/>
    <s v="60"/>
    <s v="lbs"/>
    <x v="0"/>
    <n v="60"/>
    <x v="1"/>
    <x v="0"/>
    <x v="0"/>
    <x v="0"/>
    <n v="450"/>
    <n v="400"/>
    <n v="50"/>
    <n v="0"/>
  </r>
  <r>
    <s v="Siberian tiger"/>
    <x v="1"/>
    <n v="25"/>
    <s v="years"/>
    <n v="25"/>
    <s v="220lbs"/>
    <s v="220"/>
    <s v="lbs"/>
    <x v="2"/>
    <n v="220"/>
    <x v="6"/>
    <x v="1"/>
    <x v="0"/>
    <x v="1"/>
    <n v="400"/>
    <n v="500"/>
    <n v="-100"/>
    <n v="0"/>
  </r>
  <r>
    <s v="Skunk"/>
    <x v="0"/>
    <n v="8"/>
    <s v="years"/>
    <n v="8"/>
    <s v="1.1lbs"/>
    <s v="1.1"/>
    <s v="lbs"/>
    <x v="0"/>
    <n v="1.1000000000000001"/>
    <x v="1"/>
    <x v="1"/>
    <x v="1"/>
    <x v="1"/>
    <n v="400"/>
    <n v="400"/>
    <n v="0"/>
    <n v="0"/>
  </r>
  <r>
    <s v="Sloth"/>
    <x v="0"/>
    <n v="40"/>
    <s v="years"/>
    <n v="40"/>
    <s v="10lbs"/>
    <s v="10"/>
    <s v="lbs"/>
    <x v="2"/>
    <n v="10"/>
    <x v="1"/>
    <x v="2"/>
    <x v="0"/>
    <x v="2"/>
    <n v="600"/>
    <n v="400"/>
    <n v="200"/>
    <n v="0"/>
  </r>
  <r>
    <s v="Slow worm"/>
    <x v="1"/>
    <n v="30"/>
    <s v="years"/>
    <n v="30"/>
    <s v="0.7oz"/>
    <s v="0.7"/>
    <s v="oz"/>
    <x v="2"/>
    <n v="4.3749999999999997E-2"/>
    <x v="1"/>
    <x v="1"/>
    <x v="0"/>
    <x v="1"/>
    <n v="400"/>
    <n v="500"/>
    <n v="-100"/>
    <n v="0"/>
  </r>
  <r>
    <s v="Snail"/>
    <x v="2"/>
    <n v="20"/>
    <s v="years"/>
    <n v="20"/>
    <s v="0.02lbs"/>
    <s v="0.02"/>
    <s v="lbs"/>
    <x v="0"/>
    <n v="0.02"/>
    <x v="1"/>
    <x v="2"/>
    <x v="0"/>
    <x v="2"/>
    <n v="600"/>
    <n v="300"/>
    <n v="300"/>
    <n v="0"/>
  </r>
  <r>
    <s v="Snake"/>
    <x v="1"/>
    <n v="30"/>
    <s v="years"/>
    <n v="30"/>
    <s v="330lbs"/>
    <s v="330"/>
    <s v="lbs"/>
    <x v="2"/>
    <n v="330"/>
    <x v="3"/>
    <x v="7"/>
    <x v="0"/>
    <x v="2"/>
    <n v="600"/>
    <n v="500"/>
    <n v="100"/>
    <n v="0"/>
  </r>
  <r>
    <s v="Snapping turtle"/>
    <x v="0"/>
    <n v="32"/>
    <s v="years"/>
    <n v="32"/>
    <s v="35lbs"/>
    <s v="35"/>
    <s v="lbs"/>
    <x v="2"/>
    <n v="35"/>
    <x v="1"/>
    <x v="0"/>
    <x v="1"/>
    <x v="0"/>
    <n v="450"/>
    <n v="400"/>
    <n v="50"/>
    <n v="0"/>
  </r>
  <r>
    <s v="Snowy owl"/>
    <x v="0"/>
    <n v="17"/>
    <s v="years"/>
    <n v="17"/>
    <s v="2.4lbs"/>
    <s v="2.4"/>
    <s v="lbs"/>
    <x v="0"/>
    <n v="2.4"/>
    <x v="1"/>
    <x v="1"/>
    <x v="0"/>
    <x v="1"/>
    <n v="400"/>
    <n v="400"/>
    <n v="0"/>
    <n v="0"/>
  </r>
  <r>
    <s v="Sparrow"/>
    <x v="0"/>
    <n v="7"/>
    <s v="years"/>
    <n v="7"/>
    <s v="0.5oz"/>
    <s v="0.5"/>
    <s v="oz"/>
    <x v="0"/>
    <n v="3.125E-2"/>
    <x v="1"/>
    <x v="4"/>
    <x v="0"/>
    <x v="1"/>
    <n v="200"/>
    <n v="400"/>
    <n v="-200"/>
    <n v="0"/>
  </r>
  <r>
    <s v="Spectacled bear"/>
    <x v="0"/>
    <n v="30"/>
    <s v="years"/>
    <n v="30"/>
    <s v="286lbs"/>
    <s v="286"/>
    <s v="lbs"/>
    <x v="2"/>
    <n v="286"/>
    <x v="6"/>
    <x v="0"/>
    <x v="0"/>
    <x v="0"/>
    <n v="450"/>
    <n v="400"/>
    <n v="50"/>
    <n v="0"/>
  </r>
  <r>
    <s v="Spider monkey"/>
    <x v="0"/>
    <n v="27"/>
    <s v="years"/>
    <n v="27"/>
    <s v="14lbs"/>
    <s v="14"/>
    <s v="lbs"/>
    <x v="2"/>
    <n v="14"/>
    <x v="1"/>
    <x v="1"/>
    <x v="0"/>
    <x v="1"/>
    <n v="400"/>
    <n v="400"/>
    <n v="0"/>
    <n v="0"/>
  </r>
  <r>
    <s v="Squid"/>
    <x v="1"/>
    <n v="30"/>
    <s v="years"/>
    <n v="30"/>
    <s v="0.6lbs"/>
    <s v="0.6"/>
    <s v="lbs"/>
    <x v="2"/>
    <n v="0.6"/>
    <x v="1"/>
    <x v="0"/>
    <x v="1"/>
    <x v="0"/>
    <n v="450"/>
    <n v="500"/>
    <n v="-50"/>
    <n v="0"/>
  </r>
  <r>
    <s v="Squirrel"/>
    <x v="0"/>
    <n v="8"/>
    <s v="years"/>
    <n v="8"/>
    <s v="0.5lbs"/>
    <s v="0.5"/>
    <s v="lbs"/>
    <x v="0"/>
    <n v="0.5"/>
    <x v="1"/>
    <x v="0"/>
    <x v="1"/>
    <x v="0"/>
    <n v="450"/>
    <n v="400"/>
    <n v="50"/>
    <n v="0"/>
  </r>
  <r>
    <s v="Squirrel monkey"/>
    <x v="0"/>
    <n v="20"/>
    <s v="years"/>
    <n v="20"/>
    <s v="1.7lbs"/>
    <s v="1.7"/>
    <s v="lbs"/>
    <x v="0"/>
    <n v="1.7"/>
    <x v="1"/>
    <x v="0"/>
    <x v="0"/>
    <x v="0"/>
    <n v="450"/>
    <n v="400"/>
    <n v="50"/>
    <n v="0"/>
  </r>
  <r>
    <s v="Sri lankan elephant"/>
    <x v="2"/>
    <n v="70"/>
    <s v="years"/>
    <n v="70"/>
    <s v="6,500lbs"/>
    <s v="6,500"/>
    <s v="lbs"/>
    <x v="1"/>
    <n v="6500"/>
    <x v="2"/>
    <x v="0"/>
    <x v="0"/>
    <x v="0"/>
    <n v="450"/>
    <n v="300"/>
    <n v="150"/>
    <n v="0"/>
  </r>
  <r>
    <s v="Staffordshire bull terrier"/>
    <x v="0"/>
    <n v="14"/>
    <s v="years"/>
    <n v="14"/>
    <s v="38lbs"/>
    <s v="38"/>
    <s v="lbs"/>
    <x v="0"/>
    <n v="38"/>
    <x v="1"/>
    <x v="0"/>
    <x v="0"/>
    <x v="0"/>
    <n v="450"/>
    <n v="400"/>
    <n v="50"/>
    <n v="0"/>
  </r>
  <r>
    <s v="Stag beetle"/>
    <x v="0"/>
    <n v="5"/>
    <s v="months"/>
    <n v="0.41666666666666669"/>
    <s v=""/>
    <s v=""/>
    <s v=""/>
    <x v="0"/>
    <n v="0"/>
    <x v="5"/>
    <x v="0"/>
    <x v="0"/>
    <x v="0"/>
    <n v="450"/>
    <n v="400"/>
    <n v="50"/>
    <n v="3"/>
  </r>
  <r>
    <s v="Starfish"/>
    <x v="0"/>
    <n v="27"/>
    <s v="years"/>
    <n v="27"/>
    <s v="0.2lbs"/>
    <s v="0.2"/>
    <s v="lbs"/>
    <x v="2"/>
    <n v="0.2"/>
    <x v="1"/>
    <x v="1"/>
    <x v="1"/>
    <x v="1"/>
    <n v="400"/>
    <n v="400"/>
    <n v="0"/>
    <n v="0"/>
  </r>
  <r>
    <s v="Stick insect"/>
    <x v="2"/>
    <n v="2"/>
    <s v="years"/>
    <n v="2"/>
    <s v=""/>
    <s v=""/>
    <s v=""/>
    <x v="0"/>
    <n v="0"/>
    <x v="5"/>
    <x v="1"/>
    <x v="0"/>
    <x v="1"/>
    <n v="400"/>
    <n v="300"/>
    <n v="100"/>
    <n v="3"/>
  </r>
  <r>
    <s v="Stingray"/>
    <x v="1"/>
    <n v="25"/>
    <s v="years"/>
    <n v="25"/>
    <s v="55lbs"/>
    <s v="55"/>
    <s v="lbs"/>
    <x v="2"/>
    <n v="55"/>
    <x v="1"/>
    <x v="0"/>
    <x v="0"/>
    <x v="0"/>
    <n v="450"/>
    <n v="500"/>
    <n v="-50"/>
    <n v="0"/>
  </r>
  <r>
    <s v="Sun bear"/>
    <x v="0"/>
    <n v="30"/>
    <s v="years"/>
    <n v="30"/>
    <s v="66lbs"/>
    <s v="66"/>
    <s v="lbs"/>
    <x v="2"/>
    <n v="66"/>
    <x v="1"/>
    <x v="1"/>
    <x v="0"/>
    <x v="1"/>
    <n v="400"/>
    <n v="400"/>
    <n v="0"/>
    <n v="0"/>
  </r>
  <r>
    <s v="Swan"/>
    <x v="0"/>
    <n v="12"/>
    <s v="years"/>
    <n v="12"/>
    <s v="22lbs"/>
    <s v="22"/>
    <s v="lbs"/>
    <x v="0"/>
    <n v="22"/>
    <x v="1"/>
    <x v="2"/>
    <x v="0"/>
    <x v="2"/>
    <n v="600"/>
    <n v="400"/>
    <n v="200"/>
    <n v="0"/>
  </r>
  <r>
    <s v="Tang"/>
    <x v="0"/>
    <n v="12"/>
    <s v="years"/>
    <n v="12"/>
    <s v=""/>
    <s v=""/>
    <s v=""/>
    <x v="0"/>
    <n v="0"/>
    <x v="5"/>
    <x v="2"/>
    <x v="0"/>
    <x v="2"/>
    <n v="600"/>
    <n v="400"/>
    <n v="200"/>
    <n v="3"/>
  </r>
  <r>
    <s v="Tapir"/>
    <x v="2"/>
    <n v="25"/>
    <s v="years"/>
    <n v="25"/>
    <s v="330lbs"/>
    <s v="330"/>
    <s v="lbs"/>
    <x v="2"/>
    <n v="330"/>
    <x v="3"/>
    <x v="3"/>
    <x v="1"/>
    <x v="2"/>
    <n v="700"/>
    <n v="300"/>
    <n v="400"/>
    <n v="0"/>
  </r>
  <r>
    <s v="Tarsier"/>
    <x v="1"/>
    <n v="20"/>
    <s v="years"/>
    <n v="20"/>
    <s v="2.8oz"/>
    <s v="2.8"/>
    <s v="oz"/>
    <x v="0"/>
    <n v="0.17499999999999999"/>
    <x v="1"/>
    <x v="7"/>
    <x v="0"/>
    <x v="2"/>
    <n v="600"/>
    <n v="500"/>
    <n v="100"/>
    <n v="0"/>
  </r>
  <r>
    <s v="Tasmanian devil"/>
    <x v="0"/>
    <n v="8"/>
    <s v="years"/>
    <n v="8"/>
    <s v="13lbs"/>
    <s v="13"/>
    <s v="lbs"/>
    <x v="0"/>
    <n v="13"/>
    <x v="1"/>
    <x v="0"/>
    <x v="0"/>
    <x v="0"/>
    <n v="450"/>
    <n v="400"/>
    <n v="50"/>
    <n v="0"/>
  </r>
  <r>
    <s v="Tawny owl"/>
    <x v="0"/>
    <n v="6"/>
    <s v="years"/>
    <n v="6"/>
    <s v="12oz"/>
    <s v="12"/>
    <s v="oz"/>
    <x v="0"/>
    <n v="0.75"/>
    <x v="1"/>
    <x v="0"/>
    <x v="1"/>
    <x v="0"/>
    <n v="450"/>
    <n v="400"/>
    <n v="50"/>
    <n v="0"/>
  </r>
  <r>
    <s v="Termite"/>
    <x v="2"/>
    <n v="2"/>
    <s v="years"/>
    <n v="2"/>
    <s v=""/>
    <s v=""/>
    <s v=""/>
    <x v="0"/>
    <n v="0"/>
    <x v="5"/>
    <x v="0"/>
    <x v="0"/>
    <x v="0"/>
    <n v="450"/>
    <n v="300"/>
    <n v="150"/>
    <n v="3"/>
  </r>
  <r>
    <s v="Tetra"/>
    <x v="0"/>
    <n v="5"/>
    <s v="years"/>
    <n v="5"/>
    <s v=""/>
    <s v=""/>
    <s v=""/>
    <x v="0"/>
    <n v="0"/>
    <x v="5"/>
    <x v="1"/>
    <x v="0"/>
    <x v="1"/>
    <n v="400"/>
    <n v="400"/>
    <n v="0"/>
    <n v="3"/>
  </r>
  <r>
    <s v="Thorny devil"/>
    <x v="0"/>
    <n v="20"/>
    <s v="years"/>
    <n v="20"/>
    <s v="2.5lbs"/>
    <s v="2.5"/>
    <s v="lbs"/>
    <x v="0"/>
    <n v="2.5"/>
    <x v="1"/>
    <x v="0"/>
    <x v="0"/>
    <x v="0"/>
    <n v="450"/>
    <n v="400"/>
    <n v="50"/>
    <n v="0"/>
  </r>
  <r>
    <s v="Tibetan mastiff"/>
    <x v="0"/>
    <n v="15"/>
    <s v="years"/>
    <n v="15"/>
    <s v="180lbs"/>
    <s v="180"/>
    <s v="lbs"/>
    <x v="0"/>
    <n v="180"/>
    <x v="0"/>
    <x v="0"/>
    <x v="0"/>
    <x v="0"/>
    <n v="450"/>
    <n v="400"/>
    <n v="50"/>
    <n v="0"/>
  </r>
  <r>
    <s v="Tiger"/>
    <x v="1"/>
    <n v="25"/>
    <s v="years"/>
    <n v="25"/>
    <s v="589lbs"/>
    <s v="589"/>
    <s v="lbs"/>
    <x v="2"/>
    <n v="589"/>
    <x v="2"/>
    <x v="1"/>
    <x v="1"/>
    <x v="1"/>
    <n v="400"/>
    <n v="500"/>
    <n v="-100"/>
    <n v="0"/>
  </r>
  <r>
    <s v="Toucan"/>
    <x v="0"/>
    <n v="20"/>
    <s v="years"/>
    <n v="20"/>
    <s v="4.6oz"/>
    <s v="4.6"/>
    <s v="oz"/>
    <x v="0"/>
    <n v="0.28749999999999998"/>
    <x v="1"/>
    <x v="0"/>
    <x v="0"/>
    <x v="0"/>
    <n v="450"/>
    <n v="400"/>
    <n v="50"/>
    <n v="0"/>
  </r>
  <r>
    <s v="Tree frog"/>
    <x v="1"/>
    <n v="4"/>
    <s v="years"/>
    <n v="4"/>
    <s v="0.07lbs"/>
    <s v="0.07"/>
    <s v="lbs"/>
    <x v="0"/>
    <n v="7.0000000000000007E-2"/>
    <x v="1"/>
    <x v="5"/>
    <x v="1"/>
    <x v="2"/>
    <n v="450"/>
    <n v="500"/>
    <n v="-50"/>
    <n v="0"/>
  </r>
  <r>
    <s v="Tropicbird"/>
    <x v="1"/>
    <n v="16"/>
    <s v="years"/>
    <n v="16"/>
    <s v="0.6lbs"/>
    <s v="0.6"/>
    <s v="lbs"/>
    <x v="0"/>
    <n v="0.6"/>
    <x v="1"/>
    <x v="0"/>
    <x v="0"/>
    <x v="0"/>
    <n v="450"/>
    <n v="500"/>
    <n v="-50"/>
    <n v="0"/>
  </r>
  <r>
    <s v="Tuatara"/>
    <x v="1"/>
    <n v="100"/>
    <s v="years"/>
    <n v="100"/>
    <s v="1.3lbs"/>
    <s v="1.3"/>
    <s v="lbs"/>
    <x v="3"/>
    <n v="1.3"/>
    <x v="1"/>
    <x v="1"/>
    <x v="1"/>
    <x v="1"/>
    <n v="400"/>
    <n v="500"/>
    <n v="-100"/>
    <n v="0"/>
  </r>
  <r>
    <s v="Turkey"/>
    <x v="0"/>
    <n v="10"/>
    <s v="years"/>
    <n v="10"/>
    <s v="6.6lbs"/>
    <s v="6.6"/>
    <s v="lbs"/>
    <x v="0"/>
    <n v="6.6"/>
    <x v="1"/>
    <x v="0"/>
    <x v="1"/>
    <x v="0"/>
    <n v="450"/>
    <n v="400"/>
    <n v="50"/>
    <n v="0"/>
  </r>
  <r>
    <s v="Turkish angora"/>
    <x v="1"/>
    <n v="14"/>
    <s v="years"/>
    <n v="14"/>
    <s v="10lbs"/>
    <s v="10"/>
    <s v="lbs"/>
    <x v="0"/>
    <n v="10"/>
    <x v="1"/>
    <x v="0"/>
    <x v="0"/>
    <x v="0"/>
    <n v="450"/>
    <n v="500"/>
    <n v="-50"/>
    <n v="0"/>
  </r>
  <r>
    <s v="Vampire bat"/>
    <x v="1"/>
    <n v="12"/>
    <s v="years"/>
    <n v="12"/>
    <s v="0.7oz"/>
    <s v="0.7"/>
    <s v="oz"/>
    <x v="0"/>
    <n v="4.3749999999999997E-2"/>
    <x v="1"/>
    <x v="1"/>
    <x v="0"/>
    <x v="1"/>
    <n v="400"/>
    <n v="500"/>
    <n v="-100"/>
    <n v="0"/>
  </r>
  <r>
    <s v="Vervet monkey"/>
    <x v="0"/>
    <n v="24"/>
    <s v="years"/>
    <n v="24"/>
    <s v="7lbs"/>
    <s v="7"/>
    <s v="lbs"/>
    <x v="0"/>
    <n v="7"/>
    <x v="1"/>
    <x v="7"/>
    <x v="1"/>
    <x v="2"/>
    <n v="600"/>
    <n v="400"/>
    <n v="200"/>
    <n v="0"/>
  </r>
  <r>
    <s v="Vulture"/>
    <x v="1"/>
    <n v="30"/>
    <s v="years"/>
    <n v="30"/>
    <s v="1.9lbs"/>
    <s v="1.9"/>
    <s v="lbs"/>
    <x v="2"/>
    <n v="1.9"/>
    <x v="1"/>
    <x v="0"/>
    <x v="0"/>
    <x v="0"/>
    <n v="450"/>
    <n v="500"/>
    <n v="-50"/>
    <n v="0"/>
  </r>
  <r>
    <s v="Wallaby"/>
    <x v="2"/>
    <n v="15"/>
    <s v="years"/>
    <n v="15"/>
    <s v="2.2lbs"/>
    <s v="2.2"/>
    <s v="lbs"/>
    <x v="0"/>
    <n v="2.2000000000000002"/>
    <x v="1"/>
    <x v="0"/>
    <x v="0"/>
    <x v="0"/>
    <n v="450"/>
    <n v="300"/>
    <n v="150"/>
    <n v="0"/>
  </r>
  <r>
    <s v="Walrus"/>
    <x v="1"/>
    <n v="50"/>
    <s v="years"/>
    <n v="50"/>
    <s v="880lbs"/>
    <s v="880"/>
    <s v="lbs"/>
    <x v="1"/>
    <n v="880"/>
    <x v="2"/>
    <x v="7"/>
    <x v="0"/>
    <x v="2"/>
    <n v="600"/>
    <n v="500"/>
    <n v="100"/>
    <n v="0"/>
  </r>
  <r>
    <s v="Warthog"/>
    <x v="0"/>
    <n v="18"/>
    <s v="years"/>
    <n v="18"/>
    <s v="110lbs"/>
    <s v="110"/>
    <s v="lbs"/>
    <x v="0"/>
    <n v="110"/>
    <x v="0"/>
    <x v="5"/>
    <x v="0"/>
    <x v="2"/>
    <n v="450"/>
    <n v="400"/>
    <n v="50"/>
    <n v="0"/>
  </r>
  <r>
    <s v="Wasp"/>
    <x v="0"/>
    <n v="22"/>
    <s v="days"/>
    <n v="22"/>
    <s v=""/>
    <s v=""/>
    <s v=""/>
    <x v="0"/>
    <n v="0"/>
    <x v="5"/>
    <x v="2"/>
    <x v="0"/>
    <x v="2"/>
    <n v="600"/>
    <n v="400"/>
    <n v="200"/>
    <n v="3"/>
  </r>
  <r>
    <s v="Water buffalo"/>
    <x v="2"/>
    <n v="25"/>
    <s v="years"/>
    <n v="25"/>
    <s v="880lbs"/>
    <s v="880"/>
    <s v="lbs"/>
    <x v="2"/>
    <n v="880"/>
    <x v="2"/>
    <x v="0"/>
    <x v="0"/>
    <x v="0"/>
    <n v="450"/>
    <n v="300"/>
    <n v="150"/>
    <n v="0"/>
  </r>
  <r>
    <s v="Water dragon"/>
    <x v="0"/>
    <n v="20"/>
    <s v="years"/>
    <n v="20"/>
    <s v="1.1lbs"/>
    <s v="1.1"/>
    <s v="lbs"/>
    <x v="0"/>
    <n v="1.1000000000000001"/>
    <x v="1"/>
    <x v="3"/>
    <x v="0"/>
    <x v="2"/>
    <n v="700"/>
    <n v="400"/>
    <n v="300"/>
    <n v="0"/>
  </r>
  <r>
    <s v="Water vole"/>
    <x v="2"/>
    <n v="2"/>
    <s v="years"/>
    <n v="2"/>
    <s v="5.6oz"/>
    <s v="5.6"/>
    <s v="oz"/>
    <x v="0"/>
    <n v="0.35"/>
    <x v="1"/>
    <x v="2"/>
    <x v="1"/>
    <x v="2"/>
    <n v="600"/>
    <n v="300"/>
    <n v="300"/>
    <n v="0"/>
  </r>
  <r>
    <s v="Weasel"/>
    <x v="1"/>
    <n v="3"/>
    <s v="years"/>
    <n v="3"/>
    <s v="4.2oz"/>
    <s v="4.2"/>
    <s v="oz"/>
    <x v="0"/>
    <n v="0.26250000000000001"/>
    <x v="1"/>
    <x v="0"/>
    <x v="0"/>
    <x v="0"/>
    <n v="450"/>
    <n v="500"/>
    <n v="-50"/>
    <n v="0"/>
  </r>
  <r>
    <s v="Welsh corgi"/>
    <x v="0"/>
    <n v="13"/>
    <s v="years"/>
    <n v="13"/>
    <s v="30lbs"/>
    <s v="30"/>
    <s v="lbs"/>
    <x v="0"/>
    <n v="30"/>
    <x v="1"/>
    <x v="0"/>
    <x v="0"/>
    <x v="0"/>
    <n v="450"/>
    <n v="400"/>
    <n v="50"/>
    <n v="0"/>
  </r>
  <r>
    <s v="West highland terrier"/>
    <x v="0"/>
    <n v="15"/>
    <s v="years"/>
    <n v="15"/>
    <s v="22lbs"/>
    <s v="22"/>
    <s v="lbs"/>
    <x v="0"/>
    <n v="22"/>
    <x v="1"/>
    <x v="0"/>
    <x v="1"/>
    <x v="0"/>
    <n v="450"/>
    <n v="400"/>
    <n v="50"/>
    <n v="0"/>
  </r>
  <r>
    <s v="Western gorilla"/>
    <x v="2"/>
    <n v="50"/>
    <s v="years"/>
    <n v="50"/>
    <s v="220lbs"/>
    <s v="220"/>
    <s v="lbs"/>
    <x v="1"/>
    <n v="220"/>
    <x v="6"/>
    <x v="5"/>
    <x v="0"/>
    <x v="2"/>
    <n v="450"/>
    <n v="300"/>
    <n v="150"/>
    <n v="0"/>
  </r>
  <r>
    <s v="Whale shark"/>
    <x v="1"/>
    <n v="70"/>
    <s v="years"/>
    <n v="70"/>
    <s v="15lbs"/>
    <s v="15"/>
    <s v="lbs"/>
    <x v="1"/>
    <n v="15"/>
    <x v="1"/>
    <x v="3"/>
    <x v="1"/>
    <x v="2"/>
    <n v="700"/>
    <n v="500"/>
    <n v="200"/>
    <n v="0"/>
  </r>
  <r>
    <s v="Whippet"/>
    <x v="0"/>
    <n v="15"/>
    <s v="years"/>
    <n v="15"/>
    <s v="28lbs"/>
    <s v="28"/>
    <s v="lbs"/>
    <x v="0"/>
    <n v="28"/>
    <x v="1"/>
    <x v="1"/>
    <x v="0"/>
    <x v="1"/>
    <n v="400"/>
    <n v="400"/>
    <n v="0"/>
    <n v="0"/>
  </r>
  <r>
    <s v="White rhino"/>
    <x v="2"/>
    <n v="50"/>
    <s v="years"/>
    <n v="50"/>
    <s v="3,168lbs"/>
    <s v="3,168"/>
    <s v="lbs"/>
    <x v="1"/>
    <n v="3168"/>
    <x v="2"/>
    <x v="1"/>
    <x v="0"/>
    <x v="1"/>
    <n v="400"/>
    <n v="300"/>
    <n v="100"/>
    <n v="0"/>
  </r>
  <r>
    <s v="White tiger"/>
    <x v="1"/>
    <n v="20"/>
    <s v="years"/>
    <n v="20"/>
    <s v="309lbs"/>
    <s v="309"/>
    <s v="lbs"/>
    <x v="0"/>
    <n v="309"/>
    <x v="3"/>
    <x v="0"/>
    <x v="0"/>
    <x v="0"/>
    <n v="450"/>
    <n v="500"/>
    <n v="-50"/>
    <n v="0"/>
  </r>
  <r>
    <s v="Wild boar"/>
    <x v="0"/>
    <n v="20"/>
    <s v="years"/>
    <n v="20"/>
    <s v="176lbs"/>
    <s v="176"/>
    <s v="lbs"/>
    <x v="0"/>
    <n v="176"/>
    <x v="0"/>
    <x v="1"/>
    <x v="0"/>
    <x v="1"/>
    <n v="400"/>
    <n v="400"/>
    <n v="0"/>
    <n v="0"/>
  </r>
  <r>
    <s v="Wildebeest"/>
    <x v="2"/>
    <n v="20"/>
    <s v="years"/>
    <n v="20"/>
    <s v="265lbs"/>
    <s v="265"/>
    <s v="lbs"/>
    <x v="0"/>
    <n v="265"/>
    <x v="6"/>
    <x v="1"/>
    <x v="0"/>
    <x v="1"/>
    <n v="400"/>
    <n v="300"/>
    <n v="100"/>
    <n v="0"/>
  </r>
  <r>
    <s v="Wolf"/>
    <x v="1"/>
    <n v="12"/>
    <s v="years"/>
    <n v="12"/>
    <s v="55lbs"/>
    <s v="55"/>
    <s v="lbs"/>
    <x v="0"/>
    <n v="55"/>
    <x v="1"/>
    <x v="1"/>
    <x v="0"/>
    <x v="1"/>
    <n v="400"/>
    <n v="500"/>
    <n v="-100"/>
    <n v="0"/>
  </r>
  <r>
    <s v="Wolverine"/>
    <x v="1"/>
    <n v="15"/>
    <s v="years"/>
    <n v="15"/>
    <s v="22lbs"/>
    <s v="22"/>
    <s v="lbs"/>
    <x v="0"/>
    <n v="22"/>
    <x v="1"/>
    <x v="2"/>
    <x v="0"/>
    <x v="2"/>
    <n v="600"/>
    <n v="500"/>
    <n v="100"/>
    <n v="0"/>
  </r>
  <r>
    <s v="Wombat"/>
    <x v="2"/>
    <n v="26"/>
    <s v="years"/>
    <n v="26"/>
    <s v="44lbs"/>
    <s v="44"/>
    <s v="lbs"/>
    <x v="2"/>
    <n v="44"/>
    <x v="1"/>
    <x v="2"/>
    <x v="1"/>
    <x v="2"/>
    <n v="600"/>
    <n v="300"/>
    <n v="300"/>
    <n v="0"/>
  </r>
  <r>
    <s v="Woodlouse"/>
    <x v="2"/>
    <n v="2"/>
    <s v="years"/>
    <n v="2"/>
    <s v=""/>
    <s v=""/>
    <s v=""/>
    <x v="0"/>
    <n v="0"/>
    <x v="5"/>
    <x v="0"/>
    <x v="0"/>
    <x v="0"/>
    <n v="450"/>
    <n v="300"/>
    <n v="150"/>
    <n v="3"/>
  </r>
  <r>
    <s v="Woodpecker"/>
    <x v="0"/>
    <n v="11"/>
    <s v="years"/>
    <n v="11"/>
    <s v="0.2oz"/>
    <s v="0.2"/>
    <s v="oz"/>
    <x v="0"/>
    <n v="1.2500000000000001E-2"/>
    <x v="1"/>
    <x v="6"/>
    <x v="0"/>
    <x v="2"/>
    <n v="350"/>
    <n v="400"/>
    <n v="-50"/>
    <n v="0"/>
  </r>
  <r>
    <s v="Wrasse"/>
    <x v="1"/>
    <n v="10"/>
    <s v="years"/>
    <n v="10"/>
    <s v=""/>
    <s v=""/>
    <s v=""/>
    <x v="0"/>
    <n v="0"/>
    <x v="5"/>
    <x v="0"/>
    <x v="0"/>
    <x v="0"/>
    <n v="450"/>
    <n v="500"/>
    <n v="-50"/>
    <n v="3"/>
  </r>
  <r>
    <s v="Yak"/>
    <x v="2"/>
    <n v="20"/>
    <s v="years"/>
    <n v="20"/>
    <s v="661lbs"/>
    <s v="661"/>
    <s v="lbs"/>
    <x v="0"/>
    <n v="661"/>
    <x v="2"/>
    <x v="7"/>
    <x v="1"/>
    <x v="2"/>
    <n v="600"/>
    <n v="300"/>
    <n v="300"/>
    <n v="0"/>
  </r>
  <r>
    <s v="Yorkshire terrier"/>
    <x v="0"/>
    <n v="15"/>
    <s v="years"/>
    <n v="15"/>
    <s v="7lbs"/>
    <s v="7"/>
    <s v="lbs"/>
    <x v="0"/>
    <n v="7"/>
    <x v="1"/>
    <x v="2"/>
    <x v="0"/>
    <x v="2"/>
    <n v="600"/>
    <n v="400"/>
    <n v="200"/>
    <n v="0"/>
  </r>
  <r>
    <s v="Zebra"/>
    <x v="2"/>
    <n v="30"/>
    <s v="years"/>
    <n v="30"/>
    <s v="485lbs"/>
    <s v="485"/>
    <s v="lbs"/>
    <x v="2"/>
    <n v="485"/>
    <x v="4"/>
    <x v="5"/>
    <x v="0"/>
    <x v="2"/>
    <n v="450"/>
    <n v="300"/>
    <n v="150"/>
    <n v="0"/>
  </r>
  <r>
    <s v="Zebu"/>
    <x v="2"/>
    <n v="16"/>
    <s v="years"/>
    <n v="16"/>
    <s v="331lbs"/>
    <s v="331"/>
    <s v="lbs"/>
    <x v="0"/>
    <n v="331"/>
    <x v="3"/>
    <x v="4"/>
    <x v="0"/>
    <x v="1"/>
    <n v="200"/>
    <n v="300"/>
    <n v="-100"/>
    <n v="0"/>
  </r>
  <r>
    <s v="Zonkey"/>
    <x v="2"/>
    <n v="25"/>
    <s v="years"/>
    <n v="25"/>
    <s v="500lbs"/>
    <s v="500"/>
    <s v="lbs"/>
    <x v="2"/>
    <n v="500"/>
    <x v="2"/>
    <x v="0"/>
    <x v="0"/>
    <x v="0"/>
    <n v="450"/>
    <n v="300"/>
    <n v="15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25969B8-DD9B-4ECC-B185-CF901D7D6591}" name="PivotTable1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B59:D68" firstHeaderRow="1" firstDataRow="1" firstDataCol="2"/>
  <pivotFields count="19">
    <pivotField dataField="1" compact="0" outline="0" showAll="0" defaultSubtotal="0"/>
    <pivotField compact="0" outline="0" showAll="0" defaultSubtotal="0"/>
    <pivotField compact="0" outline="0" showAll="0" defaultSubtotal="0"/>
    <pivotField compact="0" outline="0" subtotalTop="0" showAll="0" defaultSubtotal="0"/>
    <pivotField compact="0" outline="0" subtotalTop="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numFmtId="43" outline="0" subtotalTop="0" showAll="0" defaultSubtotal="0"/>
    <pivotField compact="0" outline="0" subtotalTop="0" showAll="0" defaultSubtotal="0"/>
    <pivotField axis="axisRow" compact="0" outline="0" showAll="0" sortType="descending" defaultSubtotal="0">
      <items count="10">
        <item m="1" x="9"/>
        <item x="3"/>
        <item m="1" x="8"/>
        <item x="7"/>
        <item x="6"/>
        <item x="4"/>
        <item x="1"/>
        <item x="5"/>
        <item x="0"/>
        <item x="2"/>
      </items>
      <autoSortScope>
        <pivotArea dataOnly="0" outline="0" fieldPosition="0">
          <references count="1">
            <reference field="4294967294" count="1" selected="0">
              <x v="0"/>
            </reference>
          </references>
        </pivotArea>
      </autoSortScope>
    </pivotField>
    <pivotField compact="0" outline="0" showAll="0" defaultSubtotal="0"/>
    <pivotField axis="axisRow" compact="0" outline="0" showAll="0" sortType="descending" defaultSubtotal="0">
      <items count="3">
        <item x="2"/>
        <item x="1"/>
        <item x="0"/>
      </items>
      <autoSortScope>
        <pivotArea dataOnly="0" outline="0" fieldPosition="0">
          <references count="1">
            <reference field="4294967294" count="1" selected="0">
              <x v="0"/>
            </reference>
          </references>
        </pivotArea>
      </autoSortScope>
    </pivotField>
    <pivotField compact="0" numFmtId="1" outline="0" showAll="0" defaultSubtotal="0"/>
    <pivotField compact="0" numFmtId="1" outline="0" showAll="0" defaultSubtotal="0"/>
    <pivotField compact="0" numFmtId="1" outline="0" showAll="0" defaultSubtotal="0"/>
    <pivotField compact="0" numFmtId="1" outline="0" showAll="0" defaultSubtotal="0"/>
    <pivotField compact="0" outline="0" dragToRow="0" dragToCol="0" dragToPage="0" showAll="0" defaultSubtotal="0"/>
  </pivotFields>
  <rowFields count="2">
    <field x="13"/>
    <field x="11"/>
  </rowFields>
  <rowItems count="9">
    <i>
      <x v="1"/>
      <x v="6"/>
    </i>
    <i r="1">
      <x v="5"/>
    </i>
    <i>
      <x/>
      <x v="9"/>
    </i>
    <i r="1">
      <x v="3"/>
    </i>
    <i r="1">
      <x v="7"/>
    </i>
    <i r="1">
      <x v="1"/>
    </i>
    <i r="1">
      <x v="4"/>
    </i>
    <i>
      <x v="2"/>
      <x v="8"/>
    </i>
    <i t="grand">
      <x/>
    </i>
  </rowItems>
  <colItems count="1">
    <i/>
  </colItems>
  <dataFields count="1">
    <dataField name="# Participant" fld="0" subtotal="count" baseField="6" baseItem="1"/>
  </dataField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1B09DE-1B4B-4130-A49D-AE0BBCABF310}"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9">
  <location ref="B155:F164" firstHeaderRow="0" firstDataRow="1" firstDataCol="1"/>
  <pivotFields count="19">
    <pivotField compact="0" outline="0" showAll="0" defaultSubtotal="0"/>
    <pivotField compact="0" outline="0" showAll="0" defaultSubtotal="0"/>
    <pivotField compact="0" outline="0" showAll="0" defaultSubtotal="0"/>
    <pivotField compact="0" outline="0" subtotalTop="0" showAll="0" defaultSubtotal="0"/>
    <pivotField compact="0" outline="0" subtotalTop="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numFmtId="43" outline="0" subtotalTop="0" showAll="0" defaultSubtotal="0"/>
    <pivotField compact="0" outline="0" subtotalTop="0" showAll="0" defaultSubtotal="0"/>
    <pivotField axis="axisRow" compact="0" outline="0" showAll="0" sortType="descending" defaultSubtotal="0">
      <items count="10">
        <item m="1" x="9"/>
        <item x="3"/>
        <item m="1" x="8"/>
        <item x="7"/>
        <item x="6"/>
        <item x="4"/>
        <item x="1"/>
        <item x="5"/>
        <item x="0"/>
        <item x="2"/>
      </items>
      <autoSortScope>
        <pivotArea dataOnly="0" outline="0" fieldPosition="0">
          <references count="1">
            <reference field="4294967294" count="1" selected="0">
              <x v="3"/>
            </reference>
          </references>
        </pivotArea>
      </autoSortScope>
    </pivotField>
    <pivotField compact="0" outline="0" showAll="0" defaultSubtotal="0"/>
    <pivotField compact="0" outline="0" showAll="0" defaultSubtotal="0"/>
    <pivotField dataField="1" compact="0" numFmtId="1" outline="0" showAll="0" defaultSubtotal="0"/>
    <pivotField dataField="1" compact="0" outline="0" showAll="0" defaultSubtotal="0"/>
    <pivotField dataField="1" compact="0" outline="0" showAll="0" defaultSubtotal="0"/>
    <pivotField compact="0" numFmtId="1" outline="0" showAll="0" defaultSubtotal="0"/>
    <pivotField dataField="1" compact="0" outline="0" dragToRow="0" dragToCol="0" dragToPage="0" showAll="0" defaultSubtotal="0"/>
  </pivotFields>
  <rowFields count="1">
    <field x="11"/>
  </rowFields>
  <rowItems count="9">
    <i>
      <x v="1"/>
    </i>
    <i>
      <x v="9"/>
    </i>
    <i>
      <x v="3"/>
    </i>
    <i>
      <x v="7"/>
    </i>
    <i>
      <x v="8"/>
    </i>
    <i>
      <x v="6"/>
    </i>
    <i>
      <x v="4"/>
    </i>
    <i>
      <x v="5"/>
    </i>
    <i t="grand">
      <x/>
    </i>
  </rowItems>
  <colFields count="1">
    <field x="-2"/>
  </colFields>
  <colItems count="4">
    <i>
      <x/>
    </i>
    <i i="1">
      <x v="1"/>
    </i>
    <i i="2">
      <x v="2"/>
    </i>
    <i i="3">
      <x v="3"/>
    </i>
  </colItems>
  <dataFields count="4">
    <dataField name="Revenue ($)" fld="14" baseField="11" baseItem="1"/>
    <dataField name="Cost ($)" fld="15" baseField="11" baseItem="1"/>
    <dataField name="Profit ($)" fld="16" baseField="11" baseItem="1"/>
    <dataField name="Profit Margin (%)" fld="18" baseField="11" baseItem="1" numFmtId="166"/>
  </dataFields>
  <formats count="1">
    <format dxfId="40">
      <pivotArea outline="0" fieldPosition="0">
        <references count="1">
          <reference field="4294967294" count="1" selected="0">
            <x v="3"/>
          </reference>
        </references>
      </pivotArea>
    </format>
  </formats>
  <conditionalFormats count="4">
    <conditionalFormat priority="32">
      <pivotAreas count="1">
        <pivotArea type="data" outline="0" collapsedLevelsAreSubtotals="1" fieldPosition="0">
          <references count="2">
            <reference field="4294967294" count="1" selected="0">
              <x v="0"/>
            </reference>
            <reference field="11" count="8" selected="0">
              <x v="1"/>
              <x v="3"/>
              <x v="4"/>
              <x v="5"/>
              <x v="6"/>
              <x v="7"/>
              <x v="8"/>
              <x v="9"/>
            </reference>
          </references>
        </pivotArea>
      </pivotAreas>
    </conditionalFormat>
    <conditionalFormat priority="31">
      <pivotAreas count="1">
        <pivotArea type="data" outline="0" collapsedLevelsAreSubtotals="1" fieldPosition="0">
          <references count="2">
            <reference field="4294967294" count="1" selected="0">
              <x v="1"/>
            </reference>
            <reference field="11" count="8" selected="0">
              <x v="1"/>
              <x v="3"/>
              <x v="4"/>
              <x v="5"/>
              <x v="6"/>
              <x v="7"/>
              <x v="8"/>
              <x v="9"/>
            </reference>
          </references>
        </pivotArea>
      </pivotAreas>
    </conditionalFormat>
    <conditionalFormat priority="29">
      <pivotAreas count="1">
        <pivotArea type="data" outline="0" collapsedLevelsAreSubtotals="1" fieldPosition="0">
          <references count="2">
            <reference field="4294967294" count="1" selected="0">
              <x v="2"/>
            </reference>
            <reference field="11" count="8" selected="0">
              <x v="1"/>
              <x v="3"/>
              <x v="4"/>
              <x v="5"/>
              <x v="6"/>
              <x v="7"/>
              <x v="8"/>
              <x v="9"/>
            </reference>
          </references>
        </pivotArea>
      </pivotAreas>
    </conditionalFormat>
    <conditionalFormat priority="30">
      <pivotAreas count="1">
        <pivotArea type="data" outline="0" collapsedLevelsAreSubtotals="1" fieldPosition="0">
          <references count="2">
            <reference field="4294967294" count="1" selected="0">
              <x v="3"/>
            </reference>
            <reference field="11" count="8" selected="0">
              <x v="1"/>
              <x v="3"/>
              <x v="4"/>
              <x v="5"/>
              <x v="6"/>
              <x v="7"/>
              <x v="8"/>
              <x v="9"/>
            </reference>
          </references>
        </pivotArea>
      </pivotAreas>
    </conditionalFormat>
  </conditionalFormats>
  <chartFormats count="8">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6" format="2" series="1">
      <pivotArea type="data" outline="0" fieldPosition="0">
        <references count="1">
          <reference field="4294967294" count="1" selected="0">
            <x v="2"/>
          </reference>
        </references>
      </pivotArea>
    </chartFormat>
    <chartFormat chart="6" format="3" series="1">
      <pivotArea type="data" outline="0" fieldPosition="0">
        <references count="1">
          <reference field="4294967294" count="1" selected="0">
            <x v="3"/>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8" format="2" series="1">
      <pivotArea type="data" outline="0" fieldPosition="0">
        <references count="1">
          <reference field="4294967294" count="1" selected="0">
            <x v="2"/>
          </reference>
        </references>
      </pivotArea>
    </chartFormat>
    <chartFormat chart="8"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570C57-DA3D-43EB-8BE1-BF8684FF208B}"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9">
  <location ref="I32:O43" firstHeaderRow="1" firstDataRow="3" firstDataCol="1"/>
  <pivotFields count="19">
    <pivotField dataField="1" compact="0" outline="0" showAll="0" defaultSubtotal="0"/>
    <pivotField compact="0" outline="0" showAll="0" defaultSubtotal="0"/>
    <pivotField compact="0" outline="0" showAll="0" defaultSubtotal="0"/>
    <pivotField compact="0" outline="0" subtotalTop="0" showAll="0" defaultSubtotal="0"/>
    <pivotField compact="0" outline="0" subtotalTop="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numFmtId="43" outline="0" subtotalTop="0" showAll="0" defaultSubtotal="0"/>
    <pivotField compact="0" outline="0" subtotalTop="0" showAll="0" defaultSubtotal="0"/>
    <pivotField axis="axisRow" compact="0" outline="0" showAll="0" sortType="descending" defaultSubtotal="0">
      <items count="10">
        <item sd="0" m="1" x="9"/>
        <item sd="0" x="3"/>
        <item sd="0" m="1" x="8"/>
        <item sd="0" x="7"/>
        <item sd="0" x="6"/>
        <item sd="0" x="4"/>
        <item sd="0" x="1"/>
        <item sd="0" x="5"/>
        <item x="0"/>
        <item x="2"/>
      </items>
      <autoSortScope>
        <pivotArea dataOnly="0" outline="0" fieldPosition="0">
          <references count="2">
            <reference field="4294967294" count="1" selected="0">
              <x v="1"/>
            </reference>
            <reference field="12" count="1" selected="0">
              <x v="1"/>
            </reference>
          </references>
        </pivotArea>
      </autoSortScope>
    </pivotField>
    <pivotField axis="axisCol" compact="0" outline="0" showAll="0" sortType="descending" defaultSubtotal="0">
      <items count="2">
        <item x="0"/>
        <item x="1"/>
      </items>
    </pivotField>
    <pivotField compact="0" outline="0" showAll="0" defaultSubtotal="0"/>
    <pivotField compact="0" numFmtId="1" outline="0" showAll="0" defaultSubtotal="0"/>
    <pivotField compact="0" numFmtId="1" outline="0" showAll="0" defaultSubtotal="0"/>
    <pivotField compact="0" numFmtId="1" outline="0" showAll="0" defaultSubtotal="0"/>
    <pivotField compact="0" numFmtId="1" outline="0" showAll="0" defaultSubtotal="0"/>
    <pivotField compact="0" outline="0" dragToRow="0" dragToCol="0" dragToPage="0" showAll="0" defaultSubtotal="0"/>
  </pivotFields>
  <rowFields count="1">
    <field x="11"/>
  </rowFields>
  <rowItems count="9">
    <i>
      <x v="6"/>
    </i>
    <i>
      <x v="8"/>
    </i>
    <i>
      <x v="9"/>
    </i>
    <i>
      <x v="3"/>
    </i>
    <i>
      <x v="1"/>
    </i>
    <i>
      <x v="7"/>
    </i>
    <i>
      <x v="5"/>
    </i>
    <i>
      <x v="4"/>
    </i>
    <i t="grand">
      <x/>
    </i>
  </rowItems>
  <colFields count="2">
    <field x="12"/>
    <field x="-2"/>
  </colFields>
  <colItems count="6">
    <i>
      <x/>
      <x/>
    </i>
    <i r="1" i="1">
      <x v="1"/>
    </i>
    <i>
      <x v="1"/>
      <x/>
    </i>
    <i r="1" i="1">
      <x v="1"/>
    </i>
    <i t="grand">
      <x/>
    </i>
    <i t="grand" i="1">
      <x/>
    </i>
  </colItems>
  <dataFields count="2">
    <dataField name="# Participant" fld="0" subtotal="count" baseField="11" baseItem="6"/>
    <dataField name="% of Region Total" fld="0" subtotal="count" showDataAs="percentOfRow" baseField="0" baseItem="0" numFmtId="10"/>
  </dataFields>
  <formats count="3">
    <format dxfId="43">
      <pivotArea outline="0" fieldPosition="0">
        <references count="2">
          <reference field="4294967294" count="1" selected="0">
            <x v="1"/>
          </reference>
          <reference field="12" count="1" selected="0">
            <x v="1"/>
          </reference>
        </references>
      </pivotArea>
    </format>
    <format dxfId="42">
      <pivotArea field="12" grandCol="1" outline="0" axis="axisCol" fieldPosition="0">
        <references count="1">
          <reference field="4294967294" count="1" selected="0">
            <x v="1"/>
          </reference>
        </references>
      </pivotArea>
    </format>
    <format dxfId="41">
      <pivotArea outline="0" fieldPosition="0">
        <references count="2">
          <reference field="4294967294" count="1" selected="0">
            <x v="1"/>
          </reference>
          <reference field="12" count="1" selected="0">
            <x v="0"/>
          </reference>
        </references>
      </pivotArea>
    </format>
  </formats>
  <conditionalFormats count="2">
    <conditionalFormat priority="33">
      <pivotAreas count="1">
        <pivotArea type="data" outline="0" collapsedLevelsAreSubtotals="1" fieldPosition="0">
          <references count="3">
            <reference field="4294967294" count="1" selected="0">
              <x v="0"/>
            </reference>
            <reference field="11" count="8" selected="0">
              <x v="1"/>
              <x v="3"/>
              <x v="4"/>
              <x v="5"/>
              <x v="6"/>
              <x v="7"/>
              <x v="8"/>
              <x v="9"/>
            </reference>
            <reference field="12" count="2" selected="0">
              <x v="0"/>
              <x v="1"/>
            </reference>
          </references>
        </pivotArea>
      </pivotAreas>
    </conditionalFormat>
    <conditionalFormat priority="9">
      <pivotAreas count="1">
        <pivotArea type="data" outline="0" collapsedLevelsAreSubtotals="1" fieldPosition="0">
          <references count="3">
            <reference field="4294967294" count="1" selected="0">
              <x v="1"/>
            </reference>
            <reference field="11" count="8" selected="0">
              <x v="1"/>
              <x v="3"/>
              <x v="4"/>
              <x v="5"/>
              <x v="6"/>
              <x v="7"/>
              <x v="8"/>
              <x v="9"/>
            </reference>
            <reference field="12" count="1" selected="0">
              <x v="1"/>
            </reference>
          </references>
        </pivotArea>
      </pivotAreas>
    </conditionalFormat>
  </conditionalFormats>
  <chartFormats count="1">
    <chartFormat chart="7"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BF3C8F7-49D2-4DE1-BE2E-8C5732ABD8B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02:C110" firstHeaderRow="1" firstDataRow="1" firstDataCol="1"/>
  <pivotFields count="19">
    <pivotField dataField="1" showAll="0"/>
    <pivotField showAll="0"/>
    <pivotField showAll="0"/>
    <pivotField showAll="0"/>
    <pivotField showAll="0"/>
    <pivotField showAll="0"/>
    <pivotField showAll="0"/>
    <pivotField showAll="0"/>
    <pivotField showAll="0">
      <items count="6">
        <item x="0"/>
        <item x="3"/>
        <item x="2"/>
        <item x="1"/>
        <item x="4"/>
        <item t="default"/>
      </items>
    </pivotField>
    <pivotField numFmtId="43" showAll="0"/>
    <pivotField axis="axisRow" showAll="0">
      <items count="8">
        <item x="1"/>
        <item x="2"/>
        <item x="0"/>
        <item x="6"/>
        <item x="3"/>
        <item x="4"/>
        <item x="5"/>
        <item t="default"/>
      </items>
    </pivotField>
    <pivotField showAll="0"/>
    <pivotField showAll="0"/>
    <pivotField showAll="0"/>
    <pivotField numFmtId="1" showAll="0"/>
    <pivotField numFmtId="1" showAll="0"/>
    <pivotField numFmtId="1" showAll="0"/>
    <pivotField numFmtId="1" showAll="0"/>
    <pivotField dragToRow="0" dragToCol="0" dragToPage="0" showAll="0" defaultSubtotal="0"/>
  </pivotFields>
  <rowFields count="1">
    <field x="10"/>
  </rowFields>
  <rowItems count="8">
    <i>
      <x/>
    </i>
    <i>
      <x v="1"/>
    </i>
    <i>
      <x v="2"/>
    </i>
    <i>
      <x v="3"/>
    </i>
    <i>
      <x v="4"/>
    </i>
    <i>
      <x v="5"/>
    </i>
    <i>
      <x v="6"/>
    </i>
    <i t="grand">
      <x/>
    </i>
  </rowItems>
  <colItems count="1">
    <i/>
  </colItems>
  <dataFields count="1">
    <dataField name="# Participant" fld="0"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E74151E-D632-4899-8244-546A8A5787C9}" name="PivotTable19"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H138:L147" firstHeaderRow="1" firstDataRow="2" firstDataCol="1"/>
  <pivotFields count="19">
    <pivotField dataField="1" compact="0" outline="0" subtotalTop="0" showAll="0"/>
    <pivotField axis="axisCol" compact="0" outline="0" subtotalTop="0" showAll="0">
      <items count="4">
        <item x="1"/>
        <item x="2"/>
        <item x="0"/>
        <item t="default"/>
      </items>
    </pivotField>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items count="6">
        <item x="0"/>
        <item x="3"/>
        <item x="2"/>
        <item x="1"/>
        <item x="4"/>
        <item t="default"/>
      </items>
    </pivotField>
    <pivotField compact="0" numFmtId="43" outline="0" subtotalTop="0" showAll="0"/>
    <pivotField axis="axisRow" compact="0" outline="0" subtotalTop="0" showAll="0">
      <items count="8">
        <item x="1"/>
        <item x="2"/>
        <item x="0"/>
        <item x="6"/>
        <item x="3"/>
        <item x="4"/>
        <item x="5"/>
        <item t="default"/>
      </items>
    </pivotField>
    <pivotField compact="0" outline="0" subtotalTop="0" showAll="0" sortType="descending">
      <items count="11">
        <item m="1" x="9"/>
        <item x="3"/>
        <item m="1" x="8"/>
        <item x="7"/>
        <item x="6"/>
        <item x="4"/>
        <item x="1"/>
        <item x="5"/>
        <item x="0"/>
        <item x="2"/>
        <item t="default"/>
      </items>
      <autoSortScope>
        <pivotArea dataOnly="0" outline="0" fieldPosition="0">
          <references count="1">
            <reference field="4294967294" count="1" selected="0">
              <x v="0"/>
            </reference>
          </references>
        </pivotArea>
      </autoSortScope>
    </pivotField>
    <pivotField compact="0" outline="0" subtotalTop="0" showAll="0">
      <items count="3">
        <item x="1"/>
        <item x="0"/>
        <item t="default"/>
      </items>
    </pivotField>
    <pivotField compact="0" outline="0" subtotalTop="0" showAll="0"/>
    <pivotField compact="0" numFmtId="1" outline="0" subtotalTop="0" showAll="0"/>
    <pivotField compact="0" numFmtId="1" outline="0" subtotalTop="0" showAll="0"/>
    <pivotField compact="0" numFmtId="1" outline="0" subtotalTop="0" showAll="0"/>
    <pivotField compact="0" numFmtId="1" outline="0" subtotalTop="0" showAll="0"/>
    <pivotField compact="0" outline="0" subtotalTop="0" dragToRow="0" dragToCol="0" dragToPage="0" showAll="0" defaultSubtotal="0"/>
  </pivotFields>
  <rowFields count="1">
    <field x="10"/>
  </rowFields>
  <rowItems count="8">
    <i>
      <x/>
    </i>
    <i>
      <x v="1"/>
    </i>
    <i>
      <x v="2"/>
    </i>
    <i>
      <x v="3"/>
    </i>
    <i>
      <x v="4"/>
    </i>
    <i>
      <x v="5"/>
    </i>
    <i>
      <x v="6"/>
    </i>
    <i t="grand">
      <x/>
    </i>
  </rowItems>
  <colFields count="1">
    <field x="1"/>
  </colFields>
  <colItems count="4">
    <i>
      <x/>
    </i>
    <i>
      <x v="1"/>
    </i>
    <i>
      <x v="2"/>
    </i>
    <i t="grand">
      <x/>
    </i>
  </colItems>
  <dataFields count="1">
    <dataField name="Count of Animal" fld="0" subtotal="count" baseField="0" baseItem="0"/>
  </dataFields>
  <formats count="2">
    <format dxfId="45">
      <pivotArea outline="0" collapsedLevelsAreSubtotals="1" fieldPosition="0"/>
    </format>
    <format dxfId="44">
      <pivotArea outline="0" fieldPosition="0">
        <references count="1">
          <reference field="4294967294" count="1">
            <x v="0"/>
          </reference>
        </references>
      </pivotArea>
    </format>
  </formats>
  <conditionalFormats count="1">
    <conditionalFormat priority="15">
      <pivotAreas count="1">
        <pivotArea type="data" outline="0" collapsedLevelsAreSubtotals="1" fieldPosition="0">
          <references count="3">
            <reference field="4294967294" count="1" selected="0">
              <x v="0"/>
            </reference>
            <reference field="1" count="3" selected="0">
              <x v="0"/>
              <x v="1"/>
              <x v="2"/>
            </reference>
            <reference field="10" count="7" selected="0">
              <x v="0"/>
              <x v="1"/>
              <x v="2"/>
              <x v="3"/>
              <x v="4"/>
              <x v="5"/>
              <x v="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582F0E5-EDDC-4200-8A41-67FE6491C21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Diet">
  <location ref="I155:M159" firstHeaderRow="0" firstDataRow="1" firstDataCol="1"/>
  <pivotFields count="19">
    <pivotField showAll="0"/>
    <pivotField axis="axisRow" showAll="0" sortType="descending">
      <items count="4">
        <item x="0"/>
        <item x="2"/>
        <item x="1"/>
        <item t="default"/>
      </items>
      <autoSortScope>
        <pivotArea dataOnly="0" outline="0" fieldPosition="0">
          <references count="1">
            <reference field="4294967294" count="1" selected="0">
              <x v="3"/>
            </reference>
          </references>
        </pivotArea>
      </autoSortScope>
    </pivotField>
    <pivotField showAll="0"/>
    <pivotField showAll="0"/>
    <pivotField showAll="0"/>
    <pivotField showAll="0"/>
    <pivotField showAll="0"/>
    <pivotField showAll="0"/>
    <pivotField showAll="0"/>
    <pivotField numFmtId="43" showAll="0"/>
    <pivotField showAll="0"/>
    <pivotField showAll="0"/>
    <pivotField showAll="0"/>
    <pivotField showAll="0"/>
    <pivotField dataField="1" numFmtId="1" showAll="0"/>
    <pivotField dataField="1" numFmtId="1" showAll="0"/>
    <pivotField dataField="1" numFmtId="1" showAll="0"/>
    <pivotField numFmtId="1" showAll="0"/>
    <pivotField dataField="1" dragToRow="0" dragToCol="0" dragToPage="0" showAll="0" defaultSubtotal="0"/>
  </pivotFields>
  <rowFields count="1">
    <field x="1"/>
  </rowFields>
  <rowItems count="4">
    <i>
      <x v="1"/>
    </i>
    <i>
      <x/>
    </i>
    <i>
      <x v="2"/>
    </i>
    <i t="grand">
      <x/>
    </i>
  </rowItems>
  <colFields count="1">
    <field x="-2"/>
  </colFields>
  <colItems count="4">
    <i>
      <x/>
    </i>
    <i i="1">
      <x v="1"/>
    </i>
    <i i="2">
      <x v="2"/>
    </i>
    <i i="3">
      <x v="3"/>
    </i>
  </colItems>
  <dataFields count="4">
    <dataField name="Revenue ($)" fld="14" baseField="1" baseItem="1"/>
    <dataField name="Cost ($)" fld="15" baseField="1" baseItem="1" numFmtId="164"/>
    <dataField name="Profit ($)" fld="16" baseField="1" baseItem="1"/>
    <dataField name="Profit Margin (%)" fld="18" baseField="1" baseItem="1" numFmtId="166"/>
  </dataFields>
  <formats count="4">
    <format dxfId="49">
      <pivotArea outline="0" collapsedLevelsAreSubtotals="1" fieldPosition="0"/>
    </format>
    <format dxfId="48">
      <pivotArea collapsedLevelsAreSubtotals="1" fieldPosition="0">
        <references count="2">
          <reference field="4294967294" count="1" selected="0">
            <x v="3"/>
          </reference>
          <reference field="1" count="0"/>
        </references>
      </pivotArea>
    </format>
    <format dxfId="47">
      <pivotArea field="1" grandRow="1" outline="0" collapsedLevelsAreSubtotals="1" axis="axisRow" fieldPosition="0">
        <references count="1">
          <reference field="4294967294" count="1" selected="0">
            <x v="3"/>
          </reference>
        </references>
      </pivotArea>
    </format>
    <format dxfId="46">
      <pivotArea outline="0" collapsedLevelsAreSubtotals="1" fieldPosition="0">
        <references count="1">
          <reference field="4294967294" count="1" selected="0">
            <x v="3"/>
          </reference>
        </references>
      </pivotArea>
    </format>
  </formats>
  <conditionalFormats count="4">
    <conditionalFormat priority="28">
      <pivotAreas count="1">
        <pivotArea type="data" collapsedLevelsAreSubtotals="1" fieldPosition="0">
          <references count="2">
            <reference field="4294967294" count="1" selected="0">
              <x v="0"/>
            </reference>
            <reference field="1" count="3">
              <x v="0"/>
              <x v="1"/>
              <x v="2"/>
            </reference>
          </references>
        </pivotArea>
      </pivotAreas>
    </conditionalFormat>
    <conditionalFormat priority="27">
      <pivotAreas count="1">
        <pivotArea type="data" collapsedLevelsAreSubtotals="1" fieldPosition="0">
          <references count="2">
            <reference field="4294967294" count="1" selected="0">
              <x v="3"/>
            </reference>
            <reference field="1" count="3">
              <x v="0"/>
              <x v="1"/>
              <x v="2"/>
            </reference>
          </references>
        </pivotArea>
      </pivotAreas>
    </conditionalFormat>
    <conditionalFormat priority="26">
      <pivotAreas count="1">
        <pivotArea type="data" collapsedLevelsAreSubtotals="1" fieldPosition="0">
          <references count="2">
            <reference field="4294967294" count="1" selected="0">
              <x v="2"/>
            </reference>
            <reference field="1" count="3">
              <x v="0"/>
              <x v="1"/>
              <x v="2"/>
            </reference>
          </references>
        </pivotArea>
      </pivotAreas>
    </conditionalFormat>
    <conditionalFormat priority="25">
      <pivotAreas count="1">
        <pivotArea type="data" collapsedLevelsAreSubtotals="1" fieldPosition="0">
          <references count="2">
            <reference field="4294967294" count="1" selected="0">
              <x v="1"/>
            </reference>
            <reference field="1" count="3">
              <x v="0"/>
              <x v="1"/>
              <x v="2"/>
            </reference>
          </references>
        </pivotArea>
      </pivotAreas>
    </conditionalFormat>
  </conditionalFormats>
  <chartFormats count="5">
    <chartFormat chart="5" format="7" series="1">
      <pivotArea type="data" outline="0" fieldPosition="0">
        <references count="1">
          <reference field="4294967294" count="1" selected="0">
            <x v="1"/>
          </reference>
        </references>
      </pivotArea>
    </chartFormat>
    <chartFormat chart="5" format="8" series="1">
      <pivotArea type="data" outline="0" fieldPosition="0">
        <references count="1">
          <reference field="4294967294" count="1" selected="0">
            <x v="0"/>
          </reference>
        </references>
      </pivotArea>
    </chartFormat>
    <chartFormat chart="5" format="9" series="1">
      <pivotArea type="data" outline="0" fieldPosition="0">
        <references count="1">
          <reference field="4294967294" count="1" selected="0">
            <x v="2"/>
          </reference>
        </references>
      </pivotArea>
    </chartFormat>
    <chartFormat chart="5" format="10">
      <pivotArea type="data" outline="0" fieldPosition="0">
        <references count="2">
          <reference field="4294967294" count="1" selected="0">
            <x v="1"/>
          </reference>
          <reference field="1" count="1" selected="0">
            <x v="0"/>
          </reference>
        </references>
      </pivotArea>
    </chartFormat>
    <chartFormat chart="5"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2F122A-FBD7-4612-B0A5-68EA7FF558CE}" name="PivotTable17"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126:K135" firstHeaderRow="1" firstDataRow="2" firstDataCol="1"/>
  <pivotFields count="19">
    <pivotField dataField="1" compact="0" outline="0" subtotalTop="0" showAll="0"/>
    <pivotField compact="0" outline="0" subtotalTop="0" showAll="0">
      <items count="4">
        <item x="1"/>
        <item x="2"/>
        <item x="0"/>
        <item t="default"/>
      </items>
    </pivotField>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items count="6">
        <item x="0"/>
        <item x="3"/>
        <item x="2"/>
        <item x="1"/>
        <item x="4"/>
        <item t="default"/>
      </items>
    </pivotField>
    <pivotField compact="0" numFmtId="43" outline="0" subtotalTop="0" showAll="0"/>
    <pivotField axis="axisRow" compact="0" outline="0" subtotalTop="0" showAll="0" sortType="descending">
      <items count="8">
        <item x="1"/>
        <item x="2"/>
        <item x="0"/>
        <item x="6"/>
        <item x="3"/>
        <item x="4"/>
        <item x="5"/>
        <item t="default"/>
      </items>
      <autoSortScope>
        <pivotArea dataOnly="0" outline="0" fieldPosition="0">
          <references count="1">
            <reference field="4294967294" count="1" selected="0">
              <x v="0"/>
            </reference>
          </references>
        </pivotArea>
      </autoSortScope>
    </pivotField>
    <pivotField axis="axisCol" compact="0" outline="0" subtotalTop="0" showAll="0" sortType="descending">
      <items count="11">
        <item m="1" x="9"/>
        <item x="3"/>
        <item m="1" x="8"/>
        <item x="7"/>
        <item x="6"/>
        <item x="4"/>
        <item x="1"/>
        <item x="5"/>
        <item x="0"/>
        <item x="2"/>
        <item t="default"/>
      </items>
      <autoSortScope>
        <pivotArea dataOnly="0" outline="0" fieldPosition="0">
          <references count="1">
            <reference field="4294967294" count="1" selected="0">
              <x v="0"/>
            </reference>
          </references>
        </pivotArea>
      </autoSortScope>
    </pivotField>
    <pivotField compact="0" outline="0" subtotalTop="0" showAll="0">
      <items count="3">
        <item x="1"/>
        <item x="0"/>
        <item t="default"/>
      </items>
    </pivotField>
    <pivotField compact="0" outline="0" subtotalTop="0" showAll="0"/>
    <pivotField compact="0" numFmtId="1" outline="0" subtotalTop="0" showAll="0"/>
    <pivotField compact="0" numFmtId="1" outline="0" subtotalTop="0" showAll="0"/>
    <pivotField compact="0" numFmtId="1" outline="0" subtotalTop="0" showAll="0"/>
    <pivotField compact="0" numFmtId="1" outline="0" subtotalTop="0" showAll="0"/>
    <pivotField compact="0" outline="0" subtotalTop="0" dragToRow="0" dragToCol="0" dragToPage="0" showAll="0" defaultSubtotal="0"/>
  </pivotFields>
  <rowFields count="1">
    <field x="10"/>
  </rowFields>
  <rowItems count="8">
    <i>
      <x/>
    </i>
    <i>
      <x v="6"/>
    </i>
    <i>
      <x v="1"/>
    </i>
    <i>
      <x v="2"/>
    </i>
    <i>
      <x v="3"/>
    </i>
    <i>
      <x v="4"/>
    </i>
    <i>
      <x v="5"/>
    </i>
    <i t="grand">
      <x/>
    </i>
  </rowItems>
  <colFields count="1">
    <field x="11"/>
  </colFields>
  <colItems count="9">
    <i>
      <x v="6"/>
    </i>
    <i>
      <x v="8"/>
    </i>
    <i>
      <x v="9"/>
    </i>
    <i>
      <x v="3"/>
    </i>
    <i>
      <x v="7"/>
    </i>
    <i>
      <x v="1"/>
    </i>
    <i>
      <x v="5"/>
    </i>
    <i>
      <x v="4"/>
    </i>
    <i t="grand">
      <x/>
    </i>
  </colItems>
  <dataFields count="1">
    <dataField name="Count of Animal" fld="0" subtotal="count" baseField="0" baseItem="0"/>
  </dataFields>
  <formats count="2">
    <format dxfId="51">
      <pivotArea outline="0" collapsedLevelsAreSubtotals="1" fieldPosition="0"/>
    </format>
    <format dxfId="50">
      <pivotArea outline="0" fieldPosition="0">
        <references count="1">
          <reference field="4294967294" count="1">
            <x v="0"/>
          </reference>
        </references>
      </pivotArea>
    </format>
  </formats>
  <conditionalFormats count="1">
    <conditionalFormat priority="17">
      <pivotAreas count="1">
        <pivotArea type="data" outline="0" collapsedLevelsAreSubtotals="1" fieldPosition="0">
          <references count="3">
            <reference field="4294967294" count="1" selected="0">
              <x v="0"/>
            </reference>
            <reference field="10" count="7" selected="0">
              <x v="0"/>
              <x v="1"/>
              <x v="2"/>
              <x v="3"/>
              <x v="4"/>
              <x v="5"/>
              <x v="6"/>
            </reference>
            <reference field="11" count="8" selected="0">
              <x v="1"/>
              <x v="3"/>
              <x v="4"/>
              <x v="5"/>
              <x v="6"/>
              <x v="7"/>
              <x v="8"/>
              <x v="9"/>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E110C95-D8E1-4A36-8DE8-E4DCD2F516DF}"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116:K123" firstHeaderRow="1" firstDataRow="2" firstDataCol="1"/>
  <pivotFields count="19">
    <pivotField dataField="1" compact="0" outline="0" subtotalTop="0" showAll="0"/>
    <pivotField compact="0" outline="0" subtotalTop="0" showAll="0">
      <items count="4">
        <item x="1"/>
        <item x="2"/>
        <item x="0"/>
        <item t="default"/>
      </items>
    </pivotField>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axis="axisRow" compact="0" outline="0" subtotalTop="0" showAll="0" sortType="descending">
      <items count="6">
        <item x="0"/>
        <item x="3"/>
        <item x="2"/>
        <item x="1"/>
        <item x="4"/>
        <item t="default"/>
      </items>
      <autoSortScope>
        <pivotArea dataOnly="0" outline="0" fieldPosition="0">
          <references count="1">
            <reference field="4294967294" count="1" selected="0">
              <x v="0"/>
            </reference>
          </references>
        </pivotArea>
      </autoSortScope>
    </pivotField>
    <pivotField compact="0" numFmtId="43" outline="0" subtotalTop="0" showAll="0"/>
    <pivotField compact="0" outline="0" subtotalTop="0" showAll="0"/>
    <pivotField axis="axisCol" compact="0" outline="0" subtotalTop="0" showAll="0" sortType="descending">
      <items count="11">
        <item m="1" x="9"/>
        <item x="3"/>
        <item m="1" x="8"/>
        <item x="7"/>
        <item x="6"/>
        <item x="4"/>
        <item x="1"/>
        <item x="5"/>
        <item x="0"/>
        <item x="2"/>
        <item t="default"/>
      </items>
      <autoSortScope>
        <pivotArea dataOnly="0" outline="0" fieldPosition="0">
          <references count="1">
            <reference field="4294967294" count="1" selected="0">
              <x v="0"/>
            </reference>
          </references>
        </pivotArea>
      </autoSortScope>
    </pivotField>
    <pivotField compact="0" outline="0" subtotalTop="0" showAll="0">
      <items count="3">
        <item x="1"/>
        <item x="0"/>
        <item t="default"/>
      </items>
    </pivotField>
    <pivotField compact="0" outline="0" subtotalTop="0" showAll="0"/>
    <pivotField compact="0" numFmtId="1" outline="0" subtotalTop="0" showAll="0"/>
    <pivotField compact="0" numFmtId="1" outline="0" subtotalTop="0" showAll="0"/>
    <pivotField compact="0" numFmtId="1" outline="0" subtotalTop="0" showAll="0"/>
    <pivotField compact="0" numFmtId="1" outline="0" subtotalTop="0" showAll="0"/>
    <pivotField compact="0" outline="0" subtotalTop="0" dragToRow="0" dragToCol="0" dragToPage="0" showAll="0" defaultSubtotal="0"/>
  </pivotFields>
  <rowFields count="1">
    <field x="8"/>
  </rowFields>
  <rowItems count="6">
    <i>
      <x/>
    </i>
    <i>
      <x v="2"/>
    </i>
    <i>
      <x v="3"/>
    </i>
    <i>
      <x v="1"/>
    </i>
    <i>
      <x v="4"/>
    </i>
    <i t="grand">
      <x/>
    </i>
  </rowItems>
  <colFields count="1">
    <field x="11"/>
  </colFields>
  <colItems count="9">
    <i>
      <x v="6"/>
    </i>
    <i>
      <x v="8"/>
    </i>
    <i>
      <x v="9"/>
    </i>
    <i>
      <x v="3"/>
    </i>
    <i>
      <x v="7"/>
    </i>
    <i>
      <x v="1"/>
    </i>
    <i>
      <x v="5"/>
    </i>
    <i>
      <x v="4"/>
    </i>
    <i t="grand">
      <x/>
    </i>
  </colItems>
  <dataFields count="1">
    <dataField name="Count of Animal" fld="0" subtotal="count" baseField="0" baseItem="0"/>
  </dataFields>
  <formats count="2">
    <format dxfId="53">
      <pivotArea outline="0" collapsedLevelsAreSubtotals="1" fieldPosition="0"/>
    </format>
    <format dxfId="52">
      <pivotArea outline="0" fieldPosition="0">
        <references count="1">
          <reference field="4294967294" count="1">
            <x v="0"/>
          </reference>
        </references>
      </pivotArea>
    </format>
  </formats>
  <conditionalFormats count="1">
    <conditionalFormat priority="18">
      <pivotAreas count="1">
        <pivotArea type="data" outline="0" collapsedLevelsAreSubtotals="1" fieldPosition="0">
          <references count="3">
            <reference field="4294967294" count="1" selected="0">
              <x v="0"/>
            </reference>
            <reference field="8" count="5" selected="0">
              <x v="0"/>
              <x v="1"/>
              <x v="2"/>
              <x v="3"/>
              <x v="4"/>
            </reference>
            <reference field="11" count="8" selected="0">
              <x v="1"/>
              <x v="3"/>
              <x v="4"/>
              <x v="5"/>
              <x v="6"/>
              <x v="7"/>
              <x v="8"/>
              <x v="9"/>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E66B590-768F-4686-BEC4-C226C95A83F5}"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0">
  <location ref="B167:G191" firstHeaderRow="0" firstDataRow="1" firstDataCol="2"/>
  <pivotFields count="19">
    <pivotField compact="0" outline="0" subtotalTop="0" showAll="0" defaultSubtotal="0"/>
    <pivotField axis="axisRow" compact="0" outline="0" subtotalTop="0" showAll="0" sortType="descending" defaultSubtotal="0">
      <items count="3">
        <item x="1"/>
        <item x="2"/>
        <item x="0"/>
      </items>
      <autoSortScope>
        <pivotArea dataOnly="0" outline="0" fieldPosition="0">
          <references count="1">
            <reference field="4294967294" count="1" selected="0">
              <x v="3"/>
            </reference>
          </references>
        </pivotArea>
      </autoSortScope>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numFmtId="43" outline="0" subtotalTop="0" showAll="0" defaultSubtotal="0"/>
    <pivotField compact="0" outline="0" subtotalTop="0" showAll="0" defaultSubtotal="0"/>
    <pivotField axis="axisRow" compact="0" outline="0" subtotalTop="0" showAll="0" sortType="descending" defaultSubtotal="0">
      <items count="10">
        <item m="1" x="9"/>
        <item x="3"/>
        <item m="1" x="8"/>
        <item x="7"/>
        <item x="6"/>
        <item x="4"/>
        <item x="1"/>
        <item x="5"/>
        <item x="0"/>
        <item x="2"/>
      </items>
      <autoSortScope>
        <pivotArea dataOnly="0" outline="0" fieldPosition="0">
          <references count="1">
            <reference field="4294967294" count="1" selected="0">
              <x v="3"/>
            </reference>
          </references>
        </pivotArea>
      </autoSortScope>
    </pivotField>
    <pivotField compact="0" outline="0" subtotalTop="0" showAll="0" defaultSubtotal="0"/>
    <pivotField compact="0" outline="0" subtotalTop="0" showAll="0" defaultSubtotal="0"/>
    <pivotField dataField="1" compact="0" numFmtId="1" outline="0" subtotalTop="0" showAll="0" defaultSubtotal="0"/>
    <pivotField dataField="1" compact="0" outline="0" subtotalTop="0" showAll="0" defaultSubtotal="0"/>
    <pivotField dataField="1" compact="0" outline="0" subtotalTop="0" showAll="0" defaultSubtotal="0"/>
    <pivotField compact="0" numFmtId="1" outline="0" subtotalTop="0" showAll="0" defaultSubtotal="0"/>
    <pivotField dataField="1" compact="0" outline="0" subtotalTop="0" dragToRow="0" dragToCol="0" dragToPage="0" showAll="0" defaultSubtotal="0"/>
  </pivotFields>
  <rowFields count="2">
    <field x="11"/>
    <field x="1"/>
  </rowFields>
  <rowItems count="24">
    <i>
      <x v="1"/>
      <x v="1"/>
    </i>
    <i r="1">
      <x v="2"/>
    </i>
    <i r="1">
      <x/>
    </i>
    <i>
      <x v="9"/>
      <x v="1"/>
    </i>
    <i r="1">
      <x v="2"/>
    </i>
    <i r="1">
      <x/>
    </i>
    <i>
      <x v="3"/>
      <x v="1"/>
    </i>
    <i r="1">
      <x v="2"/>
    </i>
    <i r="1">
      <x/>
    </i>
    <i>
      <x v="7"/>
      <x v="1"/>
    </i>
    <i r="1">
      <x v="2"/>
    </i>
    <i r="1">
      <x/>
    </i>
    <i>
      <x v="8"/>
      <x v="1"/>
    </i>
    <i r="1">
      <x v="2"/>
    </i>
    <i r="1">
      <x/>
    </i>
    <i>
      <x v="6"/>
      <x v="1"/>
    </i>
    <i r="1">
      <x v="2"/>
    </i>
    <i r="1">
      <x/>
    </i>
    <i>
      <x v="4"/>
      <x v="1"/>
    </i>
    <i r="1">
      <x v="2"/>
    </i>
    <i>
      <x v="5"/>
      <x v="1"/>
    </i>
    <i r="1">
      <x v="2"/>
    </i>
    <i r="1">
      <x/>
    </i>
    <i t="grand">
      <x/>
    </i>
  </rowItems>
  <colFields count="1">
    <field x="-2"/>
  </colFields>
  <colItems count="4">
    <i>
      <x/>
    </i>
    <i i="1">
      <x v="1"/>
    </i>
    <i i="2">
      <x v="2"/>
    </i>
    <i i="3">
      <x v="3"/>
    </i>
  </colItems>
  <dataFields count="4">
    <dataField name="Revenue ($)" fld="14" baseField="11" baseItem="1"/>
    <dataField name="Cost ($)" fld="15" baseField="11" baseItem="1"/>
    <dataField name="Profit ($)" fld="16" baseField="11" baseItem="1"/>
    <dataField name="Profit Margin (%)" fld="18" baseField="11" baseItem="1" numFmtId="166"/>
  </dataFields>
  <formats count="5">
    <format dxfId="58">
      <pivotArea outline="0" fieldPosition="0">
        <references count="3">
          <reference field="4294967294" count="1" selected="0">
            <x v="1"/>
          </reference>
          <reference field="1" count="0" selected="0"/>
          <reference field="11" count="0" selected="0"/>
        </references>
      </pivotArea>
    </format>
    <format dxfId="57">
      <pivotArea dataOnly="0" labelOnly="1" outline="0" fieldPosition="0">
        <references count="2">
          <reference field="1" count="1" selected="0">
            <x v="0"/>
          </reference>
          <reference field="11" count="1">
            <x v="6"/>
          </reference>
        </references>
      </pivotArea>
    </format>
    <format dxfId="56">
      <pivotArea dataOnly="0" labelOnly="1" outline="0" fieldPosition="0">
        <references count="2">
          <reference field="1" count="1" selected="0">
            <x v="1"/>
          </reference>
          <reference field="11" count="1">
            <x v="6"/>
          </reference>
        </references>
      </pivotArea>
    </format>
    <format dxfId="55">
      <pivotArea dataOnly="0" labelOnly="1" outline="0" fieldPosition="0">
        <references count="2">
          <reference field="1" count="1" selected="0">
            <x v="2"/>
          </reference>
          <reference field="11" count="1">
            <x v="6"/>
          </reference>
        </references>
      </pivotArea>
    </format>
    <format dxfId="54">
      <pivotArea outline="0" fieldPosition="0">
        <references count="1">
          <reference field="4294967294" count="1" selected="0">
            <x v="3"/>
          </reference>
        </references>
      </pivotArea>
    </format>
  </formats>
  <conditionalFormats count="4">
    <conditionalFormat priority="24">
      <pivotAreas count="1">
        <pivotArea type="data" outline="0" collapsedLevelsAreSubtotals="1" fieldPosition="0">
          <references count="3">
            <reference field="4294967294" count="1" selected="0">
              <x v="0"/>
            </reference>
            <reference field="1" count="3" selected="0">
              <x v="0"/>
              <x v="1"/>
              <x v="2"/>
            </reference>
            <reference field="11" count="8" selected="0">
              <x v="1"/>
              <x v="3"/>
              <x v="4"/>
              <x v="5"/>
              <x v="6"/>
              <x v="7"/>
              <x v="8"/>
              <x v="9"/>
            </reference>
          </references>
        </pivotArea>
      </pivotAreas>
    </conditionalFormat>
    <conditionalFormat priority="23">
      <pivotAreas count="1">
        <pivotArea type="data" outline="0" collapsedLevelsAreSubtotals="1" fieldPosition="0">
          <references count="3">
            <reference field="4294967294" count="1" selected="0">
              <x v="1"/>
            </reference>
            <reference field="1" count="3" selected="0">
              <x v="0"/>
              <x v="1"/>
              <x v="2"/>
            </reference>
            <reference field="11" count="8" selected="0">
              <x v="1"/>
              <x v="3"/>
              <x v="4"/>
              <x v="5"/>
              <x v="6"/>
              <x v="7"/>
              <x v="8"/>
              <x v="9"/>
            </reference>
          </references>
        </pivotArea>
      </pivotAreas>
    </conditionalFormat>
    <conditionalFormat priority="22">
      <pivotAreas count="1">
        <pivotArea type="data" outline="0" collapsedLevelsAreSubtotals="1" fieldPosition="0">
          <references count="3">
            <reference field="4294967294" count="1" selected="0">
              <x v="2"/>
            </reference>
            <reference field="1" count="3" selected="0">
              <x v="0"/>
              <x v="1"/>
              <x v="2"/>
            </reference>
            <reference field="11" count="8" selected="0">
              <x v="1"/>
              <x v="3"/>
              <x v="4"/>
              <x v="5"/>
              <x v="6"/>
              <x v="7"/>
              <x v="8"/>
              <x v="9"/>
            </reference>
          </references>
        </pivotArea>
      </pivotAreas>
    </conditionalFormat>
    <conditionalFormat priority="21">
      <pivotAreas count="1">
        <pivotArea type="data" outline="0" collapsedLevelsAreSubtotals="1" fieldPosition="0">
          <references count="3">
            <reference field="4294967294" count="1" selected="0">
              <x v="3"/>
            </reference>
            <reference field="1" count="3" selected="0">
              <x v="0"/>
              <x v="1"/>
              <x v="2"/>
            </reference>
            <reference field="11" count="8" selected="0">
              <x v="1"/>
              <x v="3"/>
              <x v="4"/>
              <x v="5"/>
              <x v="6"/>
              <x v="7"/>
              <x v="8"/>
              <x v="9"/>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0837D0D-5475-4E36-BBF4-738C72AF355C}"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B81:C85" firstHeaderRow="1" firstDataRow="1" firstDataCol="1" rowPageCount="1" colPageCount="1"/>
  <pivotFields count="19">
    <pivotField dataField="1" compact="0" outline="0" showAll="0"/>
    <pivotField axis="axisRow" compact="0" outline="0" showAll="0" sortType="descending">
      <items count="4">
        <item sd="0" x="1"/>
        <item sd="0" x="2"/>
        <item sd="0" x="0"/>
        <item t="default" sd="0"/>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43" outline="0" showAll="0"/>
    <pivotField compact="0" outline="0" showAll="0"/>
    <pivotField compact="0" outline="0" showAll="0"/>
    <pivotField axis="axisPage" compact="0" outline="0" multipleItemSelectionAllowed="1" showAll="0" sortType="descending">
      <items count="3">
        <item x="1"/>
        <item h="1" x="0"/>
        <item t="default"/>
      </items>
      <autoSortScope>
        <pivotArea dataOnly="0" outline="0" fieldPosition="0">
          <references count="1">
            <reference field="4294967294" count="1" selected="0">
              <x v="0"/>
            </reference>
          </references>
        </pivotArea>
      </autoSortScope>
    </pivotField>
    <pivotField compact="0" outline="0" showAll="0"/>
    <pivotField compact="0" numFmtId="1" outline="0" showAll="0"/>
    <pivotField compact="0" numFmtId="1" outline="0" showAll="0"/>
    <pivotField compact="0" numFmtId="1" outline="0" showAll="0"/>
    <pivotField compact="0" numFmtId="1" outline="0" showAll="0"/>
    <pivotField compact="0" outline="0" dragToRow="0" dragToCol="0" dragToPage="0" showAll="0" defaultSubtotal="0"/>
  </pivotFields>
  <rowFields count="1">
    <field x="1"/>
  </rowFields>
  <rowItems count="4">
    <i>
      <x v="2"/>
    </i>
    <i>
      <x/>
    </i>
    <i>
      <x v="1"/>
    </i>
    <i t="grand">
      <x/>
    </i>
  </rowItems>
  <colItems count="1">
    <i/>
  </colItems>
  <pageFields count="1">
    <pageField fld="12" hier="-1"/>
  </pageFields>
  <dataFields count="1">
    <dataField name="# Participant" fld="0" subtotal="count" baseField="1" baseItem="2"/>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9DFBCEE-58E8-4F4F-B296-72F3697C3BE4}" name="PivotTable20"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M116:S125" firstHeaderRow="1" firstDataRow="2" firstDataCol="1"/>
  <pivotFields count="19">
    <pivotField dataField="1" compact="0" outline="0" subtotalTop="0" showAll="0"/>
    <pivotField compact="0" outline="0" subtotalTop="0" showAll="0">
      <items count="4">
        <item x="1"/>
        <item x="2"/>
        <item x="0"/>
        <item t="default"/>
      </items>
    </pivotField>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axis="axisCol" compact="0" outline="0" subtotalTop="0" showAll="0">
      <items count="6">
        <item x="0"/>
        <item x="3"/>
        <item x="2"/>
        <item x="1"/>
        <item x="4"/>
        <item t="default"/>
      </items>
    </pivotField>
    <pivotField compact="0" numFmtId="43" outline="0" subtotalTop="0" showAll="0"/>
    <pivotField axis="axisRow" compact="0" outline="0" subtotalTop="0" showAll="0" sortType="descending">
      <items count="8">
        <item x="1"/>
        <item x="2"/>
        <item x="0"/>
        <item x="6"/>
        <item x="3"/>
        <item x="4"/>
        <item x="5"/>
        <item t="default"/>
      </items>
      <autoSortScope>
        <pivotArea dataOnly="0" outline="0" fieldPosition="0">
          <references count="1">
            <reference field="4294967294" count="1" selected="0">
              <x v="0"/>
            </reference>
          </references>
        </pivotArea>
      </autoSortScope>
    </pivotField>
    <pivotField compact="0" outline="0" subtotalTop="0" showAll="0" sortType="descending">
      <items count="11">
        <item m="1" x="9"/>
        <item x="3"/>
        <item m="1" x="8"/>
        <item x="7"/>
        <item x="6"/>
        <item x="4"/>
        <item x="1"/>
        <item x="5"/>
        <item x="0"/>
        <item x="2"/>
        <item t="default"/>
      </items>
      <autoSortScope>
        <pivotArea dataOnly="0" outline="0" fieldPosition="0">
          <references count="1">
            <reference field="4294967294" count="1" selected="0">
              <x v="0"/>
            </reference>
          </references>
        </pivotArea>
      </autoSortScope>
    </pivotField>
    <pivotField compact="0" outline="0" subtotalTop="0" showAll="0">
      <items count="3">
        <item x="1"/>
        <item x="0"/>
        <item t="default"/>
      </items>
    </pivotField>
    <pivotField compact="0" outline="0" subtotalTop="0" showAll="0"/>
    <pivotField compact="0" numFmtId="1" outline="0" subtotalTop="0" showAll="0"/>
    <pivotField compact="0" numFmtId="1" outline="0" subtotalTop="0" showAll="0"/>
    <pivotField compact="0" numFmtId="1" outline="0" subtotalTop="0" showAll="0"/>
    <pivotField compact="0" numFmtId="1" outline="0" subtotalTop="0" showAll="0"/>
    <pivotField compact="0" outline="0" subtotalTop="0" dragToRow="0" dragToCol="0" dragToPage="0" showAll="0" defaultSubtotal="0"/>
  </pivotFields>
  <rowFields count="1">
    <field x="10"/>
  </rowFields>
  <rowItems count="8">
    <i>
      <x/>
    </i>
    <i>
      <x v="6"/>
    </i>
    <i>
      <x v="1"/>
    </i>
    <i>
      <x v="2"/>
    </i>
    <i>
      <x v="3"/>
    </i>
    <i>
      <x v="4"/>
    </i>
    <i>
      <x v="5"/>
    </i>
    <i t="grand">
      <x/>
    </i>
  </rowItems>
  <colFields count="1">
    <field x="8"/>
  </colFields>
  <colItems count="6">
    <i>
      <x/>
    </i>
    <i>
      <x v="1"/>
    </i>
    <i>
      <x v="2"/>
    </i>
    <i>
      <x v="3"/>
    </i>
    <i>
      <x v="4"/>
    </i>
    <i t="grand">
      <x/>
    </i>
  </colItems>
  <dataFields count="1">
    <dataField name="Count of Animal" fld="0" subtotal="count" baseField="0" baseItem="0"/>
  </dataFields>
  <formats count="2">
    <format dxfId="60">
      <pivotArea outline="0" collapsedLevelsAreSubtotals="1" fieldPosition="0"/>
    </format>
    <format dxfId="59">
      <pivotArea outline="0" fieldPosition="0">
        <references count="1">
          <reference field="4294967294" count="1">
            <x v="0"/>
          </reference>
        </references>
      </pivotArea>
    </format>
  </formats>
  <conditionalFormats count="1">
    <conditionalFormat priority="14">
      <pivotAreas count="1">
        <pivotArea type="data" outline="0" collapsedLevelsAreSubtotals="1" fieldPosition="0">
          <references count="3">
            <reference field="4294967294" count="1" selected="0">
              <x v="0"/>
            </reference>
            <reference field="8" count="5" selected="0">
              <x v="0"/>
              <x v="1"/>
              <x v="2"/>
              <x v="3"/>
              <x v="4"/>
            </reference>
            <reference field="10" count="7" selected="0">
              <x v="0"/>
              <x v="1"/>
              <x v="2"/>
              <x v="3"/>
              <x v="4"/>
              <x v="5"/>
              <x v="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CD05E29-1C13-4FB0-9D8E-BAC35D311422}"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89:C95" firstHeaderRow="1" firstDataRow="1" firstDataCol="1"/>
  <pivotFields count="19">
    <pivotField dataField="1" showAll="0"/>
    <pivotField showAll="0"/>
    <pivotField showAll="0"/>
    <pivotField showAll="0"/>
    <pivotField showAll="0"/>
    <pivotField showAll="0"/>
    <pivotField showAll="0"/>
    <pivotField showAll="0"/>
    <pivotField axis="axisRow" showAll="0">
      <items count="6">
        <item x="0"/>
        <item x="3"/>
        <item x="2"/>
        <item x="1"/>
        <item x="4"/>
        <item t="default"/>
      </items>
    </pivotField>
    <pivotField numFmtId="43" showAll="0"/>
    <pivotField showAll="0">
      <items count="8">
        <item x="1"/>
        <item x="2"/>
        <item x="0"/>
        <item x="6"/>
        <item x="3"/>
        <item x="4"/>
        <item x="5"/>
        <item t="default"/>
      </items>
    </pivotField>
    <pivotField showAll="0"/>
    <pivotField showAll="0"/>
    <pivotField showAll="0"/>
    <pivotField numFmtId="1" showAll="0"/>
    <pivotField numFmtId="1" showAll="0"/>
    <pivotField numFmtId="1" showAll="0"/>
    <pivotField numFmtId="1" showAll="0"/>
    <pivotField dragToRow="0" dragToCol="0" dragToPage="0" showAll="0" defaultSubtotal="0"/>
  </pivotFields>
  <rowFields count="1">
    <field x="8"/>
  </rowFields>
  <rowItems count="6">
    <i>
      <x/>
    </i>
    <i>
      <x v="1"/>
    </i>
    <i>
      <x v="2"/>
    </i>
    <i>
      <x v="3"/>
    </i>
    <i>
      <x v="4"/>
    </i>
    <i t="grand">
      <x/>
    </i>
  </rowItems>
  <colItems count="1">
    <i/>
  </colItems>
  <dataFields count="1">
    <dataField name="# Participant"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38E66B7-78A5-46C2-BC9A-629C3672EB1C}"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19:Q28" firstHeaderRow="0" firstDataRow="1" firstDataCol="1"/>
  <pivotFields count="19">
    <pivotField dataField="1" showAll="0"/>
    <pivotField showAll="0">
      <items count="4">
        <item x="1"/>
        <item x="2"/>
        <item x="0"/>
        <item t="default"/>
      </items>
    </pivotField>
    <pivotField showAll="0"/>
    <pivotField showAll="0"/>
    <pivotField showAll="0"/>
    <pivotField showAll="0"/>
    <pivotField showAll="0"/>
    <pivotField showAll="0"/>
    <pivotField showAll="0"/>
    <pivotField numFmtId="43" showAll="0"/>
    <pivotField showAll="0"/>
    <pivotField axis="axisRow" showAll="0" sortType="descending">
      <items count="11">
        <item m="1" x="9"/>
        <item x="3"/>
        <item m="1" x="8"/>
        <item x="7"/>
        <item x="6"/>
        <item x="4"/>
        <item x="1"/>
        <item x="5"/>
        <item x="0"/>
        <item x="2"/>
        <item t="default"/>
      </items>
      <autoSortScope>
        <pivotArea dataOnly="0" outline="0" fieldPosition="0">
          <references count="1">
            <reference field="4294967294" count="1" selected="0">
              <x v="1"/>
            </reference>
          </references>
        </pivotArea>
      </autoSortScope>
    </pivotField>
    <pivotField showAll="0">
      <items count="3">
        <item x="1"/>
        <item x="0"/>
        <item t="default"/>
      </items>
    </pivotField>
    <pivotField showAll="0"/>
    <pivotField numFmtId="1" showAll="0"/>
    <pivotField numFmtId="1" showAll="0"/>
    <pivotField numFmtId="1" showAll="0"/>
    <pivotField numFmtId="1" showAll="0"/>
    <pivotField dragToRow="0" dragToCol="0" dragToPage="0" showAll="0" defaultSubtotal="0"/>
  </pivotFields>
  <rowFields count="1">
    <field x="11"/>
  </rowFields>
  <rowItems count="9">
    <i>
      <x v="6"/>
    </i>
    <i>
      <x v="8"/>
    </i>
    <i>
      <x v="9"/>
    </i>
    <i>
      <x v="3"/>
    </i>
    <i>
      <x v="7"/>
    </i>
    <i>
      <x v="1"/>
    </i>
    <i>
      <x v="5"/>
    </i>
    <i>
      <x v="4"/>
    </i>
    <i t="grand">
      <x/>
    </i>
  </rowItems>
  <colFields count="1">
    <field x="-2"/>
  </colFields>
  <colItems count="2">
    <i>
      <x/>
    </i>
    <i i="1">
      <x v="1"/>
    </i>
  </colItems>
  <dataFields count="2">
    <dataField name="Count of Animal2" fld="0" subtotal="count" showDataAs="percentOfTotal" baseField="0" baseItem="0" numFmtId="9"/>
    <dataField name="Count of Animal" fld="0" subtotal="count" baseField="0" baseItem="0"/>
  </dataFields>
  <formats count="1">
    <format dxfId="61">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A4BC68A-07DD-44A1-86E5-ABE3E962DF6C}" name="PivotTable18"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138:F145" firstHeaderRow="1" firstDataRow="2" firstDataCol="1"/>
  <pivotFields count="19">
    <pivotField dataField="1" compact="0" outline="0" subtotalTop="0" showAll="0"/>
    <pivotField axis="axisCol" compact="0" outline="0" subtotalTop="0" showAll="0">
      <items count="4">
        <item x="1"/>
        <item x="2"/>
        <item x="0"/>
        <item t="default"/>
      </items>
    </pivotField>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axis="axisRow" compact="0" outline="0" subtotalTop="0" showAll="0" sortType="descending">
      <items count="6">
        <item x="0"/>
        <item x="3"/>
        <item x="2"/>
        <item x="1"/>
        <item x="4"/>
        <item t="default"/>
      </items>
      <autoSortScope>
        <pivotArea dataOnly="0" outline="0" fieldPosition="0">
          <references count="1">
            <reference field="4294967294" count="1" selected="0">
              <x v="0"/>
            </reference>
          </references>
        </pivotArea>
      </autoSortScope>
    </pivotField>
    <pivotField compact="0" numFmtId="43" outline="0" subtotalTop="0" showAll="0"/>
    <pivotField compact="0" outline="0" subtotalTop="0" showAll="0"/>
    <pivotField compact="0" outline="0" subtotalTop="0" showAll="0" sortType="descending">
      <items count="11">
        <item m="1" x="9"/>
        <item x="3"/>
        <item m="1" x="8"/>
        <item x="7"/>
        <item x="6"/>
        <item x="4"/>
        <item x="1"/>
        <item x="5"/>
        <item x="0"/>
        <item x="2"/>
        <item t="default"/>
      </items>
      <autoSortScope>
        <pivotArea dataOnly="0" outline="0" fieldPosition="0">
          <references count="1">
            <reference field="4294967294" count="1" selected="0">
              <x v="0"/>
            </reference>
          </references>
        </pivotArea>
      </autoSortScope>
    </pivotField>
    <pivotField compact="0" outline="0" subtotalTop="0" showAll="0">
      <items count="3">
        <item x="1"/>
        <item x="0"/>
        <item t="default"/>
      </items>
    </pivotField>
    <pivotField compact="0" outline="0" subtotalTop="0" showAll="0"/>
    <pivotField compact="0" numFmtId="1" outline="0" subtotalTop="0" showAll="0"/>
    <pivotField compact="0" numFmtId="1" outline="0" subtotalTop="0" showAll="0"/>
    <pivotField compact="0" numFmtId="1" outline="0" subtotalTop="0" showAll="0"/>
    <pivotField compact="0" numFmtId="1" outline="0" subtotalTop="0" showAll="0"/>
    <pivotField compact="0" outline="0" subtotalTop="0" dragToRow="0" dragToCol="0" dragToPage="0" showAll="0" defaultSubtotal="0"/>
  </pivotFields>
  <rowFields count="1">
    <field x="8"/>
  </rowFields>
  <rowItems count="6">
    <i>
      <x/>
    </i>
    <i>
      <x v="2"/>
    </i>
    <i>
      <x v="3"/>
    </i>
    <i>
      <x v="1"/>
    </i>
    <i>
      <x v="4"/>
    </i>
    <i t="grand">
      <x/>
    </i>
  </rowItems>
  <colFields count="1">
    <field x="1"/>
  </colFields>
  <colItems count="4">
    <i>
      <x/>
    </i>
    <i>
      <x v="1"/>
    </i>
    <i>
      <x v="2"/>
    </i>
    <i t="grand">
      <x/>
    </i>
  </colItems>
  <dataFields count="1">
    <dataField name=" " fld="0" subtotal="count" baseField="0" baseItem="0"/>
  </dataFields>
  <formats count="2">
    <format dxfId="63">
      <pivotArea outline="0" collapsedLevelsAreSubtotals="1" fieldPosition="0"/>
    </format>
    <format dxfId="62">
      <pivotArea outline="0" fieldPosition="0">
        <references count="1">
          <reference field="4294967294" count="1">
            <x v="0"/>
          </reference>
        </references>
      </pivotArea>
    </format>
  </formats>
  <conditionalFormats count="1">
    <conditionalFormat priority="16">
      <pivotAreas count="1">
        <pivotArea type="data" outline="0" collapsedLevelsAreSubtotals="1" fieldPosition="0">
          <references count="3">
            <reference field="4294967294" count="1" selected="0">
              <x v="0"/>
            </reference>
            <reference field="1" count="3" selected="0">
              <x v="0"/>
              <x v="1"/>
              <x v="2"/>
            </reference>
            <reference field="8" count="5" selected="0">
              <x v="0"/>
              <x v="1"/>
              <x v="2"/>
              <x v="3"/>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C15627D-A87D-4500-A021-D4EED9F300FD}"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49:C53" firstHeaderRow="1" firstDataRow="1" firstDataCol="1"/>
  <pivotFields count="19">
    <pivotField dataField="1" showAll="0"/>
    <pivotField showAll="0"/>
    <pivotField showAll="0"/>
    <pivotField showAll="0"/>
    <pivotField showAll="0"/>
    <pivotField showAll="0"/>
    <pivotField showAll="0"/>
    <pivotField showAll="0"/>
    <pivotField showAll="0"/>
    <pivotField numFmtId="43" showAll="0"/>
    <pivotField showAll="0"/>
    <pivotField axis="axisRow" showAll="0" sortType="descending">
      <items count="11">
        <item m="1" x="9"/>
        <item x="3"/>
        <item m="1" x="8"/>
        <item x="7"/>
        <item x="6"/>
        <item x="4"/>
        <item x="1"/>
        <item x="5"/>
        <item x="0"/>
        <item x="2"/>
        <item t="default"/>
      </items>
      <autoSortScope>
        <pivotArea dataOnly="0" outline="0" fieldPosition="0">
          <references count="1">
            <reference field="4294967294" count="1" selected="0">
              <x v="0"/>
            </reference>
          </references>
        </pivotArea>
      </autoSortScope>
    </pivotField>
    <pivotField showAll="0"/>
    <pivotField axis="axisRow" showAll="0" sortType="descending">
      <items count="4">
        <item sd="0" x="2"/>
        <item sd="0" x="1"/>
        <item sd="0" x="0"/>
        <item t="default" sd="0"/>
      </items>
      <autoSortScope>
        <pivotArea dataOnly="0" outline="0" fieldPosition="0">
          <references count="1">
            <reference field="4294967294" count="1" selected="0">
              <x v="0"/>
            </reference>
          </references>
        </pivotArea>
      </autoSortScope>
    </pivotField>
    <pivotField numFmtId="1" showAll="0"/>
    <pivotField numFmtId="1" showAll="0"/>
    <pivotField numFmtId="1" showAll="0"/>
    <pivotField numFmtId="1" showAll="0"/>
    <pivotField dragToRow="0" dragToCol="0" dragToPage="0" showAll="0" defaultSubtotal="0"/>
  </pivotFields>
  <rowFields count="2">
    <field x="13"/>
    <field x="11"/>
  </rowFields>
  <rowItems count="4">
    <i>
      <x v="1"/>
    </i>
    <i>
      <x/>
    </i>
    <i>
      <x v="2"/>
    </i>
    <i t="grand">
      <x/>
    </i>
  </rowItems>
  <colItems count="1">
    <i/>
  </colItems>
  <dataFields count="1">
    <dataField name="# Participant" fld="0" subtotal="count" baseField="6"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D976E41-5918-4C51-B35E-E388175767DD}"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B72:C76" firstHeaderRow="1" firstDataRow="1" firstDataCol="1"/>
  <pivotFields count="19">
    <pivotField dataField="1" compact="0" outline="0" showAll="0"/>
    <pivotField axis="axisRow" compact="0" outline="0" showAll="0" sortType="descending">
      <items count="4">
        <item sd="0" x="1"/>
        <item sd="0" x="2"/>
        <item sd="0" x="0"/>
        <item t="default" sd="0"/>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43" outline="0" showAll="0"/>
    <pivotField compact="0" outline="0" showAll="0"/>
    <pivotField compact="0" outline="0" showAll="0"/>
    <pivotField compact="0" outline="0" multipleItemSelectionAllowed="1" showAll="0" sortType="descending">
      <items count="3">
        <item x="1"/>
        <item x="0"/>
        <item t="default"/>
      </items>
      <autoSortScope>
        <pivotArea dataOnly="0" outline="0" fieldPosition="0">
          <references count="1">
            <reference field="4294967294" count="1" selected="0">
              <x v="0"/>
            </reference>
          </references>
        </pivotArea>
      </autoSortScope>
    </pivotField>
    <pivotField compact="0" outline="0" showAll="0"/>
    <pivotField compact="0" numFmtId="1" outline="0" showAll="0"/>
    <pivotField compact="0" numFmtId="1" outline="0" showAll="0"/>
    <pivotField compact="0" numFmtId="1" outline="0" showAll="0"/>
    <pivotField compact="0" numFmtId="1" outline="0" showAll="0"/>
    <pivotField compact="0" outline="0" dragToRow="0" dragToCol="0" dragToPage="0" showAll="0" defaultSubtotal="0"/>
  </pivotFields>
  <rowFields count="1">
    <field x="1"/>
  </rowFields>
  <rowItems count="4">
    <i>
      <x v="2"/>
    </i>
    <i>
      <x/>
    </i>
    <i>
      <x v="1"/>
    </i>
    <i t="grand">
      <x/>
    </i>
  </rowItems>
  <colItems count="1">
    <i/>
  </colItems>
  <dataFields count="1">
    <dataField name="# Participant" fld="0" subtotal="count" baseField="1"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EE05E6-ACF3-4EEA-BA5A-8BE149F334F1}"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9:M29" firstHeaderRow="1" firstDataRow="2" firstDataCol="1"/>
  <pivotFields count="19">
    <pivotField dataField="1" showAll="0"/>
    <pivotField axis="axisCol" showAll="0">
      <items count="4">
        <item x="1"/>
        <item x="2"/>
        <item x="0"/>
        <item t="default"/>
      </items>
    </pivotField>
    <pivotField showAll="0"/>
    <pivotField showAll="0"/>
    <pivotField showAll="0"/>
    <pivotField showAll="0"/>
    <pivotField showAll="0"/>
    <pivotField showAll="0"/>
    <pivotField showAll="0"/>
    <pivotField numFmtId="43" showAll="0"/>
    <pivotField showAll="0"/>
    <pivotField axis="axisRow" showAll="0" sortType="descending">
      <items count="11">
        <item m="1" x="9"/>
        <item x="3"/>
        <item m="1" x="8"/>
        <item x="7"/>
        <item x="6"/>
        <item x="4"/>
        <item x="1"/>
        <item x="5"/>
        <item x="0"/>
        <item x="2"/>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pivotField numFmtId="1" showAll="0"/>
    <pivotField numFmtId="1" showAll="0"/>
    <pivotField numFmtId="1" showAll="0"/>
    <pivotField numFmtId="1" showAll="0"/>
    <pivotField dragToRow="0" dragToCol="0" dragToPage="0" showAll="0" defaultSubtotal="0"/>
  </pivotFields>
  <rowFields count="1">
    <field x="11"/>
  </rowFields>
  <rowItems count="9">
    <i>
      <x v="6"/>
    </i>
    <i>
      <x v="8"/>
    </i>
    <i>
      <x v="9"/>
    </i>
    <i>
      <x v="3"/>
    </i>
    <i>
      <x v="7"/>
    </i>
    <i>
      <x v="1"/>
    </i>
    <i>
      <x v="5"/>
    </i>
    <i>
      <x v="4"/>
    </i>
    <i t="grand">
      <x/>
    </i>
  </rowItems>
  <colFields count="1">
    <field x="1"/>
  </colFields>
  <colItems count="4">
    <i>
      <x/>
    </i>
    <i>
      <x v="1"/>
    </i>
    <i>
      <x v="2"/>
    </i>
    <i t="grand">
      <x/>
    </i>
  </colItems>
  <dataFields count="1">
    <dataField name="Count of Animal" fld="0" subtotal="count" baseField="0" baseItem="0"/>
  </dataFields>
  <conditionalFormats count="1">
    <conditionalFormat priority="34">
      <pivotAreas count="1">
        <pivotArea type="data" collapsedLevelsAreSubtotals="1" fieldPosition="0">
          <references count="3">
            <reference field="4294967294" count="1" selected="0">
              <x v="0"/>
            </reference>
            <reference field="1" count="3" selected="0">
              <x v="0"/>
              <x v="1"/>
              <x v="2"/>
            </reference>
            <reference field="11" count="8">
              <x v="1"/>
              <x v="3"/>
              <x v="4"/>
              <x v="5"/>
              <x v="6"/>
              <x v="7"/>
              <x v="8"/>
              <x v="9"/>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3CDE148-EFA1-4E3C-910D-A00AB9F71376}" name="Table5" displayName="Table5" ref="N167:S191" totalsRowShown="0">
  <autoFilter ref="N167:S191" xr:uid="{53CDE148-EFA1-4E3C-910D-A00AB9F71376}"/>
  <tableColumns count="6">
    <tableColumn id="1" xr3:uid="{CF42EC75-D1E4-47BF-9EB0-1A6AB6E24289}" name="Diet"/>
    <tableColumn id="2" xr3:uid="{B78D53D6-F7A0-4801-A050-A17454D5075E}" name="Region"/>
    <tableColumn id="3" xr3:uid="{8B5CBEB4-9CE7-40FB-9B97-546246F3791E}" name="Revenue ($)" dataDxfId="39" dataCellStyle="Currency"/>
    <tableColumn id="4" xr3:uid="{6DD90DB4-77BC-481A-B9A0-5F0E73C1F5F9}" name="Cost ($)" dataDxfId="38" dataCellStyle="Currency"/>
    <tableColumn id="5" xr3:uid="{30AE75A3-964D-44DF-9119-F5DBDC46B2CF}" name="Profit ($)" dataDxfId="37" dataCellStyle="Currency"/>
    <tableColumn id="6" xr3:uid="{D5FFD4BB-8D3D-43CB-A39B-AFE1D6A4B6C7}" name="Profit Margin (%)" dataDxfId="36" dataCellStyle="Percent"/>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BE3BDDF-ED42-4046-84ED-09E670A88015}" name="Table4" displayName="Table4" ref="N139:R145" totalsRowShown="0">
  <tableColumns count="5">
    <tableColumn id="1" xr3:uid="{A386B61A-B13A-4CCD-833C-09C22417E6D0}" name="Lifespan Group"/>
    <tableColumn id="2" xr3:uid="{746F8D99-4CAB-4F2F-8A22-7570086BC3EE}" name="Carnivore"/>
    <tableColumn id="3" xr3:uid="{EB5F4772-D0F5-4754-A71E-C8F0BBECF7B7}" name="Herbivore"/>
    <tableColumn id="4" xr3:uid="{AECECCAC-3BB0-4CDA-A80E-89330A3E336A}" name="Omnivore"/>
    <tableColumn id="5" xr3:uid="{EF04D9DD-8257-4A91-8F9B-97FFA70B42EA}" name="Grand Total"/>
  </tableColumns>
  <tableStyleInfo name="TableStyleLight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DF5844E-A53D-44E8-845A-7BD6EF3EB84A}" name="Table9" displayName="Table9" ref="N129:R137" totalsRowShown="0">
  <tableColumns count="5">
    <tableColumn id="1" xr3:uid="{15DD4478-326C-4D25-8E27-BBFF61478397}" name="Weight Group"/>
    <tableColumn id="2" xr3:uid="{D8D87A03-DF8B-4E51-AB58-1136C330CA04}" name="Carnivore"/>
    <tableColumn id="3" xr3:uid="{CECD5EF7-16D8-455A-9375-72DABD03CF1C}" name="Herbivore"/>
    <tableColumn id="4" xr3:uid="{3CCAAB23-C120-4677-8D18-8A39957B9AA4}" name="Omnivore"/>
    <tableColumn id="5" xr3:uid="{674F7761-6115-4225-8997-603359C07B13}" name="Grand Total"/>
  </tableColumns>
  <tableStyleInfo name="TableStyleLight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D6A08C4-4636-4DF4-8707-4255943B02F4}" name="Table711" displayName="Table711" ref="K4:M12" totalsRowShown="0">
  <autoFilter ref="K4:M12" xr:uid="{BD6A08C4-4636-4DF4-8707-4255943B02F4}"/>
  <sortState xmlns:xlrd2="http://schemas.microsoft.com/office/spreadsheetml/2017/richdata2" ref="K5:M12">
    <sortCondition descending="1" ref="L2:L10"/>
  </sortState>
  <tableColumns count="3">
    <tableColumn id="1" xr3:uid="{326D48BA-B5BE-4A64-9502-5C3DA33EAAB5}" name="Region"/>
    <tableColumn id="2" xr3:uid="{0DBF107F-C53F-455A-849F-22F9EA950BC5}" name="Value USD" dataDxfId="2"/>
    <tableColumn id="3" xr3:uid="{0EDCA94D-643B-4866-ACE2-6DFFC3E82576}" name="Transport" dataDxfId="1"/>
  </tableColumns>
  <tableStyleInfo name="TableStyleLight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26EA6D6-E500-4E90-B693-02242E40FDDB}" name="Table812" displayName="Table812" ref="O4:P7" totalsRowShown="0">
  <autoFilter ref="O4:P7" xr:uid="{426EA6D6-E500-4E90-B693-02242E40FDDB}"/>
  <sortState xmlns:xlrd2="http://schemas.microsoft.com/office/spreadsheetml/2017/richdata2" ref="O5:P7">
    <sortCondition descending="1" ref="P13:P16"/>
  </sortState>
  <tableColumns count="2">
    <tableColumn id="1" xr3:uid="{A63F6397-FD47-497F-B942-B0DC28E09124}" name="Diet"/>
    <tableColumn id="2" xr3:uid="{BDFC0459-7065-4EF0-A1B8-0C8CA0FA1830}" name="Cost USD" dataDxfId="0"/>
  </tableColumns>
  <tableStyleInfo name="TableStyleLight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B49C92-2265-4ECD-976B-72FBA1DFC681}" name="Table1" displayName="Table1" ref="A1:R501" totalsRowShown="0" headerRowDxfId="35" dataDxfId="34">
  <autoFilter ref="A1:R501" xr:uid="{9BB49C92-2265-4ECD-976B-72FBA1DFC681}"/>
  <tableColumns count="18">
    <tableColumn id="1" xr3:uid="{D156DD26-2DA6-4D59-8057-12A5C5ACA096}" name="Animal" dataDxfId="33"/>
    <tableColumn id="2" xr3:uid="{F74CDDDB-7158-45F9-AFA6-024A5EA1554E}" name="Diet" dataDxfId="32"/>
    <tableColumn id="3" xr3:uid="{CC34028C-A3DD-4F83-820A-CF42D7B42255}" name="Lifespan" dataDxfId="31"/>
    <tableColumn id="13" xr3:uid="{9EC68B9E-F562-4E1F-ADF0-585DD0E87AF6}" name="Lifespan Unit" dataDxfId="30"/>
    <tableColumn id="17" xr3:uid="{95CEC91A-7DBF-4923-866C-1DFD483CAAEA}" name="Lifespan (Years)" dataDxfId="29">
      <calculatedColumnFormula>IF(Table1[[#This Row],[Lifespan Unit]]="months", Table1[[#This Row],[Lifespan]]/12,Table1[[#This Row],[Lifespan]])</calculatedColumnFormula>
    </tableColumn>
    <tableColumn id="4" xr3:uid="{BF22339C-C955-4BAE-A2F5-098FD18FDAD1}" name="Weight" dataDxfId="28"/>
    <tableColumn id="14" xr3:uid="{6B76E9CA-F934-4BCB-BFBE-45644F5A49FB}" name="Weight (Digits)" dataDxfId="27">
      <calculatedColumnFormula>SUBSTITUTE(F2,IF(ISNUMBER(SEARCH("lbs", F2)),RIGHT(F2, 3), RIGHT(F2, 2)),"")</calculatedColumnFormula>
    </tableColumn>
    <tableColumn id="15" xr3:uid="{5E71D18B-7B7B-4CEE-8271-02FC96FA5996}" name="Weight Unit" dataDxfId="26">
      <calculatedColumnFormula>IF(ISNUMBER(SEARCH("lbs", F2)),RIGHT(F2, 3), RIGHT(F2, 2))</calculatedColumnFormula>
    </tableColumn>
    <tableColumn id="20" xr3:uid="{EE3A7990-807A-4F6E-AB9F-FEBE3297F9EF}" name="Lifespan Group" dataDxfId="25">
      <calculatedColumnFormula>IF(Table1[[#This Row],[Lifespan (Years)]]&lt;25, "&lt;25", IF(Table1[[#This Row],[Lifespan (Years)]]&lt;50, "25-49", IF(Table1[[#This Row],[Lifespan (Years)]]&lt;75, "50-74", IF(Table1[[#This Row],[Lifespan (Years)]]&lt;100, "75-99", "&gt;=100"))))</calculatedColumnFormula>
    </tableColumn>
    <tableColumn id="16" xr3:uid="{14962199-6B96-4057-B8C6-1074C9D85DE2}" name="Weight (lbs)" dataDxfId="24" dataCellStyle="Comma">
      <calculatedColumnFormula>IF(Table1[[#This Row],[Weight Unit]]="oz",Table1[[#This Row],[Weight (Digits)]]/16, Table1[[#This Row],[Weight (Digits)]]/1)</calculatedColumnFormula>
    </tableColumn>
    <tableColumn id="18" xr3:uid="{B19D845D-D466-4ED0-B592-4FCDB44E6041}" name="Weight Group" dataDxfId="23" dataCellStyle="Comma">
      <calculatedColumnFormula>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calculatedColumnFormula>
    </tableColumn>
    <tableColumn id="5" xr3:uid="{E1B40A54-8D3B-41A3-921C-EF1361D1E1D7}" name="Region" dataDxfId="22"/>
    <tableColumn id="6" xr3:uid="{871FF9B5-AFBD-4F9E-89C9-71139C8AE296}" name="Participant Status" dataDxfId="21">
      <calculatedColumnFormula>IF(COUNTIF(Table2[Animal],Table1[[#This Row],[Animal]]) = 1, "Previous Participant", "New Participant")</calculatedColumnFormula>
    </tableColumn>
    <tableColumn id="7" xr3:uid="{8C53AAC2-68EE-45E5-B058-512F0AB3FEE9}" name="Transport" dataDxfId="20">
      <calculatedColumnFormula>_xlfn.XLOOKUP(Table1[[#This Row],[Region]],'Support - Tables'!$B$3:$B$10,'Support - Tables'!$D$3:$D$10,"Not Found",0)</calculatedColumnFormula>
    </tableColumn>
    <tableColumn id="8" xr3:uid="{937EECB5-FE78-4875-84CC-31208CAEBE1D}" name="Revenue" dataDxfId="19" dataCellStyle="Comma">
      <calculatedColumnFormula>_xlfn.XLOOKUP(Table1[[#This Row],[Region]],'Support - Tables'!$B$3:$B$10,'Support - Tables'!$C$3:$C$10, "Not Found",0)</calculatedColumnFormula>
    </tableColumn>
    <tableColumn id="9" xr3:uid="{55CC9156-3AD9-49C9-A69A-0BBC09C0B7B0}" name="Cost" dataDxfId="18" dataCellStyle="Comma">
      <calculatedColumnFormula>_xlfn.XLOOKUP(Table1[[#This Row],[Diet]],'Support - Tables'!$B$14:$B$16,'Support - Tables'!$C$14:$C$16, "Not Found", 0)</calculatedColumnFormula>
    </tableColumn>
    <tableColumn id="10" xr3:uid="{723260E7-DF68-496C-A18D-A5F4BB427AAA}" name="Profit" dataDxfId="17" dataCellStyle="Comma">
      <calculatedColumnFormula>Table1[[#This Row],[Revenue]]-Table1[[#This Row],[Cost]]</calculatedColumnFormula>
    </tableColumn>
    <tableColumn id="11" xr3:uid="{58651B6D-C099-4C65-870D-E8A85C21024D}" name="Number of Missing Values" dataDxfId="16" dataCellStyle="Comma">
      <calculatedColumnFormula>COUNTBLANK(Table1[[#This Row],[Diet]:[Region]])</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D22CEFB-04CC-4182-A8BF-A39CEB1386E2}" name="Table2" displayName="Table2" ref="A1:K403" totalsRowShown="0">
  <autoFilter ref="A1:K403" xr:uid="{1D22CEFB-04CC-4182-A8BF-A39CEB1386E2}"/>
  <tableColumns count="11">
    <tableColumn id="1" xr3:uid="{121EF66F-281F-4D5E-97BA-BFF1472DDB5C}" name="Animal"/>
    <tableColumn id="2" xr3:uid="{BBD76597-2F22-4365-A5EF-D1254ED72918}" name="Diet" dataDxfId="15">
      <calculatedColumnFormula>_xlfn.XLOOKUP(Table2[[#This Row],[Animal]],Table1[Animal],Table1[Diet],"Not Found",0)</calculatedColumnFormula>
    </tableColumn>
    <tableColumn id="3" xr3:uid="{304D6F19-C571-4A0E-895C-928DD4EFCFDA}" name="Lifespan (Years)" dataDxfId="14" dataCellStyle="Comma">
      <calculatedColumnFormula>_xlfn.XLOOKUP(Table2[[#This Row],[Animal]],Table1[Animal],Table1[Lifespan (Years)],"N/A",0)</calculatedColumnFormula>
    </tableColumn>
    <tableColumn id="7" xr3:uid="{99E46F16-621E-4BF1-BC9C-8D34B2550324}" name="Lifespan Group" dataDxfId="13">
      <calculatedColumnFormula>_xlfn.XLOOKUP(Table2[[#This Row],[Animal]],Table1[Animal],Table1[Lifespan Group],"N/A",0)</calculatedColumnFormula>
    </tableColumn>
    <tableColumn id="8" xr3:uid="{C2EB473C-04AA-4CCE-8C66-2FA80458074E}" name="Weight (lbs)" dataDxfId="12">
      <calculatedColumnFormula>_xlfn.XLOOKUP(Table2[[#This Row],[Animal]],Table1[Animal],Table1[Weight (lbs)],"N/A",0)</calculatedColumnFormula>
    </tableColumn>
    <tableColumn id="9" xr3:uid="{B3DE5D57-0C70-4568-AF1E-EF15E3450366}" name="Weight Group" dataDxfId="11">
      <calculatedColumnFormula>_xlfn.XLOOKUP(Table2[[#This Row],[Animal]],Table1[Animal],Table1[Weight Group],"N/A",0)</calculatedColumnFormula>
    </tableColumn>
    <tableColumn id="10" xr3:uid="{B11DB2E2-878A-493F-B45C-0DEE11F62149}" name="Region" dataDxfId="10">
      <calculatedColumnFormula>_xlfn.XLOOKUP(Table2[[#This Row],[Animal]],Table1[Animal],Table1[Region],"N/A",0)</calculatedColumnFormula>
    </tableColumn>
    <tableColumn id="12" xr3:uid="{4367856B-DD02-4B15-8DA3-225610678FB9}" name="Transport" dataDxfId="9">
      <calculatedColumnFormula>_xlfn.XLOOKUP(Table2[[#This Row],[Animal]],Table1[Animal],Table1[Transport],"N/A",0)</calculatedColumnFormula>
    </tableColumn>
    <tableColumn id="13" xr3:uid="{C24D0395-9F59-4ED6-8E7B-493694BA0D79}" name="Revenue" dataDxfId="8">
      <calculatedColumnFormula>_xlfn.XLOOKUP(Table2[[#This Row],[Animal]],Table1[Animal],Table1[Revenue],"N/A",0)</calculatedColumnFormula>
    </tableColumn>
    <tableColumn id="14" xr3:uid="{BFED6CFA-14EE-4F5C-985D-E1403719ED55}" name="Cost" dataDxfId="7">
      <calculatedColumnFormula>_xlfn.XLOOKUP(Table2[[#This Row],[Animal]],Table1[Animal],Table1[Cost],"N/A",0)</calculatedColumnFormula>
    </tableColumn>
    <tableColumn id="15" xr3:uid="{20B7303A-444C-41CB-8311-62408C9B37F5}" name="Profit" dataDxfId="6">
      <calculatedColumnFormula>Table2[[#This Row],[Revenue]]-Table2[[#This Row],[Cost]]</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7E57C43-17A1-47F2-BA21-45E5412CF299}" name="Table7" displayName="Table7" ref="B2:D10" totalsRowShown="0">
  <autoFilter ref="B2:D10" xr:uid="{A7E57C43-17A1-47F2-BA21-45E5412CF299}"/>
  <sortState xmlns:xlrd2="http://schemas.microsoft.com/office/spreadsheetml/2017/richdata2" ref="B3:D10">
    <sortCondition descending="1" ref="C2:C10"/>
  </sortState>
  <tableColumns count="3">
    <tableColumn id="1" xr3:uid="{0CBD1C4D-D1B0-4586-84B2-E9CCF7046328}" name="Region"/>
    <tableColumn id="2" xr3:uid="{15620D2E-1F97-448C-8C01-98CA784C4545}" name="Value USD" dataDxfId="5"/>
    <tableColumn id="3" xr3:uid="{86C80394-0B4B-45A7-AE6D-7E36BC958A19}" name="Transport" dataDxfId="4"/>
  </tableColumns>
  <tableStyleInfo name="TableStyleLight1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5BB23D2-DBF2-4262-A648-AEE877551FE5}" name="Table8" displayName="Table8" ref="B13:C16" totalsRowShown="0">
  <autoFilter ref="B13:C16" xr:uid="{F5BB23D2-DBF2-4262-A648-AEE877551FE5}"/>
  <sortState xmlns:xlrd2="http://schemas.microsoft.com/office/spreadsheetml/2017/richdata2" ref="B14:C16">
    <sortCondition descending="1" ref="C13:C16"/>
  </sortState>
  <tableColumns count="2">
    <tableColumn id="1" xr3:uid="{D61BE041-DF96-4AAC-9954-10CCB04F4887}" name="Diet"/>
    <tableColumn id="2" xr3:uid="{A3401ED5-092F-4F28-BD73-B8AD62229194}" name="Cost USD" dataDxfId="3"/>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drawing" Target="../drawings/drawing1.xml"/><Relationship Id="rId3" Type="http://schemas.openxmlformats.org/officeDocument/2006/relationships/pivotTable" Target="../pivotTables/pivotTable3.xml"/><Relationship Id="rId21" Type="http://schemas.openxmlformats.org/officeDocument/2006/relationships/table" Target="../tables/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table" Target="../tables/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table" Target="../tables/table5.xml"/><Relationship Id="rId10" Type="http://schemas.openxmlformats.org/officeDocument/2006/relationships/pivotTable" Target="../pivotTables/pivotTable10.xml"/><Relationship Id="rId19" Type="http://schemas.openxmlformats.org/officeDocument/2006/relationships/table" Target="../tables/table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table" Target="../tables/table4.xml"/></Relationships>
</file>

<file path=xl/worksheets/_rels/sheet2.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91CA9-E36B-4B5B-BBC3-9CC5C9F94B71}">
  <sheetPr codeName="Sheet1">
    <tabColor theme="9" tint="0.79998168889431442"/>
  </sheetPr>
  <dimension ref="B2:S235"/>
  <sheetViews>
    <sheetView showGridLines="0" tabSelected="1" zoomScale="80" zoomScaleNormal="80" workbookViewId="0">
      <selection activeCell="I9" sqref="I9"/>
    </sheetView>
  </sheetViews>
  <sheetFormatPr defaultRowHeight="15" x14ac:dyDescent="0.25"/>
  <cols>
    <col min="1" max="8" width="18.140625" customWidth="1"/>
    <col min="9" max="9" width="18" bestFit="1" customWidth="1"/>
    <col min="10" max="13" width="19.85546875" bestFit="1" customWidth="1"/>
    <col min="14" max="14" width="17.42578125" bestFit="1" customWidth="1"/>
    <col min="15" max="15" width="18" bestFit="1" customWidth="1"/>
    <col min="16" max="16" width="16.5703125" bestFit="1" customWidth="1"/>
    <col min="17" max="17" width="15.5703125" bestFit="1" customWidth="1"/>
    <col min="18" max="19" width="18.140625" customWidth="1"/>
    <col min="20" max="28" width="12.5703125" customWidth="1"/>
  </cols>
  <sheetData>
    <row r="2" spans="5:18" ht="45" customHeight="1" x14ac:dyDescent="0.25">
      <c r="E2" s="49" t="s">
        <v>747</v>
      </c>
      <c r="F2" s="49"/>
      <c r="G2" s="49"/>
      <c r="H2" s="49"/>
      <c r="I2" s="49"/>
      <c r="K2" s="34"/>
      <c r="L2" s="34"/>
      <c r="M2" s="34"/>
      <c r="N2" s="34"/>
      <c r="O2" s="34"/>
      <c r="P2" s="34"/>
      <c r="Q2" s="34"/>
      <c r="R2" s="34"/>
    </row>
    <row r="3" spans="5:18" x14ac:dyDescent="0.25">
      <c r="E3" s="49"/>
      <c r="F3" s="49"/>
      <c r="G3" s="49"/>
      <c r="H3" s="49"/>
      <c r="I3" s="49"/>
    </row>
    <row r="4" spans="5:18" x14ac:dyDescent="0.25">
      <c r="K4" t="s">
        <v>0</v>
      </c>
      <c r="L4" t="s">
        <v>8</v>
      </c>
      <c r="M4" t="s">
        <v>561</v>
      </c>
      <c r="O4" t="s">
        <v>10</v>
      </c>
      <c r="P4" t="s">
        <v>693</v>
      </c>
    </row>
    <row r="5" spans="5:18" x14ac:dyDescent="0.25">
      <c r="K5" t="s">
        <v>1</v>
      </c>
      <c r="L5" s="17">
        <v>700</v>
      </c>
      <c r="M5" s="17" t="s">
        <v>562</v>
      </c>
      <c r="O5" t="s">
        <v>15</v>
      </c>
      <c r="P5" s="1">
        <v>500</v>
      </c>
    </row>
    <row r="6" spans="5:18" x14ac:dyDescent="0.25">
      <c r="K6" t="s">
        <v>725</v>
      </c>
      <c r="L6" s="17">
        <v>600</v>
      </c>
      <c r="M6" s="17" t="s">
        <v>562</v>
      </c>
      <c r="O6" t="s">
        <v>13</v>
      </c>
      <c r="P6" s="1">
        <v>400</v>
      </c>
    </row>
    <row r="7" spans="5:18" x14ac:dyDescent="0.25">
      <c r="K7" t="s">
        <v>2</v>
      </c>
      <c r="L7" s="17">
        <v>600</v>
      </c>
      <c r="M7" s="17" t="s">
        <v>562</v>
      </c>
      <c r="O7" t="s">
        <v>23</v>
      </c>
      <c r="P7" s="1">
        <v>300</v>
      </c>
    </row>
    <row r="8" spans="5:18" x14ac:dyDescent="0.25">
      <c r="K8" t="s">
        <v>724</v>
      </c>
      <c r="L8" s="17">
        <v>450</v>
      </c>
      <c r="M8" s="17" t="s">
        <v>563</v>
      </c>
    </row>
    <row r="9" spans="5:18" x14ac:dyDescent="0.25">
      <c r="K9" t="s">
        <v>6</v>
      </c>
      <c r="L9" s="17">
        <v>450</v>
      </c>
      <c r="M9" s="17" t="s">
        <v>562</v>
      </c>
    </row>
    <row r="10" spans="5:18" x14ac:dyDescent="0.25">
      <c r="K10" t="s">
        <v>5</v>
      </c>
      <c r="L10" s="17">
        <v>400</v>
      </c>
      <c r="M10" s="17" t="s">
        <v>564</v>
      </c>
    </row>
    <row r="11" spans="5:18" x14ac:dyDescent="0.25">
      <c r="K11" t="s">
        <v>3</v>
      </c>
      <c r="L11" s="17">
        <v>350</v>
      </c>
      <c r="M11" s="17" t="s">
        <v>562</v>
      </c>
    </row>
    <row r="12" spans="5:18" x14ac:dyDescent="0.25">
      <c r="K12" t="s">
        <v>4</v>
      </c>
      <c r="L12" s="17">
        <v>200</v>
      </c>
      <c r="M12" s="17" t="s">
        <v>564</v>
      </c>
    </row>
    <row r="17" spans="2:17" ht="21" x14ac:dyDescent="0.35">
      <c r="B17" s="46" t="s">
        <v>748</v>
      </c>
      <c r="C17" s="45"/>
      <c r="D17" s="45"/>
      <c r="E17" s="45"/>
      <c r="F17" s="45"/>
      <c r="G17" s="45"/>
      <c r="H17" s="45"/>
      <c r="I17" s="45"/>
      <c r="J17" s="45"/>
      <c r="K17" s="45"/>
      <c r="L17" s="45"/>
      <c r="M17" s="45"/>
      <c r="N17" s="45"/>
      <c r="O17" s="45"/>
      <c r="P17" s="45"/>
    </row>
    <row r="18" spans="2:17" x14ac:dyDescent="0.25">
      <c r="I18" s="12" t="s">
        <v>767</v>
      </c>
      <c r="J18" s="40"/>
    </row>
    <row r="19" spans="2:17" x14ac:dyDescent="0.25">
      <c r="B19" s="48" t="s">
        <v>719</v>
      </c>
      <c r="C19" s="48"/>
      <c r="I19" s="3" t="s">
        <v>704</v>
      </c>
      <c r="J19" s="3" t="s">
        <v>705</v>
      </c>
      <c r="O19" s="3" t="s">
        <v>698</v>
      </c>
      <c r="P19" t="s">
        <v>776</v>
      </c>
      <c r="Q19" t="s">
        <v>704</v>
      </c>
    </row>
    <row r="20" spans="2:17" x14ac:dyDescent="0.25">
      <c r="I20" s="3" t="s">
        <v>698</v>
      </c>
      <c r="J20" t="s">
        <v>15</v>
      </c>
      <c r="K20" t="s">
        <v>23</v>
      </c>
      <c r="L20" t="s">
        <v>13</v>
      </c>
      <c r="M20" t="s">
        <v>699</v>
      </c>
      <c r="O20" s="4" t="s">
        <v>5</v>
      </c>
      <c r="P20" s="9">
        <v>0.32</v>
      </c>
      <c r="Q20">
        <v>160</v>
      </c>
    </row>
    <row r="21" spans="2:17" ht="15" customHeight="1" x14ac:dyDescent="0.25">
      <c r="B21" s="35" t="s">
        <v>0</v>
      </c>
      <c r="C21" s="42" t="s">
        <v>771</v>
      </c>
      <c r="I21" s="4" t="s">
        <v>5</v>
      </c>
      <c r="J21">
        <v>55</v>
      </c>
      <c r="K21">
        <v>20</v>
      </c>
      <c r="L21">
        <v>85</v>
      </c>
      <c r="M21">
        <v>160</v>
      </c>
      <c r="O21" s="4" t="s">
        <v>724</v>
      </c>
      <c r="P21" s="9">
        <v>0.28599999999999998</v>
      </c>
      <c r="Q21">
        <v>143</v>
      </c>
    </row>
    <row r="22" spans="2:17" ht="15" customHeight="1" x14ac:dyDescent="0.25">
      <c r="B22" s="36" t="s">
        <v>1</v>
      </c>
      <c r="C22" s="37">
        <v>0.31034482758620691</v>
      </c>
      <c r="I22" s="4" t="s">
        <v>724</v>
      </c>
      <c r="J22">
        <v>50</v>
      </c>
      <c r="K22">
        <v>16</v>
      </c>
      <c r="L22">
        <v>77</v>
      </c>
      <c r="M22">
        <v>143</v>
      </c>
      <c r="O22" s="4" t="s">
        <v>725</v>
      </c>
      <c r="P22" s="9">
        <v>0.128</v>
      </c>
      <c r="Q22">
        <v>64</v>
      </c>
    </row>
    <row r="23" spans="2:17" x14ac:dyDescent="0.25">
      <c r="B23" s="36" t="s">
        <v>2</v>
      </c>
      <c r="C23" s="37">
        <v>0.22222222222222221</v>
      </c>
      <c r="I23" s="4" t="s">
        <v>725</v>
      </c>
      <c r="J23">
        <v>17</v>
      </c>
      <c r="K23">
        <v>14</v>
      </c>
      <c r="L23">
        <v>33</v>
      </c>
      <c r="M23">
        <v>64</v>
      </c>
      <c r="O23" s="4" t="s">
        <v>2</v>
      </c>
      <c r="P23" s="9">
        <v>0.09</v>
      </c>
      <c r="Q23">
        <v>45</v>
      </c>
    </row>
    <row r="24" spans="2:17" x14ac:dyDescent="0.25">
      <c r="B24" s="36" t="s">
        <v>3</v>
      </c>
      <c r="C24" s="37">
        <v>0.22222222222222221</v>
      </c>
      <c r="I24" s="4" t="s">
        <v>2</v>
      </c>
      <c r="J24">
        <v>14</v>
      </c>
      <c r="K24">
        <v>10</v>
      </c>
      <c r="L24">
        <v>21</v>
      </c>
      <c r="M24">
        <v>45</v>
      </c>
      <c r="O24" s="4" t="s">
        <v>6</v>
      </c>
      <c r="P24" s="9">
        <v>5.8000000000000003E-2</v>
      </c>
      <c r="Q24">
        <v>29</v>
      </c>
    </row>
    <row r="25" spans="2:17" x14ac:dyDescent="0.25">
      <c r="B25" s="36" t="s">
        <v>725</v>
      </c>
      <c r="C25" s="37">
        <v>0.21875</v>
      </c>
      <c r="I25" s="4" t="s">
        <v>6</v>
      </c>
      <c r="J25">
        <v>7</v>
      </c>
      <c r="K25">
        <v>6</v>
      </c>
      <c r="L25">
        <v>16</v>
      </c>
      <c r="M25">
        <v>29</v>
      </c>
      <c r="O25" s="4" t="s">
        <v>1</v>
      </c>
      <c r="P25" s="9">
        <v>5.8000000000000003E-2</v>
      </c>
      <c r="Q25">
        <v>29</v>
      </c>
    </row>
    <row r="26" spans="2:17" x14ac:dyDescent="0.25">
      <c r="B26" s="36" t="s">
        <v>6</v>
      </c>
      <c r="C26" s="37">
        <v>0.20689655172413793</v>
      </c>
      <c r="I26" s="4" t="s">
        <v>1</v>
      </c>
      <c r="J26">
        <v>10</v>
      </c>
      <c r="K26">
        <v>4</v>
      </c>
      <c r="L26">
        <v>15</v>
      </c>
      <c r="M26">
        <v>29</v>
      </c>
      <c r="O26" s="4" t="s">
        <v>4</v>
      </c>
      <c r="P26" s="9">
        <v>4.2000000000000003E-2</v>
      </c>
      <c r="Q26">
        <v>21</v>
      </c>
    </row>
    <row r="27" spans="2:17" x14ac:dyDescent="0.25">
      <c r="B27" s="36" t="s">
        <v>4</v>
      </c>
      <c r="C27" s="37">
        <v>0.19047619047619047</v>
      </c>
      <c r="I27" s="4" t="s">
        <v>4</v>
      </c>
      <c r="J27">
        <v>5</v>
      </c>
      <c r="K27">
        <v>9</v>
      </c>
      <c r="L27">
        <v>7</v>
      </c>
      <c r="M27">
        <v>21</v>
      </c>
      <c r="O27" s="4" t="s">
        <v>3</v>
      </c>
      <c r="P27" s="9">
        <v>1.7999999999999999E-2</v>
      </c>
      <c r="Q27">
        <v>9</v>
      </c>
    </row>
    <row r="28" spans="2:17" x14ac:dyDescent="0.25">
      <c r="B28" s="36" t="s">
        <v>724</v>
      </c>
      <c r="C28" s="37">
        <v>0.18181818181818182</v>
      </c>
      <c r="I28" s="4" t="s">
        <v>3</v>
      </c>
      <c r="K28">
        <v>2</v>
      </c>
      <c r="L28">
        <v>7</v>
      </c>
      <c r="M28">
        <v>9</v>
      </c>
      <c r="O28" s="4" t="s">
        <v>699</v>
      </c>
      <c r="P28" s="9">
        <v>1</v>
      </c>
      <c r="Q28">
        <v>500</v>
      </c>
    </row>
    <row r="29" spans="2:17" x14ac:dyDescent="0.25">
      <c r="B29" s="36" t="s">
        <v>5</v>
      </c>
      <c r="C29" s="37">
        <v>0.16875000000000001</v>
      </c>
      <c r="I29" s="4" t="s">
        <v>699</v>
      </c>
      <c r="J29">
        <v>158</v>
      </c>
      <c r="K29">
        <v>81</v>
      </c>
      <c r="L29">
        <v>261</v>
      </c>
      <c r="M29">
        <v>500</v>
      </c>
    </row>
    <row r="31" spans="2:17" x14ac:dyDescent="0.25">
      <c r="I31" s="13" t="s">
        <v>768</v>
      </c>
      <c r="J31" s="12"/>
      <c r="K31" s="12"/>
    </row>
    <row r="32" spans="2:17" x14ac:dyDescent="0.25">
      <c r="J32" s="3" t="s">
        <v>695</v>
      </c>
      <c r="K32" s="3" t="s">
        <v>772</v>
      </c>
    </row>
    <row r="33" spans="2:16" x14ac:dyDescent="0.25">
      <c r="J33" t="s">
        <v>703</v>
      </c>
      <c r="L33" t="s">
        <v>702</v>
      </c>
      <c r="N33" t="s">
        <v>775</v>
      </c>
      <c r="O33" t="s">
        <v>773</v>
      </c>
    </row>
    <row r="34" spans="2:16" x14ac:dyDescent="0.25">
      <c r="I34" s="3" t="s">
        <v>0</v>
      </c>
      <c r="J34" t="s">
        <v>720</v>
      </c>
      <c r="K34" t="s">
        <v>774</v>
      </c>
      <c r="L34" t="s">
        <v>720</v>
      </c>
      <c r="M34" t="s">
        <v>774</v>
      </c>
    </row>
    <row r="35" spans="2:16" x14ac:dyDescent="0.25">
      <c r="I35" t="s">
        <v>5</v>
      </c>
      <c r="J35">
        <v>133</v>
      </c>
      <c r="K35" s="9">
        <v>0.83125000000000004</v>
      </c>
      <c r="L35">
        <v>27</v>
      </c>
      <c r="M35" s="9">
        <v>0.16875000000000001</v>
      </c>
      <c r="N35">
        <v>160</v>
      </c>
      <c r="O35" s="9">
        <v>1</v>
      </c>
    </row>
    <row r="36" spans="2:16" x14ac:dyDescent="0.25">
      <c r="I36" t="s">
        <v>724</v>
      </c>
      <c r="J36">
        <v>117</v>
      </c>
      <c r="K36" s="9">
        <v>0.81818181818181823</v>
      </c>
      <c r="L36">
        <v>26</v>
      </c>
      <c r="M36" s="9">
        <v>0.18181818181818182</v>
      </c>
      <c r="N36">
        <v>143</v>
      </c>
      <c r="O36" s="9">
        <v>1</v>
      </c>
    </row>
    <row r="37" spans="2:16" x14ac:dyDescent="0.25">
      <c r="I37" t="s">
        <v>725</v>
      </c>
      <c r="J37">
        <v>50</v>
      </c>
      <c r="K37" s="9">
        <v>0.78125</v>
      </c>
      <c r="L37">
        <v>14</v>
      </c>
      <c r="M37" s="9">
        <v>0.21875</v>
      </c>
      <c r="N37">
        <v>64</v>
      </c>
      <c r="O37" s="9">
        <v>1</v>
      </c>
    </row>
    <row r="38" spans="2:16" x14ac:dyDescent="0.25">
      <c r="I38" t="s">
        <v>2</v>
      </c>
      <c r="J38">
        <v>35</v>
      </c>
      <c r="K38" s="9">
        <v>0.77777777777777779</v>
      </c>
      <c r="L38">
        <v>10</v>
      </c>
      <c r="M38" s="9">
        <v>0.22222222222222221</v>
      </c>
      <c r="N38">
        <v>45</v>
      </c>
      <c r="O38" s="9">
        <v>1</v>
      </c>
    </row>
    <row r="39" spans="2:16" x14ac:dyDescent="0.25">
      <c r="I39" t="s">
        <v>1</v>
      </c>
      <c r="J39">
        <v>20</v>
      </c>
      <c r="K39" s="9">
        <v>0.68965517241379315</v>
      </c>
      <c r="L39">
        <v>9</v>
      </c>
      <c r="M39" s="9">
        <v>0.31034482758620691</v>
      </c>
      <c r="N39">
        <v>29</v>
      </c>
      <c r="O39" s="9">
        <v>1</v>
      </c>
    </row>
    <row r="40" spans="2:16" x14ac:dyDescent="0.25">
      <c r="I40" t="s">
        <v>6</v>
      </c>
      <c r="J40">
        <v>23</v>
      </c>
      <c r="K40" s="9">
        <v>0.7931034482758621</v>
      </c>
      <c r="L40">
        <v>6</v>
      </c>
      <c r="M40" s="9">
        <v>0.20689655172413793</v>
      </c>
      <c r="N40">
        <v>29</v>
      </c>
      <c r="O40" s="9">
        <v>1</v>
      </c>
    </row>
    <row r="41" spans="2:16" x14ac:dyDescent="0.25">
      <c r="I41" t="s">
        <v>4</v>
      </c>
      <c r="J41">
        <v>17</v>
      </c>
      <c r="K41" s="9">
        <v>0.80952380952380953</v>
      </c>
      <c r="L41">
        <v>4</v>
      </c>
      <c r="M41" s="9">
        <v>0.19047619047619047</v>
      </c>
      <c r="N41">
        <v>21</v>
      </c>
      <c r="O41" s="9">
        <v>1</v>
      </c>
    </row>
    <row r="42" spans="2:16" x14ac:dyDescent="0.25">
      <c r="I42" t="s">
        <v>3</v>
      </c>
      <c r="J42">
        <v>7</v>
      </c>
      <c r="K42" s="9">
        <v>0.77777777777777779</v>
      </c>
      <c r="L42">
        <v>2</v>
      </c>
      <c r="M42" s="9">
        <v>0.22222222222222221</v>
      </c>
      <c r="N42">
        <v>9</v>
      </c>
      <c r="O42" s="9">
        <v>1</v>
      </c>
    </row>
    <row r="43" spans="2:16" x14ac:dyDescent="0.25">
      <c r="I43" t="s">
        <v>699</v>
      </c>
      <c r="J43">
        <v>402</v>
      </c>
      <c r="K43" s="9">
        <v>0.80400000000000005</v>
      </c>
      <c r="L43">
        <v>98</v>
      </c>
      <c r="M43" s="9">
        <v>0.19600000000000001</v>
      </c>
      <c r="N43">
        <v>500</v>
      </c>
      <c r="O43" s="9">
        <v>1</v>
      </c>
    </row>
    <row r="46" spans="2:16" ht="21" x14ac:dyDescent="0.35">
      <c r="B46" s="46" t="s">
        <v>751</v>
      </c>
      <c r="C46" s="45"/>
      <c r="D46" s="45"/>
      <c r="E46" s="45"/>
      <c r="F46" s="45"/>
      <c r="G46" s="45"/>
      <c r="H46" s="45"/>
      <c r="I46" s="45"/>
      <c r="J46" s="45"/>
      <c r="K46" s="45"/>
      <c r="L46" s="45"/>
      <c r="M46" s="45"/>
      <c r="N46" s="45"/>
      <c r="O46" s="45"/>
      <c r="P46" s="45"/>
    </row>
    <row r="48" spans="2:16" x14ac:dyDescent="0.25">
      <c r="B48" s="12" t="s">
        <v>766</v>
      </c>
      <c r="C48" s="12"/>
    </row>
    <row r="49" spans="2:10" x14ac:dyDescent="0.25">
      <c r="B49" s="3" t="s">
        <v>698</v>
      </c>
      <c r="C49" t="s">
        <v>720</v>
      </c>
      <c r="E49" s="48" t="s">
        <v>722</v>
      </c>
      <c r="F49" s="48"/>
      <c r="G49" s="48"/>
      <c r="H49" s="48"/>
    </row>
    <row r="50" spans="2:10" x14ac:dyDescent="0.25">
      <c r="B50" s="4" t="s">
        <v>564</v>
      </c>
      <c r="C50">
        <v>181</v>
      </c>
    </row>
    <row r="51" spans="2:10" x14ac:dyDescent="0.25">
      <c r="B51" s="4" t="s">
        <v>562</v>
      </c>
      <c r="C51">
        <v>176</v>
      </c>
      <c r="E51" s="35" t="s">
        <v>561</v>
      </c>
      <c r="F51" s="35" t="s">
        <v>720</v>
      </c>
      <c r="G51" s="35" t="s">
        <v>723</v>
      </c>
      <c r="H51" s="35" t="s">
        <v>721</v>
      </c>
    </row>
    <row r="52" spans="2:10" x14ac:dyDescent="0.25">
      <c r="B52" s="4" t="s">
        <v>563</v>
      </c>
      <c r="C52">
        <v>143</v>
      </c>
      <c r="E52" s="36" t="str">
        <f>B50</f>
        <v>Boat</v>
      </c>
      <c r="F52" s="36">
        <v>181</v>
      </c>
      <c r="G52" s="36">
        <v>20</v>
      </c>
      <c r="H52" s="37">
        <f>F52/SUM($F$52:$F$54)</f>
        <v>0.36199999999999999</v>
      </c>
    </row>
    <row r="53" spans="2:10" x14ac:dyDescent="0.25">
      <c r="B53" s="4" t="s">
        <v>699</v>
      </c>
      <c r="C53">
        <v>500</v>
      </c>
      <c r="E53" s="36" t="str">
        <f>B51</f>
        <v>Air</v>
      </c>
      <c r="F53" s="36">
        <v>176</v>
      </c>
      <c r="G53" s="36">
        <v>20</v>
      </c>
      <c r="H53" s="37">
        <f>F53/SUM($F$52:$F$54)</f>
        <v>0.35199999999999998</v>
      </c>
    </row>
    <row r="54" spans="2:10" x14ac:dyDescent="0.25">
      <c r="E54" s="36" t="str">
        <f>B52</f>
        <v>Road</v>
      </c>
      <c r="F54" s="36">
        <v>143</v>
      </c>
      <c r="G54" s="36">
        <v>20</v>
      </c>
      <c r="H54" s="37">
        <f>F54/SUM($F$52:$F$54)</f>
        <v>0.28599999999999998</v>
      </c>
    </row>
    <row r="56" spans="2:10" x14ac:dyDescent="0.25">
      <c r="B56" s="4"/>
    </row>
    <row r="57" spans="2:10" x14ac:dyDescent="0.25">
      <c r="B57" s="4"/>
      <c r="F57" s="48" t="s">
        <v>726</v>
      </c>
      <c r="G57" s="48"/>
      <c r="H57" s="48"/>
      <c r="I57" s="48"/>
      <c r="J57" s="48"/>
    </row>
    <row r="58" spans="2:10" x14ac:dyDescent="0.25">
      <c r="B58" s="12" t="s">
        <v>765</v>
      </c>
      <c r="C58" s="12"/>
      <c r="D58" s="12"/>
    </row>
    <row r="59" spans="2:10" x14ac:dyDescent="0.25">
      <c r="B59" s="3" t="s">
        <v>561</v>
      </c>
      <c r="C59" s="3" t="s">
        <v>0</v>
      </c>
      <c r="D59" t="s">
        <v>720</v>
      </c>
      <c r="F59" s="35" t="s">
        <v>561</v>
      </c>
      <c r="G59" s="35" t="s">
        <v>0</v>
      </c>
      <c r="H59" s="35" t="s">
        <v>720</v>
      </c>
      <c r="I59" s="35" t="s">
        <v>723</v>
      </c>
      <c r="J59" s="35" t="s">
        <v>721</v>
      </c>
    </row>
    <row r="60" spans="2:10" x14ac:dyDescent="0.25">
      <c r="B60" t="s">
        <v>564</v>
      </c>
      <c r="C60" t="s">
        <v>5</v>
      </c>
      <c r="D60">
        <v>160</v>
      </c>
      <c r="F60" s="38" t="str">
        <f>B60</f>
        <v>Boat</v>
      </c>
      <c r="G60" s="38" t="str">
        <f>C60</f>
        <v>North America</v>
      </c>
      <c r="H60" s="36">
        <f>GETPIVOTDATA("Animal",$B$59,"Region",C60,"Transport",B60)</f>
        <v>160</v>
      </c>
      <c r="I60" s="36">
        <v>20</v>
      </c>
      <c r="J60" s="39">
        <f t="shared" ref="J60:J67" si="0">H60/SUM($H$60:$H$67)</f>
        <v>0.32</v>
      </c>
    </row>
    <row r="61" spans="2:10" x14ac:dyDescent="0.25">
      <c r="C61" t="s">
        <v>4</v>
      </c>
      <c r="D61">
        <v>21</v>
      </c>
      <c r="F61" s="36"/>
      <c r="G61" s="36" t="str">
        <f t="shared" ref="G61:G67" si="1">C61</f>
        <v>Latin America</v>
      </c>
      <c r="H61" s="36">
        <f>GETPIVOTDATA("Animal",$B$59,"Region","Latin America","Transport","Boat")</f>
        <v>21</v>
      </c>
      <c r="I61" s="36">
        <v>20</v>
      </c>
      <c r="J61" s="39">
        <f t="shared" si="0"/>
        <v>4.2000000000000003E-2</v>
      </c>
    </row>
    <row r="62" spans="2:10" x14ac:dyDescent="0.25">
      <c r="B62" t="s">
        <v>562</v>
      </c>
      <c r="C62" t="s">
        <v>725</v>
      </c>
      <c r="D62">
        <v>64</v>
      </c>
      <c r="F62" s="38" t="str">
        <f>B62</f>
        <v>Air</v>
      </c>
      <c r="G62" s="36" t="str">
        <f t="shared" si="1"/>
        <v>Africa &amp; MENA</v>
      </c>
      <c r="H62" s="36">
        <f>GETPIVOTDATA("Animal",$B$59,"Region",C62,"Transport",B62)</f>
        <v>64</v>
      </c>
      <c r="I62" s="36">
        <v>20</v>
      </c>
      <c r="J62" s="39">
        <f t="shared" si="0"/>
        <v>0.128</v>
      </c>
    </row>
    <row r="63" spans="2:10" x14ac:dyDescent="0.25">
      <c r="C63" t="s">
        <v>2</v>
      </c>
      <c r="D63">
        <v>45</v>
      </c>
      <c r="F63" s="36"/>
      <c r="G63" s="36" t="str">
        <f t="shared" si="1"/>
        <v>Greater China</v>
      </c>
      <c r="H63" s="36">
        <f>GETPIVOTDATA("Animal",$B$59,"Region","Greater China","Transport","Air")</f>
        <v>45</v>
      </c>
      <c r="I63" s="36">
        <v>20</v>
      </c>
      <c r="J63" s="39">
        <f t="shared" si="0"/>
        <v>0.09</v>
      </c>
    </row>
    <row r="64" spans="2:10" x14ac:dyDescent="0.25">
      <c r="C64" t="s">
        <v>6</v>
      </c>
      <c r="D64">
        <v>29</v>
      </c>
      <c r="F64" s="36"/>
      <c r="G64" s="36" t="str">
        <f t="shared" si="1"/>
        <v>South Asia</v>
      </c>
      <c r="H64" s="36">
        <f>GETPIVOTDATA("Animal",$B$59,"Region","Asia Pacific","Transport","Air")</f>
        <v>29</v>
      </c>
      <c r="I64" s="36">
        <v>20</v>
      </c>
      <c r="J64" s="39">
        <f t="shared" si="0"/>
        <v>5.8000000000000003E-2</v>
      </c>
    </row>
    <row r="65" spans="2:10" x14ac:dyDescent="0.25">
      <c r="C65" t="s">
        <v>1</v>
      </c>
      <c r="D65">
        <v>29</v>
      </c>
      <c r="F65" s="36"/>
      <c r="G65" s="36" t="str">
        <f t="shared" si="1"/>
        <v>Asia Pacific</v>
      </c>
      <c r="H65" s="36">
        <f>GETPIVOTDATA("Animal",$B$59,"Region","South Asia","Transport","Air")</f>
        <v>29</v>
      </c>
      <c r="I65" s="36">
        <v>20</v>
      </c>
      <c r="J65" s="39">
        <f t="shared" si="0"/>
        <v>5.8000000000000003E-2</v>
      </c>
    </row>
    <row r="66" spans="2:10" x14ac:dyDescent="0.25">
      <c r="C66" t="s">
        <v>3</v>
      </c>
      <c r="D66">
        <v>9</v>
      </c>
      <c r="F66" s="36"/>
      <c r="G66" s="36" t="str">
        <f t="shared" si="1"/>
        <v>Japan</v>
      </c>
      <c r="H66" s="36">
        <f>GETPIVOTDATA("Animal",$B$59,"Region","Japan","Transport","Air")</f>
        <v>9</v>
      </c>
      <c r="I66" s="36">
        <v>20</v>
      </c>
      <c r="J66" s="39">
        <f t="shared" si="0"/>
        <v>1.7999999999999999E-2</v>
      </c>
    </row>
    <row r="67" spans="2:10" x14ac:dyDescent="0.25">
      <c r="B67" t="s">
        <v>563</v>
      </c>
      <c r="C67" t="s">
        <v>724</v>
      </c>
      <c r="D67">
        <v>143</v>
      </c>
      <c r="F67" s="38" t="str">
        <f>B67</f>
        <v>Road</v>
      </c>
      <c r="G67" s="36" t="str">
        <f t="shared" si="1"/>
        <v>Europe &amp; Eurasia</v>
      </c>
      <c r="H67" s="36">
        <f>GETPIVOTDATA("Animal",$B$59,"Region",C67,"Transport",B67)</f>
        <v>143</v>
      </c>
      <c r="I67" s="36">
        <v>20</v>
      </c>
      <c r="J67" s="39">
        <f t="shared" si="0"/>
        <v>0.28599999999999998</v>
      </c>
    </row>
    <row r="68" spans="2:10" x14ac:dyDescent="0.25">
      <c r="B68" t="s">
        <v>699</v>
      </c>
      <c r="D68">
        <v>500</v>
      </c>
    </row>
    <row r="70" spans="2:10" x14ac:dyDescent="0.25">
      <c r="F70" s="48" t="s">
        <v>727</v>
      </c>
      <c r="G70" s="48"/>
      <c r="H70" s="48"/>
      <c r="I70" s="48"/>
    </row>
    <row r="71" spans="2:10" x14ac:dyDescent="0.25">
      <c r="B71" s="12" t="s">
        <v>764</v>
      </c>
      <c r="C71" s="40"/>
    </row>
    <row r="72" spans="2:10" x14ac:dyDescent="0.25">
      <c r="B72" s="3" t="s">
        <v>10</v>
      </c>
      <c r="C72" t="s">
        <v>720</v>
      </c>
      <c r="F72" s="35" t="s">
        <v>10</v>
      </c>
      <c r="G72" s="35" t="s">
        <v>720</v>
      </c>
      <c r="H72" s="35" t="s">
        <v>723</v>
      </c>
      <c r="I72" s="35" t="s">
        <v>721</v>
      </c>
    </row>
    <row r="73" spans="2:10" x14ac:dyDescent="0.25">
      <c r="B73" t="s">
        <v>13</v>
      </c>
      <c r="C73">
        <v>261</v>
      </c>
      <c r="F73" s="36" t="str">
        <f>B73</f>
        <v>Omnivore</v>
      </c>
      <c r="G73" s="36">
        <f>GETPIVOTDATA("Animal",$B$72,"Diet",B73)</f>
        <v>261</v>
      </c>
      <c r="H73" s="36">
        <v>20</v>
      </c>
      <c r="I73" s="37">
        <f>G73/SUM($G$73:$G$75)</f>
        <v>0.52200000000000002</v>
      </c>
    </row>
    <row r="74" spans="2:10" x14ac:dyDescent="0.25">
      <c r="B74" t="s">
        <v>15</v>
      </c>
      <c r="C74">
        <v>158</v>
      </c>
      <c r="F74" s="36" t="str">
        <f>B74</f>
        <v>Carnivore</v>
      </c>
      <c r="G74" s="36">
        <f>GETPIVOTDATA("Animal",$B$72,"Diet",B74)</f>
        <v>158</v>
      </c>
      <c r="H74" s="36">
        <v>20</v>
      </c>
      <c r="I74" s="37">
        <f>G74/SUM($G$73:$G$75)</f>
        <v>0.316</v>
      </c>
    </row>
    <row r="75" spans="2:10" x14ac:dyDescent="0.25">
      <c r="B75" t="s">
        <v>23</v>
      </c>
      <c r="C75">
        <v>81</v>
      </c>
      <c r="F75" s="36" t="str">
        <f>B75</f>
        <v>Herbivore</v>
      </c>
      <c r="G75" s="36">
        <f>GETPIVOTDATA("Animal",$B$72,"Diet",B75)</f>
        <v>81</v>
      </c>
      <c r="H75" s="36">
        <v>20</v>
      </c>
      <c r="I75" s="37">
        <f>G75/SUM($G$73:$G$75)</f>
        <v>0.16200000000000001</v>
      </c>
    </row>
    <row r="76" spans="2:10" x14ac:dyDescent="0.25">
      <c r="B76" t="s">
        <v>699</v>
      </c>
      <c r="C76">
        <v>500</v>
      </c>
    </row>
    <row r="78" spans="2:10" x14ac:dyDescent="0.25">
      <c r="B78" s="12" t="s">
        <v>763</v>
      </c>
      <c r="C78" s="40"/>
    </row>
    <row r="79" spans="2:10" x14ac:dyDescent="0.25">
      <c r="B79" s="3" t="s">
        <v>695</v>
      </c>
      <c r="C79" t="s">
        <v>702</v>
      </c>
      <c r="F79" s="48" t="s">
        <v>727</v>
      </c>
      <c r="G79" s="48"/>
      <c r="H79" s="48"/>
      <c r="I79" s="48"/>
    </row>
    <row r="81" spans="2:9" x14ac:dyDescent="0.25">
      <c r="B81" s="3" t="s">
        <v>10</v>
      </c>
      <c r="C81" t="s">
        <v>720</v>
      </c>
      <c r="F81" s="35" t="s">
        <v>10</v>
      </c>
      <c r="G81" s="35" t="s">
        <v>720</v>
      </c>
      <c r="H81" s="35" t="s">
        <v>723</v>
      </c>
      <c r="I81" s="35" t="s">
        <v>721</v>
      </c>
    </row>
    <row r="82" spans="2:9" x14ac:dyDescent="0.25">
      <c r="B82" t="s">
        <v>13</v>
      </c>
      <c r="C82">
        <v>57</v>
      </c>
      <c r="F82" s="36" t="str">
        <f>B82</f>
        <v>Omnivore</v>
      </c>
      <c r="G82" s="36">
        <f>GETPIVOTDATA("Animal",$B$81,"Diet",B82)</f>
        <v>57</v>
      </c>
      <c r="H82" s="36">
        <v>20</v>
      </c>
      <c r="I82" s="37">
        <f>G82/SUM($G$82:$G$84)</f>
        <v>0.58163265306122447</v>
      </c>
    </row>
    <row r="83" spans="2:9" x14ac:dyDescent="0.25">
      <c r="B83" t="s">
        <v>15</v>
      </c>
      <c r="C83">
        <v>26</v>
      </c>
      <c r="F83" s="36" t="str">
        <f>B83</f>
        <v>Carnivore</v>
      </c>
      <c r="G83" s="36">
        <f t="shared" ref="G83:G84" si="2">GETPIVOTDATA("Animal",$B$81,"Diet",B83)</f>
        <v>26</v>
      </c>
      <c r="H83" s="36">
        <v>20</v>
      </c>
      <c r="I83" s="37">
        <f t="shared" ref="I83:I84" si="3">G83/SUM($G$82:$G$84)</f>
        <v>0.26530612244897961</v>
      </c>
    </row>
    <row r="84" spans="2:9" x14ac:dyDescent="0.25">
      <c r="B84" t="s">
        <v>23</v>
      </c>
      <c r="C84">
        <v>15</v>
      </c>
      <c r="F84" s="36" t="str">
        <f>B84</f>
        <v>Herbivore</v>
      </c>
      <c r="G84" s="36">
        <f t="shared" si="2"/>
        <v>15</v>
      </c>
      <c r="H84" s="36">
        <v>20</v>
      </c>
      <c r="I84" s="37">
        <f t="shared" si="3"/>
        <v>0.15306122448979592</v>
      </c>
    </row>
    <row r="85" spans="2:9" x14ac:dyDescent="0.25">
      <c r="B85" t="s">
        <v>699</v>
      </c>
      <c r="C85">
        <v>98</v>
      </c>
    </row>
    <row r="87" spans="2:9" x14ac:dyDescent="0.25">
      <c r="F87" s="48" t="s">
        <v>749</v>
      </c>
      <c r="G87" s="48"/>
      <c r="H87" s="48"/>
      <c r="I87" s="48"/>
    </row>
    <row r="88" spans="2:9" x14ac:dyDescent="0.25">
      <c r="B88" s="12" t="s">
        <v>762</v>
      </c>
      <c r="C88" s="40"/>
    </row>
    <row r="89" spans="2:9" x14ac:dyDescent="0.25">
      <c r="B89" s="3" t="s">
        <v>698</v>
      </c>
      <c r="C89" t="s">
        <v>720</v>
      </c>
      <c r="F89" s="35" t="s">
        <v>730</v>
      </c>
      <c r="G89" s="35" t="s">
        <v>720</v>
      </c>
      <c r="H89" s="35" t="s">
        <v>723</v>
      </c>
      <c r="I89" s="35" t="s">
        <v>721</v>
      </c>
    </row>
    <row r="90" spans="2:9" x14ac:dyDescent="0.25">
      <c r="B90" s="4" t="s">
        <v>728</v>
      </c>
      <c r="C90">
        <v>368</v>
      </c>
      <c r="F90" s="36" t="s">
        <v>728</v>
      </c>
      <c r="G90" s="36" cm="1">
        <f t="array" ref="G90">SUM(IF(Table1[Lifespan (Years)]&lt;25, 1,0))</f>
        <v>368</v>
      </c>
      <c r="H90" s="36">
        <v>40</v>
      </c>
      <c r="I90" s="37">
        <f>G90/SUM($G$90:$G$94)</f>
        <v>0.73599999999999999</v>
      </c>
    </row>
    <row r="91" spans="2:9" x14ac:dyDescent="0.25">
      <c r="B91" s="4" t="s">
        <v>729</v>
      </c>
      <c r="C91">
        <v>8</v>
      </c>
      <c r="F91" s="36" t="s">
        <v>733</v>
      </c>
      <c r="G91" s="36" cm="1">
        <f t="array" ref="G91">SUM(IF(Table1[Lifespan (Years)]&gt;=25, IF(Table1[Lifespan (Years)] &lt;50, 1, 0), 0))</f>
        <v>87</v>
      </c>
      <c r="H91" s="36">
        <v>40</v>
      </c>
      <c r="I91" s="37">
        <f>G91/SUM($G$90:$G$94)</f>
        <v>0.17399999999999999</v>
      </c>
    </row>
    <row r="92" spans="2:9" x14ac:dyDescent="0.25">
      <c r="B92" s="4" t="s">
        <v>733</v>
      </c>
      <c r="C92">
        <v>87</v>
      </c>
      <c r="F92" s="36" t="s">
        <v>734</v>
      </c>
      <c r="G92" s="36" cm="1">
        <f t="array" ref="G92">SUM(IF(Table1[Lifespan (Years)]&gt;=50, IF(Table1[Lifespan (Years)] &lt;75, 1, 0), 0))</f>
        <v>34</v>
      </c>
      <c r="H92" s="36">
        <v>40</v>
      </c>
      <c r="I92" s="37">
        <f>G92/SUM($G$90:$G$94)</f>
        <v>6.8000000000000005E-2</v>
      </c>
    </row>
    <row r="93" spans="2:9" x14ac:dyDescent="0.25">
      <c r="B93" s="4" t="s">
        <v>734</v>
      </c>
      <c r="C93">
        <v>34</v>
      </c>
      <c r="F93" s="36" t="s">
        <v>735</v>
      </c>
      <c r="G93" s="36" cm="1">
        <f t="array" ref="G93">SUM(IF(Table1[Lifespan (Years)]&gt;=75, IF(Table1[Lifespan (Years)] &lt;100, 1, 0), 0))</f>
        <v>3</v>
      </c>
      <c r="H93" s="36">
        <v>40</v>
      </c>
      <c r="I93" s="37">
        <f>G93/SUM($G$90:$G$94)</f>
        <v>6.0000000000000001E-3</v>
      </c>
    </row>
    <row r="94" spans="2:9" x14ac:dyDescent="0.25">
      <c r="B94" s="4" t="s">
        <v>735</v>
      </c>
      <c r="C94">
        <v>3</v>
      </c>
      <c r="F94" s="36" t="s">
        <v>729</v>
      </c>
      <c r="G94" s="36" cm="1">
        <f t="array" ref="G94">SUM(IF(Table1[Lifespan (Years)]&gt;=100, 1, 0))</f>
        <v>8</v>
      </c>
      <c r="H94" s="36">
        <v>40</v>
      </c>
      <c r="I94" s="37">
        <f>G94/SUM($G$90:$G$94)</f>
        <v>1.6E-2</v>
      </c>
    </row>
    <row r="95" spans="2:9" x14ac:dyDescent="0.25">
      <c r="B95" s="4" t="s">
        <v>699</v>
      </c>
      <c r="C95">
        <v>500</v>
      </c>
    </row>
    <row r="100" spans="2:9" x14ac:dyDescent="0.25">
      <c r="F100" s="48" t="s">
        <v>750</v>
      </c>
      <c r="G100" s="48"/>
      <c r="H100" s="48"/>
      <c r="I100" s="48"/>
    </row>
    <row r="101" spans="2:9" x14ac:dyDescent="0.25">
      <c r="B101" s="12" t="s">
        <v>761</v>
      </c>
      <c r="C101" s="40"/>
    </row>
    <row r="102" spans="2:9" x14ac:dyDescent="0.25">
      <c r="B102" s="3" t="s">
        <v>698</v>
      </c>
      <c r="C102" t="s">
        <v>720</v>
      </c>
      <c r="F102" s="35" t="s">
        <v>731</v>
      </c>
      <c r="G102" s="35" t="s">
        <v>720</v>
      </c>
      <c r="H102" s="35" t="s">
        <v>723</v>
      </c>
      <c r="I102" s="35" t="s">
        <v>721</v>
      </c>
    </row>
    <row r="103" spans="2:9" x14ac:dyDescent="0.25">
      <c r="B103" s="4" t="s">
        <v>732</v>
      </c>
      <c r="C103">
        <v>337</v>
      </c>
      <c r="F103" s="36" t="s">
        <v>732</v>
      </c>
      <c r="G103" s="36">
        <v>337</v>
      </c>
      <c r="H103" s="36">
        <v>40</v>
      </c>
      <c r="I103" s="37">
        <f t="shared" ref="I103:I109" si="4">G103/SUM($G$103:$G$109)</f>
        <v>0.67400000000000004</v>
      </c>
    </row>
    <row r="104" spans="2:9" x14ac:dyDescent="0.25">
      <c r="B104" s="4" t="s">
        <v>742</v>
      </c>
      <c r="C104">
        <v>38</v>
      </c>
      <c r="F104" s="36" t="s">
        <v>736</v>
      </c>
      <c r="G104" s="36" cm="1">
        <f t="array" ref="G104">SUM(IF(Table1[Weight (lbs)]&gt;=100, IF(Table1[Weight (lbs)] &lt;200, 1, 0), 0))</f>
        <v>31</v>
      </c>
      <c r="H104" s="36">
        <v>40</v>
      </c>
      <c r="I104" s="37">
        <f t="shared" si="4"/>
        <v>6.2E-2</v>
      </c>
    </row>
    <row r="105" spans="2:9" x14ac:dyDescent="0.25">
      <c r="B105" s="4" t="s">
        <v>736</v>
      </c>
      <c r="C105">
        <v>31</v>
      </c>
      <c r="F105" s="36" t="s">
        <v>737</v>
      </c>
      <c r="G105" s="36" cm="1">
        <f t="array" ref="G105">SUM(IF(Table1[Weight (lbs)]&gt;=200, IF(Table1[Weight (lbs)] &lt;300, 1, 0), 0))</f>
        <v>17</v>
      </c>
      <c r="H105" s="36">
        <v>40</v>
      </c>
      <c r="I105" s="37">
        <f t="shared" si="4"/>
        <v>3.4000000000000002E-2</v>
      </c>
    </row>
    <row r="106" spans="2:9" x14ac:dyDescent="0.25">
      <c r="B106" s="4" t="s">
        <v>737</v>
      </c>
      <c r="C106">
        <v>17</v>
      </c>
      <c r="F106" s="36" t="s">
        <v>738</v>
      </c>
      <c r="G106" s="36" cm="1">
        <f t="array" ref="G106">SUM(IF(Table1[Weight (lbs)]&gt;=300, IF(Table1[Weight (lbs)] &lt;400, 1, 0), 0))</f>
        <v>14</v>
      </c>
      <c r="H106" s="36">
        <v>40</v>
      </c>
      <c r="I106" s="37">
        <f t="shared" si="4"/>
        <v>2.8000000000000001E-2</v>
      </c>
    </row>
    <row r="107" spans="2:9" x14ac:dyDescent="0.25">
      <c r="B107" s="4" t="s">
        <v>738</v>
      </c>
      <c r="C107">
        <v>14</v>
      </c>
      <c r="F107" s="36" t="s">
        <v>739</v>
      </c>
      <c r="G107" s="36" cm="1">
        <f t="array" ref="G107">SUM(IF(Table1[Weight (lbs)]&gt;=400, IF(Table1[Weight (lbs)] &lt;500, 1, 0), 0))</f>
        <v>8</v>
      </c>
      <c r="H107" s="36">
        <v>40</v>
      </c>
      <c r="I107" s="37">
        <f t="shared" si="4"/>
        <v>1.6E-2</v>
      </c>
    </row>
    <row r="108" spans="2:9" x14ac:dyDescent="0.25">
      <c r="B108" s="4" t="s">
        <v>739</v>
      </c>
      <c r="C108">
        <v>8</v>
      </c>
      <c r="F108" s="36" t="s">
        <v>740</v>
      </c>
      <c r="G108" s="36" cm="1">
        <f t="array" ref="G108">SUM(IF(Table1[Weight (lbs)]&gt;=500, 1,0))</f>
        <v>38</v>
      </c>
      <c r="H108" s="36">
        <v>40</v>
      </c>
      <c r="I108" s="37">
        <f t="shared" si="4"/>
        <v>7.5999999999999998E-2</v>
      </c>
    </row>
    <row r="109" spans="2:9" x14ac:dyDescent="0.25">
      <c r="B109" s="4" t="s">
        <v>741</v>
      </c>
      <c r="C109">
        <v>55</v>
      </c>
      <c r="F109" s="36" t="s">
        <v>741</v>
      </c>
      <c r="G109" s="36">
        <v>55</v>
      </c>
      <c r="H109" s="36">
        <v>40</v>
      </c>
      <c r="I109" s="37">
        <f t="shared" si="4"/>
        <v>0.11</v>
      </c>
    </row>
    <row r="110" spans="2:9" x14ac:dyDescent="0.25">
      <c r="B110" s="4" t="s">
        <v>699</v>
      </c>
      <c r="C110">
        <v>500</v>
      </c>
    </row>
    <row r="112" spans="2:9" ht="15.75" customHeight="1" x14ac:dyDescent="0.25"/>
    <row r="113" spans="2:19" ht="15.75" customHeight="1" x14ac:dyDescent="0.25"/>
    <row r="114" spans="2:19" ht="15.75" customHeight="1" x14ac:dyDescent="0.25"/>
    <row r="115" spans="2:19" ht="15.75" customHeight="1" x14ac:dyDescent="0.25">
      <c r="B115" s="47" t="s">
        <v>753</v>
      </c>
      <c r="C115" s="47"/>
      <c r="M115" s="47" t="s">
        <v>756</v>
      </c>
      <c r="N115" s="47"/>
    </row>
    <row r="116" spans="2:19" ht="15.75" customHeight="1" x14ac:dyDescent="0.25">
      <c r="B116" s="3" t="s">
        <v>704</v>
      </c>
      <c r="C116" s="3" t="s">
        <v>0</v>
      </c>
      <c r="M116" s="3" t="s">
        <v>704</v>
      </c>
      <c r="N116" s="3" t="s">
        <v>730</v>
      </c>
    </row>
    <row r="117" spans="2:19" ht="15.75" customHeight="1" x14ac:dyDescent="0.25">
      <c r="B117" s="3" t="s">
        <v>730</v>
      </c>
      <c r="C117" t="s">
        <v>5</v>
      </c>
      <c r="D117" t="s">
        <v>724</v>
      </c>
      <c r="E117" t="s">
        <v>725</v>
      </c>
      <c r="F117" t="s">
        <v>2</v>
      </c>
      <c r="G117" t="s">
        <v>6</v>
      </c>
      <c r="H117" t="s">
        <v>1</v>
      </c>
      <c r="I117" t="s">
        <v>4</v>
      </c>
      <c r="J117" t="s">
        <v>3</v>
      </c>
      <c r="K117" t="s">
        <v>699</v>
      </c>
      <c r="M117" s="3" t="s">
        <v>731</v>
      </c>
      <c r="N117" t="s">
        <v>728</v>
      </c>
      <c r="O117" t="s">
        <v>729</v>
      </c>
      <c r="P117" t="s">
        <v>733</v>
      </c>
      <c r="Q117" t="s">
        <v>734</v>
      </c>
      <c r="R117" t="s">
        <v>735</v>
      </c>
      <c r="S117" t="s">
        <v>699</v>
      </c>
    </row>
    <row r="118" spans="2:19" ht="15.75" customHeight="1" x14ac:dyDescent="0.25">
      <c r="B118" t="s">
        <v>728</v>
      </c>
      <c r="C118">
        <v>114</v>
      </c>
      <c r="D118">
        <v>109</v>
      </c>
      <c r="E118">
        <v>45</v>
      </c>
      <c r="F118">
        <v>32</v>
      </c>
      <c r="G118">
        <v>27</v>
      </c>
      <c r="H118">
        <v>22</v>
      </c>
      <c r="I118">
        <v>14</v>
      </c>
      <c r="J118">
        <v>5</v>
      </c>
      <c r="K118">
        <v>368</v>
      </c>
      <c r="M118" t="s">
        <v>732</v>
      </c>
      <c r="N118">
        <v>277</v>
      </c>
      <c r="O118">
        <v>3</v>
      </c>
      <c r="P118">
        <v>46</v>
      </c>
      <c r="Q118">
        <v>9</v>
      </c>
      <c r="R118">
        <v>2</v>
      </c>
      <c r="S118">
        <v>337</v>
      </c>
    </row>
    <row r="119" spans="2:19" ht="15.75" customHeight="1" x14ac:dyDescent="0.25">
      <c r="B119" t="s">
        <v>733</v>
      </c>
      <c r="C119">
        <v>34</v>
      </c>
      <c r="D119">
        <v>24</v>
      </c>
      <c r="E119">
        <v>12</v>
      </c>
      <c r="F119">
        <v>9</v>
      </c>
      <c r="G119">
        <v>1</v>
      </c>
      <c r="H119">
        <v>1</v>
      </c>
      <c r="I119">
        <v>3</v>
      </c>
      <c r="J119">
        <v>3</v>
      </c>
      <c r="K119">
        <v>87</v>
      </c>
      <c r="M119" t="s">
        <v>741</v>
      </c>
      <c r="N119">
        <v>46</v>
      </c>
      <c r="O119">
        <v>2</v>
      </c>
      <c r="P119">
        <v>6</v>
      </c>
      <c r="Q119">
        <v>1</v>
      </c>
      <c r="S119">
        <v>55</v>
      </c>
    </row>
    <row r="120" spans="2:19" ht="15.75" customHeight="1" x14ac:dyDescent="0.25">
      <c r="B120" t="s">
        <v>734</v>
      </c>
      <c r="C120">
        <v>9</v>
      </c>
      <c r="D120">
        <v>9</v>
      </c>
      <c r="E120">
        <v>5</v>
      </c>
      <c r="F120">
        <v>2</v>
      </c>
      <c r="G120">
        <v>1</v>
      </c>
      <c r="H120">
        <v>4</v>
      </c>
      <c r="I120">
        <v>4</v>
      </c>
      <c r="K120">
        <v>34</v>
      </c>
      <c r="M120" t="s">
        <v>742</v>
      </c>
      <c r="N120">
        <v>10</v>
      </c>
      <c r="P120">
        <v>10</v>
      </c>
      <c r="Q120">
        <v>18</v>
      </c>
      <c r="S120">
        <v>38</v>
      </c>
    </row>
    <row r="121" spans="2:19" ht="15.75" customHeight="1" x14ac:dyDescent="0.25">
      <c r="B121" t="s">
        <v>729</v>
      </c>
      <c r="C121">
        <v>2</v>
      </c>
      <c r="D121">
        <v>1</v>
      </c>
      <c r="E121">
        <v>2</v>
      </c>
      <c r="F121">
        <v>1</v>
      </c>
      <c r="H121">
        <v>1</v>
      </c>
      <c r="J121">
        <v>1</v>
      </c>
      <c r="K121">
        <v>8</v>
      </c>
      <c r="M121" t="s">
        <v>736</v>
      </c>
      <c r="N121">
        <v>24</v>
      </c>
      <c r="P121">
        <v>6</v>
      </c>
      <c r="Q121">
        <v>1</v>
      </c>
      <c r="S121">
        <v>31</v>
      </c>
    </row>
    <row r="122" spans="2:19" ht="15.75" customHeight="1" x14ac:dyDescent="0.25">
      <c r="B122" t="s">
        <v>735</v>
      </c>
      <c r="C122">
        <v>1</v>
      </c>
      <c r="F122">
        <v>1</v>
      </c>
      <c r="H122">
        <v>1</v>
      </c>
      <c r="K122">
        <v>3</v>
      </c>
      <c r="M122" t="s">
        <v>737</v>
      </c>
      <c r="N122">
        <v>7</v>
      </c>
      <c r="O122">
        <v>1</v>
      </c>
      <c r="P122">
        <v>7</v>
      </c>
      <c r="Q122">
        <v>2</v>
      </c>
      <c r="S122">
        <v>17</v>
      </c>
    </row>
    <row r="123" spans="2:19" ht="15.75" customHeight="1" x14ac:dyDescent="0.25">
      <c r="B123" t="s">
        <v>699</v>
      </c>
      <c r="C123">
        <v>160</v>
      </c>
      <c r="D123">
        <v>143</v>
      </c>
      <c r="E123">
        <v>64</v>
      </c>
      <c r="F123">
        <v>45</v>
      </c>
      <c r="G123">
        <v>29</v>
      </c>
      <c r="H123">
        <v>29</v>
      </c>
      <c r="I123">
        <v>21</v>
      </c>
      <c r="J123">
        <v>9</v>
      </c>
      <c r="K123">
        <v>500</v>
      </c>
      <c r="M123" t="s">
        <v>738</v>
      </c>
      <c r="N123">
        <v>3</v>
      </c>
      <c r="O123">
        <v>1</v>
      </c>
      <c r="P123">
        <v>8</v>
      </c>
      <c r="Q123">
        <v>1</v>
      </c>
      <c r="R123">
        <v>1</v>
      </c>
      <c r="S123">
        <v>14</v>
      </c>
    </row>
    <row r="124" spans="2:19" ht="15.75" customHeight="1" x14ac:dyDescent="0.25">
      <c r="M124" t="s">
        <v>739</v>
      </c>
      <c r="N124">
        <v>1</v>
      </c>
      <c r="O124">
        <v>1</v>
      </c>
      <c r="P124">
        <v>4</v>
      </c>
      <c r="Q124">
        <v>2</v>
      </c>
      <c r="S124">
        <v>8</v>
      </c>
    </row>
    <row r="125" spans="2:19" ht="15.75" customHeight="1" x14ac:dyDescent="0.25">
      <c r="B125" s="47" t="s">
        <v>752</v>
      </c>
      <c r="C125" s="47"/>
      <c r="M125" t="s">
        <v>699</v>
      </c>
      <c r="N125">
        <v>368</v>
      </c>
      <c r="O125">
        <v>8</v>
      </c>
      <c r="P125">
        <v>87</v>
      </c>
      <c r="Q125">
        <v>34</v>
      </c>
      <c r="R125">
        <v>3</v>
      </c>
      <c r="S125">
        <v>500</v>
      </c>
    </row>
    <row r="126" spans="2:19" ht="15.75" customHeight="1" x14ac:dyDescent="0.25">
      <c r="B126" s="3" t="s">
        <v>704</v>
      </c>
      <c r="C126" s="3" t="s">
        <v>0</v>
      </c>
    </row>
    <row r="127" spans="2:19" ht="15.75" customHeight="1" x14ac:dyDescent="0.25">
      <c r="B127" s="3" t="s">
        <v>731</v>
      </c>
      <c r="C127" t="s">
        <v>5</v>
      </c>
      <c r="D127" t="s">
        <v>724</v>
      </c>
      <c r="E127" t="s">
        <v>725</v>
      </c>
      <c r="F127" t="s">
        <v>2</v>
      </c>
      <c r="G127" t="s">
        <v>6</v>
      </c>
      <c r="H127" t="s">
        <v>1</v>
      </c>
      <c r="I127" t="s">
        <v>4</v>
      </c>
      <c r="J127" t="s">
        <v>3</v>
      </c>
      <c r="K127" t="s">
        <v>699</v>
      </c>
    </row>
    <row r="128" spans="2:19" ht="15.75" customHeight="1" x14ac:dyDescent="0.25">
      <c r="B128" t="s">
        <v>732</v>
      </c>
      <c r="C128">
        <v>95</v>
      </c>
      <c r="D128">
        <v>109</v>
      </c>
      <c r="E128">
        <v>45</v>
      </c>
      <c r="F128">
        <v>30</v>
      </c>
      <c r="G128">
        <v>21</v>
      </c>
      <c r="H128">
        <v>19</v>
      </c>
      <c r="I128">
        <v>12</v>
      </c>
      <c r="J128">
        <v>6</v>
      </c>
      <c r="K128">
        <v>337</v>
      </c>
    </row>
    <row r="129" spans="2:18" ht="15.75" customHeight="1" x14ac:dyDescent="0.25">
      <c r="B129" t="s">
        <v>741</v>
      </c>
      <c r="C129">
        <v>21</v>
      </c>
      <c r="D129">
        <v>14</v>
      </c>
      <c r="E129">
        <v>7</v>
      </c>
      <c r="F129">
        <v>4</v>
      </c>
      <c r="G129">
        <v>3</v>
      </c>
      <c r="H129">
        <v>2</v>
      </c>
      <c r="I129">
        <v>2</v>
      </c>
      <c r="J129">
        <v>2</v>
      </c>
      <c r="K129">
        <v>55</v>
      </c>
      <c r="N129" t="s">
        <v>731</v>
      </c>
      <c r="O129" t="s">
        <v>15</v>
      </c>
      <c r="P129" t="s">
        <v>23</v>
      </c>
      <c r="Q129" t="s">
        <v>13</v>
      </c>
      <c r="R129" t="s">
        <v>699</v>
      </c>
    </row>
    <row r="130" spans="2:18" ht="15.75" customHeight="1" x14ac:dyDescent="0.25">
      <c r="B130" t="s">
        <v>742</v>
      </c>
      <c r="C130">
        <v>15</v>
      </c>
      <c r="D130">
        <v>7</v>
      </c>
      <c r="E130">
        <v>5</v>
      </c>
      <c r="F130">
        <v>5</v>
      </c>
      <c r="H130">
        <v>2</v>
      </c>
      <c r="I130">
        <v>3</v>
      </c>
      <c r="J130">
        <v>1</v>
      </c>
      <c r="K130">
        <v>38</v>
      </c>
      <c r="N130" t="s">
        <v>732</v>
      </c>
      <c r="O130">
        <v>113</v>
      </c>
      <c r="P130">
        <v>26</v>
      </c>
      <c r="Q130">
        <v>198</v>
      </c>
      <c r="R130">
        <v>337</v>
      </c>
    </row>
    <row r="131" spans="2:18" ht="15.75" customHeight="1" x14ac:dyDescent="0.25">
      <c r="B131" t="s">
        <v>736</v>
      </c>
      <c r="C131">
        <v>14</v>
      </c>
      <c r="D131">
        <v>8</v>
      </c>
      <c r="E131">
        <v>3</v>
      </c>
      <c r="F131">
        <v>1</v>
      </c>
      <c r="G131">
        <v>2</v>
      </c>
      <c r="H131">
        <v>2</v>
      </c>
      <c r="I131">
        <v>1</v>
      </c>
      <c r="K131">
        <v>31</v>
      </c>
      <c r="N131" t="s">
        <v>742</v>
      </c>
      <c r="O131">
        <v>8</v>
      </c>
      <c r="P131">
        <v>28</v>
      </c>
      <c r="Q131">
        <v>2</v>
      </c>
      <c r="R131">
        <v>38</v>
      </c>
    </row>
    <row r="132" spans="2:18" ht="15.75" customHeight="1" x14ac:dyDescent="0.25">
      <c r="B132" t="s">
        <v>737</v>
      </c>
      <c r="C132">
        <v>8</v>
      </c>
      <c r="D132">
        <v>3</v>
      </c>
      <c r="E132">
        <v>1</v>
      </c>
      <c r="F132">
        <v>2</v>
      </c>
      <c r="G132">
        <v>2</v>
      </c>
      <c r="I132">
        <v>1</v>
      </c>
      <c r="K132">
        <v>17</v>
      </c>
      <c r="N132" t="s">
        <v>736</v>
      </c>
      <c r="O132">
        <v>5</v>
      </c>
      <c r="P132">
        <v>3</v>
      </c>
      <c r="Q132">
        <v>23</v>
      </c>
      <c r="R132">
        <v>31</v>
      </c>
    </row>
    <row r="133" spans="2:18" ht="15.75" customHeight="1" x14ac:dyDescent="0.25">
      <c r="B133" t="s">
        <v>738</v>
      </c>
      <c r="C133">
        <v>5</v>
      </c>
      <c r="D133">
        <v>1</v>
      </c>
      <c r="E133">
        <v>2</v>
      </c>
      <c r="F133">
        <v>3</v>
      </c>
      <c r="H133">
        <v>2</v>
      </c>
      <c r="I133">
        <v>1</v>
      </c>
      <c r="K133">
        <v>14</v>
      </c>
      <c r="N133" t="s">
        <v>737</v>
      </c>
      <c r="O133">
        <v>7</v>
      </c>
      <c r="P133">
        <v>5</v>
      </c>
      <c r="Q133">
        <v>5</v>
      </c>
      <c r="R133">
        <v>17</v>
      </c>
    </row>
    <row r="134" spans="2:18" ht="15.75" customHeight="1" x14ac:dyDescent="0.25">
      <c r="B134" t="s">
        <v>739</v>
      </c>
      <c r="C134">
        <v>2</v>
      </c>
      <c r="D134">
        <v>1</v>
      </c>
      <c r="E134">
        <v>1</v>
      </c>
      <c r="G134">
        <v>1</v>
      </c>
      <c r="H134">
        <v>2</v>
      </c>
      <c r="I134">
        <v>1</v>
      </c>
      <c r="K134">
        <v>8</v>
      </c>
      <c r="N134" t="s">
        <v>738</v>
      </c>
      <c r="O134">
        <v>6</v>
      </c>
      <c r="P134">
        <v>5</v>
      </c>
      <c r="Q134">
        <v>3</v>
      </c>
      <c r="R134">
        <v>14</v>
      </c>
    </row>
    <row r="135" spans="2:18" ht="15.75" customHeight="1" x14ac:dyDescent="0.25">
      <c r="B135" t="s">
        <v>699</v>
      </c>
      <c r="C135">
        <v>160</v>
      </c>
      <c r="D135">
        <v>143</v>
      </c>
      <c r="E135">
        <v>64</v>
      </c>
      <c r="F135">
        <v>45</v>
      </c>
      <c r="G135">
        <v>29</v>
      </c>
      <c r="H135">
        <v>29</v>
      </c>
      <c r="I135">
        <v>21</v>
      </c>
      <c r="J135">
        <v>9</v>
      </c>
      <c r="K135">
        <v>500</v>
      </c>
      <c r="N135" t="s">
        <v>739</v>
      </c>
      <c r="O135">
        <v>2</v>
      </c>
      <c r="P135">
        <v>4</v>
      </c>
      <c r="Q135">
        <v>2</v>
      </c>
      <c r="R135">
        <v>8</v>
      </c>
    </row>
    <row r="136" spans="2:18" ht="15.75" customHeight="1" x14ac:dyDescent="0.25">
      <c r="N136" t="s">
        <v>741</v>
      </c>
      <c r="O136">
        <v>17</v>
      </c>
      <c r="P136">
        <v>10</v>
      </c>
      <c r="Q136">
        <v>28</v>
      </c>
      <c r="R136">
        <v>55</v>
      </c>
    </row>
    <row r="137" spans="2:18" ht="15.75" customHeight="1" x14ac:dyDescent="0.25">
      <c r="B137" s="47" t="s">
        <v>754</v>
      </c>
      <c r="C137" s="47"/>
      <c r="H137" s="12" t="s">
        <v>755</v>
      </c>
      <c r="N137" s="10" t="s">
        <v>699</v>
      </c>
      <c r="O137" s="10">
        <v>158</v>
      </c>
      <c r="P137" s="10">
        <v>81</v>
      </c>
      <c r="Q137" s="10">
        <v>261</v>
      </c>
      <c r="R137" s="10">
        <v>500</v>
      </c>
    </row>
    <row r="138" spans="2:18" ht="15.75" customHeight="1" x14ac:dyDescent="0.25">
      <c r="B138" s="3" t="s">
        <v>777</v>
      </c>
      <c r="C138" s="3" t="s">
        <v>10</v>
      </c>
      <c r="H138" s="3" t="s">
        <v>704</v>
      </c>
      <c r="I138" s="3" t="s">
        <v>10</v>
      </c>
      <c r="N138" t="s">
        <v>777</v>
      </c>
    </row>
    <row r="139" spans="2:18" ht="15.75" customHeight="1" x14ac:dyDescent="0.25">
      <c r="B139" s="3" t="s">
        <v>730</v>
      </c>
      <c r="C139" t="s">
        <v>15</v>
      </c>
      <c r="D139" t="s">
        <v>23</v>
      </c>
      <c r="E139" t="s">
        <v>13</v>
      </c>
      <c r="F139" t="s">
        <v>699</v>
      </c>
      <c r="H139" s="3" t="s">
        <v>731</v>
      </c>
      <c r="I139" t="s">
        <v>15</v>
      </c>
      <c r="J139" t="s">
        <v>23</v>
      </c>
      <c r="K139" t="s">
        <v>13</v>
      </c>
      <c r="L139" t="s">
        <v>699</v>
      </c>
      <c r="N139" t="s">
        <v>730</v>
      </c>
      <c r="O139" t="s">
        <v>15</v>
      </c>
      <c r="P139" t="s">
        <v>23</v>
      </c>
      <c r="Q139" t="s">
        <v>13</v>
      </c>
      <c r="R139" t="s">
        <v>699</v>
      </c>
    </row>
    <row r="140" spans="2:18" ht="15.75" customHeight="1" x14ac:dyDescent="0.25">
      <c r="B140" t="s">
        <v>728</v>
      </c>
      <c r="C140">
        <v>109</v>
      </c>
      <c r="D140">
        <v>46</v>
      </c>
      <c r="E140">
        <v>213</v>
      </c>
      <c r="F140">
        <v>368</v>
      </c>
      <c r="H140" t="s">
        <v>732</v>
      </c>
      <c r="I140">
        <v>113</v>
      </c>
      <c r="J140">
        <v>26</v>
      </c>
      <c r="K140">
        <v>198</v>
      </c>
      <c r="L140">
        <v>337</v>
      </c>
      <c r="N140" t="s">
        <v>728</v>
      </c>
      <c r="O140">
        <v>109</v>
      </c>
      <c r="P140">
        <v>46</v>
      </c>
      <c r="Q140">
        <v>213</v>
      </c>
      <c r="R140">
        <v>368</v>
      </c>
    </row>
    <row r="141" spans="2:18" ht="15.75" customHeight="1" x14ac:dyDescent="0.25">
      <c r="B141" t="s">
        <v>733</v>
      </c>
      <c r="C141">
        <v>36</v>
      </c>
      <c r="D141">
        <v>14</v>
      </c>
      <c r="E141">
        <v>37</v>
      </c>
      <c r="F141">
        <v>87</v>
      </c>
      <c r="H141" t="s">
        <v>742</v>
      </c>
      <c r="I141">
        <v>8</v>
      </c>
      <c r="J141">
        <v>28</v>
      </c>
      <c r="K141">
        <v>2</v>
      </c>
      <c r="L141">
        <v>38</v>
      </c>
      <c r="N141" t="s">
        <v>733</v>
      </c>
      <c r="O141">
        <v>36</v>
      </c>
      <c r="P141">
        <v>14</v>
      </c>
      <c r="Q141">
        <v>37</v>
      </c>
      <c r="R141">
        <v>87</v>
      </c>
    </row>
    <row r="142" spans="2:18" ht="15.75" customHeight="1" x14ac:dyDescent="0.25">
      <c r="B142" t="s">
        <v>734</v>
      </c>
      <c r="C142">
        <v>9</v>
      </c>
      <c r="D142">
        <v>18</v>
      </c>
      <c r="E142">
        <v>7</v>
      </c>
      <c r="F142">
        <v>34</v>
      </c>
      <c r="H142" t="s">
        <v>736</v>
      </c>
      <c r="I142">
        <v>5</v>
      </c>
      <c r="J142">
        <v>3</v>
      </c>
      <c r="K142">
        <v>23</v>
      </c>
      <c r="L142">
        <v>31</v>
      </c>
      <c r="N142" t="s">
        <v>734</v>
      </c>
      <c r="O142">
        <v>9</v>
      </c>
      <c r="P142">
        <v>18</v>
      </c>
      <c r="Q142">
        <v>7</v>
      </c>
      <c r="R142">
        <v>34</v>
      </c>
    </row>
    <row r="143" spans="2:18" ht="15.75" customHeight="1" x14ac:dyDescent="0.25">
      <c r="B143" t="s">
        <v>729</v>
      </c>
      <c r="C143">
        <v>3</v>
      </c>
      <c r="D143">
        <v>3</v>
      </c>
      <c r="E143">
        <v>2</v>
      </c>
      <c r="F143">
        <v>8</v>
      </c>
      <c r="H143" t="s">
        <v>737</v>
      </c>
      <c r="I143">
        <v>7</v>
      </c>
      <c r="J143">
        <v>5</v>
      </c>
      <c r="K143">
        <v>5</v>
      </c>
      <c r="L143">
        <v>17</v>
      </c>
      <c r="N143" t="s">
        <v>729</v>
      </c>
      <c r="O143">
        <v>3</v>
      </c>
      <c r="P143">
        <v>3</v>
      </c>
      <c r="Q143">
        <v>2</v>
      </c>
      <c r="R143">
        <v>8</v>
      </c>
    </row>
    <row r="144" spans="2:18" ht="15.75" customHeight="1" x14ac:dyDescent="0.25">
      <c r="B144" t="s">
        <v>735</v>
      </c>
      <c r="C144">
        <v>1</v>
      </c>
      <c r="E144">
        <v>2</v>
      </c>
      <c r="F144">
        <v>3</v>
      </c>
      <c r="H144" t="s">
        <v>738</v>
      </c>
      <c r="I144">
        <v>6</v>
      </c>
      <c r="J144">
        <v>5</v>
      </c>
      <c r="K144">
        <v>3</v>
      </c>
      <c r="L144">
        <v>14</v>
      </c>
      <c r="N144" t="s">
        <v>735</v>
      </c>
      <c r="O144">
        <v>1</v>
      </c>
      <c r="Q144">
        <v>2</v>
      </c>
      <c r="R144">
        <v>3</v>
      </c>
    </row>
    <row r="145" spans="2:18" ht="15.75" customHeight="1" x14ac:dyDescent="0.25">
      <c r="B145" t="s">
        <v>699</v>
      </c>
      <c r="C145">
        <v>158</v>
      </c>
      <c r="D145">
        <v>81</v>
      </c>
      <c r="E145">
        <v>261</v>
      </c>
      <c r="F145">
        <v>500</v>
      </c>
      <c r="H145" t="s">
        <v>739</v>
      </c>
      <c r="I145">
        <v>2</v>
      </c>
      <c r="J145">
        <v>4</v>
      </c>
      <c r="K145">
        <v>2</v>
      </c>
      <c r="L145">
        <v>8</v>
      </c>
      <c r="N145" s="10" t="s">
        <v>699</v>
      </c>
      <c r="O145" s="10">
        <v>158</v>
      </c>
      <c r="P145" s="10">
        <v>81</v>
      </c>
      <c r="Q145" s="10">
        <v>261</v>
      </c>
      <c r="R145" s="10">
        <v>500</v>
      </c>
    </row>
    <row r="146" spans="2:18" ht="15.75" customHeight="1" x14ac:dyDescent="0.25">
      <c r="H146" t="s">
        <v>741</v>
      </c>
      <c r="I146">
        <v>17</v>
      </c>
      <c r="J146">
        <v>10</v>
      </c>
      <c r="K146">
        <v>28</v>
      </c>
      <c r="L146">
        <v>55</v>
      </c>
    </row>
    <row r="147" spans="2:18" ht="15.75" customHeight="1" x14ac:dyDescent="0.25">
      <c r="H147" t="s">
        <v>699</v>
      </c>
      <c r="I147">
        <v>158</v>
      </c>
      <c r="J147">
        <v>81</v>
      </c>
      <c r="K147">
        <v>261</v>
      </c>
      <c r="L147">
        <v>500</v>
      </c>
    </row>
    <row r="148" spans="2:18" ht="15.75" customHeight="1" x14ac:dyDescent="0.25"/>
    <row r="149" spans="2:18" ht="15.75" customHeight="1" x14ac:dyDescent="0.25"/>
    <row r="150" spans="2:18" ht="15.75" customHeight="1" x14ac:dyDescent="0.25"/>
    <row r="151" spans="2:18" ht="21" x14ac:dyDescent="0.35">
      <c r="B151" s="46" t="s">
        <v>757</v>
      </c>
      <c r="C151" s="45"/>
      <c r="D151" s="45"/>
      <c r="E151" s="45"/>
      <c r="F151" s="45"/>
      <c r="G151" s="45"/>
      <c r="H151" s="45"/>
      <c r="I151" s="45"/>
      <c r="J151" s="45"/>
      <c r="K151" s="45"/>
      <c r="L151" s="45"/>
      <c r="M151" s="45"/>
      <c r="N151" s="45"/>
      <c r="O151" s="45"/>
      <c r="P151" s="45"/>
    </row>
    <row r="154" spans="2:18" x14ac:dyDescent="0.25">
      <c r="B154" s="12" t="s">
        <v>758</v>
      </c>
      <c r="I154" s="12" t="s">
        <v>759</v>
      </c>
    </row>
    <row r="155" spans="2:18" x14ac:dyDescent="0.25">
      <c r="B155" s="3" t="s">
        <v>0</v>
      </c>
      <c r="C155" t="s">
        <v>743</v>
      </c>
      <c r="D155" t="s">
        <v>744</v>
      </c>
      <c r="E155" t="s">
        <v>745</v>
      </c>
      <c r="F155" t="s">
        <v>746</v>
      </c>
      <c r="I155" s="3" t="s">
        <v>10</v>
      </c>
      <c r="J155" t="s">
        <v>743</v>
      </c>
      <c r="K155" t="s">
        <v>744</v>
      </c>
      <c r="L155" t="s">
        <v>745</v>
      </c>
      <c r="M155" t="s">
        <v>746</v>
      </c>
    </row>
    <row r="156" spans="2:18" x14ac:dyDescent="0.25">
      <c r="B156" t="s">
        <v>1</v>
      </c>
      <c r="C156" s="5">
        <v>20300</v>
      </c>
      <c r="D156" s="5">
        <v>12200</v>
      </c>
      <c r="E156" s="5">
        <v>8100</v>
      </c>
      <c r="F156" s="20">
        <v>0.39901477832512317</v>
      </c>
      <c r="I156" s="4" t="s">
        <v>23</v>
      </c>
      <c r="J156" s="5">
        <v>37600</v>
      </c>
      <c r="K156" s="5">
        <v>24300</v>
      </c>
      <c r="L156" s="5">
        <v>13300</v>
      </c>
      <c r="M156" s="20">
        <v>0.35372340425531917</v>
      </c>
    </row>
    <row r="157" spans="2:18" x14ac:dyDescent="0.25">
      <c r="B157" t="s">
        <v>725</v>
      </c>
      <c r="C157" s="5">
        <v>38400</v>
      </c>
      <c r="D157" s="5">
        <v>25900</v>
      </c>
      <c r="E157" s="5">
        <v>12500</v>
      </c>
      <c r="F157" s="20">
        <v>0.32552083333333331</v>
      </c>
      <c r="I157" s="4" t="s">
        <v>13</v>
      </c>
      <c r="J157" s="5">
        <v>122600</v>
      </c>
      <c r="K157" s="5">
        <v>104400</v>
      </c>
      <c r="L157" s="5">
        <v>18200</v>
      </c>
      <c r="M157" s="20">
        <v>0.14845024469820556</v>
      </c>
    </row>
    <row r="158" spans="2:18" x14ac:dyDescent="0.25">
      <c r="B158" t="s">
        <v>2</v>
      </c>
      <c r="C158" s="5">
        <v>27000</v>
      </c>
      <c r="D158" s="5">
        <v>18400</v>
      </c>
      <c r="E158" s="5">
        <v>8600</v>
      </c>
      <c r="F158" s="20">
        <v>0.31851851851851853</v>
      </c>
      <c r="I158" s="4" t="s">
        <v>15</v>
      </c>
      <c r="J158" s="5">
        <v>74250</v>
      </c>
      <c r="K158" s="5">
        <v>79000</v>
      </c>
      <c r="L158" s="5">
        <v>-4750</v>
      </c>
      <c r="M158" s="20">
        <v>-6.3973063973063973E-2</v>
      </c>
    </row>
    <row r="159" spans="2:18" x14ac:dyDescent="0.25">
      <c r="B159" t="s">
        <v>6</v>
      </c>
      <c r="C159" s="5">
        <v>13050</v>
      </c>
      <c r="D159" s="5">
        <v>11700</v>
      </c>
      <c r="E159" s="5">
        <v>1350</v>
      </c>
      <c r="F159" s="20">
        <v>0.10344827586206896</v>
      </c>
      <c r="I159" s="4" t="s">
        <v>699</v>
      </c>
      <c r="J159" s="5">
        <v>234450</v>
      </c>
      <c r="K159" s="5">
        <v>207700</v>
      </c>
      <c r="L159" s="5">
        <v>26750</v>
      </c>
      <c r="M159" s="20">
        <v>0.11409682235018127</v>
      </c>
    </row>
    <row r="160" spans="2:18" x14ac:dyDescent="0.25">
      <c r="B160" t="s">
        <v>724</v>
      </c>
      <c r="C160" s="5">
        <v>64350</v>
      </c>
      <c r="D160" s="5">
        <v>60600</v>
      </c>
      <c r="E160" s="5">
        <v>3750</v>
      </c>
      <c r="F160" s="20">
        <v>5.8275058275058272E-2</v>
      </c>
    </row>
    <row r="161" spans="2:19" x14ac:dyDescent="0.25">
      <c r="B161" t="s">
        <v>5</v>
      </c>
      <c r="C161" s="5">
        <v>64000</v>
      </c>
      <c r="D161" s="5">
        <v>67500</v>
      </c>
      <c r="E161" s="5">
        <v>-3500</v>
      </c>
      <c r="F161" s="20">
        <v>-5.46875E-2</v>
      </c>
    </row>
    <row r="162" spans="2:19" x14ac:dyDescent="0.25">
      <c r="B162" t="s">
        <v>3</v>
      </c>
      <c r="C162" s="5">
        <v>3150</v>
      </c>
      <c r="D162" s="5">
        <v>3400</v>
      </c>
      <c r="E162" s="5">
        <v>-250</v>
      </c>
      <c r="F162" s="20">
        <v>-7.9365079365079361E-2</v>
      </c>
    </row>
    <row r="163" spans="2:19" x14ac:dyDescent="0.25">
      <c r="B163" t="s">
        <v>4</v>
      </c>
      <c r="C163" s="5">
        <v>4200</v>
      </c>
      <c r="D163" s="5">
        <v>8000</v>
      </c>
      <c r="E163" s="5">
        <v>-3800</v>
      </c>
      <c r="F163" s="20">
        <v>-0.90476190476190477</v>
      </c>
    </row>
    <row r="164" spans="2:19" x14ac:dyDescent="0.25">
      <c r="B164" t="s">
        <v>699</v>
      </c>
      <c r="C164" s="5">
        <v>234450</v>
      </c>
      <c r="D164" s="5">
        <v>207700</v>
      </c>
      <c r="E164" s="5">
        <v>26750</v>
      </c>
      <c r="F164" s="20">
        <v>0.11409682235018127</v>
      </c>
    </row>
    <row r="165" spans="2:19" x14ac:dyDescent="0.25">
      <c r="C165" s="5"/>
      <c r="D165" s="5"/>
      <c r="E165" s="5"/>
      <c r="F165" s="20"/>
    </row>
    <row r="166" spans="2:19" x14ac:dyDescent="0.25">
      <c r="B166" s="12" t="s">
        <v>770</v>
      </c>
      <c r="C166" s="41"/>
      <c r="D166" s="5"/>
      <c r="E166" s="5"/>
      <c r="F166" s="20"/>
      <c r="I166" s="12" t="s">
        <v>760</v>
      </c>
      <c r="J166" s="12"/>
      <c r="N166" s="12" t="s">
        <v>769</v>
      </c>
      <c r="O166" s="40"/>
    </row>
    <row r="167" spans="2:19" x14ac:dyDescent="0.25">
      <c r="B167" s="3" t="s">
        <v>0</v>
      </c>
      <c r="C167" s="3" t="s">
        <v>10</v>
      </c>
      <c r="D167" t="s">
        <v>743</v>
      </c>
      <c r="E167" t="s">
        <v>744</v>
      </c>
      <c r="F167" t="s">
        <v>745</v>
      </c>
      <c r="G167" t="s">
        <v>746</v>
      </c>
      <c r="I167" s="28" t="s">
        <v>0</v>
      </c>
      <c r="J167" s="29" t="s">
        <v>10</v>
      </c>
      <c r="K167" s="29" t="s">
        <v>745</v>
      </c>
      <c r="L167" s="33" t="s">
        <v>746</v>
      </c>
      <c r="N167" t="s">
        <v>10</v>
      </c>
      <c r="O167" t="s">
        <v>0</v>
      </c>
      <c r="P167" s="15" t="s">
        <v>743</v>
      </c>
      <c r="Q167" s="15" t="s">
        <v>744</v>
      </c>
      <c r="R167" t="s">
        <v>745</v>
      </c>
      <c r="S167" t="s">
        <v>746</v>
      </c>
    </row>
    <row r="168" spans="2:19" x14ac:dyDescent="0.25">
      <c r="B168" t="s">
        <v>1</v>
      </c>
      <c r="C168" t="s">
        <v>23</v>
      </c>
      <c r="D168">
        <v>2800</v>
      </c>
      <c r="E168" s="5">
        <v>1200</v>
      </c>
      <c r="F168">
        <v>1600</v>
      </c>
      <c r="G168" s="20">
        <v>0.5714285714285714</v>
      </c>
      <c r="I168" s="30" t="s">
        <v>1</v>
      </c>
      <c r="J168" s="31" t="s">
        <v>23</v>
      </c>
      <c r="K168" s="24">
        <v>1600</v>
      </c>
      <c r="L168" s="25">
        <v>0.5714285714285714</v>
      </c>
      <c r="N168" t="s">
        <v>23</v>
      </c>
      <c r="O168" t="s">
        <v>1</v>
      </c>
      <c r="P168" s="15">
        <v>2800</v>
      </c>
      <c r="Q168" s="15">
        <v>1200</v>
      </c>
      <c r="R168" s="15">
        <v>1600</v>
      </c>
      <c r="S168" s="9">
        <v>0.5714285714285714</v>
      </c>
    </row>
    <row r="169" spans="2:19" x14ac:dyDescent="0.25">
      <c r="C169" t="s">
        <v>13</v>
      </c>
      <c r="D169">
        <v>10500</v>
      </c>
      <c r="E169" s="5">
        <v>6000</v>
      </c>
      <c r="F169">
        <v>4500</v>
      </c>
      <c r="G169" s="20">
        <v>0.42857142857142855</v>
      </c>
      <c r="I169" s="30"/>
      <c r="J169" s="31" t="s">
        <v>13</v>
      </c>
      <c r="K169" s="24">
        <v>4500</v>
      </c>
      <c r="L169" s="25">
        <v>0.42857142857142855</v>
      </c>
      <c r="O169" t="s">
        <v>2</v>
      </c>
      <c r="P169" s="15">
        <v>6000</v>
      </c>
      <c r="Q169" s="15">
        <v>3000</v>
      </c>
      <c r="R169" s="15">
        <v>3000</v>
      </c>
      <c r="S169" s="9">
        <v>0.5</v>
      </c>
    </row>
    <row r="170" spans="2:19" x14ac:dyDescent="0.25">
      <c r="C170" t="s">
        <v>15</v>
      </c>
      <c r="D170">
        <v>7000</v>
      </c>
      <c r="E170" s="5">
        <v>5000</v>
      </c>
      <c r="F170">
        <v>2000</v>
      </c>
      <c r="G170" s="20">
        <v>0.2857142857142857</v>
      </c>
      <c r="I170" s="30"/>
      <c r="J170" s="31" t="s">
        <v>15</v>
      </c>
      <c r="K170" s="24">
        <v>2000</v>
      </c>
      <c r="L170" s="25">
        <v>0.2857142857142857</v>
      </c>
      <c r="O170" t="s">
        <v>725</v>
      </c>
      <c r="P170" s="15">
        <v>8400</v>
      </c>
      <c r="Q170" s="15">
        <v>4200</v>
      </c>
      <c r="R170" s="15">
        <v>4200</v>
      </c>
      <c r="S170" s="9">
        <v>0.5</v>
      </c>
    </row>
    <row r="171" spans="2:19" x14ac:dyDescent="0.25">
      <c r="B171" t="s">
        <v>725</v>
      </c>
      <c r="C171" t="s">
        <v>23</v>
      </c>
      <c r="D171">
        <v>8400</v>
      </c>
      <c r="E171" s="5">
        <v>4200</v>
      </c>
      <c r="F171">
        <v>4200</v>
      </c>
      <c r="G171" s="20">
        <v>0.5</v>
      </c>
      <c r="I171" s="30" t="s">
        <v>725</v>
      </c>
      <c r="J171" s="31" t="s">
        <v>23</v>
      </c>
      <c r="K171" s="24">
        <v>4200</v>
      </c>
      <c r="L171" s="25">
        <v>0.5</v>
      </c>
      <c r="O171" t="s">
        <v>6</v>
      </c>
      <c r="P171" s="15">
        <v>2700</v>
      </c>
      <c r="Q171" s="15">
        <v>1800</v>
      </c>
      <c r="R171" s="15">
        <v>900</v>
      </c>
      <c r="S171" s="9">
        <v>0.33333333333333331</v>
      </c>
    </row>
    <row r="172" spans="2:19" x14ac:dyDescent="0.25">
      <c r="C172" t="s">
        <v>13</v>
      </c>
      <c r="D172">
        <v>19800</v>
      </c>
      <c r="E172" s="5">
        <v>13200</v>
      </c>
      <c r="F172">
        <v>6600</v>
      </c>
      <c r="G172" s="20">
        <v>0.33333333333333331</v>
      </c>
      <c r="I172" s="30"/>
      <c r="J172" s="31" t="s">
        <v>13</v>
      </c>
      <c r="K172" s="24">
        <v>6600</v>
      </c>
      <c r="L172" s="25">
        <v>0.33333333333333331</v>
      </c>
      <c r="O172" t="s">
        <v>724</v>
      </c>
      <c r="P172" s="15">
        <v>7200</v>
      </c>
      <c r="Q172" s="15">
        <v>4800</v>
      </c>
      <c r="R172" s="15">
        <v>2400</v>
      </c>
      <c r="S172" s="9">
        <v>0.33333333333333331</v>
      </c>
    </row>
    <row r="173" spans="2:19" x14ac:dyDescent="0.25">
      <c r="C173" t="s">
        <v>15</v>
      </c>
      <c r="D173">
        <v>10200</v>
      </c>
      <c r="E173" s="5">
        <v>8500</v>
      </c>
      <c r="F173">
        <v>1700</v>
      </c>
      <c r="G173" s="20">
        <v>0.16666666666666666</v>
      </c>
      <c r="I173" s="30"/>
      <c r="J173" s="31" t="s">
        <v>15</v>
      </c>
      <c r="K173" s="24">
        <v>1700</v>
      </c>
      <c r="L173" s="25">
        <v>0.16666666666666666</v>
      </c>
      <c r="O173" t="s">
        <v>5</v>
      </c>
      <c r="P173" s="15">
        <v>8000</v>
      </c>
      <c r="Q173" s="15">
        <v>6000</v>
      </c>
      <c r="R173" s="15">
        <v>2000</v>
      </c>
      <c r="S173" s="9">
        <v>0.25</v>
      </c>
    </row>
    <row r="174" spans="2:19" x14ac:dyDescent="0.25">
      <c r="B174" t="s">
        <v>2</v>
      </c>
      <c r="C174" t="s">
        <v>23</v>
      </c>
      <c r="D174">
        <v>6000</v>
      </c>
      <c r="E174" s="5">
        <v>3000</v>
      </c>
      <c r="F174">
        <v>3000</v>
      </c>
      <c r="G174" s="20">
        <v>0.5</v>
      </c>
      <c r="I174" s="30" t="s">
        <v>2</v>
      </c>
      <c r="J174" s="31" t="s">
        <v>23</v>
      </c>
      <c r="K174" s="24">
        <v>3000</v>
      </c>
      <c r="L174" s="25">
        <v>0.5</v>
      </c>
      <c r="O174" t="s">
        <v>3</v>
      </c>
      <c r="P174" s="15">
        <v>700</v>
      </c>
      <c r="Q174" s="15">
        <v>600</v>
      </c>
      <c r="R174" s="15">
        <v>100</v>
      </c>
      <c r="S174" s="9">
        <v>0.14285714285714285</v>
      </c>
    </row>
    <row r="175" spans="2:19" x14ac:dyDescent="0.25">
      <c r="C175" t="s">
        <v>13</v>
      </c>
      <c r="D175">
        <v>12600</v>
      </c>
      <c r="E175" s="5">
        <v>8400</v>
      </c>
      <c r="F175">
        <v>4200</v>
      </c>
      <c r="G175" s="20">
        <v>0.33333333333333331</v>
      </c>
      <c r="I175" s="30"/>
      <c r="J175" s="31" t="s">
        <v>13</v>
      </c>
      <c r="K175" s="24">
        <v>4200</v>
      </c>
      <c r="L175" s="25">
        <v>0.33333333333333331</v>
      </c>
      <c r="O175" t="s">
        <v>4</v>
      </c>
      <c r="P175" s="15">
        <v>1800</v>
      </c>
      <c r="Q175" s="15">
        <v>2700</v>
      </c>
      <c r="R175" s="15">
        <v>-900</v>
      </c>
      <c r="S175" s="9">
        <v>-0.5</v>
      </c>
    </row>
    <row r="176" spans="2:19" x14ac:dyDescent="0.25">
      <c r="C176" t="s">
        <v>15</v>
      </c>
      <c r="D176">
        <v>8400</v>
      </c>
      <c r="E176" s="5">
        <v>7000</v>
      </c>
      <c r="F176">
        <v>1400</v>
      </c>
      <c r="G176" s="20">
        <v>0.16666666666666666</v>
      </c>
      <c r="I176" s="30"/>
      <c r="J176" s="31" t="s">
        <v>15</v>
      </c>
      <c r="K176" s="24">
        <v>1400</v>
      </c>
      <c r="L176" s="25">
        <v>0.16666666666666666</v>
      </c>
      <c r="N176" t="s">
        <v>13</v>
      </c>
      <c r="O176" t="s">
        <v>1</v>
      </c>
      <c r="P176" s="15">
        <v>10500</v>
      </c>
      <c r="Q176" s="15">
        <v>6000</v>
      </c>
      <c r="R176" s="15">
        <v>4500</v>
      </c>
      <c r="S176" s="9">
        <v>0.42857142857142855</v>
      </c>
    </row>
    <row r="177" spans="2:19" x14ac:dyDescent="0.25">
      <c r="B177" t="s">
        <v>6</v>
      </c>
      <c r="C177" t="s">
        <v>23</v>
      </c>
      <c r="D177">
        <v>2700</v>
      </c>
      <c r="E177" s="5">
        <v>1800</v>
      </c>
      <c r="F177">
        <v>900</v>
      </c>
      <c r="G177" s="20">
        <v>0.33333333333333331</v>
      </c>
      <c r="I177" s="30" t="s">
        <v>6</v>
      </c>
      <c r="J177" s="31" t="s">
        <v>23</v>
      </c>
      <c r="K177" s="24">
        <v>900</v>
      </c>
      <c r="L177" s="25">
        <v>0.33333333333333331</v>
      </c>
      <c r="O177" t="s">
        <v>2</v>
      </c>
      <c r="P177" s="15">
        <v>12600</v>
      </c>
      <c r="Q177" s="15">
        <v>8400</v>
      </c>
      <c r="R177" s="15">
        <v>4200</v>
      </c>
      <c r="S177" s="9">
        <v>0.33333333333333331</v>
      </c>
    </row>
    <row r="178" spans="2:19" x14ac:dyDescent="0.25">
      <c r="C178" t="s">
        <v>13</v>
      </c>
      <c r="D178">
        <v>7200</v>
      </c>
      <c r="E178" s="5">
        <v>6400</v>
      </c>
      <c r="F178">
        <v>800</v>
      </c>
      <c r="G178" s="20">
        <v>0.1111111111111111</v>
      </c>
      <c r="I178" s="32"/>
      <c r="J178" s="31" t="s">
        <v>13</v>
      </c>
      <c r="K178" s="24">
        <v>800</v>
      </c>
      <c r="L178" s="25">
        <v>0.1111111111111111</v>
      </c>
      <c r="N178" s="10"/>
      <c r="O178" t="s">
        <v>725</v>
      </c>
      <c r="P178" s="18">
        <v>19800</v>
      </c>
      <c r="Q178" s="18">
        <v>13200</v>
      </c>
      <c r="R178" s="15">
        <v>6600</v>
      </c>
      <c r="S178" s="9">
        <v>0.33333333333333331</v>
      </c>
    </row>
    <row r="179" spans="2:19" x14ac:dyDescent="0.25">
      <c r="C179" t="s">
        <v>15</v>
      </c>
      <c r="D179">
        <v>3150</v>
      </c>
      <c r="E179" s="5">
        <v>3500</v>
      </c>
      <c r="F179">
        <v>-350</v>
      </c>
      <c r="G179" s="20">
        <v>-0.1111111111111111</v>
      </c>
      <c r="I179" s="30"/>
      <c r="J179" s="31" t="s">
        <v>15</v>
      </c>
      <c r="K179" s="24">
        <v>-350</v>
      </c>
      <c r="L179" s="25">
        <v>-0.1111111111111111</v>
      </c>
      <c r="O179" t="s">
        <v>6</v>
      </c>
      <c r="P179" s="15">
        <v>7200</v>
      </c>
      <c r="Q179" s="15">
        <v>6400</v>
      </c>
      <c r="R179" s="15">
        <v>800</v>
      </c>
      <c r="S179" s="9">
        <v>0.1111111111111111</v>
      </c>
    </row>
    <row r="180" spans="2:19" x14ac:dyDescent="0.25">
      <c r="B180" t="s">
        <v>724</v>
      </c>
      <c r="C180" t="s">
        <v>23</v>
      </c>
      <c r="D180">
        <v>7200</v>
      </c>
      <c r="E180" s="5">
        <v>4800</v>
      </c>
      <c r="F180">
        <v>2400</v>
      </c>
      <c r="G180" s="20">
        <v>0.33333333333333331</v>
      </c>
      <c r="I180" s="30" t="s">
        <v>724</v>
      </c>
      <c r="J180" s="31" t="s">
        <v>23</v>
      </c>
      <c r="K180" s="24">
        <v>2400</v>
      </c>
      <c r="L180" s="25">
        <v>0.33333333333333331</v>
      </c>
      <c r="O180" t="s">
        <v>724</v>
      </c>
      <c r="P180" s="15">
        <v>34650</v>
      </c>
      <c r="Q180" s="15">
        <v>30800</v>
      </c>
      <c r="R180" s="15">
        <v>3850</v>
      </c>
      <c r="S180" s="9">
        <v>0.1111111111111111</v>
      </c>
    </row>
    <row r="181" spans="2:19" x14ac:dyDescent="0.25">
      <c r="C181" t="s">
        <v>13</v>
      </c>
      <c r="D181">
        <v>34650</v>
      </c>
      <c r="E181" s="5">
        <v>30800</v>
      </c>
      <c r="F181">
        <v>3850</v>
      </c>
      <c r="G181" s="20">
        <v>0.1111111111111111</v>
      </c>
      <c r="I181" s="30"/>
      <c r="J181" s="31" t="s">
        <v>13</v>
      </c>
      <c r="K181" s="24">
        <v>3850</v>
      </c>
      <c r="L181" s="25">
        <v>0.1111111111111111</v>
      </c>
      <c r="O181" t="s">
        <v>5</v>
      </c>
      <c r="P181" s="15">
        <v>34000</v>
      </c>
      <c r="Q181" s="15">
        <v>34000</v>
      </c>
      <c r="R181" s="15">
        <v>0</v>
      </c>
      <c r="S181" s="9">
        <v>0</v>
      </c>
    </row>
    <row r="182" spans="2:19" x14ac:dyDescent="0.25">
      <c r="C182" t="s">
        <v>15</v>
      </c>
      <c r="D182">
        <v>22500</v>
      </c>
      <c r="E182" s="5">
        <v>25000</v>
      </c>
      <c r="F182">
        <v>-2500</v>
      </c>
      <c r="G182" s="20">
        <v>-0.1111111111111111</v>
      </c>
      <c r="I182" s="30"/>
      <c r="J182" s="31" t="s">
        <v>15</v>
      </c>
      <c r="K182" s="24">
        <v>-2500</v>
      </c>
      <c r="L182" s="25">
        <v>-0.1111111111111111</v>
      </c>
      <c r="O182" t="s">
        <v>3</v>
      </c>
      <c r="P182" s="15">
        <v>2450</v>
      </c>
      <c r="Q182" s="15">
        <v>2800</v>
      </c>
      <c r="R182" s="15">
        <v>-350</v>
      </c>
      <c r="S182" s="9">
        <v>-0.14285714285714285</v>
      </c>
    </row>
    <row r="183" spans="2:19" x14ac:dyDescent="0.25">
      <c r="B183" t="s">
        <v>5</v>
      </c>
      <c r="C183" t="s">
        <v>23</v>
      </c>
      <c r="D183">
        <v>8000</v>
      </c>
      <c r="E183" s="5">
        <v>6000</v>
      </c>
      <c r="F183">
        <v>2000</v>
      </c>
      <c r="G183" s="20">
        <v>0.25</v>
      </c>
      <c r="I183" s="30" t="s">
        <v>5</v>
      </c>
      <c r="J183" s="31" t="s">
        <v>23</v>
      </c>
      <c r="K183" s="24">
        <v>2000</v>
      </c>
      <c r="L183" s="25">
        <v>0.25</v>
      </c>
      <c r="O183" t="s">
        <v>4</v>
      </c>
      <c r="P183" s="15">
        <v>1400</v>
      </c>
      <c r="Q183" s="15">
        <v>2800</v>
      </c>
      <c r="R183" s="15">
        <v>-1400</v>
      </c>
      <c r="S183" s="9">
        <v>-1</v>
      </c>
    </row>
    <row r="184" spans="2:19" x14ac:dyDescent="0.25">
      <c r="C184" t="s">
        <v>13</v>
      </c>
      <c r="D184">
        <v>34000</v>
      </c>
      <c r="E184" s="5">
        <v>34000</v>
      </c>
      <c r="F184">
        <v>0</v>
      </c>
      <c r="G184" s="20">
        <v>0</v>
      </c>
      <c r="I184" s="30"/>
      <c r="J184" s="31" t="s">
        <v>13</v>
      </c>
      <c r="K184" s="24">
        <v>0</v>
      </c>
      <c r="L184" s="25">
        <v>0</v>
      </c>
      <c r="N184" t="s">
        <v>15</v>
      </c>
      <c r="O184" t="s">
        <v>1</v>
      </c>
      <c r="P184" s="15">
        <v>7000</v>
      </c>
      <c r="Q184" s="15">
        <v>5000</v>
      </c>
      <c r="R184" s="15">
        <v>2000</v>
      </c>
      <c r="S184" s="9">
        <v>0.2857142857142857</v>
      </c>
    </row>
    <row r="185" spans="2:19" x14ac:dyDescent="0.25">
      <c r="C185" t="s">
        <v>15</v>
      </c>
      <c r="D185">
        <v>22000</v>
      </c>
      <c r="E185" s="5">
        <v>27500</v>
      </c>
      <c r="F185">
        <v>-5500</v>
      </c>
      <c r="G185" s="20">
        <v>-0.25</v>
      </c>
      <c r="I185" s="30"/>
      <c r="J185" s="31" t="s">
        <v>15</v>
      </c>
      <c r="K185" s="24">
        <v>-5500</v>
      </c>
      <c r="L185" s="25">
        <v>-0.25</v>
      </c>
      <c r="O185" t="s">
        <v>2</v>
      </c>
      <c r="P185" s="15">
        <v>8400</v>
      </c>
      <c r="Q185" s="15">
        <v>7000</v>
      </c>
      <c r="R185" s="15">
        <v>1400</v>
      </c>
      <c r="S185" s="9">
        <v>0.16666666666666666</v>
      </c>
    </row>
    <row r="186" spans="2:19" x14ac:dyDescent="0.25">
      <c r="B186" t="s">
        <v>3</v>
      </c>
      <c r="C186" t="s">
        <v>23</v>
      </c>
      <c r="D186">
        <v>700</v>
      </c>
      <c r="E186" s="5">
        <v>600</v>
      </c>
      <c r="F186">
        <v>100</v>
      </c>
      <c r="G186" s="20">
        <v>0.14285714285714285</v>
      </c>
      <c r="I186" s="30" t="s">
        <v>3</v>
      </c>
      <c r="J186" s="31" t="s">
        <v>23</v>
      </c>
      <c r="K186" s="24">
        <v>100</v>
      </c>
      <c r="L186" s="25">
        <v>0.14285714285714285</v>
      </c>
      <c r="O186" t="s">
        <v>725</v>
      </c>
      <c r="P186" s="15">
        <v>10200</v>
      </c>
      <c r="Q186" s="15">
        <v>8500</v>
      </c>
      <c r="R186" s="15">
        <v>1700</v>
      </c>
      <c r="S186" s="9">
        <v>0.16666666666666666</v>
      </c>
    </row>
    <row r="187" spans="2:19" x14ac:dyDescent="0.25">
      <c r="C187" t="s">
        <v>13</v>
      </c>
      <c r="D187">
        <v>2450</v>
      </c>
      <c r="E187" s="5">
        <v>2800</v>
      </c>
      <c r="F187">
        <v>-350</v>
      </c>
      <c r="G187" s="20">
        <v>-0.14285714285714285</v>
      </c>
      <c r="I187" s="30"/>
      <c r="J187" s="31" t="s">
        <v>13</v>
      </c>
      <c r="K187" s="24">
        <v>-350</v>
      </c>
      <c r="L187" s="25">
        <v>-0.14285714285714285</v>
      </c>
      <c r="O187" t="s">
        <v>724</v>
      </c>
      <c r="P187" s="15">
        <v>22500</v>
      </c>
      <c r="Q187" s="15">
        <v>25000</v>
      </c>
      <c r="R187" s="15">
        <v>-2500</v>
      </c>
      <c r="S187" s="9">
        <v>-0.1111111111111111</v>
      </c>
    </row>
    <row r="188" spans="2:19" x14ac:dyDescent="0.25">
      <c r="B188" t="s">
        <v>4</v>
      </c>
      <c r="C188" t="s">
        <v>23</v>
      </c>
      <c r="D188">
        <v>1800</v>
      </c>
      <c r="E188" s="5">
        <v>2700</v>
      </c>
      <c r="F188">
        <v>-900</v>
      </c>
      <c r="G188" s="20">
        <v>-0.5</v>
      </c>
      <c r="I188" s="30" t="s">
        <v>4</v>
      </c>
      <c r="J188" s="31" t="s">
        <v>23</v>
      </c>
      <c r="K188" s="24">
        <v>-900</v>
      </c>
      <c r="L188" s="25">
        <v>-0.5</v>
      </c>
      <c r="O188" t="s">
        <v>6</v>
      </c>
      <c r="P188" s="15">
        <v>3150</v>
      </c>
      <c r="Q188" s="15">
        <v>3500</v>
      </c>
      <c r="R188" s="15">
        <v>-350</v>
      </c>
      <c r="S188" s="9">
        <v>-0.1111111111111111</v>
      </c>
    </row>
    <row r="189" spans="2:19" x14ac:dyDescent="0.25">
      <c r="C189" t="s">
        <v>13</v>
      </c>
      <c r="D189">
        <v>1400</v>
      </c>
      <c r="E189" s="5">
        <v>2800</v>
      </c>
      <c r="F189">
        <v>-1400</v>
      </c>
      <c r="G189" s="20">
        <v>-1</v>
      </c>
      <c r="I189" s="30"/>
      <c r="J189" s="31" t="s">
        <v>13</v>
      </c>
      <c r="K189" s="24">
        <v>-1400</v>
      </c>
      <c r="L189" s="25">
        <v>-1</v>
      </c>
      <c r="O189" t="s">
        <v>5</v>
      </c>
      <c r="P189" s="15">
        <v>22000</v>
      </c>
      <c r="Q189" s="15">
        <v>27500</v>
      </c>
      <c r="R189" s="15">
        <v>-5500</v>
      </c>
      <c r="S189" s="9">
        <v>-0.25</v>
      </c>
    </row>
    <row r="190" spans="2:19" x14ac:dyDescent="0.25">
      <c r="C190" t="s">
        <v>15</v>
      </c>
      <c r="D190">
        <v>1000</v>
      </c>
      <c r="E190" s="5">
        <v>2500</v>
      </c>
      <c r="F190">
        <v>-1500</v>
      </c>
      <c r="G190" s="20">
        <v>-1.5</v>
      </c>
      <c r="I190" s="30"/>
      <c r="J190" s="31" t="s">
        <v>15</v>
      </c>
      <c r="K190" s="24">
        <v>-1500</v>
      </c>
      <c r="L190" s="25">
        <v>-1.5</v>
      </c>
      <c r="O190" t="s">
        <v>4</v>
      </c>
      <c r="P190" s="15">
        <v>1000</v>
      </c>
      <c r="Q190" s="15">
        <v>2500</v>
      </c>
      <c r="R190" s="15">
        <v>-1500</v>
      </c>
      <c r="S190" s="9">
        <v>-1.5</v>
      </c>
    </row>
    <row r="191" spans="2:19" x14ac:dyDescent="0.25">
      <c r="B191" t="s">
        <v>699</v>
      </c>
      <c r="D191">
        <v>234450</v>
      </c>
      <c r="E191">
        <v>207700</v>
      </c>
      <c r="F191">
        <v>26750</v>
      </c>
      <c r="G191" s="20">
        <v>0.11409682235018127</v>
      </c>
      <c r="I191" s="22" t="s">
        <v>699</v>
      </c>
      <c r="J191" s="23"/>
      <c r="K191" s="26">
        <v>26750</v>
      </c>
      <c r="L191" s="27">
        <v>0.11409682235018127</v>
      </c>
      <c r="N191" s="10" t="s">
        <v>699</v>
      </c>
      <c r="O191" s="10"/>
      <c r="P191" s="16">
        <v>234450</v>
      </c>
      <c r="Q191" s="16">
        <v>207700</v>
      </c>
      <c r="R191" s="16">
        <v>26750</v>
      </c>
      <c r="S191" s="21">
        <v>0.11409682235018127</v>
      </c>
    </row>
    <row r="192" spans="2:19" x14ac:dyDescent="0.25">
      <c r="C192" s="5"/>
      <c r="D192" s="5"/>
      <c r="E192" s="5"/>
      <c r="F192" s="20"/>
    </row>
    <row r="193" spans="3:6" x14ac:dyDescent="0.25">
      <c r="C193" s="5"/>
      <c r="D193" s="5"/>
      <c r="E193" s="5"/>
      <c r="F193" s="20"/>
    </row>
    <row r="194" spans="3:6" x14ac:dyDescent="0.25">
      <c r="C194" s="5"/>
      <c r="D194" s="5"/>
      <c r="E194" s="5"/>
      <c r="F194" s="20"/>
    </row>
    <row r="195" spans="3:6" x14ac:dyDescent="0.25">
      <c r="C195" s="5"/>
      <c r="D195" s="5"/>
      <c r="E195" s="5"/>
      <c r="F195" s="20"/>
    </row>
    <row r="196" spans="3:6" x14ac:dyDescent="0.25">
      <c r="C196" s="5"/>
      <c r="D196" s="5"/>
      <c r="E196" s="5"/>
      <c r="F196" s="20"/>
    </row>
    <row r="197" spans="3:6" x14ac:dyDescent="0.25">
      <c r="C197" s="5"/>
      <c r="D197" s="5"/>
      <c r="E197" s="5"/>
      <c r="F197" s="20"/>
    </row>
    <row r="198" spans="3:6" x14ac:dyDescent="0.25">
      <c r="C198" s="5"/>
      <c r="D198" s="5"/>
      <c r="E198" s="5"/>
      <c r="F198" s="20"/>
    </row>
    <row r="224" spans="5:11" x14ac:dyDescent="0.25">
      <c r="E224" s="48" t="s">
        <v>718</v>
      </c>
      <c r="F224" s="48"/>
      <c r="G224" s="48"/>
      <c r="J224" s="48" t="s">
        <v>716</v>
      </c>
      <c r="K224" s="48"/>
    </row>
    <row r="226" spans="5:11" x14ac:dyDescent="0.25">
      <c r="E226" s="35" t="s">
        <v>0</v>
      </c>
      <c r="F226" s="35" t="s">
        <v>696</v>
      </c>
      <c r="G226" s="35" t="s">
        <v>697</v>
      </c>
      <c r="J226" s="35" t="s">
        <v>0</v>
      </c>
      <c r="K226" s="35" t="s">
        <v>717</v>
      </c>
    </row>
    <row r="227" spans="5:11" x14ac:dyDescent="0.25">
      <c r="E227" s="36" t="str">
        <f>Cover!B156</f>
        <v>Asia Pacific</v>
      </c>
      <c r="F227" s="43">
        <f>GETPIVOTDATA("Revenue ($)",Cover!$B$155,"Region",Cover!B156)</f>
        <v>20300</v>
      </c>
      <c r="G227" s="43">
        <f>GETPIVOTDATA("Cost ($)",Cover!$B$155,"Region",Cover!B156)</f>
        <v>12200</v>
      </c>
      <c r="J227" s="36" t="str">
        <f>Cover!B156</f>
        <v>Asia Pacific</v>
      </c>
      <c r="K227" s="37">
        <f>GETPIVOTDATA("Profit Margin (%)",Cover!$B$155,"Region",Cover!B156)</f>
        <v>0.39901477832512317</v>
      </c>
    </row>
    <row r="228" spans="5:11" x14ac:dyDescent="0.25">
      <c r="E228" s="36" t="str">
        <f>Cover!B157</f>
        <v>Africa &amp; MENA</v>
      </c>
      <c r="F228" s="43">
        <f>GETPIVOTDATA("Revenue ($)",Cover!$B$155,"Region",Cover!B157)</f>
        <v>38400</v>
      </c>
      <c r="G228" s="43">
        <f>GETPIVOTDATA("Cost ($)",Cover!$B$155,"Region",Cover!B157)</f>
        <v>25900</v>
      </c>
      <c r="J228" s="36" t="str">
        <f>Cover!B157</f>
        <v>Africa &amp; MENA</v>
      </c>
      <c r="K228" s="37">
        <f>GETPIVOTDATA("Profit Margin (%)",Cover!$B$155,"Region",Cover!B157)</f>
        <v>0.32552083333333331</v>
      </c>
    </row>
    <row r="229" spans="5:11" x14ac:dyDescent="0.25">
      <c r="E229" s="36" t="str">
        <f>Cover!B158</f>
        <v>Greater China</v>
      </c>
      <c r="F229" s="43">
        <f>GETPIVOTDATA("Revenue ($)",Cover!$B$155,"Region",Cover!B158)</f>
        <v>27000</v>
      </c>
      <c r="G229" s="43">
        <f>GETPIVOTDATA("Cost ($)",Cover!$B$155,"Region",Cover!B158)</f>
        <v>18400</v>
      </c>
      <c r="J229" s="36" t="str">
        <f>Cover!B158</f>
        <v>Greater China</v>
      </c>
      <c r="K229" s="37">
        <f>GETPIVOTDATA("Profit Margin (%)",Cover!$B$155,"Region",Cover!B158)</f>
        <v>0.31851851851851853</v>
      </c>
    </row>
    <row r="230" spans="5:11" x14ac:dyDescent="0.25">
      <c r="E230" s="36" t="str">
        <f>Cover!B159</f>
        <v>South Asia</v>
      </c>
      <c r="F230" s="43">
        <f>GETPIVOTDATA("Revenue ($)",Cover!$B$155,"Region",Cover!B159)</f>
        <v>13050</v>
      </c>
      <c r="G230" s="43">
        <f>GETPIVOTDATA("Cost ($)",Cover!$B$155,"Region",Cover!B159)</f>
        <v>11700</v>
      </c>
      <c r="J230" s="36" t="str">
        <f>Cover!B159</f>
        <v>South Asia</v>
      </c>
      <c r="K230" s="37">
        <f>GETPIVOTDATA("Profit Margin (%)",Cover!$B$155,"Region",Cover!B159)</f>
        <v>0.10344827586206896</v>
      </c>
    </row>
    <row r="231" spans="5:11" x14ac:dyDescent="0.25">
      <c r="E231" s="36" t="str">
        <f>Cover!B160</f>
        <v>Europe &amp; Eurasia</v>
      </c>
      <c r="F231" s="43">
        <f>GETPIVOTDATA("Revenue ($)",Cover!$B$155,"Region",Cover!B160)</f>
        <v>64350</v>
      </c>
      <c r="G231" s="43">
        <f>GETPIVOTDATA("Cost ($)",Cover!$B$155,"Region",Cover!B160)</f>
        <v>60600</v>
      </c>
      <c r="J231" s="36" t="str">
        <f>Cover!B160</f>
        <v>Europe &amp; Eurasia</v>
      </c>
      <c r="K231" s="37">
        <f>GETPIVOTDATA("Profit Margin (%)",Cover!$B$155,"Region",Cover!B160)</f>
        <v>5.8275058275058272E-2</v>
      </c>
    </row>
    <row r="232" spans="5:11" x14ac:dyDescent="0.25">
      <c r="E232" s="36" t="str">
        <f>Cover!B161</f>
        <v>North America</v>
      </c>
      <c r="F232" s="43">
        <f>GETPIVOTDATA("Revenue ($)",Cover!$B$155,"Region",Cover!B161)</f>
        <v>64000</v>
      </c>
      <c r="G232" s="43">
        <f>GETPIVOTDATA("Cost ($)",Cover!$B$155,"Region",Cover!B161)</f>
        <v>67500</v>
      </c>
      <c r="J232" s="36" t="str">
        <f>Cover!B161</f>
        <v>North America</v>
      </c>
      <c r="K232" s="37">
        <f>GETPIVOTDATA("Profit Margin (%)",Cover!$B$155,"Region",Cover!B161)</f>
        <v>-5.46875E-2</v>
      </c>
    </row>
    <row r="233" spans="5:11" x14ac:dyDescent="0.25">
      <c r="E233" s="36" t="str">
        <f>Cover!B162</f>
        <v>Japan</v>
      </c>
      <c r="F233" s="43">
        <f>GETPIVOTDATA("Revenue ($)",Cover!$B$155,"Region",Cover!B162)</f>
        <v>3150</v>
      </c>
      <c r="G233" s="43">
        <f>GETPIVOTDATA("Cost ($)",Cover!$B$155,"Region",Cover!B162)</f>
        <v>3400</v>
      </c>
      <c r="J233" s="36" t="str">
        <f>Cover!B162</f>
        <v>Japan</v>
      </c>
      <c r="K233" s="37">
        <f>GETPIVOTDATA("Profit Margin (%)",Cover!$B$155,"Region",Cover!B162)</f>
        <v>-7.9365079365079361E-2</v>
      </c>
    </row>
    <row r="234" spans="5:11" x14ac:dyDescent="0.25">
      <c r="E234" s="36" t="str">
        <f>Cover!B163</f>
        <v>Latin America</v>
      </c>
      <c r="F234" s="43">
        <f>GETPIVOTDATA("Revenue ($)",Cover!$B$155,"Region",Cover!B163)</f>
        <v>4200</v>
      </c>
      <c r="G234" s="43">
        <f>GETPIVOTDATA("Cost ($)",Cover!$B$155,"Region",Cover!B163)</f>
        <v>8000</v>
      </c>
      <c r="J234" s="36" t="str">
        <f>Cover!B163</f>
        <v>Latin America</v>
      </c>
      <c r="K234" s="37">
        <f>GETPIVOTDATA("Profit Margin (%)",Cover!$B$155,"Region",Cover!B163)</f>
        <v>-0.90476190476190477</v>
      </c>
    </row>
    <row r="235" spans="5:11" x14ac:dyDescent="0.25">
      <c r="E235" s="38" t="str">
        <f>Cover!B164</f>
        <v>Grand Total</v>
      </c>
      <c r="F235" s="44">
        <f>GETPIVOTDATA("Revenue ($)",Cover!$B$155)</f>
        <v>234450</v>
      </c>
      <c r="G235" s="44">
        <f>GETPIVOTDATA("Cost ($)",Cover!$B$155)</f>
        <v>207700</v>
      </c>
      <c r="J235" s="38" t="str">
        <f>Cover!B164</f>
        <v>Grand Total</v>
      </c>
      <c r="K235" s="37">
        <f>GETPIVOTDATA("Profit Margin (%)",Cover!$B$155)</f>
        <v>0.11409682235018127</v>
      </c>
    </row>
  </sheetData>
  <autoFilter ref="B21:C21" xr:uid="{4F591CA9-E36B-4B5B-BBC3-9CC5C9F94B71}"/>
  <mergeCells count="14">
    <mergeCell ref="J224:K224"/>
    <mergeCell ref="E224:G224"/>
    <mergeCell ref="B115:C115"/>
    <mergeCell ref="B125:C125"/>
    <mergeCell ref="B137:C137"/>
    <mergeCell ref="M115:N115"/>
    <mergeCell ref="B19:C19"/>
    <mergeCell ref="F87:I87"/>
    <mergeCell ref="F100:I100"/>
    <mergeCell ref="E2:I3"/>
    <mergeCell ref="E49:H49"/>
    <mergeCell ref="F57:J57"/>
    <mergeCell ref="F70:I70"/>
    <mergeCell ref="F79:I79"/>
  </mergeCells>
  <conditionalFormatting pivot="1" sqref="J21:L28">
    <cfRule type="dataBar" priority="34">
      <dataBar>
        <cfvo type="min"/>
        <cfvo type="max"/>
        <color rgb="FF63C384"/>
      </dataBar>
      <extLst>
        <ext xmlns:x14="http://schemas.microsoft.com/office/spreadsheetml/2009/9/main" uri="{B025F937-C7B1-47D3-B67F-A62EFF666E3E}">
          <x14:id>{1C140813-5193-42C7-9821-6A85C403B828}</x14:id>
        </ext>
      </extLst>
    </cfRule>
  </conditionalFormatting>
  <conditionalFormatting pivot="1" sqref="J35:J42 L35:L42">
    <cfRule type="dataBar" priority="33">
      <dataBar>
        <cfvo type="min"/>
        <cfvo type="max"/>
        <color rgb="FF638EC6"/>
      </dataBar>
      <extLst>
        <ext xmlns:x14="http://schemas.microsoft.com/office/spreadsheetml/2009/9/main" uri="{B025F937-C7B1-47D3-B67F-A62EFF666E3E}">
          <x14:id>{EEBD8804-66F5-4C4D-BC23-9299DA0F4A6B}</x14:id>
        </ext>
      </extLst>
    </cfRule>
  </conditionalFormatting>
  <conditionalFormatting pivot="1" sqref="C156:C163">
    <cfRule type="dataBar" priority="32">
      <dataBar>
        <cfvo type="min"/>
        <cfvo type="max"/>
        <color rgb="FF63C384"/>
      </dataBar>
      <extLst>
        <ext xmlns:x14="http://schemas.microsoft.com/office/spreadsheetml/2009/9/main" uri="{B025F937-C7B1-47D3-B67F-A62EFF666E3E}">
          <x14:id>{83F49555-DE63-4EF3-984C-C9F6CFFB3708}</x14:id>
        </ext>
      </extLst>
    </cfRule>
  </conditionalFormatting>
  <conditionalFormatting pivot="1" sqref="D156:D163">
    <cfRule type="dataBar" priority="31">
      <dataBar>
        <cfvo type="min"/>
        <cfvo type="max"/>
        <color rgb="FFFF555A"/>
      </dataBar>
      <extLst>
        <ext xmlns:x14="http://schemas.microsoft.com/office/spreadsheetml/2009/9/main" uri="{B025F937-C7B1-47D3-B67F-A62EFF666E3E}">
          <x14:id>{47893957-5443-4B82-8E67-9A39514E3D67}</x14:id>
        </ext>
      </extLst>
    </cfRule>
  </conditionalFormatting>
  <conditionalFormatting pivot="1" sqref="E156:E163">
    <cfRule type="dataBar" priority="29">
      <dataBar>
        <cfvo type="min"/>
        <cfvo type="max"/>
        <color rgb="FF63C384"/>
      </dataBar>
      <extLst>
        <ext xmlns:x14="http://schemas.microsoft.com/office/spreadsheetml/2009/9/main" uri="{B025F937-C7B1-47D3-B67F-A62EFF666E3E}">
          <x14:id>{0E944AD4-526A-4A42-936C-F06AA338BA19}</x14:id>
        </ext>
      </extLst>
    </cfRule>
  </conditionalFormatting>
  <conditionalFormatting pivot="1" sqref="F156:F163">
    <cfRule type="dataBar" priority="30">
      <dataBar>
        <cfvo type="min"/>
        <cfvo type="max"/>
        <color rgb="FFFFB628"/>
      </dataBar>
      <extLst>
        <ext xmlns:x14="http://schemas.microsoft.com/office/spreadsheetml/2009/9/main" uri="{B025F937-C7B1-47D3-B67F-A62EFF666E3E}">
          <x14:id>{59CC25E5-2D6E-46CD-9BA6-6CA308288185}</x14:id>
        </ext>
      </extLst>
    </cfRule>
  </conditionalFormatting>
  <conditionalFormatting pivot="1" sqref="J156:J158">
    <cfRule type="dataBar" priority="28">
      <dataBar>
        <cfvo type="min"/>
        <cfvo type="max"/>
        <color rgb="FF63C384"/>
      </dataBar>
      <extLst>
        <ext xmlns:x14="http://schemas.microsoft.com/office/spreadsheetml/2009/9/main" uri="{B025F937-C7B1-47D3-B67F-A62EFF666E3E}">
          <x14:id>{E481231F-D0DA-40E3-8ADA-5BFCF139D54B}</x14:id>
        </ext>
      </extLst>
    </cfRule>
  </conditionalFormatting>
  <conditionalFormatting pivot="1" sqref="M156:M158">
    <cfRule type="dataBar" priority="27">
      <dataBar>
        <cfvo type="min"/>
        <cfvo type="max"/>
        <color rgb="FFFFB628"/>
      </dataBar>
      <extLst>
        <ext xmlns:x14="http://schemas.microsoft.com/office/spreadsheetml/2009/9/main" uri="{B025F937-C7B1-47D3-B67F-A62EFF666E3E}">
          <x14:id>{88E7C837-FEE9-4923-AB4B-23DD8C7940A5}</x14:id>
        </ext>
      </extLst>
    </cfRule>
  </conditionalFormatting>
  <conditionalFormatting pivot="1" sqref="L156:L158">
    <cfRule type="dataBar" priority="26">
      <dataBar>
        <cfvo type="min"/>
        <cfvo type="max"/>
        <color rgb="FF63C384"/>
      </dataBar>
      <extLst>
        <ext xmlns:x14="http://schemas.microsoft.com/office/spreadsheetml/2009/9/main" uri="{B025F937-C7B1-47D3-B67F-A62EFF666E3E}">
          <x14:id>{6D9FA612-22B2-4D35-B941-ABC37B06C581}</x14:id>
        </ext>
      </extLst>
    </cfRule>
  </conditionalFormatting>
  <conditionalFormatting pivot="1" sqref="K156:K158">
    <cfRule type="dataBar" priority="25">
      <dataBar>
        <cfvo type="min"/>
        <cfvo type="max"/>
        <color rgb="FFFF555A"/>
      </dataBar>
      <extLst>
        <ext xmlns:x14="http://schemas.microsoft.com/office/spreadsheetml/2009/9/main" uri="{B025F937-C7B1-47D3-B67F-A62EFF666E3E}">
          <x14:id>{DC1CDD56-935F-4197-AC01-8797FEDAE6A6}</x14:id>
        </ext>
      </extLst>
    </cfRule>
  </conditionalFormatting>
  <conditionalFormatting pivot="1" sqref="D168:D190">
    <cfRule type="dataBar" priority="24">
      <dataBar>
        <cfvo type="min"/>
        <cfvo type="max"/>
        <color rgb="FF63C384"/>
      </dataBar>
      <extLst>
        <ext xmlns:x14="http://schemas.microsoft.com/office/spreadsheetml/2009/9/main" uri="{B025F937-C7B1-47D3-B67F-A62EFF666E3E}">
          <x14:id>{05362A59-EDD7-43C7-979B-74BF0012A883}</x14:id>
        </ext>
      </extLst>
    </cfRule>
  </conditionalFormatting>
  <conditionalFormatting pivot="1" sqref="E168:E190">
    <cfRule type="dataBar" priority="23">
      <dataBar>
        <cfvo type="min"/>
        <cfvo type="max"/>
        <color rgb="FFFF555A"/>
      </dataBar>
      <extLst>
        <ext xmlns:x14="http://schemas.microsoft.com/office/spreadsheetml/2009/9/main" uri="{B025F937-C7B1-47D3-B67F-A62EFF666E3E}">
          <x14:id>{25597586-D17C-4419-9160-F4F3475910D4}</x14:id>
        </ext>
      </extLst>
    </cfRule>
  </conditionalFormatting>
  <conditionalFormatting pivot="1" sqref="F168:F190">
    <cfRule type="dataBar" priority="22">
      <dataBar>
        <cfvo type="min"/>
        <cfvo type="max"/>
        <color rgb="FF63C384"/>
      </dataBar>
      <extLst>
        <ext xmlns:x14="http://schemas.microsoft.com/office/spreadsheetml/2009/9/main" uri="{B025F937-C7B1-47D3-B67F-A62EFF666E3E}">
          <x14:id>{F44B7F3B-2C6A-47BD-B691-3D192C2CD644}</x14:id>
        </ext>
      </extLst>
    </cfRule>
  </conditionalFormatting>
  <conditionalFormatting pivot="1" sqref="G168:G190">
    <cfRule type="dataBar" priority="21">
      <dataBar>
        <cfvo type="min"/>
        <cfvo type="max"/>
        <color rgb="FFFFB628"/>
      </dataBar>
      <extLst>
        <ext xmlns:x14="http://schemas.microsoft.com/office/spreadsheetml/2009/9/main" uri="{B025F937-C7B1-47D3-B67F-A62EFF666E3E}">
          <x14:id>{0DAA675D-9A39-4101-9B4A-6387B073C6A8}</x14:id>
        </ext>
      </extLst>
    </cfRule>
  </conditionalFormatting>
  <conditionalFormatting sqref="K168:K190">
    <cfRule type="dataBar" priority="20">
      <dataBar>
        <cfvo type="min"/>
        <cfvo type="max"/>
        <color rgb="FF63C384"/>
      </dataBar>
      <extLst>
        <ext xmlns:x14="http://schemas.microsoft.com/office/spreadsheetml/2009/9/main" uri="{B025F937-C7B1-47D3-B67F-A62EFF666E3E}">
          <x14:id>{5903D318-043D-4B2B-ABF6-8C220242BA57}</x14:id>
        </ext>
      </extLst>
    </cfRule>
  </conditionalFormatting>
  <conditionalFormatting sqref="L168:L190">
    <cfRule type="dataBar" priority="19">
      <dataBar>
        <cfvo type="min"/>
        <cfvo type="max"/>
        <color rgb="FFFFB628"/>
      </dataBar>
      <extLst>
        <ext xmlns:x14="http://schemas.microsoft.com/office/spreadsheetml/2009/9/main" uri="{B025F937-C7B1-47D3-B67F-A62EFF666E3E}">
          <x14:id>{1A168C1C-890E-4901-8A77-61151C091A67}</x14:id>
        </ext>
      </extLst>
    </cfRule>
  </conditionalFormatting>
  <conditionalFormatting pivot="1" sqref="C118:J122">
    <cfRule type="dataBar" priority="18">
      <dataBar>
        <cfvo type="min"/>
        <cfvo type="max"/>
        <color rgb="FF63C384"/>
      </dataBar>
      <extLst>
        <ext xmlns:x14="http://schemas.microsoft.com/office/spreadsheetml/2009/9/main" uri="{B025F937-C7B1-47D3-B67F-A62EFF666E3E}">
          <x14:id>{1FD06F6E-A2E3-4289-93B9-8A2E8E47107C}</x14:id>
        </ext>
      </extLst>
    </cfRule>
  </conditionalFormatting>
  <conditionalFormatting pivot="1" sqref="C128:J134">
    <cfRule type="dataBar" priority="17">
      <dataBar>
        <cfvo type="min"/>
        <cfvo type="max"/>
        <color rgb="FF63C384"/>
      </dataBar>
      <extLst>
        <ext xmlns:x14="http://schemas.microsoft.com/office/spreadsheetml/2009/9/main" uri="{B025F937-C7B1-47D3-B67F-A62EFF666E3E}">
          <x14:id>{37EA4840-DE59-49EB-8863-E7E40590B50F}</x14:id>
        </ext>
      </extLst>
    </cfRule>
  </conditionalFormatting>
  <conditionalFormatting pivot="1" sqref="C140:E144">
    <cfRule type="dataBar" priority="16">
      <dataBar>
        <cfvo type="min"/>
        <cfvo type="max"/>
        <color rgb="FF63C384"/>
      </dataBar>
      <extLst>
        <ext xmlns:x14="http://schemas.microsoft.com/office/spreadsheetml/2009/9/main" uri="{B025F937-C7B1-47D3-B67F-A62EFF666E3E}">
          <x14:id>{9E72D0E0-AFED-4D86-9E07-7B65E8D43CFC}</x14:id>
        </ext>
      </extLst>
    </cfRule>
  </conditionalFormatting>
  <conditionalFormatting pivot="1" sqref="I140:K146">
    <cfRule type="dataBar" priority="15">
      <dataBar>
        <cfvo type="min"/>
        <cfvo type="max"/>
        <color rgb="FF63C384"/>
      </dataBar>
      <extLst>
        <ext xmlns:x14="http://schemas.microsoft.com/office/spreadsheetml/2009/9/main" uri="{B025F937-C7B1-47D3-B67F-A62EFF666E3E}">
          <x14:id>{1A769C90-E3B7-41B6-9230-BE0BDE2E224A}</x14:id>
        </ext>
      </extLst>
    </cfRule>
  </conditionalFormatting>
  <conditionalFormatting pivot="1" sqref="N118:R124">
    <cfRule type="dataBar" priority="14">
      <dataBar>
        <cfvo type="min"/>
        <cfvo type="max"/>
        <color rgb="FF63C384"/>
      </dataBar>
      <extLst>
        <ext xmlns:x14="http://schemas.microsoft.com/office/spreadsheetml/2009/9/main" uri="{B025F937-C7B1-47D3-B67F-A62EFF666E3E}">
          <x14:id>{69528F82-62DC-4C8B-BC04-A1AFBD11A60D}</x14:id>
        </ext>
      </extLst>
    </cfRule>
  </conditionalFormatting>
  <conditionalFormatting sqref="P168:P190">
    <cfRule type="dataBar" priority="13">
      <dataBar>
        <cfvo type="min"/>
        <cfvo type="max"/>
        <color rgb="FF63C384"/>
      </dataBar>
      <extLst>
        <ext xmlns:x14="http://schemas.microsoft.com/office/spreadsheetml/2009/9/main" uri="{B025F937-C7B1-47D3-B67F-A62EFF666E3E}">
          <x14:id>{351F1B83-90E3-4CF6-AB00-0C33F3D06F52}</x14:id>
        </ext>
      </extLst>
    </cfRule>
  </conditionalFormatting>
  <conditionalFormatting sqref="Q168:Q190">
    <cfRule type="dataBar" priority="12">
      <dataBar>
        <cfvo type="min"/>
        <cfvo type="max"/>
        <color rgb="FFFF555A"/>
      </dataBar>
      <extLst>
        <ext xmlns:x14="http://schemas.microsoft.com/office/spreadsheetml/2009/9/main" uri="{B025F937-C7B1-47D3-B67F-A62EFF666E3E}">
          <x14:id>{252FA920-D29B-4C4D-839F-37AC5BE73CFE}</x14:id>
        </ext>
      </extLst>
    </cfRule>
  </conditionalFormatting>
  <conditionalFormatting sqref="R168:R190">
    <cfRule type="dataBar" priority="11">
      <dataBar>
        <cfvo type="min"/>
        <cfvo type="max"/>
        <color rgb="FF63C384"/>
      </dataBar>
      <extLst>
        <ext xmlns:x14="http://schemas.microsoft.com/office/spreadsheetml/2009/9/main" uri="{B025F937-C7B1-47D3-B67F-A62EFF666E3E}">
          <x14:id>{BA5279F8-A789-4840-BD54-37F9196602CC}</x14:id>
        </ext>
      </extLst>
    </cfRule>
  </conditionalFormatting>
  <conditionalFormatting sqref="S168:S190">
    <cfRule type="dataBar" priority="10">
      <dataBar>
        <cfvo type="min"/>
        <cfvo type="max"/>
        <color rgb="FFFFB628"/>
      </dataBar>
      <extLst>
        <ext xmlns:x14="http://schemas.microsoft.com/office/spreadsheetml/2009/9/main" uri="{B025F937-C7B1-47D3-B67F-A62EFF666E3E}">
          <x14:id>{A6349262-025D-41CC-95EB-E8694BE809DF}</x14:id>
        </ext>
      </extLst>
    </cfRule>
  </conditionalFormatting>
  <conditionalFormatting pivot="1" sqref="M35:M42">
    <cfRule type="dataBar" priority="9">
      <dataBar>
        <cfvo type="min"/>
        <cfvo type="max"/>
        <color rgb="FF63C384"/>
      </dataBar>
      <extLst>
        <ext xmlns:x14="http://schemas.microsoft.com/office/spreadsheetml/2009/9/main" uri="{B025F937-C7B1-47D3-B67F-A62EFF666E3E}">
          <x14:id>{C721A2A3-DFB2-4D08-A044-F461003CCCA6}</x14:id>
        </ext>
      </extLst>
    </cfRule>
  </conditionalFormatting>
  <conditionalFormatting sqref="O140:Q144">
    <cfRule type="dataBar" priority="7">
      <dataBar>
        <cfvo type="min"/>
        <cfvo type="max"/>
        <color rgb="FF63C384"/>
      </dataBar>
      <extLst>
        <ext xmlns:x14="http://schemas.microsoft.com/office/spreadsheetml/2009/9/main" uri="{B025F937-C7B1-47D3-B67F-A62EFF666E3E}">
          <x14:id>{B67816CA-25FF-4BC9-AD15-24D8933B15B1}</x14:id>
        </ext>
      </extLst>
    </cfRule>
  </conditionalFormatting>
  <conditionalFormatting sqref="O130:Q136">
    <cfRule type="dataBar" priority="6">
      <dataBar>
        <cfvo type="min"/>
        <cfvo type="max"/>
        <color rgb="FF63C384"/>
      </dataBar>
      <extLst>
        <ext xmlns:x14="http://schemas.microsoft.com/office/spreadsheetml/2009/9/main" uri="{B025F937-C7B1-47D3-B67F-A62EFF666E3E}">
          <x14:id>{5E3F1A64-7082-453F-A666-D9064CF3F2D3}</x14:id>
        </ext>
      </extLst>
    </cfRule>
  </conditionalFormatting>
  <conditionalFormatting sqref="R130:R136">
    <cfRule type="dataBar" priority="5">
      <dataBar>
        <cfvo type="min"/>
        <cfvo type="max"/>
        <color rgb="FFFFB628"/>
      </dataBar>
      <extLst>
        <ext xmlns:x14="http://schemas.microsoft.com/office/spreadsheetml/2009/9/main" uri="{B025F937-C7B1-47D3-B67F-A62EFF666E3E}">
          <x14:id>{6EC2AB03-2A8E-4EFD-8D6D-6554EA60DE04}</x14:id>
        </ext>
      </extLst>
    </cfRule>
  </conditionalFormatting>
  <conditionalFormatting sqref="R140:R144">
    <cfRule type="dataBar" priority="4">
      <dataBar>
        <cfvo type="min"/>
        <cfvo type="max"/>
        <color rgb="FFFFB628"/>
      </dataBar>
      <extLst>
        <ext xmlns:x14="http://schemas.microsoft.com/office/spreadsheetml/2009/9/main" uri="{B025F937-C7B1-47D3-B67F-A62EFF666E3E}">
          <x14:id>{C19D9FA5-E79B-44C5-82DC-050B15E73F28}</x14:id>
        </ext>
      </extLst>
    </cfRule>
  </conditionalFormatting>
  <conditionalFormatting sqref="P5:P7">
    <cfRule type="iconSet" priority="1">
      <iconSet reverse="1">
        <cfvo type="percent" val="0"/>
        <cfvo type="percent" val="33"/>
        <cfvo type="percent" val="67"/>
      </iconSet>
    </cfRule>
  </conditionalFormatting>
  <pageMargins left="0.7" right="0.7" top="0.75" bottom="0.75" header="0.3" footer="0.3"/>
  <drawing r:id="rId18"/>
  <tableParts count="5">
    <tablePart r:id="rId19"/>
    <tablePart r:id="rId20"/>
    <tablePart r:id="rId21"/>
    <tablePart r:id="rId22"/>
    <tablePart r:id="rId23"/>
  </tableParts>
  <extLst>
    <ext xmlns:x14="http://schemas.microsoft.com/office/spreadsheetml/2009/9/main" uri="{78C0D931-6437-407d-A8EE-F0AAD7539E65}">
      <x14:conditionalFormattings>
        <x14:conditionalFormatting xmlns:xm="http://schemas.microsoft.com/office/excel/2006/main" pivot="1">
          <x14:cfRule type="dataBar" id="{1C140813-5193-42C7-9821-6A85C403B828}">
            <x14:dataBar minLength="0" maxLength="100" gradient="0">
              <x14:cfvo type="autoMin"/>
              <x14:cfvo type="autoMax"/>
              <x14:negativeFillColor rgb="FFFF0000"/>
              <x14:axisColor rgb="FF000000"/>
            </x14:dataBar>
          </x14:cfRule>
          <xm:sqref>J21:L28</xm:sqref>
        </x14:conditionalFormatting>
        <x14:conditionalFormatting xmlns:xm="http://schemas.microsoft.com/office/excel/2006/main" pivot="1">
          <x14:cfRule type="dataBar" id="{EEBD8804-66F5-4C4D-BC23-9299DA0F4A6B}">
            <x14:dataBar minLength="0" maxLength="100" gradient="0">
              <x14:cfvo type="autoMin"/>
              <x14:cfvo type="autoMax"/>
              <x14:negativeFillColor rgb="FFFF0000"/>
              <x14:axisColor rgb="FF000000"/>
            </x14:dataBar>
          </x14:cfRule>
          <xm:sqref>J35:J42 L35:L42</xm:sqref>
        </x14:conditionalFormatting>
        <x14:conditionalFormatting xmlns:xm="http://schemas.microsoft.com/office/excel/2006/main" pivot="1">
          <x14:cfRule type="dataBar" id="{83F49555-DE63-4EF3-984C-C9F6CFFB3708}">
            <x14:dataBar minLength="0" maxLength="100" gradient="0">
              <x14:cfvo type="autoMin"/>
              <x14:cfvo type="autoMax"/>
              <x14:negativeFillColor rgb="FFFF0000"/>
              <x14:axisColor rgb="FF000000"/>
            </x14:dataBar>
          </x14:cfRule>
          <xm:sqref>C156:C163</xm:sqref>
        </x14:conditionalFormatting>
        <x14:conditionalFormatting xmlns:xm="http://schemas.microsoft.com/office/excel/2006/main" pivot="1">
          <x14:cfRule type="dataBar" id="{47893957-5443-4B82-8E67-9A39514E3D67}">
            <x14:dataBar minLength="0" maxLength="100" gradient="0">
              <x14:cfvo type="autoMin"/>
              <x14:cfvo type="autoMax"/>
              <x14:negativeFillColor rgb="FFFF0000"/>
              <x14:axisColor rgb="FF000000"/>
            </x14:dataBar>
          </x14:cfRule>
          <xm:sqref>D156:D163</xm:sqref>
        </x14:conditionalFormatting>
        <x14:conditionalFormatting xmlns:xm="http://schemas.microsoft.com/office/excel/2006/main" pivot="1">
          <x14:cfRule type="dataBar" id="{0E944AD4-526A-4A42-936C-F06AA338BA19}">
            <x14:dataBar minLength="0" maxLength="100" gradient="0">
              <x14:cfvo type="autoMin"/>
              <x14:cfvo type="autoMax"/>
              <x14:negativeFillColor rgb="FFFF0000"/>
              <x14:axisColor rgb="FF000000"/>
            </x14:dataBar>
          </x14:cfRule>
          <xm:sqref>E156:E163</xm:sqref>
        </x14:conditionalFormatting>
        <x14:conditionalFormatting xmlns:xm="http://schemas.microsoft.com/office/excel/2006/main" pivot="1">
          <x14:cfRule type="dataBar" id="{59CC25E5-2D6E-46CD-9BA6-6CA308288185}">
            <x14:dataBar minLength="0" maxLength="100" gradient="0">
              <x14:cfvo type="autoMin"/>
              <x14:cfvo type="autoMax"/>
              <x14:negativeFillColor rgb="FFFF0000"/>
              <x14:axisColor rgb="FF000000"/>
            </x14:dataBar>
          </x14:cfRule>
          <xm:sqref>F156:F163</xm:sqref>
        </x14:conditionalFormatting>
        <x14:conditionalFormatting xmlns:xm="http://schemas.microsoft.com/office/excel/2006/main" pivot="1">
          <x14:cfRule type="dataBar" id="{E481231F-D0DA-40E3-8ADA-5BFCF139D54B}">
            <x14:dataBar minLength="0" maxLength="100" gradient="0">
              <x14:cfvo type="autoMin"/>
              <x14:cfvo type="autoMax"/>
              <x14:negativeFillColor rgb="FFFF0000"/>
              <x14:axisColor rgb="FF000000"/>
            </x14:dataBar>
          </x14:cfRule>
          <xm:sqref>J156:J158</xm:sqref>
        </x14:conditionalFormatting>
        <x14:conditionalFormatting xmlns:xm="http://schemas.microsoft.com/office/excel/2006/main" pivot="1">
          <x14:cfRule type="dataBar" id="{88E7C837-FEE9-4923-AB4B-23DD8C7940A5}">
            <x14:dataBar minLength="0" maxLength="100" gradient="0">
              <x14:cfvo type="autoMin"/>
              <x14:cfvo type="autoMax"/>
              <x14:negativeFillColor rgb="FFFF0000"/>
              <x14:axisColor rgb="FF000000"/>
            </x14:dataBar>
          </x14:cfRule>
          <xm:sqref>M156:M158</xm:sqref>
        </x14:conditionalFormatting>
        <x14:conditionalFormatting xmlns:xm="http://schemas.microsoft.com/office/excel/2006/main" pivot="1">
          <x14:cfRule type="dataBar" id="{6D9FA612-22B2-4D35-B941-ABC37B06C581}">
            <x14:dataBar minLength="0" maxLength="100" gradient="0">
              <x14:cfvo type="autoMin"/>
              <x14:cfvo type="autoMax"/>
              <x14:negativeFillColor rgb="FFFF0000"/>
              <x14:axisColor rgb="FF000000"/>
            </x14:dataBar>
          </x14:cfRule>
          <xm:sqref>L156:L158</xm:sqref>
        </x14:conditionalFormatting>
        <x14:conditionalFormatting xmlns:xm="http://schemas.microsoft.com/office/excel/2006/main" pivot="1">
          <x14:cfRule type="dataBar" id="{DC1CDD56-935F-4197-AC01-8797FEDAE6A6}">
            <x14:dataBar minLength="0" maxLength="100" gradient="0">
              <x14:cfvo type="autoMin"/>
              <x14:cfvo type="autoMax"/>
              <x14:negativeFillColor rgb="FFFF0000"/>
              <x14:axisColor rgb="FF000000"/>
            </x14:dataBar>
          </x14:cfRule>
          <xm:sqref>K156:K158</xm:sqref>
        </x14:conditionalFormatting>
        <x14:conditionalFormatting xmlns:xm="http://schemas.microsoft.com/office/excel/2006/main" pivot="1">
          <x14:cfRule type="dataBar" id="{05362A59-EDD7-43C7-979B-74BF0012A883}">
            <x14:dataBar minLength="0" maxLength="100" gradient="0">
              <x14:cfvo type="autoMin"/>
              <x14:cfvo type="autoMax"/>
              <x14:negativeFillColor rgb="FFFF0000"/>
              <x14:axisColor rgb="FF000000"/>
            </x14:dataBar>
          </x14:cfRule>
          <xm:sqref>D168:D190</xm:sqref>
        </x14:conditionalFormatting>
        <x14:conditionalFormatting xmlns:xm="http://schemas.microsoft.com/office/excel/2006/main" pivot="1">
          <x14:cfRule type="dataBar" id="{25597586-D17C-4419-9160-F4F3475910D4}">
            <x14:dataBar minLength="0" maxLength="100" gradient="0">
              <x14:cfvo type="autoMin"/>
              <x14:cfvo type="autoMax"/>
              <x14:negativeFillColor rgb="FFFF0000"/>
              <x14:axisColor rgb="FF000000"/>
            </x14:dataBar>
          </x14:cfRule>
          <xm:sqref>E168:E190</xm:sqref>
        </x14:conditionalFormatting>
        <x14:conditionalFormatting xmlns:xm="http://schemas.microsoft.com/office/excel/2006/main" pivot="1">
          <x14:cfRule type="dataBar" id="{F44B7F3B-2C6A-47BD-B691-3D192C2CD644}">
            <x14:dataBar minLength="0" maxLength="100" gradient="0">
              <x14:cfvo type="autoMin"/>
              <x14:cfvo type="autoMax"/>
              <x14:negativeFillColor rgb="FFFF0000"/>
              <x14:axisColor rgb="FF000000"/>
            </x14:dataBar>
          </x14:cfRule>
          <xm:sqref>F168:F190</xm:sqref>
        </x14:conditionalFormatting>
        <x14:conditionalFormatting xmlns:xm="http://schemas.microsoft.com/office/excel/2006/main" pivot="1">
          <x14:cfRule type="dataBar" id="{0DAA675D-9A39-4101-9B4A-6387B073C6A8}">
            <x14:dataBar minLength="0" maxLength="100" gradient="0">
              <x14:cfvo type="autoMin"/>
              <x14:cfvo type="autoMax"/>
              <x14:negativeFillColor rgb="FFFF0000"/>
              <x14:axisColor rgb="FF000000"/>
            </x14:dataBar>
          </x14:cfRule>
          <xm:sqref>G168:G190</xm:sqref>
        </x14:conditionalFormatting>
        <x14:conditionalFormatting xmlns:xm="http://schemas.microsoft.com/office/excel/2006/main">
          <x14:cfRule type="dataBar" id="{5903D318-043D-4B2B-ABF6-8C220242BA57}">
            <x14:dataBar minLength="0" maxLength="100" gradient="0">
              <x14:cfvo type="autoMin"/>
              <x14:cfvo type="autoMax"/>
              <x14:negativeFillColor rgb="FFFF0000"/>
              <x14:axisColor rgb="FF000000"/>
            </x14:dataBar>
          </x14:cfRule>
          <xm:sqref>K168:K190</xm:sqref>
        </x14:conditionalFormatting>
        <x14:conditionalFormatting xmlns:xm="http://schemas.microsoft.com/office/excel/2006/main">
          <x14:cfRule type="dataBar" id="{1A168C1C-890E-4901-8A77-61151C091A67}">
            <x14:dataBar minLength="0" maxLength="100" gradient="0">
              <x14:cfvo type="autoMin"/>
              <x14:cfvo type="autoMax"/>
              <x14:negativeFillColor rgb="FFFF0000"/>
              <x14:axisColor rgb="FF000000"/>
            </x14:dataBar>
          </x14:cfRule>
          <xm:sqref>L168:L190</xm:sqref>
        </x14:conditionalFormatting>
        <x14:conditionalFormatting xmlns:xm="http://schemas.microsoft.com/office/excel/2006/main" pivot="1">
          <x14:cfRule type="dataBar" id="{1FD06F6E-A2E3-4289-93B9-8A2E8E47107C}">
            <x14:dataBar minLength="0" maxLength="100" gradient="0">
              <x14:cfvo type="autoMin"/>
              <x14:cfvo type="autoMax"/>
              <x14:negativeFillColor rgb="FFFF0000"/>
              <x14:axisColor rgb="FF000000"/>
            </x14:dataBar>
          </x14:cfRule>
          <xm:sqref>C118:J122</xm:sqref>
        </x14:conditionalFormatting>
        <x14:conditionalFormatting xmlns:xm="http://schemas.microsoft.com/office/excel/2006/main" pivot="1">
          <x14:cfRule type="dataBar" id="{37EA4840-DE59-49EB-8863-E7E40590B50F}">
            <x14:dataBar minLength="0" maxLength="100" gradient="0">
              <x14:cfvo type="autoMin"/>
              <x14:cfvo type="autoMax"/>
              <x14:negativeFillColor rgb="FFFF0000"/>
              <x14:axisColor rgb="FF000000"/>
            </x14:dataBar>
          </x14:cfRule>
          <xm:sqref>C128:J134</xm:sqref>
        </x14:conditionalFormatting>
        <x14:conditionalFormatting xmlns:xm="http://schemas.microsoft.com/office/excel/2006/main" pivot="1">
          <x14:cfRule type="dataBar" id="{9E72D0E0-AFED-4D86-9E07-7B65E8D43CFC}">
            <x14:dataBar minLength="0" maxLength="100" gradient="0">
              <x14:cfvo type="autoMin"/>
              <x14:cfvo type="autoMax"/>
              <x14:negativeFillColor rgb="FFFF0000"/>
              <x14:axisColor rgb="FF000000"/>
            </x14:dataBar>
          </x14:cfRule>
          <xm:sqref>C140:E144</xm:sqref>
        </x14:conditionalFormatting>
        <x14:conditionalFormatting xmlns:xm="http://schemas.microsoft.com/office/excel/2006/main" pivot="1">
          <x14:cfRule type="dataBar" id="{1A769C90-E3B7-41B6-9230-BE0BDE2E224A}">
            <x14:dataBar minLength="0" maxLength="100" gradient="0">
              <x14:cfvo type="autoMin"/>
              <x14:cfvo type="autoMax"/>
              <x14:negativeFillColor rgb="FFFF0000"/>
              <x14:axisColor rgb="FF000000"/>
            </x14:dataBar>
          </x14:cfRule>
          <xm:sqref>I140:K146</xm:sqref>
        </x14:conditionalFormatting>
        <x14:conditionalFormatting xmlns:xm="http://schemas.microsoft.com/office/excel/2006/main" pivot="1">
          <x14:cfRule type="dataBar" id="{69528F82-62DC-4C8B-BC04-A1AFBD11A60D}">
            <x14:dataBar minLength="0" maxLength="100" gradient="0">
              <x14:cfvo type="autoMin"/>
              <x14:cfvo type="autoMax"/>
              <x14:negativeFillColor rgb="FFFF0000"/>
              <x14:axisColor rgb="FF000000"/>
            </x14:dataBar>
          </x14:cfRule>
          <xm:sqref>N118:R124</xm:sqref>
        </x14:conditionalFormatting>
        <x14:conditionalFormatting xmlns:xm="http://schemas.microsoft.com/office/excel/2006/main">
          <x14:cfRule type="dataBar" id="{351F1B83-90E3-4CF6-AB00-0C33F3D06F52}">
            <x14:dataBar minLength="0" maxLength="100" gradient="0">
              <x14:cfvo type="autoMin"/>
              <x14:cfvo type="autoMax"/>
              <x14:negativeFillColor rgb="FFFF0000"/>
              <x14:axisColor rgb="FF000000"/>
            </x14:dataBar>
          </x14:cfRule>
          <xm:sqref>P168:P190</xm:sqref>
        </x14:conditionalFormatting>
        <x14:conditionalFormatting xmlns:xm="http://schemas.microsoft.com/office/excel/2006/main">
          <x14:cfRule type="dataBar" id="{252FA920-D29B-4C4D-839F-37AC5BE73CFE}">
            <x14:dataBar minLength="0" maxLength="100" gradient="0">
              <x14:cfvo type="autoMin"/>
              <x14:cfvo type="autoMax"/>
              <x14:negativeFillColor rgb="FFFF0000"/>
              <x14:axisColor rgb="FF000000"/>
            </x14:dataBar>
          </x14:cfRule>
          <xm:sqref>Q168:Q190</xm:sqref>
        </x14:conditionalFormatting>
        <x14:conditionalFormatting xmlns:xm="http://schemas.microsoft.com/office/excel/2006/main">
          <x14:cfRule type="dataBar" id="{BA5279F8-A789-4840-BD54-37F9196602CC}">
            <x14:dataBar minLength="0" maxLength="100" gradient="0">
              <x14:cfvo type="autoMin"/>
              <x14:cfvo type="autoMax"/>
              <x14:negativeFillColor rgb="FFFF0000"/>
              <x14:axisColor rgb="FF000000"/>
            </x14:dataBar>
          </x14:cfRule>
          <xm:sqref>R168:R190</xm:sqref>
        </x14:conditionalFormatting>
        <x14:conditionalFormatting xmlns:xm="http://schemas.microsoft.com/office/excel/2006/main">
          <x14:cfRule type="dataBar" id="{A6349262-025D-41CC-95EB-E8694BE809DF}">
            <x14:dataBar minLength="0" maxLength="100" gradient="0">
              <x14:cfvo type="autoMin"/>
              <x14:cfvo type="autoMax"/>
              <x14:negativeFillColor rgb="FFFF0000"/>
              <x14:axisColor rgb="FF000000"/>
            </x14:dataBar>
          </x14:cfRule>
          <xm:sqref>S168:S190</xm:sqref>
        </x14:conditionalFormatting>
        <x14:conditionalFormatting xmlns:xm="http://schemas.microsoft.com/office/excel/2006/main" pivot="1">
          <x14:cfRule type="dataBar" id="{C721A2A3-DFB2-4D08-A044-F461003CCCA6}">
            <x14:dataBar minLength="0" maxLength="100" gradient="0">
              <x14:cfvo type="autoMin"/>
              <x14:cfvo type="autoMax"/>
              <x14:negativeFillColor rgb="FFFF0000"/>
              <x14:axisColor rgb="FF000000"/>
            </x14:dataBar>
          </x14:cfRule>
          <xm:sqref>M35:M42</xm:sqref>
        </x14:conditionalFormatting>
        <x14:conditionalFormatting xmlns:xm="http://schemas.microsoft.com/office/excel/2006/main">
          <x14:cfRule type="dataBar" id="{B67816CA-25FF-4BC9-AD15-24D8933B15B1}">
            <x14:dataBar minLength="0" maxLength="100" gradient="0">
              <x14:cfvo type="autoMin"/>
              <x14:cfvo type="autoMax"/>
              <x14:negativeFillColor rgb="FFFF0000"/>
              <x14:axisColor rgb="FF000000"/>
            </x14:dataBar>
          </x14:cfRule>
          <xm:sqref>O140:Q144</xm:sqref>
        </x14:conditionalFormatting>
        <x14:conditionalFormatting xmlns:xm="http://schemas.microsoft.com/office/excel/2006/main">
          <x14:cfRule type="dataBar" id="{5E3F1A64-7082-453F-A666-D9064CF3F2D3}">
            <x14:dataBar minLength="0" maxLength="100" gradient="0">
              <x14:cfvo type="autoMin"/>
              <x14:cfvo type="autoMax"/>
              <x14:negativeFillColor rgb="FFFF0000"/>
              <x14:axisColor rgb="FF000000"/>
            </x14:dataBar>
          </x14:cfRule>
          <xm:sqref>O130:Q136</xm:sqref>
        </x14:conditionalFormatting>
        <x14:conditionalFormatting xmlns:xm="http://schemas.microsoft.com/office/excel/2006/main">
          <x14:cfRule type="dataBar" id="{6EC2AB03-2A8E-4EFD-8D6D-6554EA60DE04}">
            <x14:dataBar minLength="0" maxLength="100" gradient="0">
              <x14:cfvo type="autoMin"/>
              <x14:cfvo type="autoMax"/>
              <x14:negativeFillColor rgb="FFFF0000"/>
              <x14:axisColor rgb="FF000000"/>
            </x14:dataBar>
          </x14:cfRule>
          <xm:sqref>R130:R136</xm:sqref>
        </x14:conditionalFormatting>
        <x14:conditionalFormatting xmlns:xm="http://schemas.microsoft.com/office/excel/2006/main">
          <x14:cfRule type="dataBar" id="{C19D9FA5-E79B-44C5-82DC-050B15E73F28}">
            <x14:dataBar minLength="0" maxLength="100" gradient="0">
              <x14:cfvo type="autoMin"/>
              <x14:cfvo type="autoMax"/>
              <x14:negativeFillColor rgb="FFFF0000"/>
              <x14:axisColor rgb="FF000000"/>
            </x14:dataBar>
          </x14:cfRule>
          <xm:sqref>R140:R144</xm:sqref>
        </x14:conditionalFormatting>
        <x14:conditionalFormatting xmlns:xm="http://schemas.microsoft.com/office/excel/2006/main">
          <x14:cfRule type="iconSet" priority="3" id="{DFAAAE93-D532-413C-A070-596392E79EA0}">
            <x14:iconSet iconSet="3Triangles">
              <x14:cfvo type="percent">
                <xm:f>0</xm:f>
              </x14:cfvo>
              <x14:cfvo type="percent">
                <xm:f>33</xm:f>
              </x14:cfvo>
              <x14:cfvo type="percent">
                <xm:f>67</xm:f>
              </x14:cfvo>
            </x14:iconSet>
          </x14:cfRule>
          <xm:sqref>L5:L12</xm:sqref>
        </x14:conditionalFormatting>
        <x14:conditionalFormatting xmlns:xm="http://schemas.microsoft.com/office/excel/2006/main">
          <x14:cfRule type="iconSet" priority="2" id="{652AAB79-7FCD-4B16-AF77-0989C7B0CCC5}">
            <x14:iconSet iconSet="3Triangles">
              <x14:cfvo type="percent">
                <xm:f>0</xm:f>
              </x14:cfvo>
              <x14:cfvo type="percent">
                <xm:f>33</xm:f>
              </x14:cfvo>
              <x14:cfvo type="percent">
                <xm:f>67</xm:f>
              </x14:cfvo>
            </x14:iconSet>
          </x14:cfRule>
          <xm:sqref>P5:P7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423FA-B642-446C-AB60-B95F00E949C3}">
  <sheetPr codeName="Sheet3">
    <tabColor rgb="FFFFFF00"/>
  </sheetPr>
  <dimension ref="A1:W501"/>
  <sheetViews>
    <sheetView showGridLines="0" zoomScaleNormal="100" workbookViewId="0">
      <selection activeCell="J16" sqref="J16"/>
    </sheetView>
  </sheetViews>
  <sheetFormatPr defaultRowHeight="15" x14ac:dyDescent="0.25"/>
  <cols>
    <col min="1" max="1" width="24.5703125" style="2" customWidth="1"/>
    <col min="2" max="2" width="17.5703125" style="1" customWidth="1"/>
    <col min="3" max="4" width="13.85546875" style="1" hidden="1" customWidth="1"/>
    <col min="5" max="5" width="17.42578125" style="1" customWidth="1"/>
    <col min="6" max="8" width="16.140625" style="1" hidden="1" customWidth="1"/>
    <col min="9" max="9" width="16.140625" style="1" customWidth="1"/>
    <col min="10" max="11" width="16.140625" style="14" customWidth="1"/>
    <col min="12" max="13" width="24.5703125" style="1" customWidth="1"/>
    <col min="14" max="14" width="18.5703125" style="1" customWidth="1"/>
    <col min="15" max="15" width="13.42578125" style="6" customWidth="1"/>
    <col min="16" max="16" width="11.140625" style="7" customWidth="1"/>
    <col min="17" max="17" width="11.5703125" style="7" customWidth="1"/>
    <col min="18" max="20" width="15.28515625" style="7" customWidth="1"/>
    <col min="21" max="21" width="24.140625" customWidth="1"/>
  </cols>
  <sheetData>
    <row r="1" spans="1:23" x14ac:dyDescent="0.25">
      <c r="A1" s="1" t="s">
        <v>9</v>
      </c>
      <c r="B1" s="1" t="s">
        <v>10</v>
      </c>
      <c r="C1" s="1" t="s">
        <v>694</v>
      </c>
      <c r="D1" s="1" t="s">
        <v>711</v>
      </c>
      <c r="E1" s="1" t="s">
        <v>715</v>
      </c>
      <c r="F1" s="1" t="s">
        <v>11</v>
      </c>
      <c r="G1" s="1" t="s">
        <v>713</v>
      </c>
      <c r="H1" s="1" t="s">
        <v>712</v>
      </c>
      <c r="I1" s="1" t="s">
        <v>730</v>
      </c>
      <c r="J1" s="14" t="s">
        <v>714</v>
      </c>
      <c r="K1" s="14" t="s">
        <v>731</v>
      </c>
      <c r="L1" s="1" t="s">
        <v>0</v>
      </c>
      <c r="M1" s="1" t="s">
        <v>695</v>
      </c>
      <c r="N1" s="1" t="s">
        <v>561</v>
      </c>
      <c r="O1" s="6" t="s">
        <v>696</v>
      </c>
      <c r="P1" s="6" t="s">
        <v>697</v>
      </c>
      <c r="Q1" s="6" t="s">
        <v>700</v>
      </c>
      <c r="R1" s="6" t="s">
        <v>701</v>
      </c>
      <c r="S1" s="6"/>
      <c r="T1" s="6"/>
    </row>
    <row r="2" spans="1:23" x14ac:dyDescent="0.25">
      <c r="A2" s="2" t="s">
        <v>12</v>
      </c>
      <c r="B2" s="1" t="s">
        <v>13</v>
      </c>
      <c r="C2" s="1">
        <v>23</v>
      </c>
      <c r="D2" s="1" t="s">
        <v>706</v>
      </c>
      <c r="E2" s="1">
        <f>IF(Table1[[#This Row],[Lifespan Unit]]="months", Table1[[#This Row],[Lifespan]]/12,Table1[[#This Row],[Lifespan]])</f>
        <v>23</v>
      </c>
      <c r="F2" s="1" t="s">
        <v>141</v>
      </c>
      <c r="G2" s="1" t="str">
        <f t="shared" ref="G2:G65" si="0">SUBSTITUTE(F2,IF(ISNUMBER(SEARCH("lbs", F2)),RIGHT(F2, 3), RIGHT(F2, 2)),"")</f>
        <v>130</v>
      </c>
      <c r="H2" s="1" t="str">
        <f t="shared" ref="H2:H65" si="1">IF(ISNUMBER(SEARCH("lbs", F2)),RIGHT(F2, 3), RIGHT(F2, 2))</f>
        <v>lbs</v>
      </c>
      <c r="I2" s="1" t="str">
        <f>IF(Table1[[#This Row],[Lifespan (Years)]]&lt;25, "&lt;25", IF(Table1[[#This Row],[Lifespan (Years)]]&lt;50, "25-49", IF(Table1[[#This Row],[Lifespan (Years)]]&lt;75, "50-74", IF(Table1[[#This Row],[Lifespan (Years)]]&lt;100, "75-99", "&gt;=100"))))</f>
        <v>&lt;25</v>
      </c>
      <c r="J2" s="14">
        <f>IF(Table1[[#This Row],[Weight Unit]]="oz",Table1[[#This Row],[Weight (Digits)]]/16, Table1[[#This Row],[Weight (Digits)]]/1)</f>
        <v>130</v>
      </c>
      <c r="K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2" s="1" t="s">
        <v>724</v>
      </c>
      <c r="M2" s="1" t="str">
        <f>IF(COUNTIF(Table2[Animal],Table1[[#This Row],[Animal]]) = 1, "Previous Participant", "New Participant")</f>
        <v>Previous Participant</v>
      </c>
      <c r="N2" s="1" t="str">
        <f>_xlfn.XLOOKUP(Table1[[#This Row],[Region]],'Support - Tables'!$B$3:$B$10,'Support - Tables'!$D$3:$D$10,"Not Found",0)</f>
        <v>Road</v>
      </c>
      <c r="O2" s="6">
        <f>_xlfn.XLOOKUP(Table1[[#This Row],[Region]],'Support - Tables'!$B$3:$B$10,'Support - Tables'!$C$3:$C$10, "Not Found",0)</f>
        <v>450</v>
      </c>
      <c r="P2" s="6">
        <f>_xlfn.XLOOKUP(Table1[[#This Row],[Diet]],'Support - Tables'!$B$14:$B$16,'Support - Tables'!$C$14:$C$16, "Not Found", 0)</f>
        <v>400</v>
      </c>
      <c r="Q2" s="6">
        <f>Table1[[#This Row],[Revenue]]-Table1[[#This Row],[Cost]]</f>
        <v>50</v>
      </c>
      <c r="R2" s="6">
        <f>COUNTBLANK(Table1[[#This Row],[Diet]:[Region]])</f>
        <v>0</v>
      </c>
      <c r="S2" s="6"/>
      <c r="T2" s="6"/>
    </row>
    <row r="3" spans="1:23" x14ac:dyDescent="0.25">
      <c r="A3" s="2" t="s">
        <v>14</v>
      </c>
      <c r="B3" s="1" t="s">
        <v>15</v>
      </c>
      <c r="C3" s="1">
        <v>15</v>
      </c>
      <c r="D3" s="1" t="s">
        <v>706</v>
      </c>
      <c r="E3" s="1">
        <f>IF(Table1[[#This Row],[Lifespan Unit]]="months", Table1[[#This Row],[Lifespan]]/12,Table1[[#This Row],[Lifespan]])</f>
        <v>15</v>
      </c>
      <c r="F3" s="1" t="s">
        <v>16</v>
      </c>
      <c r="G3" s="1" t="str">
        <f t="shared" si="0"/>
        <v>10</v>
      </c>
      <c r="H3" s="1" t="str">
        <f t="shared" si="1"/>
        <v>lbs</v>
      </c>
      <c r="I3" s="1" t="str">
        <f>IF(Table1[[#This Row],[Lifespan (Years)]]&lt;25, "&lt;25", IF(Table1[[#This Row],[Lifespan (Years)]]&lt;50, "25-49", IF(Table1[[#This Row],[Lifespan (Years)]]&lt;75, "50-74", IF(Table1[[#This Row],[Lifespan (Years)]]&lt;100, "75-99", "&gt;=100"))))</f>
        <v>&lt;25</v>
      </c>
      <c r="J3" s="14">
        <f>IF(Table1[[#This Row],[Weight Unit]]="oz",Table1[[#This Row],[Weight (Digits)]]/16, Table1[[#This Row],[Weight (Digits)]]/1)</f>
        <v>10</v>
      </c>
      <c r="K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 s="1" t="s">
        <v>5</v>
      </c>
      <c r="M3" s="1" t="str">
        <f>IF(COUNTIF(Table2[Animal],Table1[[#This Row],[Animal]]) = 1, "Previous Participant", "New Participant")</f>
        <v>Previous Participant</v>
      </c>
      <c r="N3" s="1" t="str">
        <f>_xlfn.XLOOKUP(Table1[[#This Row],[Region]],'Support - Tables'!$B$3:$B$10,'Support - Tables'!$D$3:$D$10,"Not Found",0)</f>
        <v>Boat</v>
      </c>
      <c r="O3" s="6">
        <f>_xlfn.XLOOKUP(Table1[[#This Row],[Region]],'Support - Tables'!$B$3:$B$10,'Support - Tables'!$C$3:$C$10, "Not Found",0)</f>
        <v>400</v>
      </c>
      <c r="P3" s="6">
        <f>_xlfn.XLOOKUP(Table1[[#This Row],[Diet]],'Support - Tables'!$B$14:$B$16,'Support - Tables'!$C$14:$C$16, "Not Found", 0)</f>
        <v>500</v>
      </c>
      <c r="Q3" s="6">
        <f>Table1[[#This Row],[Revenue]]-Table1[[#This Row],[Cost]]</f>
        <v>-100</v>
      </c>
      <c r="R3" s="6">
        <f>COUNTBLANK(Table1[[#This Row],[Diet]:[Region]])</f>
        <v>0</v>
      </c>
      <c r="S3" s="6"/>
      <c r="T3" s="6"/>
      <c r="W3" s="11"/>
    </row>
    <row r="4" spans="1:23" x14ac:dyDescent="0.25">
      <c r="A4" s="2" t="s">
        <v>17</v>
      </c>
      <c r="B4" s="1" t="s">
        <v>15</v>
      </c>
      <c r="C4" s="1">
        <v>20</v>
      </c>
      <c r="D4" s="1" t="s">
        <v>706</v>
      </c>
      <c r="E4" s="1">
        <f>IF(Table1[[#This Row],[Lifespan Unit]]="months", Table1[[#This Row],[Lifespan]]/12,Table1[[#This Row],[Lifespan]])</f>
        <v>20</v>
      </c>
      <c r="F4" s="1" t="s">
        <v>373</v>
      </c>
      <c r="G4" s="1" t="str">
        <f t="shared" si="0"/>
        <v>7</v>
      </c>
      <c r="H4" s="1" t="str">
        <f t="shared" si="1"/>
        <v>lbs</v>
      </c>
      <c r="I4" s="1" t="str">
        <f>IF(Table1[[#This Row],[Lifespan (Years)]]&lt;25, "&lt;25", IF(Table1[[#This Row],[Lifespan (Years)]]&lt;50, "25-49", IF(Table1[[#This Row],[Lifespan (Years)]]&lt;75, "50-74", IF(Table1[[#This Row],[Lifespan (Years)]]&lt;100, "75-99", "&gt;=100"))))</f>
        <v>&lt;25</v>
      </c>
      <c r="J4" s="14">
        <f>IF(Table1[[#This Row],[Weight Unit]]="oz",Table1[[#This Row],[Weight (Digits)]]/16, Table1[[#This Row],[Weight (Digits)]]/1)</f>
        <v>7</v>
      </c>
      <c r="K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 s="1" t="s">
        <v>5</v>
      </c>
      <c r="M4" s="1" t="str">
        <f>IF(COUNTIF(Table2[Animal],Table1[[#This Row],[Animal]]) = 1, "Previous Participant", "New Participant")</f>
        <v>New Participant</v>
      </c>
      <c r="N4" s="1" t="str">
        <f>_xlfn.XLOOKUP(Table1[[#This Row],[Region]],'Support - Tables'!$B$3:$B$10,'Support - Tables'!$D$3:$D$10,"Not Found",0)</f>
        <v>Boat</v>
      </c>
      <c r="O4" s="6">
        <f>_xlfn.XLOOKUP(Table1[[#This Row],[Region]],'Support - Tables'!$B$3:$B$10,'Support - Tables'!$C$3:$C$10, "Not Found",0)</f>
        <v>400</v>
      </c>
      <c r="P4" s="6">
        <f>_xlfn.XLOOKUP(Table1[[#This Row],[Diet]],'Support - Tables'!$B$14:$B$16,'Support - Tables'!$C$14:$C$16, "Not Found", 0)</f>
        <v>500</v>
      </c>
      <c r="Q4" s="6">
        <f>Table1[[#This Row],[Revenue]]-Table1[[#This Row],[Cost]]</f>
        <v>-100</v>
      </c>
      <c r="R4" s="6">
        <f>COUNTBLANK(Table1[[#This Row],[Diet]:[Region]])</f>
        <v>0</v>
      </c>
      <c r="S4" s="6"/>
      <c r="T4" s="6"/>
      <c r="W4" s="11"/>
    </row>
    <row r="5" spans="1:23" x14ac:dyDescent="0.25">
      <c r="A5" s="2" t="s">
        <v>18</v>
      </c>
      <c r="B5" s="1" t="s">
        <v>13</v>
      </c>
      <c r="C5" s="1">
        <v>12</v>
      </c>
      <c r="D5" s="1" t="s">
        <v>706</v>
      </c>
      <c r="E5" s="1">
        <f>IF(Table1[[#This Row],[Lifespan Unit]]="months", Table1[[#This Row],[Lifespan]]/12,Table1[[#This Row],[Lifespan]])</f>
        <v>12</v>
      </c>
      <c r="F5" s="1" t="s">
        <v>19</v>
      </c>
      <c r="G5" s="1" t="str">
        <f t="shared" si="0"/>
        <v>8</v>
      </c>
      <c r="H5" s="1" t="str">
        <f t="shared" si="1"/>
        <v>lbs</v>
      </c>
      <c r="I5" s="1" t="str">
        <f>IF(Table1[[#This Row],[Lifespan (Years)]]&lt;25, "&lt;25", IF(Table1[[#This Row],[Lifespan (Years)]]&lt;50, "25-49", IF(Table1[[#This Row],[Lifespan (Years)]]&lt;75, "50-74", IF(Table1[[#This Row],[Lifespan (Years)]]&lt;100, "75-99", "&gt;=100"))))</f>
        <v>&lt;25</v>
      </c>
      <c r="J5" s="14">
        <f>IF(Table1[[#This Row],[Weight Unit]]="oz",Table1[[#This Row],[Weight (Digits)]]/16, Table1[[#This Row],[Weight (Digits)]]/1)</f>
        <v>8</v>
      </c>
      <c r="K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5" s="1" t="s">
        <v>724</v>
      </c>
      <c r="M5" s="1" t="str">
        <f>IF(COUNTIF(Table2[Animal],Table1[[#This Row],[Animal]]) = 1, "Previous Participant", "New Participant")</f>
        <v>New Participant</v>
      </c>
      <c r="N5" s="1" t="str">
        <f>_xlfn.XLOOKUP(Table1[[#This Row],[Region]],'Support - Tables'!$B$3:$B$10,'Support - Tables'!$D$3:$D$10,"Not Found",0)</f>
        <v>Road</v>
      </c>
      <c r="O5" s="6">
        <f>_xlfn.XLOOKUP(Table1[[#This Row],[Region]],'Support - Tables'!$B$3:$B$10,'Support - Tables'!$C$3:$C$10, "Not Found",0)</f>
        <v>450</v>
      </c>
      <c r="P5" s="6">
        <f>_xlfn.XLOOKUP(Table1[[#This Row],[Diet]],'Support - Tables'!$B$14:$B$16,'Support - Tables'!$C$14:$C$16, "Not Found", 0)</f>
        <v>400</v>
      </c>
      <c r="Q5" s="6">
        <f>Table1[[#This Row],[Revenue]]-Table1[[#This Row],[Cost]]</f>
        <v>50</v>
      </c>
      <c r="R5" s="6">
        <f>COUNTBLANK(Table1[[#This Row],[Diet]:[Region]])</f>
        <v>0</v>
      </c>
      <c r="S5" s="6"/>
      <c r="T5" s="6"/>
    </row>
    <row r="6" spans="1:23" x14ac:dyDescent="0.25">
      <c r="A6" s="2" t="s">
        <v>20</v>
      </c>
      <c r="B6" s="1" t="s">
        <v>13</v>
      </c>
      <c r="C6" s="1">
        <v>14</v>
      </c>
      <c r="D6" s="1" t="s">
        <v>706</v>
      </c>
      <c r="E6" s="1">
        <f>IF(Table1[[#This Row],[Lifespan Unit]]="months", Table1[[#This Row],[Lifespan]]/12,Table1[[#This Row],[Lifespan]])</f>
        <v>14</v>
      </c>
      <c r="F6" s="1" t="s">
        <v>21</v>
      </c>
      <c r="G6" s="1" t="str">
        <f t="shared" si="0"/>
        <v>60</v>
      </c>
      <c r="H6" s="1" t="str">
        <f t="shared" si="1"/>
        <v>lbs</v>
      </c>
      <c r="I6" s="1" t="str">
        <f>IF(Table1[[#This Row],[Lifespan (Years)]]&lt;25, "&lt;25", IF(Table1[[#This Row],[Lifespan (Years)]]&lt;50, "25-49", IF(Table1[[#This Row],[Lifespan (Years)]]&lt;75, "50-74", IF(Table1[[#This Row],[Lifespan (Years)]]&lt;100, "75-99", "&gt;=100"))))</f>
        <v>&lt;25</v>
      </c>
      <c r="J6" s="14">
        <f>IF(Table1[[#This Row],[Weight Unit]]="oz",Table1[[#This Row],[Weight (Digits)]]/16, Table1[[#This Row],[Weight (Digits)]]/1)</f>
        <v>60</v>
      </c>
      <c r="K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6" s="1" t="s">
        <v>724</v>
      </c>
      <c r="M6" s="1" t="str">
        <f>IF(COUNTIF(Table2[Animal],Table1[[#This Row],[Animal]]) = 1, "Previous Participant", "New Participant")</f>
        <v>Previous Participant</v>
      </c>
      <c r="N6" s="1" t="str">
        <f>_xlfn.XLOOKUP(Table1[[#This Row],[Region]],'Support - Tables'!$B$3:$B$10,'Support - Tables'!$D$3:$D$10,"Not Found",0)</f>
        <v>Road</v>
      </c>
      <c r="O6" s="6">
        <f>_xlfn.XLOOKUP(Table1[[#This Row],[Region]],'Support - Tables'!$B$3:$B$10,'Support - Tables'!$C$3:$C$10, "Not Found",0)</f>
        <v>450</v>
      </c>
      <c r="P6" s="6">
        <f>_xlfn.XLOOKUP(Table1[[#This Row],[Diet]],'Support - Tables'!$B$14:$B$16,'Support - Tables'!$C$14:$C$16, "Not Found", 0)</f>
        <v>400</v>
      </c>
      <c r="Q6" s="6">
        <f>Table1[[#This Row],[Revenue]]-Table1[[#This Row],[Cost]]</f>
        <v>50</v>
      </c>
      <c r="R6" s="6">
        <f>COUNTBLANK(Table1[[#This Row],[Diet]:[Region]])</f>
        <v>0</v>
      </c>
      <c r="S6" s="6"/>
      <c r="T6" s="6"/>
    </row>
    <row r="7" spans="1:23" x14ac:dyDescent="0.25">
      <c r="A7" s="2" t="s">
        <v>22</v>
      </c>
      <c r="B7" s="1" t="s">
        <v>23</v>
      </c>
      <c r="C7" s="1">
        <v>70</v>
      </c>
      <c r="D7" s="1" t="s">
        <v>706</v>
      </c>
      <c r="E7" s="1">
        <f>IF(Table1[[#This Row],[Lifespan Unit]]="months", Table1[[#This Row],[Lifespan]]/12,Table1[[#This Row],[Lifespan]])</f>
        <v>70</v>
      </c>
      <c r="F7" s="1" t="s">
        <v>565</v>
      </c>
      <c r="G7" s="1" t="str">
        <f t="shared" si="0"/>
        <v>7,900</v>
      </c>
      <c r="H7" s="1" t="str">
        <f t="shared" si="1"/>
        <v>lbs</v>
      </c>
      <c r="I7" s="1" t="str">
        <f>IF(Table1[[#This Row],[Lifespan (Years)]]&lt;25, "&lt;25", IF(Table1[[#This Row],[Lifespan (Years)]]&lt;50, "25-49", IF(Table1[[#This Row],[Lifespan (Years)]]&lt;75, "50-74", IF(Table1[[#This Row],[Lifespan (Years)]]&lt;100, "75-99", "&gt;=100"))))</f>
        <v>50-74</v>
      </c>
      <c r="J7" s="14">
        <f>IF(Table1[[#This Row],[Weight Unit]]="oz",Table1[[#This Row],[Weight (Digits)]]/16, Table1[[#This Row],[Weight (Digits)]]/1)</f>
        <v>7900</v>
      </c>
      <c r="K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7" s="1" t="s">
        <v>5</v>
      </c>
      <c r="M7" s="1" t="str">
        <f>IF(COUNTIF(Table2[Animal],Table1[[#This Row],[Animal]]) = 1, "Previous Participant", "New Participant")</f>
        <v>New Participant</v>
      </c>
      <c r="N7" s="1" t="str">
        <f>_xlfn.XLOOKUP(Table1[[#This Row],[Region]],'Support - Tables'!$B$3:$B$10,'Support - Tables'!$D$3:$D$10,"Not Found",0)</f>
        <v>Boat</v>
      </c>
      <c r="O7" s="6">
        <f>_xlfn.XLOOKUP(Table1[[#This Row],[Region]],'Support - Tables'!$B$3:$B$10,'Support - Tables'!$C$3:$C$10, "Not Found",0)</f>
        <v>400</v>
      </c>
      <c r="P7" s="6">
        <f>_xlfn.XLOOKUP(Table1[[#This Row],[Diet]],'Support - Tables'!$B$14:$B$16,'Support - Tables'!$C$14:$C$16, "Not Found", 0)</f>
        <v>300</v>
      </c>
      <c r="Q7" s="6">
        <f>Table1[[#This Row],[Revenue]]-Table1[[#This Row],[Cost]]</f>
        <v>100</v>
      </c>
      <c r="R7" s="6">
        <f>COUNTBLANK(Table1[[#This Row],[Diet]:[Region]])</f>
        <v>0</v>
      </c>
      <c r="S7" s="6"/>
      <c r="T7" s="6"/>
    </row>
    <row r="8" spans="1:23" x14ac:dyDescent="0.25">
      <c r="A8" s="2" t="s">
        <v>24</v>
      </c>
      <c r="B8" s="1" t="s">
        <v>13</v>
      </c>
      <c r="C8" s="1">
        <v>20</v>
      </c>
      <c r="D8" s="1" t="s">
        <v>706</v>
      </c>
      <c r="E8" s="1">
        <f>IF(Table1[[#This Row],[Lifespan Unit]]="months", Table1[[#This Row],[Lifespan]]/12,Table1[[#This Row],[Lifespan]])</f>
        <v>20</v>
      </c>
      <c r="F8" s="1" t="s">
        <v>566</v>
      </c>
      <c r="G8" s="1" t="str">
        <f t="shared" si="0"/>
        <v>3</v>
      </c>
      <c r="H8" s="1" t="str">
        <f t="shared" si="1"/>
        <v>lbs</v>
      </c>
      <c r="I8" s="1" t="str">
        <f>IF(Table1[[#This Row],[Lifespan (Years)]]&lt;25, "&lt;25", IF(Table1[[#This Row],[Lifespan (Years)]]&lt;50, "25-49", IF(Table1[[#This Row],[Lifespan (Years)]]&lt;75, "50-74", IF(Table1[[#This Row],[Lifespan (Years)]]&lt;100, "75-99", "&gt;=100"))))</f>
        <v>&lt;25</v>
      </c>
      <c r="J8" s="14">
        <f>IF(Table1[[#This Row],[Weight Unit]]="oz",Table1[[#This Row],[Weight (Digits)]]/16, Table1[[#This Row],[Weight (Digits)]]/1)</f>
        <v>3</v>
      </c>
      <c r="K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8" s="1" t="s">
        <v>724</v>
      </c>
      <c r="M8" s="1" t="str">
        <f>IF(COUNTIF(Table2[Animal],Table1[[#This Row],[Animal]]) = 1, "Previous Participant", "New Participant")</f>
        <v>New Participant</v>
      </c>
      <c r="N8" s="1" t="str">
        <f>_xlfn.XLOOKUP(Table1[[#This Row],[Region]],'Support - Tables'!$B$3:$B$10,'Support - Tables'!$D$3:$D$10,"Not Found",0)</f>
        <v>Road</v>
      </c>
      <c r="O8" s="6">
        <f>_xlfn.XLOOKUP(Table1[[#This Row],[Region]],'Support - Tables'!$B$3:$B$10,'Support - Tables'!$C$3:$C$10, "Not Found",0)</f>
        <v>450</v>
      </c>
      <c r="P8" s="6">
        <f>_xlfn.XLOOKUP(Table1[[#This Row],[Diet]],'Support - Tables'!$B$14:$B$16,'Support - Tables'!$C$14:$C$16, "Not Found", 0)</f>
        <v>400</v>
      </c>
      <c r="Q8" s="6">
        <f>Table1[[#This Row],[Revenue]]-Table1[[#This Row],[Cost]]</f>
        <v>50</v>
      </c>
      <c r="R8" s="6">
        <f>COUNTBLANK(Table1[[#This Row],[Diet]:[Region]])</f>
        <v>0</v>
      </c>
      <c r="S8" s="6"/>
      <c r="T8" s="6"/>
    </row>
    <row r="9" spans="1:23" x14ac:dyDescent="0.25">
      <c r="A9" s="2" t="s">
        <v>25</v>
      </c>
      <c r="B9" s="1" t="s">
        <v>15</v>
      </c>
      <c r="C9" s="1">
        <v>15</v>
      </c>
      <c r="D9" s="1" t="s">
        <v>706</v>
      </c>
      <c r="E9" s="1">
        <f>IF(Table1[[#This Row],[Lifespan Unit]]="months", Table1[[#This Row],[Lifespan]]/12,Table1[[#This Row],[Lifespan]])</f>
        <v>15</v>
      </c>
      <c r="F9" s="1" t="s">
        <v>567</v>
      </c>
      <c r="G9" s="1" t="str">
        <f t="shared" si="0"/>
        <v>1</v>
      </c>
      <c r="H9" s="1" t="str">
        <f t="shared" si="1"/>
        <v>oz</v>
      </c>
      <c r="I9" s="1" t="str">
        <f>IF(Table1[[#This Row],[Lifespan (Years)]]&lt;25, "&lt;25", IF(Table1[[#This Row],[Lifespan (Years)]]&lt;50, "25-49", IF(Table1[[#This Row],[Lifespan (Years)]]&lt;75, "50-74", IF(Table1[[#This Row],[Lifespan (Years)]]&lt;100, "75-99", "&gt;=100"))))</f>
        <v>&lt;25</v>
      </c>
      <c r="J9" s="14">
        <f>IF(Table1[[#This Row],[Weight Unit]]="oz",Table1[[#This Row],[Weight (Digits)]]/16, Table1[[#This Row],[Weight (Digits)]]/1)</f>
        <v>6.25E-2</v>
      </c>
      <c r="K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9" s="1" t="s">
        <v>724</v>
      </c>
      <c r="M9" s="1" t="str">
        <f>IF(COUNTIF(Table2[Animal],Table1[[#This Row],[Animal]]) = 1, "Previous Participant", "New Participant")</f>
        <v>Previous Participant</v>
      </c>
      <c r="N9" s="1" t="str">
        <f>_xlfn.XLOOKUP(Table1[[#This Row],[Region]],'Support - Tables'!$B$3:$B$10,'Support - Tables'!$D$3:$D$10,"Not Found",0)</f>
        <v>Road</v>
      </c>
      <c r="O9" s="6">
        <f>_xlfn.XLOOKUP(Table1[[#This Row],[Region]],'Support - Tables'!$B$3:$B$10,'Support - Tables'!$C$3:$C$10, "Not Found",0)</f>
        <v>450</v>
      </c>
      <c r="P9" s="6">
        <f>_xlfn.XLOOKUP(Table1[[#This Row],[Diet]],'Support - Tables'!$B$14:$B$16,'Support - Tables'!$C$14:$C$16, "Not Found", 0)</f>
        <v>500</v>
      </c>
      <c r="Q9" s="6">
        <f>Table1[[#This Row],[Revenue]]-Table1[[#This Row],[Cost]]</f>
        <v>-50</v>
      </c>
      <c r="R9" s="6">
        <f>COUNTBLANK(Table1[[#This Row],[Diet]:[Region]])</f>
        <v>0</v>
      </c>
      <c r="S9" s="6"/>
      <c r="T9" s="6"/>
    </row>
    <row r="10" spans="1:23" x14ac:dyDescent="0.25">
      <c r="A10" s="2" t="s">
        <v>26</v>
      </c>
      <c r="B10" s="1" t="s">
        <v>23</v>
      </c>
      <c r="C10" s="1">
        <v>70</v>
      </c>
      <c r="D10" s="1" t="s">
        <v>706</v>
      </c>
      <c r="E10" s="1">
        <f>IF(Table1[[#This Row],[Lifespan Unit]]="months", Table1[[#This Row],[Lifespan]]/12,Table1[[#This Row],[Lifespan]])</f>
        <v>70</v>
      </c>
      <c r="F10" s="1" t="s">
        <v>568</v>
      </c>
      <c r="G10" s="1" t="str">
        <f t="shared" si="0"/>
        <v>1,984</v>
      </c>
      <c r="H10" s="1" t="str">
        <f t="shared" si="1"/>
        <v>lbs</v>
      </c>
      <c r="I10" s="1" t="str">
        <f>IF(Table1[[#This Row],[Lifespan (Years)]]&lt;25, "&lt;25", IF(Table1[[#This Row],[Lifespan (Years)]]&lt;50, "25-49", IF(Table1[[#This Row],[Lifespan (Years)]]&lt;75, "50-74", IF(Table1[[#This Row],[Lifespan (Years)]]&lt;100, "75-99", "&gt;=100"))))</f>
        <v>50-74</v>
      </c>
      <c r="J10" s="14">
        <f>IF(Table1[[#This Row],[Weight Unit]]="oz",Table1[[#This Row],[Weight (Digits)]]/16, Table1[[#This Row],[Weight (Digits)]]/1)</f>
        <v>1984</v>
      </c>
      <c r="K1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10" s="1" t="s">
        <v>724</v>
      </c>
      <c r="M10" s="1" t="str">
        <f>IF(COUNTIF(Table2[Animal],Table1[[#This Row],[Animal]]) = 1, "Previous Participant", "New Participant")</f>
        <v>New Participant</v>
      </c>
      <c r="N10" s="1" t="str">
        <f>_xlfn.XLOOKUP(Table1[[#This Row],[Region]],'Support - Tables'!$B$3:$B$10,'Support - Tables'!$D$3:$D$10,"Not Found",0)</f>
        <v>Road</v>
      </c>
      <c r="O10" s="6">
        <f>_xlfn.XLOOKUP(Table1[[#This Row],[Region]],'Support - Tables'!$B$3:$B$10,'Support - Tables'!$C$3:$C$10, "Not Found",0)</f>
        <v>450</v>
      </c>
      <c r="P10" s="6">
        <f>_xlfn.XLOOKUP(Table1[[#This Row],[Diet]],'Support - Tables'!$B$14:$B$16,'Support - Tables'!$C$14:$C$16, "Not Found", 0)</f>
        <v>300</v>
      </c>
      <c r="Q10" s="6">
        <f>Table1[[#This Row],[Revenue]]-Table1[[#This Row],[Cost]]</f>
        <v>150</v>
      </c>
      <c r="R10" s="6">
        <f>COUNTBLANK(Table1[[#This Row],[Diet]:[Region]])</f>
        <v>0</v>
      </c>
      <c r="S10" s="6"/>
      <c r="T10" s="6"/>
    </row>
    <row r="11" spans="1:23" x14ac:dyDescent="0.25">
      <c r="A11" s="2" t="s">
        <v>27</v>
      </c>
      <c r="B11" s="1" t="s">
        <v>15</v>
      </c>
      <c r="C11" s="1">
        <v>15</v>
      </c>
      <c r="D11" s="1" t="s">
        <v>706</v>
      </c>
      <c r="E11" s="1">
        <f>IF(Table1[[#This Row],[Lifespan Unit]]="months", Table1[[#This Row],[Lifespan]]/12,Table1[[#This Row],[Lifespan]])</f>
        <v>15</v>
      </c>
      <c r="F11" s="1" t="s">
        <v>569</v>
      </c>
      <c r="G11" s="1" t="str">
        <f t="shared" si="0"/>
        <v>4.4</v>
      </c>
      <c r="H11" s="1" t="str">
        <f t="shared" si="1"/>
        <v>lbs</v>
      </c>
      <c r="I11" s="1" t="str">
        <f>IF(Table1[[#This Row],[Lifespan (Years)]]&lt;25, "&lt;25", IF(Table1[[#This Row],[Lifespan (Years)]]&lt;50, "25-49", IF(Table1[[#This Row],[Lifespan (Years)]]&lt;75, "50-74", IF(Table1[[#This Row],[Lifespan (Years)]]&lt;100, "75-99", "&gt;=100"))))</f>
        <v>&lt;25</v>
      </c>
      <c r="J11" s="14">
        <f>IF(Table1[[#This Row],[Weight Unit]]="oz",Table1[[#This Row],[Weight (Digits)]]/16, Table1[[#This Row],[Weight (Digits)]]/1)</f>
        <v>4.4000000000000004</v>
      </c>
      <c r="K1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1" s="1" t="s">
        <v>5</v>
      </c>
      <c r="M11" s="1" t="str">
        <f>IF(COUNTIF(Table2[Animal],Table1[[#This Row],[Animal]]) = 1, "Previous Participant", "New Participant")</f>
        <v>Previous Participant</v>
      </c>
      <c r="N11" s="1" t="str">
        <f>_xlfn.XLOOKUP(Table1[[#This Row],[Region]],'Support - Tables'!$B$3:$B$10,'Support - Tables'!$D$3:$D$10,"Not Found",0)</f>
        <v>Boat</v>
      </c>
      <c r="O11" s="6">
        <f>_xlfn.XLOOKUP(Table1[[#This Row],[Region]],'Support - Tables'!$B$3:$B$10,'Support - Tables'!$C$3:$C$10, "Not Found",0)</f>
        <v>400</v>
      </c>
      <c r="P11" s="6">
        <f>_xlfn.XLOOKUP(Table1[[#This Row],[Diet]],'Support - Tables'!$B$14:$B$16,'Support - Tables'!$C$14:$C$16, "Not Found", 0)</f>
        <v>500</v>
      </c>
      <c r="Q11" s="6">
        <f>Table1[[#This Row],[Revenue]]-Table1[[#This Row],[Cost]]</f>
        <v>-100</v>
      </c>
      <c r="R11" s="6">
        <f>COUNTBLANK(Table1[[#This Row],[Diet]:[Region]])</f>
        <v>0</v>
      </c>
      <c r="S11" s="6"/>
      <c r="T11" s="6"/>
    </row>
    <row r="12" spans="1:23" x14ac:dyDescent="0.25">
      <c r="A12" s="2" t="s">
        <v>28</v>
      </c>
      <c r="B12" s="1" t="s">
        <v>15</v>
      </c>
      <c r="C12" s="1">
        <v>13</v>
      </c>
      <c r="D12" s="1" t="s">
        <v>706</v>
      </c>
      <c r="E12" s="1">
        <f>IF(Table1[[#This Row],[Lifespan Unit]]="months", Table1[[#This Row],[Lifespan]]/12,Table1[[#This Row],[Lifespan]])</f>
        <v>13</v>
      </c>
      <c r="F12" s="1" t="s">
        <v>570</v>
      </c>
      <c r="G12" s="1" t="str">
        <f t="shared" si="0"/>
        <v>39</v>
      </c>
      <c r="H12" s="1" t="str">
        <f t="shared" si="1"/>
        <v>lbs</v>
      </c>
      <c r="I12" s="1" t="str">
        <f>IF(Table1[[#This Row],[Lifespan (Years)]]&lt;25, "&lt;25", IF(Table1[[#This Row],[Lifespan (Years)]]&lt;50, "25-49", IF(Table1[[#This Row],[Lifespan (Years)]]&lt;75, "50-74", IF(Table1[[#This Row],[Lifespan (Years)]]&lt;100, "75-99", "&gt;=100"))))</f>
        <v>&lt;25</v>
      </c>
      <c r="J12" s="14">
        <f>IF(Table1[[#This Row],[Weight Unit]]="oz",Table1[[#This Row],[Weight (Digits)]]/16, Table1[[#This Row],[Weight (Digits)]]/1)</f>
        <v>39</v>
      </c>
      <c r="K1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2" s="1" t="s">
        <v>725</v>
      </c>
      <c r="M12" s="1" t="str">
        <f>IF(COUNTIF(Table2[Animal],Table1[[#This Row],[Animal]]) = 1, "Previous Participant", "New Participant")</f>
        <v>Previous Participant</v>
      </c>
      <c r="N12" s="1" t="str">
        <f>_xlfn.XLOOKUP(Table1[[#This Row],[Region]],'Support - Tables'!$B$3:$B$10,'Support - Tables'!$D$3:$D$10,"Not Found",0)</f>
        <v>Air</v>
      </c>
      <c r="O12" s="6">
        <f>_xlfn.XLOOKUP(Table1[[#This Row],[Region]],'Support - Tables'!$B$3:$B$10,'Support - Tables'!$C$3:$C$10, "Not Found",0)</f>
        <v>600</v>
      </c>
      <c r="P12" s="6">
        <f>_xlfn.XLOOKUP(Table1[[#This Row],[Diet]],'Support - Tables'!$B$14:$B$16,'Support - Tables'!$C$14:$C$16, "Not Found", 0)</f>
        <v>500</v>
      </c>
      <c r="Q12" s="6">
        <f>Table1[[#This Row],[Revenue]]-Table1[[#This Row],[Cost]]</f>
        <v>100</v>
      </c>
      <c r="R12" s="6">
        <f>COUNTBLANK(Table1[[#This Row],[Diet]:[Region]])</f>
        <v>0</v>
      </c>
      <c r="S12" s="6"/>
      <c r="T12" s="6"/>
    </row>
    <row r="13" spans="1:23" x14ac:dyDescent="0.25">
      <c r="A13" s="2" t="s">
        <v>31</v>
      </c>
      <c r="B13" s="1" t="s">
        <v>13</v>
      </c>
      <c r="C13" s="1">
        <v>12</v>
      </c>
      <c r="D13" s="1" t="s">
        <v>706</v>
      </c>
      <c r="E13" s="1">
        <f>IF(Table1[[#This Row],[Lifespan Unit]]="months", Table1[[#This Row],[Lifespan]]/12,Table1[[#This Row],[Lifespan]])</f>
        <v>12</v>
      </c>
      <c r="F13" s="1" t="s">
        <v>32</v>
      </c>
      <c r="G13" s="1" t="str">
        <f t="shared" si="0"/>
        <v>44</v>
      </c>
      <c r="H13" s="1" t="str">
        <f t="shared" si="1"/>
        <v>lbs</v>
      </c>
      <c r="I13" s="1" t="str">
        <f>IF(Table1[[#This Row],[Lifespan (Years)]]&lt;25, "&lt;25", IF(Table1[[#This Row],[Lifespan (Years)]]&lt;50, "25-49", IF(Table1[[#This Row],[Lifespan (Years)]]&lt;75, "50-74", IF(Table1[[#This Row],[Lifespan (Years)]]&lt;100, "75-99", "&gt;=100"))))</f>
        <v>&lt;25</v>
      </c>
      <c r="J13" s="14">
        <f>IF(Table1[[#This Row],[Weight Unit]]="oz",Table1[[#This Row],[Weight (Digits)]]/16, Table1[[#This Row],[Weight (Digits)]]/1)</f>
        <v>44</v>
      </c>
      <c r="K1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3" s="1" t="s">
        <v>1</v>
      </c>
      <c r="M13" s="1" t="str">
        <f>IF(COUNTIF(Table2[Animal],Table1[[#This Row],[Animal]]) = 1, "Previous Participant", "New Participant")</f>
        <v>Previous Participant</v>
      </c>
      <c r="N13" s="1" t="str">
        <f>_xlfn.XLOOKUP(Table1[[#This Row],[Region]],'Support - Tables'!$B$3:$B$10,'Support - Tables'!$D$3:$D$10,"Not Found",0)</f>
        <v>Air</v>
      </c>
      <c r="O13" s="6">
        <f>_xlfn.XLOOKUP(Table1[[#This Row],[Region]],'Support - Tables'!$B$3:$B$10,'Support - Tables'!$C$3:$C$10, "Not Found",0)</f>
        <v>700</v>
      </c>
      <c r="P13" s="6">
        <f>_xlfn.XLOOKUP(Table1[[#This Row],[Diet]],'Support - Tables'!$B$14:$B$16,'Support - Tables'!$C$14:$C$16, "Not Found", 0)</f>
        <v>400</v>
      </c>
      <c r="Q13" s="6">
        <f>Table1[[#This Row],[Revenue]]-Table1[[#This Row],[Cost]]</f>
        <v>300</v>
      </c>
      <c r="R13" s="6">
        <f>COUNTBLANK(Table1[[#This Row],[Diet]:[Region]])</f>
        <v>0</v>
      </c>
      <c r="S13" s="6"/>
      <c r="T13" s="6"/>
    </row>
    <row r="14" spans="1:23" x14ac:dyDescent="0.25">
      <c r="A14" s="2" t="s">
        <v>33</v>
      </c>
      <c r="B14" s="1" t="s">
        <v>13</v>
      </c>
      <c r="C14" s="1">
        <v>11</v>
      </c>
      <c r="D14" s="1" t="s">
        <v>706</v>
      </c>
      <c r="E14" s="1">
        <f>IF(Table1[[#This Row],[Lifespan Unit]]="months", Table1[[#This Row],[Lifespan]]/12,Table1[[#This Row],[Lifespan]])</f>
        <v>11</v>
      </c>
      <c r="F14" s="1" t="s">
        <v>34</v>
      </c>
      <c r="G14" s="1" t="str">
        <f t="shared" si="0"/>
        <v>140</v>
      </c>
      <c r="H14" s="1" t="str">
        <f t="shared" si="1"/>
        <v>lbs</v>
      </c>
      <c r="I14" s="1" t="str">
        <f>IF(Table1[[#This Row],[Lifespan (Years)]]&lt;25, "&lt;25", IF(Table1[[#This Row],[Lifespan (Years)]]&lt;50, "25-49", IF(Table1[[#This Row],[Lifespan (Years)]]&lt;75, "50-74", IF(Table1[[#This Row],[Lifespan (Years)]]&lt;100, "75-99", "&gt;=100"))))</f>
        <v>&lt;25</v>
      </c>
      <c r="J14" s="14">
        <f>IF(Table1[[#This Row],[Weight Unit]]="oz",Table1[[#This Row],[Weight (Digits)]]/16, Table1[[#This Row],[Weight (Digits)]]/1)</f>
        <v>140</v>
      </c>
      <c r="K1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14" s="1" t="s">
        <v>725</v>
      </c>
      <c r="M14" s="1" t="str">
        <f>IF(COUNTIF(Table2[Animal],Table1[[#This Row],[Animal]]) = 1, "Previous Participant", "New Participant")</f>
        <v>Previous Participant</v>
      </c>
      <c r="N14" s="1" t="str">
        <f>_xlfn.XLOOKUP(Table1[[#This Row],[Region]],'Support - Tables'!$B$3:$B$10,'Support - Tables'!$D$3:$D$10,"Not Found",0)</f>
        <v>Air</v>
      </c>
      <c r="O14" s="6">
        <f>_xlfn.XLOOKUP(Table1[[#This Row],[Region]],'Support - Tables'!$B$3:$B$10,'Support - Tables'!$C$3:$C$10, "Not Found",0)</f>
        <v>600</v>
      </c>
      <c r="P14" s="6">
        <f>_xlfn.XLOOKUP(Table1[[#This Row],[Diet]],'Support - Tables'!$B$14:$B$16,'Support - Tables'!$C$14:$C$16, "Not Found", 0)</f>
        <v>400</v>
      </c>
      <c r="Q14" s="6">
        <f>Table1[[#This Row],[Revenue]]-Table1[[#This Row],[Cost]]</f>
        <v>200</v>
      </c>
      <c r="R14" s="6">
        <f>COUNTBLANK(Table1[[#This Row],[Diet]:[Region]])</f>
        <v>0</v>
      </c>
      <c r="S14" s="6"/>
      <c r="T14" s="6"/>
    </row>
    <row r="15" spans="1:23" x14ac:dyDescent="0.25">
      <c r="A15" s="2" t="s">
        <v>35</v>
      </c>
      <c r="B15" s="1" t="s">
        <v>13</v>
      </c>
      <c r="C15" s="1">
        <v>10</v>
      </c>
      <c r="D15" s="1" t="s">
        <v>706</v>
      </c>
      <c r="E15" s="1">
        <f>IF(Table1[[#This Row],[Lifespan Unit]]="months", Table1[[#This Row],[Lifespan]]/12,Table1[[#This Row],[Lifespan]])</f>
        <v>10</v>
      </c>
      <c r="F15" s="1" t="s">
        <v>36</v>
      </c>
      <c r="G15" s="1" t="str">
        <f t="shared" si="0"/>
        <v>110</v>
      </c>
      <c r="H15" s="1" t="str">
        <f t="shared" si="1"/>
        <v>lbs</v>
      </c>
      <c r="I15" s="1" t="str">
        <f>IF(Table1[[#This Row],[Lifespan (Years)]]&lt;25, "&lt;25", IF(Table1[[#This Row],[Lifespan (Years)]]&lt;50, "25-49", IF(Table1[[#This Row],[Lifespan (Years)]]&lt;75, "50-74", IF(Table1[[#This Row],[Lifespan (Years)]]&lt;100, "75-99", "&gt;=100"))))</f>
        <v>&lt;25</v>
      </c>
      <c r="J15" s="14">
        <f>IF(Table1[[#This Row],[Weight Unit]]="oz",Table1[[#This Row],[Weight (Digits)]]/16, Table1[[#This Row],[Weight (Digits)]]/1)</f>
        <v>110</v>
      </c>
      <c r="K1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15" s="1" t="s">
        <v>725</v>
      </c>
      <c r="M15" s="1" t="str">
        <f>IF(COUNTIF(Table2[Animal],Table1[[#This Row],[Animal]]) = 1, "Previous Participant", "New Participant")</f>
        <v>Previous Participant</v>
      </c>
      <c r="N15" s="1" t="str">
        <f>_xlfn.XLOOKUP(Table1[[#This Row],[Region]],'Support - Tables'!$B$3:$B$10,'Support - Tables'!$D$3:$D$10,"Not Found",0)</f>
        <v>Air</v>
      </c>
      <c r="O15" s="6">
        <f>_xlfn.XLOOKUP(Table1[[#This Row],[Region]],'Support - Tables'!$B$3:$B$10,'Support - Tables'!$C$3:$C$10, "Not Found",0)</f>
        <v>600</v>
      </c>
      <c r="P15" s="6">
        <f>_xlfn.XLOOKUP(Table1[[#This Row],[Diet]],'Support - Tables'!$B$14:$B$16,'Support - Tables'!$C$14:$C$16, "Not Found", 0)</f>
        <v>400</v>
      </c>
      <c r="Q15" s="6">
        <f>Table1[[#This Row],[Revenue]]-Table1[[#This Row],[Cost]]</f>
        <v>200</v>
      </c>
      <c r="R15" s="6">
        <f>COUNTBLANK(Table1[[#This Row],[Diet]:[Region]])</f>
        <v>0</v>
      </c>
      <c r="S15" s="6"/>
      <c r="T15" s="6"/>
    </row>
    <row r="16" spans="1:23" x14ac:dyDescent="0.25">
      <c r="A16" s="2" t="s">
        <v>37</v>
      </c>
      <c r="B16" s="1" t="s">
        <v>13</v>
      </c>
      <c r="C16" s="1">
        <v>14</v>
      </c>
      <c r="D16" s="1" t="s">
        <v>706</v>
      </c>
      <c r="E16" s="1">
        <f>IF(Table1[[#This Row],[Lifespan Unit]]="months", Table1[[#This Row],[Lifespan]]/12,Table1[[#This Row],[Lifespan]])</f>
        <v>14</v>
      </c>
      <c r="F16" s="1" t="s">
        <v>38</v>
      </c>
      <c r="G16" s="1" t="str">
        <f t="shared" si="0"/>
        <v>85</v>
      </c>
      <c r="H16" s="1" t="str">
        <f t="shared" si="1"/>
        <v>lbs</v>
      </c>
      <c r="I16" s="1" t="str">
        <f>IF(Table1[[#This Row],[Lifespan (Years)]]&lt;25, "&lt;25", IF(Table1[[#This Row],[Lifespan (Years)]]&lt;50, "25-49", IF(Table1[[#This Row],[Lifespan (Years)]]&lt;75, "50-74", IF(Table1[[#This Row],[Lifespan (Years)]]&lt;100, "75-99", "&gt;=100"))))</f>
        <v>&lt;25</v>
      </c>
      <c r="J16" s="14">
        <f>IF(Table1[[#This Row],[Weight Unit]]="oz",Table1[[#This Row],[Weight (Digits)]]/16, Table1[[#This Row],[Weight (Digits)]]/1)</f>
        <v>85</v>
      </c>
      <c r="K1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6" s="1" t="s">
        <v>724</v>
      </c>
      <c r="M16" s="1" t="str">
        <f>IF(COUNTIF(Table2[Animal],Table1[[#This Row],[Animal]]) = 1, "Previous Participant", "New Participant")</f>
        <v>New Participant</v>
      </c>
      <c r="N16" s="1" t="str">
        <f>_xlfn.XLOOKUP(Table1[[#This Row],[Region]],'Support - Tables'!$B$3:$B$10,'Support - Tables'!$D$3:$D$10,"Not Found",0)</f>
        <v>Road</v>
      </c>
      <c r="O16" s="6">
        <f>_xlfn.XLOOKUP(Table1[[#This Row],[Region]],'Support - Tables'!$B$3:$B$10,'Support - Tables'!$C$3:$C$10, "Not Found",0)</f>
        <v>450</v>
      </c>
      <c r="P16" s="6">
        <f>_xlfn.XLOOKUP(Table1[[#This Row],[Diet]],'Support - Tables'!$B$14:$B$16,'Support - Tables'!$C$14:$C$16, "Not Found", 0)</f>
        <v>400</v>
      </c>
      <c r="Q16" s="6">
        <f>Table1[[#This Row],[Revenue]]-Table1[[#This Row],[Cost]]</f>
        <v>50</v>
      </c>
      <c r="R16" s="6">
        <f>COUNTBLANK(Table1[[#This Row],[Diet]:[Region]])</f>
        <v>0</v>
      </c>
      <c r="S16" s="6"/>
      <c r="T16" s="6"/>
    </row>
    <row r="17" spans="1:20" x14ac:dyDescent="0.25">
      <c r="A17" s="2" t="s">
        <v>39</v>
      </c>
      <c r="B17" s="1" t="s">
        <v>15</v>
      </c>
      <c r="C17" s="1">
        <v>40</v>
      </c>
      <c r="D17" s="1" t="s">
        <v>706</v>
      </c>
      <c r="E17" s="1">
        <f>IF(Table1[[#This Row],[Lifespan Unit]]="months", Table1[[#This Row],[Lifespan]]/12,Table1[[#This Row],[Lifespan]])</f>
        <v>40</v>
      </c>
      <c r="F17" s="1" t="s">
        <v>571</v>
      </c>
      <c r="G17" s="1" t="str">
        <f t="shared" si="0"/>
        <v>17</v>
      </c>
      <c r="H17" s="1" t="str">
        <f t="shared" si="1"/>
        <v>lbs</v>
      </c>
      <c r="I17" s="1" t="str">
        <f>IF(Table1[[#This Row],[Lifespan (Years)]]&lt;25, "&lt;25", IF(Table1[[#This Row],[Lifespan (Years)]]&lt;50, "25-49", IF(Table1[[#This Row],[Lifespan (Years)]]&lt;75, "50-74", IF(Table1[[#This Row],[Lifespan (Years)]]&lt;100, "75-99", "&gt;=100"))))</f>
        <v>25-49</v>
      </c>
      <c r="J17" s="14">
        <f>IF(Table1[[#This Row],[Weight Unit]]="oz",Table1[[#This Row],[Weight (Digits)]]/16, Table1[[#This Row],[Weight (Digits)]]/1)</f>
        <v>17</v>
      </c>
      <c r="K1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7" s="1" t="s">
        <v>725</v>
      </c>
      <c r="M17" s="1" t="str">
        <f>IF(COUNTIF(Table2[Animal],Table1[[#This Row],[Animal]]) = 1, "Previous Participant", "New Participant")</f>
        <v>Previous Participant</v>
      </c>
      <c r="N17" s="1" t="str">
        <f>_xlfn.XLOOKUP(Table1[[#This Row],[Region]],'Support - Tables'!$B$3:$B$10,'Support - Tables'!$D$3:$D$10,"Not Found",0)</f>
        <v>Air</v>
      </c>
      <c r="O17" s="6">
        <f>_xlfn.XLOOKUP(Table1[[#This Row],[Region]],'Support - Tables'!$B$3:$B$10,'Support - Tables'!$C$3:$C$10, "Not Found",0)</f>
        <v>600</v>
      </c>
      <c r="P17" s="6">
        <f>_xlfn.XLOOKUP(Table1[[#This Row],[Diet]],'Support - Tables'!$B$14:$B$16,'Support - Tables'!$C$14:$C$16, "Not Found", 0)</f>
        <v>500</v>
      </c>
      <c r="Q17" s="6">
        <f>Table1[[#This Row],[Revenue]]-Table1[[#This Row],[Cost]]</f>
        <v>100</v>
      </c>
      <c r="R17" s="6">
        <f>COUNTBLANK(Table1[[#This Row],[Diet]:[Region]])</f>
        <v>0</v>
      </c>
      <c r="S17" s="6"/>
      <c r="T17" s="6"/>
    </row>
    <row r="18" spans="1:20" x14ac:dyDescent="0.25">
      <c r="A18" s="2" t="s">
        <v>40</v>
      </c>
      <c r="B18" s="1" t="s">
        <v>23</v>
      </c>
      <c r="C18" s="1">
        <v>255</v>
      </c>
      <c r="D18" s="1" t="s">
        <v>706</v>
      </c>
      <c r="E18" s="1">
        <f>IF(Table1[[#This Row],[Lifespan Unit]]="months", Table1[[#This Row],[Lifespan]]/12,Table1[[#This Row],[Lifespan]])</f>
        <v>255</v>
      </c>
      <c r="F18" s="1" t="s">
        <v>497</v>
      </c>
      <c r="G18" s="1" t="str">
        <f t="shared" si="0"/>
        <v>330</v>
      </c>
      <c r="H18" s="1" t="str">
        <f t="shared" si="1"/>
        <v>lbs</v>
      </c>
      <c r="I18" s="1" t="str">
        <f>IF(Table1[[#This Row],[Lifespan (Years)]]&lt;25, "&lt;25", IF(Table1[[#This Row],[Lifespan (Years)]]&lt;50, "25-49", IF(Table1[[#This Row],[Lifespan (Years)]]&lt;75, "50-74", IF(Table1[[#This Row],[Lifespan (Years)]]&lt;100, "75-99", "&gt;=100"))))</f>
        <v>&gt;=100</v>
      </c>
      <c r="J18" s="14">
        <f>IF(Table1[[#This Row],[Weight Unit]]="oz",Table1[[#This Row],[Weight (Digits)]]/16, Table1[[#This Row],[Weight (Digits)]]/1)</f>
        <v>330</v>
      </c>
      <c r="K1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300-399</v>
      </c>
      <c r="L18" s="1" t="s">
        <v>725</v>
      </c>
      <c r="M18" s="1" t="str">
        <f>IF(COUNTIF(Table2[Animal],Table1[[#This Row],[Animal]]) = 1, "Previous Participant", "New Participant")</f>
        <v>Previous Participant</v>
      </c>
      <c r="N18" s="1" t="str">
        <f>_xlfn.XLOOKUP(Table1[[#This Row],[Region]],'Support - Tables'!$B$3:$B$10,'Support - Tables'!$D$3:$D$10,"Not Found",0)</f>
        <v>Air</v>
      </c>
      <c r="O18" s="6">
        <f>_xlfn.XLOOKUP(Table1[[#This Row],[Region]],'Support - Tables'!$B$3:$B$10,'Support - Tables'!$C$3:$C$10, "Not Found",0)</f>
        <v>600</v>
      </c>
      <c r="P18" s="6">
        <f>_xlfn.XLOOKUP(Table1[[#This Row],[Diet]],'Support - Tables'!$B$14:$B$16,'Support - Tables'!$C$14:$C$16, "Not Found", 0)</f>
        <v>300</v>
      </c>
      <c r="Q18" s="6">
        <f>Table1[[#This Row],[Revenue]]-Table1[[#This Row],[Cost]]</f>
        <v>300</v>
      </c>
      <c r="R18" s="6">
        <f>COUNTBLANK(Table1[[#This Row],[Diet]:[Region]])</f>
        <v>0</v>
      </c>
      <c r="S18" s="6"/>
      <c r="T18" s="6"/>
    </row>
    <row r="19" spans="1:20" x14ac:dyDescent="0.25">
      <c r="A19" s="2" t="s">
        <v>41</v>
      </c>
      <c r="B19" s="1" t="s">
        <v>15</v>
      </c>
      <c r="C19" s="1">
        <v>60</v>
      </c>
      <c r="D19" s="1" t="s">
        <v>706</v>
      </c>
      <c r="E19" s="1">
        <f>IF(Table1[[#This Row],[Lifespan Unit]]="months", Table1[[#This Row],[Lifespan]]/12,Table1[[#This Row],[Lifespan]])</f>
        <v>60</v>
      </c>
      <c r="F19" s="1" t="s">
        <v>572</v>
      </c>
      <c r="G19" s="1" t="str">
        <f t="shared" si="0"/>
        <v>400</v>
      </c>
      <c r="H19" s="1" t="str">
        <f t="shared" si="1"/>
        <v>lbs</v>
      </c>
      <c r="I19" s="1" t="str">
        <f>IF(Table1[[#This Row],[Lifespan (Years)]]&lt;25, "&lt;25", IF(Table1[[#This Row],[Lifespan (Years)]]&lt;50, "25-49", IF(Table1[[#This Row],[Lifespan (Years)]]&lt;75, "50-74", IF(Table1[[#This Row],[Lifespan (Years)]]&lt;100, "75-99", "&gt;=100"))))</f>
        <v>50-74</v>
      </c>
      <c r="J19" s="14">
        <f>IF(Table1[[#This Row],[Weight Unit]]="oz",Table1[[#This Row],[Weight (Digits)]]/16, Table1[[#This Row],[Weight (Digits)]]/1)</f>
        <v>400</v>
      </c>
      <c r="K1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400-499</v>
      </c>
      <c r="L19" s="1" t="s">
        <v>4</v>
      </c>
      <c r="M19" s="1" t="str">
        <f>IF(COUNTIF(Table2[Animal],Table1[[#This Row],[Animal]]) = 1, "Previous Participant", "New Participant")</f>
        <v>Previous Participant</v>
      </c>
      <c r="N19" s="1" t="str">
        <f>_xlfn.XLOOKUP(Table1[[#This Row],[Region]],'Support - Tables'!$B$3:$B$10,'Support - Tables'!$D$3:$D$10,"Not Found",0)</f>
        <v>Boat</v>
      </c>
      <c r="O19" s="6">
        <f>_xlfn.XLOOKUP(Table1[[#This Row],[Region]],'Support - Tables'!$B$3:$B$10,'Support - Tables'!$C$3:$C$10, "Not Found",0)</f>
        <v>200</v>
      </c>
      <c r="P19" s="6">
        <f>_xlfn.XLOOKUP(Table1[[#This Row],[Diet]],'Support - Tables'!$B$14:$B$16,'Support - Tables'!$C$14:$C$16, "Not Found", 0)</f>
        <v>500</v>
      </c>
      <c r="Q19" s="6">
        <f>Table1[[#This Row],[Revenue]]-Table1[[#This Row],[Cost]]</f>
        <v>-300</v>
      </c>
      <c r="R19" s="6">
        <f>COUNTBLANK(Table1[[#This Row],[Diet]:[Region]])</f>
        <v>0</v>
      </c>
      <c r="S19" s="6"/>
      <c r="T19" s="6"/>
    </row>
    <row r="20" spans="1:20" x14ac:dyDescent="0.25">
      <c r="A20" s="2" t="s">
        <v>42</v>
      </c>
      <c r="B20" s="1" t="s">
        <v>13</v>
      </c>
      <c r="C20" s="1">
        <v>12</v>
      </c>
      <c r="D20" s="1" t="s">
        <v>706</v>
      </c>
      <c r="E20" s="1">
        <f>IF(Table1[[#This Row],[Lifespan Unit]]="months", Table1[[#This Row],[Lifespan]]/12,Table1[[#This Row],[Lifespan]])</f>
        <v>12</v>
      </c>
      <c r="F20" s="1" t="s">
        <v>43</v>
      </c>
      <c r="G20" s="1" t="str">
        <f t="shared" si="0"/>
        <v>40</v>
      </c>
      <c r="H20" s="1" t="str">
        <f t="shared" si="1"/>
        <v>lbs</v>
      </c>
      <c r="I20" s="1" t="str">
        <f>IF(Table1[[#This Row],[Lifespan (Years)]]&lt;25, "&lt;25", IF(Table1[[#This Row],[Lifespan (Years)]]&lt;50, "25-49", IF(Table1[[#This Row],[Lifespan (Years)]]&lt;75, "50-74", IF(Table1[[#This Row],[Lifespan (Years)]]&lt;100, "75-99", "&gt;=100"))))</f>
        <v>&lt;25</v>
      </c>
      <c r="J20" s="14">
        <f>IF(Table1[[#This Row],[Weight Unit]]="oz",Table1[[#This Row],[Weight (Digits)]]/16, Table1[[#This Row],[Weight (Digits)]]/1)</f>
        <v>40</v>
      </c>
      <c r="K2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0" s="1" t="s">
        <v>6</v>
      </c>
      <c r="M20" s="1" t="str">
        <f>IF(COUNTIF(Table2[Animal],Table1[[#This Row],[Animal]]) = 1, "Previous Participant", "New Participant")</f>
        <v>Previous Participant</v>
      </c>
      <c r="N20" s="1" t="str">
        <f>_xlfn.XLOOKUP(Table1[[#This Row],[Region]],'Support - Tables'!$B$3:$B$10,'Support - Tables'!$D$3:$D$10,"Not Found",0)</f>
        <v>Air</v>
      </c>
      <c r="O20" s="6">
        <f>_xlfn.XLOOKUP(Table1[[#This Row],[Region]],'Support - Tables'!$B$3:$B$10,'Support - Tables'!$C$3:$C$10, "Not Found",0)</f>
        <v>450</v>
      </c>
      <c r="P20" s="6">
        <f>_xlfn.XLOOKUP(Table1[[#This Row],[Diet]],'Support - Tables'!$B$14:$B$16,'Support - Tables'!$C$14:$C$16, "Not Found", 0)</f>
        <v>400</v>
      </c>
      <c r="Q20" s="6">
        <f>Table1[[#This Row],[Revenue]]-Table1[[#This Row],[Cost]]</f>
        <v>50</v>
      </c>
      <c r="R20" s="6">
        <f>COUNTBLANK(Table1[[#This Row],[Diet]:[Region]])</f>
        <v>0</v>
      </c>
      <c r="S20" s="6"/>
      <c r="T20" s="6"/>
    </row>
    <row r="21" spans="1:20" x14ac:dyDescent="0.25">
      <c r="A21" s="2" t="s">
        <v>44</v>
      </c>
      <c r="B21" s="1" t="s">
        <v>13</v>
      </c>
      <c r="C21" s="1">
        <v>14</v>
      </c>
      <c r="D21" s="1" t="s">
        <v>706</v>
      </c>
      <c r="E21" s="1">
        <f>IF(Table1[[#This Row],[Lifespan Unit]]="months", Table1[[#This Row],[Lifespan]]/12,Table1[[#This Row],[Lifespan]])</f>
        <v>14</v>
      </c>
      <c r="F21" s="1" t="s">
        <v>45</v>
      </c>
      <c r="G21" s="1" t="str">
        <f t="shared" si="0"/>
        <v>105</v>
      </c>
      <c r="H21" s="1" t="str">
        <f t="shared" si="1"/>
        <v>lbs</v>
      </c>
      <c r="I21" s="1" t="str">
        <f>IF(Table1[[#This Row],[Lifespan (Years)]]&lt;25, "&lt;25", IF(Table1[[#This Row],[Lifespan (Years)]]&lt;50, "25-49", IF(Table1[[#This Row],[Lifespan (Years)]]&lt;75, "50-74", IF(Table1[[#This Row],[Lifespan (Years)]]&lt;100, "75-99", "&gt;=100"))))</f>
        <v>&lt;25</v>
      </c>
      <c r="J21" s="14">
        <f>IF(Table1[[#This Row],[Weight Unit]]="oz",Table1[[#This Row],[Weight (Digits)]]/16, Table1[[#This Row],[Weight (Digits)]]/1)</f>
        <v>105</v>
      </c>
      <c r="K2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21" s="1" t="s">
        <v>724</v>
      </c>
      <c r="M21" s="1" t="str">
        <f>IF(COUNTIF(Table2[Animal],Table1[[#This Row],[Animal]]) = 1, "Previous Participant", "New Participant")</f>
        <v>New Participant</v>
      </c>
      <c r="N21" s="1" t="str">
        <f>_xlfn.XLOOKUP(Table1[[#This Row],[Region]],'Support - Tables'!$B$3:$B$10,'Support - Tables'!$D$3:$D$10,"Not Found",0)</f>
        <v>Road</v>
      </c>
      <c r="O21" s="6">
        <f>_xlfn.XLOOKUP(Table1[[#This Row],[Region]],'Support - Tables'!$B$3:$B$10,'Support - Tables'!$C$3:$C$10, "Not Found",0)</f>
        <v>450</v>
      </c>
      <c r="P21" s="6">
        <f>_xlfn.XLOOKUP(Table1[[#This Row],[Diet]],'Support - Tables'!$B$14:$B$16,'Support - Tables'!$C$14:$C$16, "Not Found", 0)</f>
        <v>400</v>
      </c>
      <c r="Q21" s="6">
        <f>Table1[[#This Row],[Revenue]]-Table1[[#This Row],[Cost]]</f>
        <v>50</v>
      </c>
      <c r="R21" s="6">
        <f>COUNTBLANK(Table1[[#This Row],[Diet]:[Region]])</f>
        <v>0</v>
      </c>
      <c r="S21" s="6"/>
      <c r="T21" s="6"/>
    </row>
    <row r="22" spans="1:20" x14ac:dyDescent="0.25">
      <c r="A22" s="2" t="s">
        <v>46</v>
      </c>
      <c r="B22" s="1" t="s">
        <v>13</v>
      </c>
      <c r="C22" s="1">
        <v>15</v>
      </c>
      <c r="D22" s="1" t="s">
        <v>706</v>
      </c>
      <c r="E22" s="1">
        <f>IF(Table1[[#This Row],[Lifespan Unit]]="months", Table1[[#This Row],[Lifespan]]/12,Table1[[#This Row],[Lifespan]])</f>
        <v>15</v>
      </c>
      <c r="F22" s="1" t="s">
        <v>47</v>
      </c>
      <c r="G22" s="1" t="str">
        <f t="shared" si="0"/>
        <v>28</v>
      </c>
      <c r="H22" s="1" t="str">
        <f t="shared" si="1"/>
        <v>lbs</v>
      </c>
      <c r="I22" s="1" t="str">
        <f>IF(Table1[[#This Row],[Lifespan (Years)]]&lt;25, "&lt;25", IF(Table1[[#This Row],[Lifespan (Years)]]&lt;50, "25-49", IF(Table1[[#This Row],[Lifespan (Years)]]&lt;75, "50-74", IF(Table1[[#This Row],[Lifespan (Years)]]&lt;100, "75-99", "&gt;=100"))))</f>
        <v>&lt;25</v>
      </c>
      <c r="J22" s="14">
        <f>IF(Table1[[#This Row],[Weight Unit]]="oz",Table1[[#This Row],[Weight (Digits)]]/16, Table1[[#This Row],[Weight (Digits)]]/1)</f>
        <v>28</v>
      </c>
      <c r="K2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2" s="1" t="s">
        <v>724</v>
      </c>
      <c r="M22" s="1" t="str">
        <f>IF(COUNTIF(Table2[Animal],Table1[[#This Row],[Animal]]) = 1, "Previous Participant", "New Participant")</f>
        <v>New Participant</v>
      </c>
      <c r="N22" s="1" t="str">
        <f>_xlfn.XLOOKUP(Table1[[#This Row],[Region]],'Support - Tables'!$B$3:$B$10,'Support - Tables'!$D$3:$D$10,"Not Found",0)</f>
        <v>Road</v>
      </c>
      <c r="O22" s="6">
        <f>_xlfn.XLOOKUP(Table1[[#This Row],[Region]],'Support - Tables'!$B$3:$B$10,'Support - Tables'!$C$3:$C$10, "Not Found",0)</f>
        <v>450</v>
      </c>
      <c r="P22" s="6">
        <f>_xlfn.XLOOKUP(Table1[[#This Row],[Diet]],'Support - Tables'!$B$14:$B$16,'Support - Tables'!$C$14:$C$16, "Not Found", 0)</f>
        <v>400</v>
      </c>
      <c r="Q22" s="6">
        <f>Table1[[#This Row],[Revenue]]-Table1[[#This Row],[Cost]]</f>
        <v>50</v>
      </c>
      <c r="R22" s="6">
        <f>COUNTBLANK(Table1[[#This Row],[Diet]:[Region]])</f>
        <v>0</v>
      </c>
      <c r="S22" s="6"/>
      <c r="T22" s="6"/>
    </row>
    <row r="23" spans="1:20" x14ac:dyDescent="0.25">
      <c r="A23" s="2" t="s">
        <v>48</v>
      </c>
      <c r="B23" s="1" t="s">
        <v>13</v>
      </c>
      <c r="C23" s="1">
        <v>15</v>
      </c>
      <c r="D23" s="1" t="s">
        <v>706</v>
      </c>
      <c r="E23" s="1">
        <f>IF(Table1[[#This Row],[Lifespan Unit]]="months", Table1[[#This Row],[Lifespan]]/12,Table1[[#This Row],[Lifespan]])</f>
        <v>15</v>
      </c>
      <c r="F23" s="1" t="s">
        <v>49</v>
      </c>
      <c r="G23" s="1" t="str">
        <f t="shared" si="0"/>
        <v>20</v>
      </c>
      <c r="H23" s="1" t="str">
        <f t="shared" si="1"/>
        <v>lbs</v>
      </c>
      <c r="I23" s="1" t="str">
        <f>IF(Table1[[#This Row],[Lifespan (Years)]]&lt;25, "&lt;25", IF(Table1[[#This Row],[Lifespan (Years)]]&lt;50, "25-49", IF(Table1[[#This Row],[Lifespan (Years)]]&lt;75, "50-74", IF(Table1[[#This Row],[Lifespan (Years)]]&lt;100, "75-99", "&gt;=100"))))</f>
        <v>&lt;25</v>
      </c>
      <c r="J23" s="14">
        <f>IF(Table1[[#This Row],[Weight Unit]]="oz",Table1[[#This Row],[Weight (Digits)]]/16, Table1[[#This Row],[Weight (Digits)]]/1)</f>
        <v>20</v>
      </c>
      <c r="K2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3" s="1" t="s">
        <v>5</v>
      </c>
      <c r="M23" s="1" t="str">
        <f>IF(COUNTIF(Table2[Animal],Table1[[#This Row],[Animal]]) = 1, "Previous Participant", "New Participant")</f>
        <v>Previous Participant</v>
      </c>
      <c r="N23" s="1" t="str">
        <f>_xlfn.XLOOKUP(Table1[[#This Row],[Region]],'Support - Tables'!$B$3:$B$10,'Support - Tables'!$D$3:$D$10,"Not Found",0)</f>
        <v>Boat</v>
      </c>
      <c r="O23" s="6">
        <f>_xlfn.XLOOKUP(Table1[[#This Row],[Region]],'Support - Tables'!$B$3:$B$10,'Support - Tables'!$C$3:$C$10, "Not Found",0)</f>
        <v>400</v>
      </c>
      <c r="P23" s="6">
        <f>_xlfn.XLOOKUP(Table1[[#This Row],[Diet]],'Support - Tables'!$B$14:$B$16,'Support - Tables'!$C$14:$C$16, "Not Found", 0)</f>
        <v>400</v>
      </c>
      <c r="Q23" s="6">
        <f>Table1[[#This Row],[Revenue]]-Table1[[#This Row],[Cost]]</f>
        <v>0</v>
      </c>
      <c r="R23" s="6">
        <f>COUNTBLANK(Table1[[#This Row],[Diet]:[Region]])</f>
        <v>0</v>
      </c>
      <c r="S23" s="6"/>
      <c r="T23" s="6"/>
    </row>
    <row r="24" spans="1:20" x14ac:dyDescent="0.25">
      <c r="A24" s="2" t="s">
        <v>50</v>
      </c>
      <c r="B24" s="1" t="s">
        <v>13</v>
      </c>
      <c r="C24" s="1">
        <v>11</v>
      </c>
      <c r="D24" s="1" t="s">
        <v>706</v>
      </c>
      <c r="E24" s="1">
        <f>IF(Table1[[#This Row],[Lifespan Unit]]="months", Table1[[#This Row],[Lifespan]]/12,Table1[[#This Row],[Lifespan]])</f>
        <v>11</v>
      </c>
      <c r="F24" s="1" t="s">
        <v>30</v>
      </c>
      <c r="G24" s="1" t="str">
        <f t="shared" si="0"/>
        <v>65</v>
      </c>
      <c r="H24" s="1" t="str">
        <f t="shared" si="1"/>
        <v>lbs</v>
      </c>
      <c r="I24" s="1" t="str">
        <f>IF(Table1[[#This Row],[Lifespan (Years)]]&lt;25, "&lt;25", IF(Table1[[#This Row],[Lifespan (Years)]]&lt;50, "25-49", IF(Table1[[#This Row],[Lifespan (Years)]]&lt;75, "50-74", IF(Table1[[#This Row],[Lifespan (Years)]]&lt;100, "75-99", "&gt;=100"))))</f>
        <v>&lt;25</v>
      </c>
      <c r="J24" s="14">
        <f>IF(Table1[[#This Row],[Weight Unit]]="oz",Table1[[#This Row],[Weight (Digits)]]/16, Table1[[#This Row],[Weight (Digits)]]/1)</f>
        <v>65</v>
      </c>
      <c r="K2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4" s="1" t="s">
        <v>725</v>
      </c>
      <c r="M24" s="1" t="str">
        <f>IF(COUNTIF(Table2[Animal],Table1[[#This Row],[Animal]]) = 1, "Previous Participant", "New Participant")</f>
        <v>Previous Participant</v>
      </c>
      <c r="N24" s="1" t="str">
        <f>_xlfn.XLOOKUP(Table1[[#This Row],[Region]],'Support - Tables'!$B$3:$B$10,'Support - Tables'!$D$3:$D$10,"Not Found",0)</f>
        <v>Air</v>
      </c>
      <c r="O24" s="6">
        <f>_xlfn.XLOOKUP(Table1[[#This Row],[Region]],'Support - Tables'!$B$3:$B$10,'Support - Tables'!$C$3:$C$10, "Not Found",0)</f>
        <v>600</v>
      </c>
      <c r="P24" s="6">
        <f>_xlfn.XLOOKUP(Table1[[#This Row],[Diet]],'Support - Tables'!$B$14:$B$16,'Support - Tables'!$C$14:$C$16, "Not Found", 0)</f>
        <v>400</v>
      </c>
      <c r="Q24" s="6">
        <f>Table1[[#This Row],[Revenue]]-Table1[[#This Row],[Cost]]</f>
        <v>200</v>
      </c>
      <c r="R24" s="6">
        <f>COUNTBLANK(Table1[[#This Row],[Diet]:[Region]])</f>
        <v>0</v>
      </c>
      <c r="S24" s="6"/>
      <c r="T24" s="6"/>
    </row>
    <row r="25" spans="1:20" x14ac:dyDescent="0.25">
      <c r="A25" s="2" t="s">
        <v>51</v>
      </c>
      <c r="B25" s="1" t="s">
        <v>13</v>
      </c>
      <c r="C25" s="1">
        <v>12</v>
      </c>
      <c r="D25" s="1" t="s">
        <v>706</v>
      </c>
      <c r="E25" s="1">
        <f>IF(Table1[[#This Row],[Lifespan Unit]]="months", Table1[[#This Row],[Lifespan]]/12,Table1[[#This Row],[Lifespan]])</f>
        <v>12</v>
      </c>
      <c r="F25" s="1" t="s">
        <v>52</v>
      </c>
      <c r="G25" s="1" t="str">
        <f t="shared" si="0"/>
        <v>80</v>
      </c>
      <c r="H25" s="1" t="str">
        <f t="shared" si="1"/>
        <v>lbs</v>
      </c>
      <c r="I25" s="1" t="str">
        <f>IF(Table1[[#This Row],[Lifespan (Years)]]&lt;25, "&lt;25", IF(Table1[[#This Row],[Lifespan (Years)]]&lt;50, "25-49", IF(Table1[[#This Row],[Lifespan (Years)]]&lt;75, "50-74", IF(Table1[[#This Row],[Lifespan (Years)]]&lt;100, "75-99", "&gt;=100"))))</f>
        <v>&lt;25</v>
      </c>
      <c r="J25" s="14">
        <f>IF(Table1[[#This Row],[Weight Unit]]="oz",Table1[[#This Row],[Weight (Digits)]]/16, Table1[[#This Row],[Weight (Digits)]]/1)</f>
        <v>80</v>
      </c>
      <c r="K2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5" s="1" t="s">
        <v>724</v>
      </c>
      <c r="M25" s="1" t="str">
        <f>IF(COUNTIF(Table2[Animal],Table1[[#This Row],[Animal]]) = 1, "Previous Participant", "New Participant")</f>
        <v>Previous Participant</v>
      </c>
      <c r="N25" s="1" t="str">
        <f>_xlfn.XLOOKUP(Table1[[#This Row],[Region]],'Support - Tables'!$B$3:$B$10,'Support - Tables'!$D$3:$D$10,"Not Found",0)</f>
        <v>Road</v>
      </c>
      <c r="O25" s="6">
        <f>_xlfn.XLOOKUP(Table1[[#This Row],[Region]],'Support - Tables'!$B$3:$B$10,'Support - Tables'!$C$3:$C$10, "Not Found",0)</f>
        <v>450</v>
      </c>
      <c r="P25" s="6">
        <f>_xlfn.XLOOKUP(Table1[[#This Row],[Diet]],'Support - Tables'!$B$14:$B$16,'Support - Tables'!$C$14:$C$16, "Not Found", 0)</f>
        <v>400</v>
      </c>
      <c r="Q25" s="6">
        <f>Table1[[#This Row],[Revenue]]-Table1[[#This Row],[Cost]]</f>
        <v>50</v>
      </c>
      <c r="R25" s="6">
        <f>COUNTBLANK(Table1[[#This Row],[Diet]:[Region]])</f>
        <v>0</v>
      </c>
      <c r="S25" s="6"/>
      <c r="T25" s="6"/>
    </row>
    <row r="26" spans="1:20" x14ac:dyDescent="0.25">
      <c r="A26" s="2" t="s">
        <v>53</v>
      </c>
      <c r="B26" s="1" t="s">
        <v>13</v>
      </c>
      <c r="C26" s="1">
        <v>12</v>
      </c>
      <c r="D26" s="1" t="s">
        <v>706</v>
      </c>
      <c r="E26" s="1">
        <f>IF(Table1[[#This Row],[Lifespan Unit]]="months", Table1[[#This Row],[Lifespan]]/12,Table1[[#This Row],[Lifespan]])</f>
        <v>12</v>
      </c>
      <c r="F26" s="1" t="s">
        <v>54</v>
      </c>
      <c r="G26" s="1" t="str">
        <f t="shared" si="0"/>
        <v>45</v>
      </c>
      <c r="H26" s="1" t="str">
        <f t="shared" si="1"/>
        <v>lbs</v>
      </c>
      <c r="I26" s="1" t="str">
        <f>IF(Table1[[#This Row],[Lifespan (Years)]]&lt;25, "&lt;25", IF(Table1[[#This Row],[Lifespan (Years)]]&lt;50, "25-49", IF(Table1[[#This Row],[Lifespan (Years)]]&lt;75, "50-74", IF(Table1[[#This Row],[Lifespan (Years)]]&lt;100, "75-99", "&gt;=100"))))</f>
        <v>&lt;25</v>
      </c>
      <c r="J26" s="14">
        <f>IF(Table1[[#This Row],[Weight Unit]]="oz",Table1[[#This Row],[Weight (Digits)]]/16, Table1[[#This Row],[Weight (Digits)]]/1)</f>
        <v>45</v>
      </c>
      <c r="K2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6" s="1" t="s">
        <v>6</v>
      </c>
      <c r="M26" s="1" t="str">
        <f>IF(COUNTIF(Table2[Animal],Table1[[#This Row],[Animal]]) = 1, "Previous Participant", "New Participant")</f>
        <v>Previous Participant</v>
      </c>
      <c r="N26" s="1" t="str">
        <f>_xlfn.XLOOKUP(Table1[[#This Row],[Region]],'Support - Tables'!$B$3:$B$10,'Support - Tables'!$D$3:$D$10,"Not Found",0)</f>
        <v>Air</v>
      </c>
      <c r="O26" s="6">
        <f>_xlfn.XLOOKUP(Table1[[#This Row],[Region]],'Support - Tables'!$B$3:$B$10,'Support - Tables'!$C$3:$C$10, "Not Found",0)</f>
        <v>450</v>
      </c>
      <c r="P26" s="6">
        <f>_xlfn.XLOOKUP(Table1[[#This Row],[Diet]],'Support - Tables'!$B$14:$B$16,'Support - Tables'!$C$14:$C$16, "Not Found", 0)</f>
        <v>400</v>
      </c>
      <c r="Q26" s="6">
        <f>Table1[[#This Row],[Revenue]]-Table1[[#This Row],[Cost]]</f>
        <v>50</v>
      </c>
      <c r="R26" s="6">
        <f>COUNTBLANK(Table1[[#This Row],[Diet]:[Region]])</f>
        <v>0</v>
      </c>
      <c r="S26" s="6"/>
      <c r="T26" s="6"/>
    </row>
    <row r="27" spans="1:20" x14ac:dyDescent="0.25">
      <c r="A27" s="2" t="s">
        <v>55</v>
      </c>
      <c r="B27" s="1" t="s">
        <v>13</v>
      </c>
      <c r="C27" s="1">
        <v>13</v>
      </c>
      <c r="D27" s="1" t="s">
        <v>706</v>
      </c>
      <c r="E27" s="1">
        <f>IF(Table1[[#This Row],[Lifespan Unit]]="months", Table1[[#This Row],[Lifespan]]/12,Table1[[#This Row],[Lifespan]])</f>
        <v>13</v>
      </c>
      <c r="F27" s="1" t="s">
        <v>56</v>
      </c>
      <c r="G27" s="1" t="str">
        <f t="shared" si="0"/>
        <v>150</v>
      </c>
      <c r="H27" s="1" t="str">
        <f t="shared" si="1"/>
        <v>lbs</v>
      </c>
      <c r="I27" s="1" t="str">
        <f>IF(Table1[[#This Row],[Lifespan (Years)]]&lt;25, "&lt;25", IF(Table1[[#This Row],[Lifespan (Years)]]&lt;50, "25-49", IF(Table1[[#This Row],[Lifespan (Years)]]&lt;75, "50-74", IF(Table1[[#This Row],[Lifespan (Years)]]&lt;100, "75-99", "&gt;=100"))))</f>
        <v>&lt;25</v>
      </c>
      <c r="J27" s="14">
        <f>IF(Table1[[#This Row],[Weight Unit]]="oz",Table1[[#This Row],[Weight (Digits)]]/16, Table1[[#This Row],[Weight (Digits)]]/1)</f>
        <v>150</v>
      </c>
      <c r="K2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27" s="1" t="s">
        <v>724</v>
      </c>
      <c r="M27" s="1" t="str">
        <f>IF(COUNTIF(Table2[Animal],Table1[[#This Row],[Animal]]) = 1, "Previous Participant", "New Participant")</f>
        <v>Previous Participant</v>
      </c>
      <c r="N27" s="1" t="str">
        <f>_xlfn.XLOOKUP(Table1[[#This Row],[Region]],'Support - Tables'!$B$3:$B$10,'Support - Tables'!$D$3:$D$10,"Not Found",0)</f>
        <v>Road</v>
      </c>
      <c r="O27" s="6">
        <f>_xlfn.XLOOKUP(Table1[[#This Row],[Region]],'Support - Tables'!$B$3:$B$10,'Support - Tables'!$C$3:$C$10, "Not Found",0)</f>
        <v>450</v>
      </c>
      <c r="P27" s="6">
        <f>_xlfn.XLOOKUP(Table1[[#This Row],[Diet]],'Support - Tables'!$B$14:$B$16,'Support - Tables'!$C$14:$C$16, "Not Found", 0)</f>
        <v>400</v>
      </c>
      <c r="Q27" s="6">
        <f>Table1[[#This Row],[Revenue]]-Table1[[#This Row],[Cost]]</f>
        <v>50</v>
      </c>
      <c r="R27" s="6">
        <f>COUNTBLANK(Table1[[#This Row],[Diet]:[Region]])</f>
        <v>0</v>
      </c>
      <c r="S27" s="6"/>
      <c r="T27" s="6"/>
    </row>
    <row r="28" spans="1:20" x14ac:dyDescent="0.25">
      <c r="A28" s="2" t="s">
        <v>57</v>
      </c>
      <c r="B28" s="1" t="s">
        <v>13</v>
      </c>
      <c r="C28" s="1">
        <v>15</v>
      </c>
      <c r="D28" s="1" t="s">
        <v>706</v>
      </c>
      <c r="E28" s="1">
        <f>IF(Table1[[#This Row],[Lifespan Unit]]="months", Table1[[#This Row],[Lifespan]]/12,Table1[[#This Row],[Lifespan]])</f>
        <v>15</v>
      </c>
      <c r="F28" s="1" t="s">
        <v>573</v>
      </c>
      <c r="G28" s="1" t="str">
        <f t="shared" si="0"/>
        <v/>
      </c>
      <c r="H28" s="1" t="str">
        <f t="shared" si="1"/>
        <v/>
      </c>
      <c r="I28" s="1" t="str">
        <f>IF(Table1[[#This Row],[Lifespan (Years)]]&lt;25, "&lt;25", IF(Table1[[#This Row],[Lifespan (Years)]]&lt;50, "25-49", IF(Table1[[#This Row],[Lifespan (Years)]]&lt;75, "50-74", IF(Table1[[#This Row],[Lifespan (Years)]]&lt;100, "75-99", "&gt;=100"))))</f>
        <v>&lt;25</v>
      </c>
      <c r="J28" s="14">
        <v>0</v>
      </c>
      <c r="K2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28" s="1" t="s">
        <v>724</v>
      </c>
      <c r="M28" s="1" t="str">
        <f>IF(COUNTIF(Table2[Animal],Table1[[#This Row],[Animal]]) = 1, "Previous Participant", "New Participant")</f>
        <v>Previous Participant</v>
      </c>
      <c r="N28" s="1" t="str">
        <f>_xlfn.XLOOKUP(Table1[[#This Row],[Region]],'Support - Tables'!$B$3:$B$10,'Support - Tables'!$D$3:$D$10,"Not Found",0)</f>
        <v>Road</v>
      </c>
      <c r="O28" s="6">
        <f>_xlfn.XLOOKUP(Table1[[#This Row],[Region]],'Support - Tables'!$B$3:$B$10,'Support - Tables'!$C$3:$C$10, "Not Found",0)</f>
        <v>450</v>
      </c>
      <c r="P28" s="6">
        <f>_xlfn.XLOOKUP(Table1[[#This Row],[Diet]],'Support - Tables'!$B$14:$B$16,'Support - Tables'!$C$14:$C$16, "Not Found", 0)</f>
        <v>400</v>
      </c>
      <c r="Q28" s="6">
        <f>Table1[[#This Row],[Revenue]]-Table1[[#This Row],[Cost]]</f>
        <v>50</v>
      </c>
      <c r="R28" s="6">
        <f>COUNTBLANK(Table1[[#This Row],[Diet]:[Region]])</f>
        <v>3</v>
      </c>
      <c r="S28" s="6"/>
      <c r="T28" s="6"/>
    </row>
    <row r="29" spans="1:20" x14ac:dyDescent="0.25">
      <c r="A29" s="2" t="s">
        <v>58</v>
      </c>
      <c r="B29" s="1" t="s">
        <v>13</v>
      </c>
      <c r="C29" s="1">
        <v>3</v>
      </c>
      <c r="D29" s="1" t="s">
        <v>707</v>
      </c>
      <c r="E29" s="1">
        <f>IF(Table1[[#This Row],[Lifespan Unit]]="months", Table1[[#This Row],[Lifespan]]/12,Table1[[#This Row],[Lifespan]])</f>
        <v>0.25</v>
      </c>
      <c r="F29" s="1" t="s">
        <v>573</v>
      </c>
      <c r="G29" s="1" t="str">
        <f t="shared" si="0"/>
        <v/>
      </c>
      <c r="H29" s="1" t="str">
        <f t="shared" si="1"/>
        <v/>
      </c>
      <c r="I29" s="1" t="str">
        <f>IF(Table1[[#This Row],[Lifespan (Years)]]&lt;25, "&lt;25", IF(Table1[[#This Row],[Lifespan (Years)]]&lt;50, "25-49", IF(Table1[[#This Row],[Lifespan (Years)]]&lt;75, "50-74", IF(Table1[[#This Row],[Lifespan (Years)]]&lt;100, "75-99", "&gt;=100"))))</f>
        <v>&lt;25</v>
      </c>
      <c r="J29" s="14">
        <v>0</v>
      </c>
      <c r="K2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29" s="1" t="s">
        <v>5</v>
      </c>
      <c r="M29" s="1" t="str">
        <f>IF(COUNTIF(Table2[Animal],Table1[[#This Row],[Animal]]) = 1, "Previous Participant", "New Participant")</f>
        <v>Previous Participant</v>
      </c>
      <c r="N29" s="1" t="str">
        <f>_xlfn.XLOOKUP(Table1[[#This Row],[Region]],'Support - Tables'!$B$3:$B$10,'Support - Tables'!$D$3:$D$10,"Not Found",0)</f>
        <v>Boat</v>
      </c>
      <c r="O29" s="6">
        <f>_xlfn.XLOOKUP(Table1[[#This Row],[Region]],'Support - Tables'!$B$3:$B$10,'Support - Tables'!$C$3:$C$10, "Not Found",0)</f>
        <v>400</v>
      </c>
      <c r="P29" s="6">
        <f>_xlfn.XLOOKUP(Table1[[#This Row],[Diet]],'Support - Tables'!$B$14:$B$16,'Support - Tables'!$C$14:$C$16, "Not Found", 0)</f>
        <v>400</v>
      </c>
      <c r="Q29" s="6">
        <f>Table1[[#This Row],[Revenue]]-Table1[[#This Row],[Cost]]</f>
        <v>0</v>
      </c>
      <c r="R29" s="6">
        <f>COUNTBLANK(Table1[[#This Row],[Diet]:[Region]])</f>
        <v>3</v>
      </c>
      <c r="S29" s="6"/>
      <c r="T29" s="6"/>
    </row>
    <row r="30" spans="1:20" x14ac:dyDescent="0.25">
      <c r="A30" s="2" t="s">
        <v>59</v>
      </c>
      <c r="B30" s="1" t="s">
        <v>13</v>
      </c>
      <c r="C30" s="1">
        <v>20</v>
      </c>
      <c r="D30" s="1" t="s">
        <v>706</v>
      </c>
      <c r="E30" s="1">
        <f>IF(Table1[[#This Row],[Lifespan Unit]]="months", Table1[[#This Row],[Lifespan]]/12,Table1[[#This Row],[Lifespan]])</f>
        <v>20</v>
      </c>
      <c r="F30" s="1" t="s">
        <v>43</v>
      </c>
      <c r="G30" s="1" t="str">
        <f t="shared" si="0"/>
        <v>40</v>
      </c>
      <c r="H30" s="1" t="str">
        <f t="shared" si="1"/>
        <v>lbs</v>
      </c>
      <c r="I30" s="1" t="str">
        <f>IF(Table1[[#This Row],[Lifespan (Years)]]&lt;25, "&lt;25", IF(Table1[[#This Row],[Lifespan (Years)]]&lt;50, "25-49", IF(Table1[[#This Row],[Lifespan (Years)]]&lt;75, "50-74", IF(Table1[[#This Row],[Lifespan (Years)]]&lt;100, "75-99", "&gt;=100"))))</f>
        <v>&lt;25</v>
      </c>
      <c r="J30" s="14">
        <f>IF(Table1[[#This Row],[Weight Unit]]="oz",Table1[[#This Row],[Weight (Digits)]]/16, Table1[[#This Row],[Weight (Digits)]]/1)</f>
        <v>40</v>
      </c>
      <c r="K3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0" s="1" t="s">
        <v>725</v>
      </c>
      <c r="M30" s="1" t="str">
        <f>IF(COUNTIF(Table2[Animal],Table1[[#This Row],[Animal]]) = 1, "Previous Participant", "New Participant")</f>
        <v>Previous Participant</v>
      </c>
      <c r="N30" s="1" t="str">
        <f>_xlfn.XLOOKUP(Table1[[#This Row],[Region]],'Support - Tables'!$B$3:$B$10,'Support - Tables'!$D$3:$D$10,"Not Found",0)</f>
        <v>Air</v>
      </c>
      <c r="O30" s="6">
        <f>_xlfn.XLOOKUP(Table1[[#This Row],[Region]],'Support - Tables'!$B$3:$B$10,'Support - Tables'!$C$3:$C$10, "Not Found",0)</f>
        <v>600</v>
      </c>
      <c r="P30" s="6">
        <f>_xlfn.XLOOKUP(Table1[[#This Row],[Diet]],'Support - Tables'!$B$14:$B$16,'Support - Tables'!$C$14:$C$16, "Not Found", 0)</f>
        <v>400</v>
      </c>
      <c r="Q30" s="6">
        <f>Table1[[#This Row],[Revenue]]-Table1[[#This Row],[Cost]]</f>
        <v>200</v>
      </c>
      <c r="R30" s="6">
        <f>COUNTBLANK(Table1[[#This Row],[Diet]:[Region]])</f>
        <v>0</v>
      </c>
      <c r="S30" s="6"/>
      <c r="T30" s="6"/>
    </row>
    <row r="31" spans="1:20" x14ac:dyDescent="0.25">
      <c r="A31" s="2" t="s">
        <v>60</v>
      </c>
      <c r="B31" s="1" t="s">
        <v>23</v>
      </c>
      <c r="C31" s="1">
        <v>25</v>
      </c>
      <c r="D31" s="1" t="s">
        <v>706</v>
      </c>
      <c r="E31" s="1">
        <f>IF(Table1[[#This Row],[Lifespan Unit]]="months", Table1[[#This Row],[Lifespan]]/12,Table1[[#This Row],[Lifespan]])</f>
        <v>25</v>
      </c>
      <c r="F31" s="1" t="s">
        <v>574</v>
      </c>
      <c r="G31" s="1" t="str">
        <f t="shared" si="0"/>
        <v>1,100</v>
      </c>
      <c r="H31" s="1" t="str">
        <f t="shared" si="1"/>
        <v>lbs</v>
      </c>
      <c r="I31" s="1" t="str">
        <f>IF(Table1[[#This Row],[Lifespan (Years)]]&lt;25, "&lt;25", IF(Table1[[#This Row],[Lifespan (Years)]]&lt;50, "25-49", IF(Table1[[#This Row],[Lifespan (Years)]]&lt;75, "50-74", IF(Table1[[#This Row],[Lifespan (Years)]]&lt;100, "75-99", "&gt;=100"))))</f>
        <v>25-49</v>
      </c>
      <c r="J31" s="14">
        <f>IF(Table1[[#This Row],[Weight Unit]]="oz",Table1[[#This Row],[Weight (Digits)]]/16, Table1[[#This Row],[Weight (Digits)]]/1)</f>
        <v>1100</v>
      </c>
      <c r="K3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31" s="1" t="s">
        <v>3</v>
      </c>
      <c r="M31" s="1" t="str">
        <f>IF(COUNTIF(Table2[Animal],Table1[[#This Row],[Animal]]) = 1, "Previous Participant", "New Participant")</f>
        <v>Previous Participant</v>
      </c>
      <c r="N31" s="1" t="str">
        <f>_xlfn.XLOOKUP(Table1[[#This Row],[Region]],'Support - Tables'!$B$3:$B$10,'Support - Tables'!$D$3:$D$10,"Not Found",0)</f>
        <v>Air</v>
      </c>
      <c r="O31" s="6">
        <f>_xlfn.XLOOKUP(Table1[[#This Row],[Region]],'Support - Tables'!$B$3:$B$10,'Support - Tables'!$C$3:$C$10, "Not Found",0)</f>
        <v>350</v>
      </c>
      <c r="P31" s="6">
        <f>_xlfn.XLOOKUP(Table1[[#This Row],[Diet]],'Support - Tables'!$B$14:$B$16,'Support - Tables'!$C$14:$C$16, "Not Found", 0)</f>
        <v>300</v>
      </c>
      <c r="Q31" s="6">
        <f>Table1[[#This Row],[Revenue]]-Table1[[#This Row],[Cost]]</f>
        <v>50</v>
      </c>
      <c r="R31" s="6">
        <f>COUNTBLANK(Table1[[#This Row],[Diet]:[Region]])</f>
        <v>0</v>
      </c>
      <c r="S31" s="6"/>
      <c r="T31" s="6"/>
    </row>
    <row r="32" spans="1:20" x14ac:dyDescent="0.25">
      <c r="A32" s="2" t="s">
        <v>61</v>
      </c>
      <c r="B32" s="1" t="s">
        <v>13</v>
      </c>
      <c r="C32" s="1">
        <v>12</v>
      </c>
      <c r="D32" s="1" t="s">
        <v>706</v>
      </c>
      <c r="E32" s="1">
        <f>IF(Table1[[#This Row],[Lifespan Unit]]="months", Table1[[#This Row],[Lifespan]]/12,Table1[[#This Row],[Lifespan]])</f>
        <v>12</v>
      </c>
      <c r="F32" s="1" t="s">
        <v>62</v>
      </c>
      <c r="G32" s="1" t="str">
        <f t="shared" si="0"/>
        <v>55</v>
      </c>
      <c r="H32" s="1" t="str">
        <f t="shared" si="1"/>
        <v>lbs</v>
      </c>
      <c r="I32" s="1" t="str">
        <f>IF(Table1[[#This Row],[Lifespan (Years)]]&lt;25, "&lt;25", IF(Table1[[#This Row],[Lifespan (Years)]]&lt;50, "25-49", IF(Table1[[#This Row],[Lifespan (Years)]]&lt;75, "50-74", IF(Table1[[#This Row],[Lifespan (Years)]]&lt;100, "75-99", "&gt;=100"))))</f>
        <v>&lt;25</v>
      </c>
      <c r="J32" s="14">
        <f>IF(Table1[[#This Row],[Weight Unit]]="oz",Table1[[#This Row],[Weight (Digits)]]/16, Table1[[#This Row],[Weight (Digits)]]/1)</f>
        <v>55</v>
      </c>
      <c r="K3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2" s="1" t="s">
        <v>5</v>
      </c>
      <c r="M32" s="1" t="str">
        <f>IF(COUNTIF(Table2[Animal],Table1[[#This Row],[Animal]]) = 1, "Previous Participant", "New Participant")</f>
        <v>Previous Participant</v>
      </c>
      <c r="N32" s="1" t="str">
        <f>_xlfn.XLOOKUP(Table1[[#This Row],[Region]],'Support - Tables'!$B$3:$B$10,'Support - Tables'!$D$3:$D$10,"Not Found",0)</f>
        <v>Boat</v>
      </c>
      <c r="O32" s="6">
        <f>_xlfn.XLOOKUP(Table1[[#This Row],[Region]],'Support - Tables'!$B$3:$B$10,'Support - Tables'!$C$3:$C$10, "Not Found",0)</f>
        <v>400</v>
      </c>
      <c r="P32" s="6">
        <f>_xlfn.XLOOKUP(Table1[[#This Row],[Diet]],'Support - Tables'!$B$14:$B$16,'Support - Tables'!$C$14:$C$16, "Not Found", 0)</f>
        <v>400</v>
      </c>
      <c r="Q32" s="6">
        <f>Table1[[#This Row],[Revenue]]-Table1[[#This Row],[Cost]]</f>
        <v>0</v>
      </c>
      <c r="R32" s="6">
        <f>COUNTBLANK(Table1[[#This Row],[Diet]:[Region]])</f>
        <v>0</v>
      </c>
      <c r="S32" s="6"/>
      <c r="T32" s="6"/>
    </row>
    <row r="33" spans="1:20" x14ac:dyDescent="0.25">
      <c r="A33" s="2" t="s">
        <v>63</v>
      </c>
      <c r="B33" s="1" t="s">
        <v>15</v>
      </c>
      <c r="C33" s="1">
        <v>10</v>
      </c>
      <c r="D33" s="1" t="s">
        <v>706</v>
      </c>
      <c r="E33" s="1">
        <f>IF(Table1[[#This Row],[Lifespan Unit]]="months", Table1[[#This Row],[Lifespan]]/12,Table1[[#This Row],[Lifespan]])</f>
        <v>10</v>
      </c>
      <c r="F33" s="1" t="s">
        <v>566</v>
      </c>
      <c r="G33" s="1" t="str">
        <f t="shared" si="0"/>
        <v>3</v>
      </c>
      <c r="H33" s="1" t="str">
        <f t="shared" si="1"/>
        <v>lbs</v>
      </c>
      <c r="I33" s="1" t="str">
        <f>IF(Table1[[#This Row],[Lifespan (Years)]]&lt;25, "&lt;25", IF(Table1[[#This Row],[Lifespan (Years)]]&lt;50, "25-49", IF(Table1[[#This Row],[Lifespan (Years)]]&lt;75, "50-74", IF(Table1[[#This Row],[Lifespan (Years)]]&lt;100, "75-99", "&gt;=100"))))</f>
        <v>&lt;25</v>
      </c>
      <c r="J33" s="14">
        <f>IF(Table1[[#This Row],[Weight Unit]]="oz",Table1[[#This Row],[Weight (Digits)]]/16, Table1[[#This Row],[Weight (Digits)]]/1)</f>
        <v>3</v>
      </c>
      <c r="K3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3" s="1" t="s">
        <v>4</v>
      </c>
      <c r="M33" s="1" t="str">
        <f>IF(COUNTIF(Table2[Animal],Table1[[#This Row],[Animal]]) = 1, "Previous Participant", "New Participant")</f>
        <v>Previous Participant</v>
      </c>
      <c r="N33" s="1" t="str">
        <f>_xlfn.XLOOKUP(Table1[[#This Row],[Region]],'Support - Tables'!$B$3:$B$10,'Support - Tables'!$D$3:$D$10,"Not Found",0)</f>
        <v>Boat</v>
      </c>
      <c r="O33" s="6">
        <f>_xlfn.XLOOKUP(Table1[[#This Row],[Region]],'Support - Tables'!$B$3:$B$10,'Support - Tables'!$C$3:$C$10, "Not Found",0)</f>
        <v>200</v>
      </c>
      <c r="P33" s="6">
        <f>_xlfn.XLOOKUP(Table1[[#This Row],[Diet]],'Support - Tables'!$B$14:$B$16,'Support - Tables'!$C$14:$C$16, "Not Found", 0)</f>
        <v>500</v>
      </c>
      <c r="Q33" s="6">
        <f>Table1[[#This Row],[Revenue]]-Table1[[#This Row],[Cost]]</f>
        <v>-300</v>
      </c>
      <c r="R33" s="6">
        <f>COUNTBLANK(Table1[[#This Row],[Diet]:[Region]])</f>
        <v>0</v>
      </c>
      <c r="S33" s="6"/>
      <c r="T33" s="6"/>
    </row>
    <row r="34" spans="1:20" x14ac:dyDescent="0.25">
      <c r="A34" s="2" t="s">
        <v>64</v>
      </c>
      <c r="B34" s="1" t="s">
        <v>23</v>
      </c>
      <c r="C34" s="1">
        <v>8</v>
      </c>
      <c r="D34" s="1" t="s">
        <v>706</v>
      </c>
      <c r="E34" s="1">
        <f>IF(Table1[[#This Row],[Lifespan Unit]]="months", Table1[[#This Row],[Lifespan]]/12,Table1[[#This Row],[Lifespan]])</f>
        <v>8</v>
      </c>
      <c r="F34" s="1" t="s">
        <v>121</v>
      </c>
      <c r="G34" s="1" t="str">
        <f t="shared" si="0"/>
        <v>9</v>
      </c>
      <c r="H34" s="1" t="str">
        <f t="shared" si="1"/>
        <v>lbs</v>
      </c>
      <c r="I34" s="1" t="str">
        <f>IF(Table1[[#This Row],[Lifespan (Years)]]&lt;25, "&lt;25", IF(Table1[[#This Row],[Lifespan (Years)]]&lt;50, "25-49", IF(Table1[[#This Row],[Lifespan (Years)]]&lt;75, "50-74", IF(Table1[[#This Row],[Lifespan (Years)]]&lt;100, "75-99", "&gt;=100"))))</f>
        <v>&lt;25</v>
      </c>
      <c r="J34" s="14">
        <f>IF(Table1[[#This Row],[Weight Unit]]="oz",Table1[[#This Row],[Weight (Digits)]]/16, Table1[[#This Row],[Weight (Digits)]]/1)</f>
        <v>9</v>
      </c>
      <c r="K3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4" s="1" t="s">
        <v>4</v>
      </c>
      <c r="M34" s="1" t="str">
        <f>IF(COUNTIF(Table2[Animal],Table1[[#This Row],[Animal]]) = 1, "Previous Participant", "New Participant")</f>
        <v>Previous Participant</v>
      </c>
      <c r="N34" s="1" t="str">
        <f>_xlfn.XLOOKUP(Table1[[#This Row],[Region]],'Support - Tables'!$B$3:$B$10,'Support - Tables'!$D$3:$D$10,"Not Found",0)</f>
        <v>Boat</v>
      </c>
      <c r="O34" s="6">
        <f>_xlfn.XLOOKUP(Table1[[#This Row],[Region]],'Support - Tables'!$B$3:$B$10,'Support - Tables'!$C$3:$C$10, "Not Found",0)</f>
        <v>200</v>
      </c>
      <c r="P34" s="6">
        <f>_xlfn.XLOOKUP(Table1[[#This Row],[Diet]],'Support - Tables'!$B$14:$B$16,'Support - Tables'!$C$14:$C$16, "Not Found", 0)</f>
        <v>300</v>
      </c>
      <c r="Q34" s="6">
        <f>Table1[[#This Row],[Revenue]]-Table1[[#This Row],[Cost]]</f>
        <v>-100</v>
      </c>
      <c r="R34" s="6">
        <f>COUNTBLANK(Table1[[#This Row],[Diet]:[Region]])</f>
        <v>0</v>
      </c>
      <c r="S34" s="6"/>
      <c r="T34" s="6"/>
    </row>
    <row r="35" spans="1:20" x14ac:dyDescent="0.25">
      <c r="A35" s="2" t="s">
        <v>65</v>
      </c>
      <c r="B35" s="1" t="s">
        <v>15</v>
      </c>
      <c r="C35" s="1">
        <v>10</v>
      </c>
      <c r="D35" s="1" t="s">
        <v>706</v>
      </c>
      <c r="E35" s="1">
        <f>IF(Table1[[#This Row],[Lifespan Unit]]="months", Table1[[#This Row],[Lifespan]]/12,Table1[[#This Row],[Lifespan]])</f>
        <v>10</v>
      </c>
      <c r="F35" s="1" t="s">
        <v>62</v>
      </c>
      <c r="G35" s="1" t="str">
        <f t="shared" si="0"/>
        <v>55</v>
      </c>
      <c r="H35" s="1" t="str">
        <f t="shared" si="1"/>
        <v>lbs</v>
      </c>
      <c r="I35" s="1" t="str">
        <f>IF(Table1[[#This Row],[Lifespan (Years)]]&lt;25, "&lt;25", IF(Table1[[#This Row],[Lifespan (Years)]]&lt;50, "25-49", IF(Table1[[#This Row],[Lifespan (Years)]]&lt;75, "50-74", IF(Table1[[#This Row],[Lifespan (Years)]]&lt;100, "75-99", "&gt;=100"))))</f>
        <v>&lt;25</v>
      </c>
      <c r="J35" s="14">
        <f>IF(Table1[[#This Row],[Weight Unit]]="oz",Table1[[#This Row],[Weight (Digits)]]/16, Table1[[#This Row],[Weight (Digits)]]/1)</f>
        <v>55</v>
      </c>
      <c r="K3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5" s="1" t="s">
        <v>724</v>
      </c>
      <c r="M35" s="1" t="str">
        <f>IF(COUNTIF(Table2[Animal],Table1[[#This Row],[Animal]]) = 1, "Previous Participant", "New Participant")</f>
        <v>Previous Participant</v>
      </c>
      <c r="N35" s="1" t="str">
        <f>_xlfn.XLOOKUP(Table1[[#This Row],[Region]],'Support - Tables'!$B$3:$B$10,'Support - Tables'!$D$3:$D$10,"Not Found",0)</f>
        <v>Road</v>
      </c>
      <c r="O35" s="6">
        <f>_xlfn.XLOOKUP(Table1[[#This Row],[Region]],'Support - Tables'!$B$3:$B$10,'Support - Tables'!$C$3:$C$10, "Not Found",0)</f>
        <v>450</v>
      </c>
      <c r="P35" s="6">
        <f>_xlfn.XLOOKUP(Table1[[#This Row],[Diet]],'Support - Tables'!$B$14:$B$16,'Support - Tables'!$C$14:$C$16, "Not Found", 0)</f>
        <v>500</v>
      </c>
      <c r="Q35" s="6">
        <f>Table1[[#This Row],[Revenue]]-Table1[[#This Row],[Cost]]</f>
        <v>-50</v>
      </c>
      <c r="R35" s="6">
        <f>COUNTBLANK(Table1[[#This Row],[Diet]:[Region]])</f>
        <v>0</v>
      </c>
      <c r="S35" s="6"/>
      <c r="T35" s="6"/>
    </row>
    <row r="36" spans="1:20" x14ac:dyDescent="0.25">
      <c r="A36" s="2" t="s">
        <v>66</v>
      </c>
      <c r="B36" s="1" t="s">
        <v>13</v>
      </c>
      <c r="C36" s="1">
        <v>12</v>
      </c>
      <c r="D36" s="1" t="s">
        <v>706</v>
      </c>
      <c r="E36" s="1">
        <f>IF(Table1[[#This Row],[Lifespan Unit]]="months", Table1[[#This Row],[Lifespan]]/12,Table1[[#This Row],[Lifespan]])</f>
        <v>12</v>
      </c>
      <c r="F36" s="1" t="s">
        <v>121</v>
      </c>
      <c r="G36" s="1" t="str">
        <f t="shared" si="0"/>
        <v>9</v>
      </c>
      <c r="H36" s="1" t="str">
        <f t="shared" si="1"/>
        <v>lbs</v>
      </c>
      <c r="I36" s="1" t="str">
        <f>IF(Table1[[#This Row],[Lifespan (Years)]]&lt;25, "&lt;25", IF(Table1[[#This Row],[Lifespan (Years)]]&lt;50, "25-49", IF(Table1[[#This Row],[Lifespan (Years)]]&lt;75, "50-74", IF(Table1[[#This Row],[Lifespan (Years)]]&lt;100, "75-99", "&gt;=100"))))</f>
        <v>&lt;25</v>
      </c>
      <c r="J36" s="14">
        <f>IF(Table1[[#This Row],[Weight Unit]]="oz",Table1[[#This Row],[Weight (Digits)]]/16, Table1[[#This Row],[Weight (Digits)]]/1)</f>
        <v>9</v>
      </c>
      <c r="K3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6" s="1" t="s">
        <v>5</v>
      </c>
      <c r="M36" s="1" t="str">
        <f>IF(COUNTIF(Table2[Animal],Table1[[#This Row],[Animal]]) = 1, "Previous Participant", "New Participant")</f>
        <v>Previous Participant</v>
      </c>
      <c r="N36" s="1" t="str">
        <f>_xlfn.XLOOKUP(Table1[[#This Row],[Region]],'Support - Tables'!$B$3:$B$10,'Support - Tables'!$D$3:$D$10,"Not Found",0)</f>
        <v>Boat</v>
      </c>
      <c r="O36" s="6">
        <f>_xlfn.XLOOKUP(Table1[[#This Row],[Region]],'Support - Tables'!$B$3:$B$10,'Support - Tables'!$C$3:$C$10, "Not Found",0)</f>
        <v>400</v>
      </c>
      <c r="P36" s="6">
        <f>_xlfn.XLOOKUP(Table1[[#This Row],[Diet]],'Support - Tables'!$B$14:$B$16,'Support - Tables'!$C$14:$C$16, "Not Found", 0)</f>
        <v>400</v>
      </c>
      <c r="Q36" s="6">
        <f>Table1[[#This Row],[Revenue]]-Table1[[#This Row],[Cost]]</f>
        <v>0</v>
      </c>
      <c r="R36" s="6">
        <f>COUNTBLANK(Table1[[#This Row],[Diet]:[Region]])</f>
        <v>0</v>
      </c>
      <c r="S36" s="6"/>
      <c r="T36" s="6"/>
    </row>
    <row r="37" spans="1:20" x14ac:dyDescent="0.25">
      <c r="A37" s="2" t="s">
        <v>67</v>
      </c>
      <c r="B37" s="1" t="s">
        <v>13</v>
      </c>
      <c r="C37" s="1">
        <v>25</v>
      </c>
      <c r="D37" s="1" t="s">
        <v>706</v>
      </c>
      <c r="E37" s="1">
        <f>IF(Table1[[#This Row],[Lifespan Unit]]="months", Table1[[#This Row],[Lifespan]]/12,Table1[[#This Row],[Lifespan]])</f>
        <v>25</v>
      </c>
      <c r="F37" s="1" t="s">
        <v>575</v>
      </c>
      <c r="G37" s="1" t="str">
        <f t="shared" si="0"/>
        <v>198</v>
      </c>
      <c r="H37" s="1" t="str">
        <f t="shared" si="1"/>
        <v>lbs</v>
      </c>
      <c r="I37" s="1" t="str">
        <f>IF(Table1[[#This Row],[Lifespan (Years)]]&lt;25, "&lt;25", IF(Table1[[#This Row],[Lifespan (Years)]]&lt;50, "25-49", IF(Table1[[#This Row],[Lifespan (Years)]]&lt;75, "50-74", IF(Table1[[#This Row],[Lifespan (Years)]]&lt;100, "75-99", "&gt;=100"))))</f>
        <v>25-49</v>
      </c>
      <c r="J37" s="14">
        <f>IF(Table1[[#This Row],[Weight Unit]]="oz",Table1[[#This Row],[Weight (Digits)]]/16, Table1[[#This Row],[Weight (Digits)]]/1)</f>
        <v>198</v>
      </c>
      <c r="K3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37" s="1" t="s">
        <v>5</v>
      </c>
      <c r="M37" s="1" t="str">
        <f>IF(COUNTIF(Table2[Animal],Table1[[#This Row],[Animal]]) = 1, "Previous Participant", "New Participant")</f>
        <v>Previous Participant</v>
      </c>
      <c r="N37" s="1" t="str">
        <f>_xlfn.XLOOKUP(Table1[[#This Row],[Region]],'Support - Tables'!$B$3:$B$10,'Support - Tables'!$D$3:$D$10,"Not Found",0)</f>
        <v>Boat</v>
      </c>
      <c r="O37" s="6">
        <f>_xlfn.XLOOKUP(Table1[[#This Row],[Region]],'Support - Tables'!$B$3:$B$10,'Support - Tables'!$C$3:$C$10, "Not Found",0)</f>
        <v>400</v>
      </c>
      <c r="P37" s="6">
        <f>_xlfn.XLOOKUP(Table1[[#This Row],[Diet]],'Support - Tables'!$B$14:$B$16,'Support - Tables'!$C$14:$C$16, "Not Found", 0)</f>
        <v>400</v>
      </c>
      <c r="Q37" s="6">
        <f>Table1[[#This Row],[Revenue]]-Table1[[#This Row],[Cost]]</f>
        <v>0</v>
      </c>
      <c r="R37" s="6">
        <f>COUNTBLANK(Table1[[#This Row],[Diet]:[Region]])</f>
        <v>0</v>
      </c>
      <c r="S37" s="6"/>
      <c r="T37" s="6"/>
    </row>
    <row r="38" spans="1:20" x14ac:dyDescent="0.25">
      <c r="A38" s="2" t="s">
        <v>68</v>
      </c>
      <c r="B38" s="1" t="s">
        <v>23</v>
      </c>
      <c r="C38" s="1">
        <v>70</v>
      </c>
      <c r="D38" s="1" t="s">
        <v>706</v>
      </c>
      <c r="E38" s="1">
        <f>IF(Table1[[#This Row],[Lifespan Unit]]="months", Table1[[#This Row],[Lifespan]]/12,Table1[[#This Row],[Lifespan]])</f>
        <v>70</v>
      </c>
      <c r="F38" s="1" t="s">
        <v>576</v>
      </c>
      <c r="G38" s="1" t="str">
        <f t="shared" si="0"/>
        <v>6,500</v>
      </c>
      <c r="H38" s="1" t="str">
        <f t="shared" si="1"/>
        <v>lbs</v>
      </c>
      <c r="I38" s="1" t="str">
        <f>IF(Table1[[#This Row],[Lifespan (Years)]]&lt;25, "&lt;25", IF(Table1[[#This Row],[Lifespan (Years)]]&lt;50, "25-49", IF(Table1[[#This Row],[Lifespan (Years)]]&lt;75, "50-74", IF(Table1[[#This Row],[Lifespan (Years)]]&lt;100, "75-99", "&gt;=100"))))</f>
        <v>50-74</v>
      </c>
      <c r="J38" s="14">
        <f>IF(Table1[[#This Row],[Weight Unit]]="oz",Table1[[#This Row],[Weight (Digits)]]/16, Table1[[#This Row],[Weight (Digits)]]/1)</f>
        <v>6500</v>
      </c>
      <c r="K3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38" s="1" t="s">
        <v>725</v>
      </c>
      <c r="M38" s="1" t="str">
        <f>IF(COUNTIF(Table2[Animal],Table1[[#This Row],[Animal]]) = 1, "Previous Participant", "New Participant")</f>
        <v>Previous Participant</v>
      </c>
      <c r="N38" s="1" t="str">
        <f>_xlfn.XLOOKUP(Table1[[#This Row],[Region]],'Support - Tables'!$B$3:$B$10,'Support - Tables'!$D$3:$D$10,"Not Found",0)</f>
        <v>Air</v>
      </c>
      <c r="O38" s="6">
        <f>_xlfn.XLOOKUP(Table1[[#This Row],[Region]],'Support - Tables'!$B$3:$B$10,'Support - Tables'!$C$3:$C$10, "Not Found",0)</f>
        <v>600</v>
      </c>
      <c r="P38" s="6">
        <f>_xlfn.XLOOKUP(Table1[[#This Row],[Diet]],'Support - Tables'!$B$14:$B$16,'Support - Tables'!$C$14:$C$16, "Not Found", 0)</f>
        <v>300</v>
      </c>
      <c r="Q38" s="6">
        <f>Table1[[#This Row],[Revenue]]-Table1[[#This Row],[Cost]]</f>
        <v>300</v>
      </c>
      <c r="R38" s="6">
        <f>COUNTBLANK(Table1[[#This Row],[Diet]:[Region]])</f>
        <v>0</v>
      </c>
      <c r="S38" s="6"/>
      <c r="T38" s="6"/>
    </row>
    <row r="39" spans="1:20" x14ac:dyDescent="0.25">
      <c r="A39" s="2" t="s">
        <v>69</v>
      </c>
      <c r="B39" s="1" t="s">
        <v>15</v>
      </c>
      <c r="C39" s="1">
        <v>5</v>
      </c>
      <c r="D39" s="1" t="s">
        <v>707</v>
      </c>
      <c r="E39" s="1">
        <f>IF(Table1[[#This Row],[Lifespan Unit]]="months", Table1[[#This Row],[Lifespan]]/12,Table1[[#This Row],[Lifespan]])</f>
        <v>0.41666666666666669</v>
      </c>
      <c r="F39" s="1" t="s">
        <v>573</v>
      </c>
      <c r="G39" s="1" t="str">
        <f t="shared" si="0"/>
        <v/>
      </c>
      <c r="H39" s="1" t="str">
        <f t="shared" si="1"/>
        <v/>
      </c>
      <c r="I39" s="1" t="str">
        <f>IF(Table1[[#This Row],[Lifespan (Years)]]&lt;25, "&lt;25", IF(Table1[[#This Row],[Lifespan (Years)]]&lt;50, "25-49", IF(Table1[[#This Row],[Lifespan (Years)]]&lt;75, "50-74", IF(Table1[[#This Row],[Lifespan (Years)]]&lt;100, "75-99", "&gt;=100"))))</f>
        <v>&lt;25</v>
      </c>
      <c r="J39" s="14">
        <v>0</v>
      </c>
      <c r="K3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39" s="1" t="s">
        <v>725</v>
      </c>
      <c r="M39" s="1" t="str">
        <f>IF(COUNTIF(Table2[Animal],Table1[[#This Row],[Animal]]) = 1, "Previous Participant", "New Participant")</f>
        <v>New Participant</v>
      </c>
      <c r="N39" s="1" t="str">
        <f>_xlfn.XLOOKUP(Table1[[#This Row],[Region]],'Support - Tables'!$B$3:$B$10,'Support - Tables'!$D$3:$D$10,"Not Found",0)</f>
        <v>Air</v>
      </c>
      <c r="O39" s="6">
        <f>_xlfn.XLOOKUP(Table1[[#This Row],[Region]],'Support - Tables'!$B$3:$B$10,'Support - Tables'!$C$3:$C$10, "Not Found",0)</f>
        <v>600</v>
      </c>
      <c r="P39" s="6">
        <f>_xlfn.XLOOKUP(Table1[[#This Row],[Diet]],'Support - Tables'!$B$14:$B$16,'Support - Tables'!$C$14:$C$16, "Not Found", 0)</f>
        <v>500</v>
      </c>
      <c r="Q39" s="6">
        <f>Table1[[#This Row],[Revenue]]-Table1[[#This Row],[Cost]]</f>
        <v>100</v>
      </c>
      <c r="R39" s="6">
        <f>COUNTBLANK(Table1[[#This Row],[Diet]:[Region]])</f>
        <v>3</v>
      </c>
      <c r="S39" s="6"/>
      <c r="T39" s="6"/>
    </row>
    <row r="40" spans="1:20" x14ac:dyDescent="0.25">
      <c r="A40" s="2" t="s">
        <v>70</v>
      </c>
      <c r="B40" s="1" t="s">
        <v>13</v>
      </c>
      <c r="C40" s="1">
        <v>15</v>
      </c>
      <c r="D40" s="1" t="s">
        <v>706</v>
      </c>
      <c r="E40" s="1">
        <f>IF(Table1[[#This Row],[Lifespan Unit]]="months", Table1[[#This Row],[Lifespan]]/12,Table1[[#This Row],[Lifespan]])</f>
        <v>15</v>
      </c>
      <c r="F40" s="1" t="s">
        <v>54</v>
      </c>
      <c r="G40" s="1" t="str">
        <f t="shared" si="0"/>
        <v>45</v>
      </c>
      <c r="H40" s="1" t="str">
        <f t="shared" si="1"/>
        <v>lbs</v>
      </c>
      <c r="I40" s="1" t="str">
        <f>IF(Table1[[#This Row],[Lifespan (Years)]]&lt;25, "&lt;25", IF(Table1[[#This Row],[Lifespan (Years)]]&lt;50, "25-49", IF(Table1[[#This Row],[Lifespan (Years)]]&lt;75, "50-74", IF(Table1[[#This Row],[Lifespan (Years)]]&lt;100, "75-99", "&gt;=100"))))</f>
        <v>&lt;25</v>
      </c>
      <c r="J40" s="14">
        <f>IF(Table1[[#This Row],[Weight Unit]]="oz",Table1[[#This Row],[Weight (Digits)]]/16, Table1[[#This Row],[Weight (Digits)]]/1)</f>
        <v>45</v>
      </c>
      <c r="K4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0" s="1" t="s">
        <v>725</v>
      </c>
      <c r="M40" s="1" t="str">
        <f>IF(COUNTIF(Table2[Animal],Table1[[#This Row],[Animal]]) = 1, "Previous Participant", "New Participant")</f>
        <v>Previous Participant</v>
      </c>
      <c r="N40" s="1" t="str">
        <f>_xlfn.XLOOKUP(Table1[[#This Row],[Region]],'Support - Tables'!$B$3:$B$10,'Support - Tables'!$D$3:$D$10,"Not Found",0)</f>
        <v>Air</v>
      </c>
      <c r="O40" s="6">
        <f>_xlfn.XLOOKUP(Table1[[#This Row],[Region]],'Support - Tables'!$B$3:$B$10,'Support - Tables'!$C$3:$C$10, "Not Found",0)</f>
        <v>600</v>
      </c>
      <c r="P40" s="6">
        <f>_xlfn.XLOOKUP(Table1[[#This Row],[Diet]],'Support - Tables'!$B$14:$B$16,'Support - Tables'!$C$14:$C$16, "Not Found", 0)</f>
        <v>400</v>
      </c>
      <c r="Q40" s="6">
        <f>Table1[[#This Row],[Revenue]]-Table1[[#This Row],[Cost]]</f>
        <v>200</v>
      </c>
      <c r="R40" s="6">
        <f>COUNTBLANK(Table1[[#This Row],[Diet]:[Region]])</f>
        <v>0</v>
      </c>
      <c r="S40" s="6"/>
      <c r="T40" s="6"/>
    </row>
    <row r="41" spans="1:20" x14ac:dyDescent="0.25">
      <c r="A41" s="2" t="s">
        <v>71</v>
      </c>
      <c r="B41" s="1" t="s">
        <v>13</v>
      </c>
      <c r="C41" s="1">
        <v>14</v>
      </c>
      <c r="D41" s="1" t="s">
        <v>706</v>
      </c>
      <c r="E41" s="1">
        <f>IF(Table1[[#This Row],[Lifespan Unit]]="months", Table1[[#This Row],[Lifespan]]/12,Table1[[#This Row],[Lifespan]])</f>
        <v>14</v>
      </c>
      <c r="F41" s="1" t="s">
        <v>54</v>
      </c>
      <c r="G41" s="1" t="str">
        <f t="shared" si="0"/>
        <v>45</v>
      </c>
      <c r="H41" s="1" t="str">
        <f t="shared" si="1"/>
        <v>lbs</v>
      </c>
      <c r="I41" s="1" t="str">
        <f>IF(Table1[[#This Row],[Lifespan (Years)]]&lt;25, "&lt;25", IF(Table1[[#This Row],[Lifespan (Years)]]&lt;50, "25-49", IF(Table1[[#This Row],[Lifespan (Years)]]&lt;75, "50-74", IF(Table1[[#This Row],[Lifespan (Years)]]&lt;100, "75-99", "&gt;=100"))))</f>
        <v>&lt;25</v>
      </c>
      <c r="J41" s="14">
        <f>IF(Table1[[#This Row],[Weight Unit]]="oz",Table1[[#This Row],[Weight (Digits)]]/16, Table1[[#This Row],[Weight (Digits)]]/1)</f>
        <v>45</v>
      </c>
      <c r="K4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1" s="1" t="s">
        <v>725</v>
      </c>
      <c r="M41" s="1" t="str">
        <f>IF(COUNTIF(Table2[Animal],Table1[[#This Row],[Animal]]) = 1, "Previous Participant", "New Participant")</f>
        <v>New Participant</v>
      </c>
      <c r="N41" s="1" t="str">
        <f>_xlfn.XLOOKUP(Table1[[#This Row],[Region]],'Support - Tables'!$B$3:$B$10,'Support - Tables'!$D$3:$D$10,"Not Found",0)</f>
        <v>Air</v>
      </c>
      <c r="O41" s="6">
        <f>_xlfn.XLOOKUP(Table1[[#This Row],[Region]],'Support - Tables'!$B$3:$B$10,'Support - Tables'!$C$3:$C$10, "Not Found",0)</f>
        <v>600</v>
      </c>
      <c r="P41" s="6">
        <f>_xlfn.XLOOKUP(Table1[[#This Row],[Diet]],'Support - Tables'!$B$14:$B$16,'Support - Tables'!$C$14:$C$16, "Not Found", 0)</f>
        <v>400</v>
      </c>
      <c r="Q41" s="6">
        <f>Table1[[#This Row],[Revenue]]-Table1[[#This Row],[Cost]]</f>
        <v>200</v>
      </c>
      <c r="R41" s="6">
        <f>COUNTBLANK(Table1[[#This Row],[Diet]:[Region]])</f>
        <v>0</v>
      </c>
      <c r="S41" s="6"/>
      <c r="T41" s="6"/>
    </row>
    <row r="42" spans="1:20" x14ac:dyDescent="0.25">
      <c r="A42" s="2" t="s">
        <v>72</v>
      </c>
      <c r="B42" s="1" t="s">
        <v>15</v>
      </c>
      <c r="C42" s="1">
        <v>14</v>
      </c>
      <c r="D42" s="1" t="s">
        <v>706</v>
      </c>
      <c r="E42" s="1">
        <f>IF(Table1[[#This Row],[Lifespan Unit]]="months", Table1[[#This Row],[Lifespan]]/12,Table1[[#This Row],[Lifespan]])</f>
        <v>14</v>
      </c>
      <c r="F42" s="1" t="s">
        <v>16</v>
      </c>
      <c r="G42" s="1" t="str">
        <f t="shared" si="0"/>
        <v>10</v>
      </c>
      <c r="H42" s="1" t="str">
        <f t="shared" si="1"/>
        <v>lbs</v>
      </c>
      <c r="I42" s="1" t="str">
        <f>IF(Table1[[#This Row],[Lifespan (Years)]]&lt;25, "&lt;25", IF(Table1[[#This Row],[Lifespan (Years)]]&lt;50, "25-49", IF(Table1[[#This Row],[Lifespan (Years)]]&lt;75, "50-74", IF(Table1[[#This Row],[Lifespan (Years)]]&lt;100, "75-99", "&gt;=100"))))</f>
        <v>&lt;25</v>
      </c>
      <c r="J42" s="14">
        <f>IF(Table1[[#This Row],[Weight Unit]]="oz",Table1[[#This Row],[Weight (Digits)]]/16, Table1[[#This Row],[Weight (Digits)]]/1)</f>
        <v>10</v>
      </c>
      <c r="K4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2" s="1" t="s">
        <v>725</v>
      </c>
      <c r="M42" s="1" t="str">
        <f>IF(COUNTIF(Table2[Animal],Table1[[#This Row],[Animal]]) = 1, "Previous Participant", "New Participant")</f>
        <v>Previous Participant</v>
      </c>
      <c r="N42" s="1" t="str">
        <f>_xlfn.XLOOKUP(Table1[[#This Row],[Region]],'Support - Tables'!$B$3:$B$10,'Support - Tables'!$D$3:$D$10,"Not Found",0)</f>
        <v>Air</v>
      </c>
      <c r="O42" s="6">
        <f>_xlfn.XLOOKUP(Table1[[#This Row],[Region]],'Support - Tables'!$B$3:$B$10,'Support - Tables'!$C$3:$C$10, "Not Found",0)</f>
        <v>600</v>
      </c>
      <c r="P42" s="6">
        <f>_xlfn.XLOOKUP(Table1[[#This Row],[Diet]],'Support - Tables'!$B$14:$B$16,'Support - Tables'!$C$14:$C$16, "Not Found", 0)</f>
        <v>500</v>
      </c>
      <c r="Q42" s="6">
        <f>Table1[[#This Row],[Revenue]]-Table1[[#This Row],[Cost]]</f>
        <v>100</v>
      </c>
      <c r="R42" s="6">
        <f>COUNTBLANK(Table1[[#This Row],[Diet]:[Region]])</f>
        <v>0</v>
      </c>
      <c r="S42" s="6"/>
      <c r="T42" s="6"/>
    </row>
    <row r="43" spans="1:20" x14ac:dyDescent="0.25">
      <c r="A43" s="2" t="s">
        <v>73</v>
      </c>
      <c r="B43" s="1" t="s">
        <v>13</v>
      </c>
      <c r="C43" s="1">
        <v>14</v>
      </c>
      <c r="D43" s="1" t="s">
        <v>706</v>
      </c>
      <c r="E43" s="1">
        <f>IF(Table1[[#This Row],[Lifespan Unit]]="months", Table1[[#This Row],[Lifespan]]/12,Table1[[#This Row],[Lifespan]])</f>
        <v>14</v>
      </c>
      <c r="F43" s="1" t="s">
        <v>74</v>
      </c>
      <c r="G43" s="1" t="str">
        <f t="shared" si="0"/>
        <v>70</v>
      </c>
      <c r="H43" s="1" t="str">
        <f t="shared" si="1"/>
        <v>lbs</v>
      </c>
      <c r="I43" s="1" t="str">
        <f>IF(Table1[[#This Row],[Lifespan (Years)]]&lt;25, "&lt;25", IF(Table1[[#This Row],[Lifespan (Years)]]&lt;50, "25-49", IF(Table1[[#This Row],[Lifespan (Years)]]&lt;75, "50-74", IF(Table1[[#This Row],[Lifespan (Years)]]&lt;100, "75-99", "&gt;=100"))))</f>
        <v>&lt;25</v>
      </c>
      <c r="J43" s="14">
        <f>IF(Table1[[#This Row],[Weight Unit]]="oz",Table1[[#This Row],[Weight (Digits)]]/16, Table1[[#This Row],[Weight (Digits)]]/1)</f>
        <v>70</v>
      </c>
      <c r="K4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3" s="1" t="s">
        <v>724</v>
      </c>
      <c r="M43" s="1" t="str">
        <f>IF(COUNTIF(Table2[Animal],Table1[[#This Row],[Animal]]) = 1, "Previous Participant", "New Participant")</f>
        <v>Previous Participant</v>
      </c>
      <c r="N43" s="1" t="str">
        <f>_xlfn.XLOOKUP(Table1[[#This Row],[Region]],'Support - Tables'!$B$3:$B$10,'Support - Tables'!$D$3:$D$10,"Not Found",0)</f>
        <v>Road</v>
      </c>
      <c r="O43" s="6">
        <f>_xlfn.XLOOKUP(Table1[[#This Row],[Region]],'Support - Tables'!$B$3:$B$10,'Support - Tables'!$C$3:$C$10, "Not Found",0)</f>
        <v>450</v>
      </c>
      <c r="P43" s="6">
        <f>_xlfn.XLOOKUP(Table1[[#This Row],[Diet]],'Support - Tables'!$B$14:$B$16,'Support - Tables'!$C$14:$C$16, "Not Found", 0)</f>
        <v>400</v>
      </c>
      <c r="Q43" s="6">
        <f>Table1[[#This Row],[Revenue]]-Table1[[#This Row],[Cost]]</f>
        <v>50</v>
      </c>
      <c r="R43" s="6">
        <f>COUNTBLANK(Table1[[#This Row],[Diet]:[Region]])</f>
        <v>0</v>
      </c>
      <c r="S43" s="6"/>
      <c r="T43" s="6"/>
    </row>
    <row r="44" spans="1:20" x14ac:dyDescent="0.25">
      <c r="A44" s="2" t="s">
        <v>75</v>
      </c>
      <c r="B44" s="1" t="s">
        <v>13</v>
      </c>
      <c r="C44" s="1">
        <v>14</v>
      </c>
      <c r="D44" s="1" t="s">
        <v>706</v>
      </c>
      <c r="E44" s="1">
        <f>IF(Table1[[#This Row],[Lifespan Unit]]="months", Table1[[#This Row],[Lifespan]]/12,Table1[[#This Row],[Lifespan]])</f>
        <v>14</v>
      </c>
      <c r="F44" s="1" t="s">
        <v>76</v>
      </c>
      <c r="G44" s="1" t="str">
        <f t="shared" si="0"/>
        <v>14</v>
      </c>
      <c r="H44" s="1" t="str">
        <f t="shared" si="1"/>
        <v>lbs</v>
      </c>
      <c r="I44" s="1" t="str">
        <f>IF(Table1[[#This Row],[Lifespan (Years)]]&lt;25, "&lt;25", IF(Table1[[#This Row],[Lifespan (Years)]]&lt;50, "25-49", IF(Table1[[#This Row],[Lifespan (Years)]]&lt;75, "50-74", IF(Table1[[#This Row],[Lifespan (Years)]]&lt;100, "75-99", "&gt;=100"))))</f>
        <v>&lt;25</v>
      </c>
      <c r="J44" s="14">
        <f>IF(Table1[[#This Row],[Weight Unit]]="oz",Table1[[#This Row],[Weight (Digits)]]/16, Table1[[#This Row],[Weight (Digits)]]/1)</f>
        <v>14</v>
      </c>
      <c r="K4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4" s="1" t="s">
        <v>5</v>
      </c>
      <c r="M44" s="1" t="str">
        <f>IF(COUNTIF(Table2[Animal],Table1[[#This Row],[Animal]]) = 1, "Previous Participant", "New Participant")</f>
        <v>New Participant</v>
      </c>
      <c r="N44" s="1" t="str">
        <f>_xlfn.XLOOKUP(Table1[[#This Row],[Region]],'Support - Tables'!$B$3:$B$10,'Support - Tables'!$D$3:$D$10,"Not Found",0)</f>
        <v>Boat</v>
      </c>
      <c r="O44" s="6">
        <f>_xlfn.XLOOKUP(Table1[[#This Row],[Region]],'Support - Tables'!$B$3:$B$10,'Support - Tables'!$C$3:$C$10, "Not Found",0)</f>
        <v>400</v>
      </c>
      <c r="P44" s="6">
        <f>_xlfn.XLOOKUP(Table1[[#This Row],[Diet]],'Support - Tables'!$B$14:$B$16,'Support - Tables'!$C$14:$C$16, "Not Found", 0)</f>
        <v>400</v>
      </c>
      <c r="Q44" s="6">
        <f>Table1[[#This Row],[Revenue]]-Table1[[#This Row],[Cost]]</f>
        <v>0</v>
      </c>
      <c r="R44" s="6">
        <f>COUNTBLANK(Table1[[#This Row],[Diet]:[Region]])</f>
        <v>0</v>
      </c>
      <c r="S44" s="6"/>
      <c r="T44" s="6"/>
    </row>
    <row r="45" spans="1:20" x14ac:dyDescent="0.25">
      <c r="A45" s="2" t="s">
        <v>77</v>
      </c>
      <c r="B45" s="1" t="s">
        <v>15</v>
      </c>
      <c r="C45" s="1">
        <v>15</v>
      </c>
      <c r="D45" s="1" t="s">
        <v>706</v>
      </c>
      <c r="E45" s="1">
        <f>IF(Table1[[#This Row],[Lifespan Unit]]="months", Table1[[#This Row],[Lifespan]]/12,Table1[[#This Row],[Lifespan]])</f>
        <v>15</v>
      </c>
      <c r="F45" s="1" t="s">
        <v>577</v>
      </c>
      <c r="G45" s="1" t="str">
        <f t="shared" si="0"/>
        <v>5</v>
      </c>
      <c r="H45" s="1" t="str">
        <f t="shared" si="1"/>
        <v>oz</v>
      </c>
      <c r="I45" s="1" t="str">
        <f>IF(Table1[[#This Row],[Lifespan (Years)]]&lt;25, "&lt;25", IF(Table1[[#This Row],[Lifespan (Years)]]&lt;50, "25-49", IF(Table1[[#This Row],[Lifespan (Years)]]&lt;75, "50-74", IF(Table1[[#This Row],[Lifespan (Years)]]&lt;100, "75-99", "&gt;=100"))))</f>
        <v>&lt;25</v>
      </c>
      <c r="J45" s="14">
        <f>IF(Table1[[#This Row],[Weight Unit]]="oz",Table1[[#This Row],[Weight (Digits)]]/16, Table1[[#This Row],[Weight (Digits)]]/1)</f>
        <v>0.3125</v>
      </c>
      <c r="K4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5" s="1" t="s">
        <v>5</v>
      </c>
      <c r="M45" s="1" t="str">
        <f>IF(COUNTIF(Table2[Animal],Table1[[#This Row],[Animal]]) = 1, "Previous Participant", "New Participant")</f>
        <v>Previous Participant</v>
      </c>
      <c r="N45" s="1" t="str">
        <f>_xlfn.XLOOKUP(Table1[[#This Row],[Region]],'Support - Tables'!$B$3:$B$10,'Support - Tables'!$D$3:$D$10,"Not Found",0)</f>
        <v>Boat</v>
      </c>
      <c r="O45" s="6">
        <f>_xlfn.XLOOKUP(Table1[[#This Row],[Region]],'Support - Tables'!$B$3:$B$10,'Support - Tables'!$C$3:$C$10, "Not Found",0)</f>
        <v>400</v>
      </c>
      <c r="P45" s="6">
        <f>_xlfn.XLOOKUP(Table1[[#This Row],[Diet]],'Support - Tables'!$B$14:$B$16,'Support - Tables'!$C$14:$C$16, "Not Found", 0)</f>
        <v>500</v>
      </c>
      <c r="Q45" s="6">
        <f>Table1[[#This Row],[Revenue]]-Table1[[#This Row],[Cost]]</f>
        <v>-100</v>
      </c>
      <c r="R45" s="6">
        <f>COUNTBLANK(Table1[[#This Row],[Diet]:[Region]])</f>
        <v>0</v>
      </c>
      <c r="S45" s="6"/>
      <c r="T45" s="6"/>
    </row>
    <row r="46" spans="1:20" x14ac:dyDescent="0.25">
      <c r="A46" s="2" t="s">
        <v>78</v>
      </c>
      <c r="B46" s="1" t="s">
        <v>15</v>
      </c>
      <c r="C46" s="1">
        <v>20</v>
      </c>
      <c r="D46" s="1" t="s">
        <v>706</v>
      </c>
      <c r="E46" s="1">
        <f>IF(Table1[[#This Row],[Lifespan Unit]]="months", Table1[[#This Row],[Lifespan]]/12,Table1[[#This Row],[Lifespan]])</f>
        <v>20</v>
      </c>
      <c r="F46" s="1" t="s">
        <v>578</v>
      </c>
      <c r="G46" s="1" t="str">
        <f t="shared" si="0"/>
        <v>2</v>
      </c>
      <c r="H46" s="1" t="str">
        <f t="shared" si="1"/>
        <v>oz</v>
      </c>
      <c r="I46" s="1" t="str">
        <f>IF(Table1[[#This Row],[Lifespan (Years)]]&lt;25, "&lt;25", IF(Table1[[#This Row],[Lifespan (Years)]]&lt;50, "25-49", IF(Table1[[#This Row],[Lifespan (Years)]]&lt;75, "50-74", IF(Table1[[#This Row],[Lifespan (Years)]]&lt;100, "75-99", "&gt;=100"))))</f>
        <v>&lt;25</v>
      </c>
      <c r="J46" s="14">
        <f>IF(Table1[[#This Row],[Weight Unit]]="oz",Table1[[#This Row],[Weight (Digits)]]/16, Table1[[#This Row],[Weight (Digits)]]/1)</f>
        <v>0.125</v>
      </c>
      <c r="K4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6" s="1" t="s">
        <v>725</v>
      </c>
      <c r="M46" s="1" t="str">
        <f>IF(COUNTIF(Table2[Animal],Table1[[#This Row],[Animal]]) = 1, "Previous Participant", "New Participant")</f>
        <v>Previous Participant</v>
      </c>
      <c r="N46" s="1" t="str">
        <f>_xlfn.XLOOKUP(Table1[[#This Row],[Region]],'Support - Tables'!$B$3:$B$10,'Support - Tables'!$D$3:$D$10,"Not Found",0)</f>
        <v>Air</v>
      </c>
      <c r="O46" s="6">
        <f>_xlfn.XLOOKUP(Table1[[#This Row],[Region]],'Support - Tables'!$B$3:$B$10,'Support - Tables'!$C$3:$C$10, "Not Found",0)</f>
        <v>600</v>
      </c>
      <c r="P46" s="6">
        <f>_xlfn.XLOOKUP(Table1[[#This Row],[Diet]],'Support - Tables'!$B$14:$B$16,'Support - Tables'!$C$14:$C$16, "Not Found", 0)</f>
        <v>500</v>
      </c>
      <c r="Q46" s="6">
        <f>Table1[[#This Row],[Revenue]]-Table1[[#This Row],[Cost]]</f>
        <v>100</v>
      </c>
      <c r="R46" s="6">
        <f>COUNTBLANK(Table1[[#This Row],[Diet]:[Region]])</f>
        <v>0</v>
      </c>
      <c r="S46" s="6"/>
      <c r="T46" s="6"/>
    </row>
    <row r="47" spans="1:20" x14ac:dyDescent="0.25">
      <c r="A47" s="2" t="s">
        <v>79</v>
      </c>
      <c r="B47" s="1" t="s">
        <v>13</v>
      </c>
      <c r="C47" s="1">
        <v>23</v>
      </c>
      <c r="D47" s="1" t="s">
        <v>706</v>
      </c>
      <c r="E47" s="1">
        <f>IF(Table1[[#This Row],[Lifespan Unit]]="months", Table1[[#This Row],[Lifespan]]/12,Table1[[#This Row],[Lifespan]])</f>
        <v>23</v>
      </c>
      <c r="F47" s="1" t="s">
        <v>579</v>
      </c>
      <c r="G47" s="1" t="str">
        <f t="shared" si="0"/>
        <v>4</v>
      </c>
      <c r="H47" s="1" t="str">
        <f t="shared" si="1"/>
        <v>lbs</v>
      </c>
      <c r="I47" s="1" t="str">
        <f>IF(Table1[[#This Row],[Lifespan (Years)]]&lt;25, "&lt;25", IF(Table1[[#This Row],[Lifespan (Years)]]&lt;50, "25-49", IF(Table1[[#This Row],[Lifespan (Years)]]&lt;75, "50-74", IF(Table1[[#This Row],[Lifespan (Years)]]&lt;100, "75-99", "&gt;=100"))))</f>
        <v>&lt;25</v>
      </c>
      <c r="J47" s="14">
        <f>IF(Table1[[#This Row],[Weight Unit]]="oz",Table1[[#This Row],[Weight (Digits)]]/16, Table1[[#This Row],[Weight (Digits)]]/1)</f>
        <v>4</v>
      </c>
      <c r="K4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7" s="1" t="s">
        <v>6</v>
      </c>
      <c r="M47" s="1" t="str">
        <f>IF(COUNTIF(Table2[Animal],Table1[[#This Row],[Animal]]) = 1, "Previous Participant", "New Participant")</f>
        <v>Previous Participant</v>
      </c>
      <c r="N47" s="1" t="str">
        <f>_xlfn.XLOOKUP(Table1[[#This Row],[Region]],'Support - Tables'!$B$3:$B$10,'Support - Tables'!$D$3:$D$10,"Not Found",0)</f>
        <v>Air</v>
      </c>
      <c r="O47" s="6">
        <f>_xlfn.XLOOKUP(Table1[[#This Row],[Region]],'Support - Tables'!$B$3:$B$10,'Support - Tables'!$C$3:$C$10, "Not Found",0)</f>
        <v>450</v>
      </c>
      <c r="P47" s="6">
        <f>_xlfn.XLOOKUP(Table1[[#This Row],[Diet]],'Support - Tables'!$B$14:$B$16,'Support - Tables'!$C$14:$C$16, "Not Found", 0)</f>
        <v>400</v>
      </c>
      <c r="Q47" s="6">
        <f>Table1[[#This Row],[Revenue]]-Table1[[#This Row],[Cost]]</f>
        <v>50</v>
      </c>
      <c r="R47" s="6">
        <f>COUNTBLANK(Table1[[#This Row],[Diet]:[Region]])</f>
        <v>0</v>
      </c>
      <c r="S47" s="6"/>
      <c r="T47" s="6"/>
    </row>
    <row r="48" spans="1:20" x14ac:dyDescent="0.25">
      <c r="A48" s="2" t="s">
        <v>80</v>
      </c>
      <c r="B48" s="1" t="s">
        <v>13</v>
      </c>
      <c r="C48" s="1">
        <v>40</v>
      </c>
      <c r="D48" s="1" t="s">
        <v>706</v>
      </c>
      <c r="E48" s="1">
        <f>IF(Table1[[#This Row],[Lifespan Unit]]="months", Table1[[#This Row],[Lifespan]]/12,Table1[[#This Row],[Lifespan]])</f>
        <v>40</v>
      </c>
      <c r="F48" s="1" t="s">
        <v>98</v>
      </c>
      <c r="G48" s="1" t="str">
        <f t="shared" si="0"/>
        <v>30</v>
      </c>
      <c r="H48" s="1" t="str">
        <f t="shared" si="1"/>
        <v>lbs</v>
      </c>
      <c r="I48" s="1" t="str">
        <f>IF(Table1[[#This Row],[Lifespan (Years)]]&lt;25, "&lt;25", IF(Table1[[#This Row],[Lifespan (Years)]]&lt;50, "25-49", IF(Table1[[#This Row],[Lifespan (Years)]]&lt;75, "50-74", IF(Table1[[#This Row],[Lifespan (Years)]]&lt;100, "75-99", "&gt;=100"))))</f>
        <v>25-49</v>
      </c>
      <c r="J48" s="14">
        <f>IF(Table1[[#This Row],[Weight Unit]]="oz",Table1[[#This Row],[Weight (Digits)]]/16, Table1[[#This Row],[Weight (Digits)]]/1)</f>
        <v>30</v>
      </c>
      <c r="K4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8" s="1" t="s">
        <v>2</v>
      </c>
      <c r="M48" s="1" t="str">
        <f>IF(COUNTIF(Table2[Animal],Table1[[#This Row],[Animal]]) = 1, "Previous Participant", "New Participant")</f>
        <v>Previous Participant</v>
      </c>
      <c r="N48" s="1" t="str">
        <f>_xlfn.XLOOKUP(Table1[[#This Row],[Region]],'Support - Tables'!$B$3:$B$10,'Support - Tables'!$D$3:$D$10,"Not Found",0)</f>
        <v>Air</v>
      </c>
      <c r="O48" s="6">
        <f>_xlfn.XLOOKUP(Table1[[#This Row],[Region]],'Support - Tables'!$B$3:$B$10,'Support - Tables'!$C$3:$C$10, "Not Found",0)</f>
        <v>600</v>
      </c>
      <c r="P48" s="6">
        <f>_xlfn.XLOOKUP(Table1[[#This Row],[Diet]],'Support - Tables'!$B$14:$B$16,'Support - Tables'!$C$14:$C$16, "Not Found", 0)</f>
        <v>400</v>
      </c>
      <c r="Q48" s="6">
        <f>Table1[[#This Row],[Revenue]]-Table1[[#This Row],[Cost]]</f>
        <v>200</v>
      </c>
      <c r="R48" s="6">
        <f>COUNTBLANK(Table1[[#This Row],[Diet]:[Region]])</f>
        <v>0</v>
      </c>
      <c r="S48" s="6"/>
      <c r="T48" s="6"/>
    </row>
    <row r="49" spans="1:20" x14ac:dyDescent="0.25">
      <c r="A49" s="2" t="s">
        <v>81</v>
      </c>
      <c r="B49" s="1" t="s">
        <v>23</v>
      </c>
      <c r="C49" s="1">
        <v>50</v>
      </c>
      <c r="D49" s="1" t="s">
        <v>706</v>
      </c>
      <c r="E49" s="1">
        <f>IF(Table1[[#This Row],[Lifespan Unit]]="months", Table1[[#This Row],[Lifespan]]/12,Table1[[#This Row],[Lifespan]])</f>
        <v>50</v>
      </c>
      <c r="F49" s="1" t="s">
        <v>580</v>
      </c>
      <c r="G49" s="1" t="str">
        <f t="shared" si="0"/>
        <v>1,322</v>
      </c>
      <c r="H49" s="1" t="str">
        <f t="shared" si="1"/>
        <v>lbs</v>
      </c>
      <c r="I49" s="1" t="str">
        <f>IF(Table1[[#This Row],[Lifespan (Years)]]&lt;25, "&lt;25", IF(Table1[[#This Row],[Lifespan (Years)]]&lt;50, "25-49", IF(Table1[[#This Row],[Lifespan (Years)]]&lt;75, "50-74", IF(Table1[[#This Row],[Lifespan (Years)]]&lt;100, "75-99", "&gt;=100"))))</f>
        <v>50-74</v>
      </c>
      <c r="J49" s="14">
        <f>IF(Table1[[#This Row],[Weight Unit]]="oz",Table1[[#This Row],[Weight (Digits)]]/16, Table1[[#This Row],[Weight (Digits)]]/1)</f>
        <v>1322</v>
      </c>
      <c r="K4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49" s="1" t="s">
        <v>4</v>
      </c>
      <c r="M49" s="1" t="str">
        <f>IF(COUNTIF(Table2[Animal],Table1[[#This Row],[Animal]]) = 1, "Previous Participant", "New Participant")</f>
        <v>Previous Participant</v>
      </c>
      <c r="N49" s="1" t="str">
        <f>_xlfn.XLOOKUP(Table1[[#This Row],[Region]],'Support - Tables'!$B$3:$B$10,'Support - Tables'!$D$3:$D$10,"Not Found",0)</f>
        <v>Boat</v>
      </c>
      <c r="O49" s="6">
        <f>_xlfn.XLOOKUP(Table1[[#This Row],[Region]],'Support - Tables'!$B$3:$B$10,'Support - Tables'!$C$3:$C$10, "Not Found",0)</f>
        <v>200</v>
      </c>
      <c r="P49" s="6">
        <f>_xlfn.XLOOKUP(Table1[[#This Row],[Diet]],'Support - Tables'!$B$14:$B$16,'Support - Tables'!$C$14:$C$16, "Not Found", 0)</f>
        <v>300</v>
      </c>
      <c r="Q49" s="6">
        <f>Table1[[#This Row],[Revenue]]-Table1[[#This Row],[Cost]]</f>
        <v>-100</v>
      </c>
      <c r="R49" s="6">
        <f>COUNTBLANK(Table1[[#This Row],[Diet]:[Region]])</f>
        <v>0</v>
      </c>
      <c r="S49" s="6"/>
      <c r="T49" s="6"/>
    </row>
    <row r="50" spans="1:20" x14ac:dyDescent="0.25">
      <c r="A50" s="2" t="s">
        <v>82</v>
      </c>
      <c r="B50" s="1" t="s">
        <v>13</v>
      </c>
      <c r="C50" s="1">
        <v>10</v>
      </c>
      <c r="D50" s="1" t="s">
        <v>706</v>
      </c>
      <c r="E50" s="1">
        <f>IF(Table1[[#This Row],[Lifespan Unit]]="months", Table1[[#This Row],[Lifespan]]/12,Table1[[#This Row],[Lifespan]])</f>
        <v>10</v>
      </c>
      <c r="F50" s="1" t="s">
        <v>91</v>
      </c>
      <c r="G50" s="1" t="str">
        <f t="shared" si="0"/>
        <v>24</v>
      </c>
      <c r="H50" s="1" t="str">
        <f t="shared" si="1"/>
        <v>lbs</v>
      </c>
      <c r="I50" s="1" t="str">
        <f>IF(Table1[[#This Row],[Lifespan (Years)]]&lt;25, "&lt;25", IF(Table1[[#This Row],[Lifespan (Years)]]&lt;50, "25-49", IF(Table1[[#This Row],[Lifespan (Years)]]&lt;75, "50-74", IF(Table1[[#This Row],[Lifespan (Years)]]&lt;100, "75-99", "&gt;=100"))))</f>
        <v>&lt;25</v>
      </c>
      <c r="J50" s="14">
        <f>IF(Table1[[#This Row],[Weight Unit]]="oz",Table1[[#This Row],[Weight (Digits)]]/16, Table1[[#This Row],[Weight (Digits)]]/1)</f>
        <v>24</v>
      </c>
      <c r="K5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50" s="1" t="s">
        <v>3</v>
      </c>
      <c r="M50" s="1" t="str">
        <f>IF(COUNTIF(Table2[Animal],Table1[[#This Row],[Animal]]) = 1, "Previous Participant", "New Participant")</f>
        <v>New Participant</v>
      </c>
      <c r="N50" s="1" t="str">
        <f>_xlfn.XLOOKUP(Table1[[#This Row],[Region]],'Support - Tables'!$B$3:$B$10,'Support - Tables'!$D$3:$D$10,"Not Found",0)</f>
        <v>Air</v>
      </c>
      <c r="O50" s="6">
        <f>_xlfn.XLOOKUP(Table1[[#This Row],[Region]],'Support - Tables'!$B$3:$B$10,'Support - Tables'!$C$3:$C$10, "Not Found",0)</f>
        <v>350</v>
      </c>
      <c r="P50" s="6">
        <f>_xlfn.XLOOKUP(Table1[[#This Row],[Diet]],'Support - Tables'!$B$14:$B$16,'Support - Tables'!$C$14:$C$16, "Not Found", 0)</f>
        <v>400</v>
      </c>
      <c r="Q50" s="6">
        <f>Table1[[#This Row],[Revenue]]-Table1[[#This Row],[Cost]]</f>
        <v>-50</v>
      </c>
      <c r="R50" s="6">
        <f>COUNTBLANK(Table1[[#This Row],[Diet]:[Region]])</f>
        <v>0</v>
      </c>
      <c r="S50" s="6"/>
      <c r="T50" s="6"/>
    </row>
    <row r="51" spans="1:20" x14ac:dyDescent="0.25">
      <c r="A51" s="2" t="s">
        <v>83</v>
      </c>
      <c r="B51" s="1" t="s">
        <v>15</v>
      </c>
      <c r="C51" s="1">
        <v>15</v>
      </c>
      <c r="D51" s="1" t="s">
        <v>706</v>
      </c>
      <c r="E51" s="1">
        <f>IF(Table1[[#This Row],[Lifespan Unit]]="months", Table1[[#This Row],[Lifespan]]/12,Table1[[#This Row],[Lifespan]])</f>
        <v>15</v>
      </c>
      <c r="F51" s="1" t="s">
        <v>84</v>
      </c>
      <c r="G51" s="1" t="str">
        <f t="shared" si="0"/>
        <v>12</v>
      </c>
      <c r="H51" s="1" t="str">
        <f t="shared" si="1"/>
        <v>lbs</v>
      </c>
      <c r="I51" s="1" t="str">
        <f>IF(Table1[[#This Row],[Lifespan (Years)]]&lt;25, "&lt;25", IF(Table1[[#This Row],[Lifespan (Years)]]&lt;50, "25-49", IF(Table1[[#This Row],[Lifespan (Years)]]&lt;75, "50-74", IF(Table1[[#This Row],[Lifespan (Years)]]&lt;100, "75-99", "&gt;=100"))))</f>
        <v>&lt;25</v>
      </c>
      <c r="J51" s="14">
        <f>IF(Table1[[#This Row],[Weight Unit]]="oz",Table1[[#This Row],[Weight (Digits)]]/16, Table1[[#This Row],[Weight (Digits)]]/1)</f>
        <v>12</v>
      </c>
      <c r="K5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51" s="1" t="s">
        <v>5</v>
      </c>
      <c r="M51" s="1" t="str">
        <f>IF(COUNTIF(Table2[Animal],Table1[[#This Row],[Animal]]) = 1, "Previous Participant", "New Participant")</f>
        <v>Previous Participant</v>
      </c>
      <c r="N51" s="1" t="str">
        <f>_xlfn.XLOOKUP(Table1[[#This Row],[Region]],'Support - Tables'!$B$3:$B$10,'Support - Tables'!$D$3:$D$10,"Not Found",0)</f>
        <v>Boat</v>
      </c>
      <c r="O51" s="6">
        <f>_xlfn.XLOOKUP(Table1[[#This Row],[Region]],'Support - Tables'!$B$3:$B$10,'Support - Tables'!$C$3:$C$10, "Not Found",0)</f>
        <v>400</v>
      </c>
      <c r="P51" s="6">
        <f>_xlfn.XLOOKUP(Table1[[#This Row],[Diet]],'Support - Tables'!$B$14:$B$16,'Support - Tables'!$C$14:$C$16, "Not Found", 0)</f>
        <v>500</v>
      </c>
      <c r="Q51" s="6">
        <f>Table1[[#This Row],[Revenue]]-Table1[[#This Row],[Cost]]</f>
        <v>-100</v>
      </c>
      <c r="R51" s="6">
        <f>COUNTBLANK(Table1[[#This Row],[Diet]:[Region]])</f>
        <v>0</v>
      </c>
      <c r="S51" s="6"/>
      <c r="T51" s="6"/>
    </row>
    <row r="52" spans="1:20" x14ac:dyDescent="0.25">
      <c r="A52" s="2" t="s">
        <v>85</v>
      </c>
      <c r="B52" s="1" t="s">
        <v>13</v>
      </c>
      <c r="C52" s="1">
        <v>7</v>
      </c>
      <c r="D52" s="1" t="s">
        <v>706</v>
      </c>
      <c r="E52" s="1">
        <f>IF(Table1[[#This Row],[Lifespan Unit]]="months", Table1[[#This Row],[Lifespan]]/12,Table1[[#This Row],[Lifespan]])</f>
        <v>7</v>
      </c>
      <c r="F52" s="1" t="s">
        <v>581</v>
      </c>
      <c r="G52" s="1" t="str">
        <f t="shared" si="0"/>
        <v>0.4</v>
      </c>
      <c r="H52" s="1" t="str">
        <f t="shared" si="1"/>
        <v>lbs</v>
      </c>
      <c r="I52" s="1" t="str">
        <f>IF(Table1[[#This Row],[Lifespan (Years)]]&lt;25, "&lt;25", IF(Table1[[#This Row],[Lifespan (Years)]]&lt;50, "25-49", IF(Table1[[#This Row],[Lifespan (Years)]]&lt;75, "50-74", IF(Table1[[#This Row],[Lifespan (Years)]]&lt;100, "75-99", "&gt;=100"))))</f>
        <v>&lt;25</v>
      </c>
      <c r="J52" s="14">
        <f>IF(Table1[[#This Row],[Weight Unit]]="oz",Table1[[#This Row],[Weight (Digits)]]/16, Table1[[#This Row],[Weight (Digits)]]/1)</f>
        <v>0.4</v>
      </c>
      <c r="K5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52" s="1" t="s">
        <v>724</v>
      </c>
      <c r="M52" s="1" t="str">
        <f>IF(COUNTIF(Table2[Animal],Table1[[#This Row],[Animal]]) = 1, "Previous Participant", "New Participant")</f>
        <v>Previous Participant</v>
      </c>
      <c r="N52" s="1" t="str">
        <f>_xlfn.XLOOKUP(Table1[[#This Row],[Region]],'Support - Tables'!$B$3:$B$10,'Support - Tables'!$D$3:$D$10,"Not Found",0)</f>
        <v>Road</v>
      </c>
      <c r="O52" s="6">
        <f>_xlfn.XLOOKUP(Table1[[#This Row],[Region]],'Support - Tables'!$B$3:$B$10,'Support - Tables'!$C$3:$C$10, "Not Found",0)</f>
        <v>450</v>
      </c>
      <c r="P52" s="6">
        <f>_xlfn.XLOOKUP(Table1[[#This Row],[Diet]],'Support - Tables'!$B$14:$B$16,'Support - Tables'!$C$14:$C$16, "Not Found", 0)</f>
        <v>400</v>
      </c>
      <c r="Q52" s="6">
        <f>Table1[[#This Row],[Revenue]]-Table1[[#This Row],[Cost]]</f>
        <v>50</v>
      </c>
      <c r="R52" s="6">
        <f>COUNTBLANK(Table1[[#This Row],[Diet]:[Region]])</f>
        <v>0</v>
      </c>
      <c r="S52" s="6"/>
      <c r="T52" s="6"/>
    </row>
    <row r="53" spans="1:20" x14ac:dyDescent="0.25">
      <c r="A53" s="2" t="s">
        <v>86</v>
      </c>
      <c r="B53" s="1" t="s">
        <v>13</v>
      </c>
      <c r="C53" s="1">
        <v>7</v>
      </c>
      <c r="D53" s="1" t="s">
        <v>706</v>
      </c>
      <c r="E53" s="1">
        <f>IF(Table1[[#This Row],[Lifespan Unit]]="months", Table1[[#This Row],[Lifespan]]/12,Table1[[#This Row],[Lifespan]])</f>
        <v>7</v>
      </c>
      <c r="F53" s="1" t="s">
        <v>573</v>
      </c>
      <c r="G53" s="1" t="str">
        <f t="shared" si="0"/>
        <v/>
      </c>
      <c r="H53" s="1" t="str">
        <f t="shared" si="1"/>
        <v/>
      </c>
      <c r="I53" s="1" t="str">
        <f>IF(Table1[[#This Row],[Lifespan (Years)]]&lt;25, "&lt;25", IF(Table1[[#This Row],[Lifespan (Years)]]&lt;50, "25-49", IF(Table1[[#This Row],[Lifespan (Years)]]&lt;75, "50-74", IF(Table1[[#This Row],[Lifespan (Years)]]&lt;100, "75-99", "&gt;=100"))))</f>
        <v>&lt;25</v>
      </c>
      <c r="J53" s="14">
        <v>0</v>
      </c>
      <c r="K5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53" s="1" t="s">
        <v>724</v>
      </c>
      <c r="M53" s="1" t="str">
        <f>IF(COUNTIF(Table2[Animal],Table1[[#This Row],[Animal]]) = 1, "Previous Participant", "New Participant")</f>
        <v>New Participant</v>
      </c>
      <c r="N53" s="1" t="str">
        <f>_xlfn.XLOOKUP(Table1[[#This Row],[Region]],'Support - Tables'!$B$3:$B$10,'Support - Tables'!$D$3:$D$10,"Not Found",0)</f>
        <v>Road</v>
      </c>
      <c r="O53" s="6">
        <f>_xlfn.XLOOKUP(Table1[[#This Row],[Region]],'Support - Tables'!$B$3:$B$10,'Support - Tables'!$C$3:$C$10, "Not Found",0)</f>
        <v>450</v>
      </c>
      <c r="P53" s="6">
        <f>_xlfn.XLOOKUP(Table1[[#This Row],[Diet]],'Support - Tables'!$B$14:$B$16,'Support - Tables'!$C$14:$C$16, "Not Found", 0)</f>
        <v>400</v>
      </c>
      <c r="Q53" s="6">
        <f>Table1[[#This Row],[Revenue]]-Table1[[#This Row],[Cost]]</f>
        <v>50</v>
      </c>
      <c r="R53" s="6">
        <f>COUNTBLANK(Table1[[#This Row],[Diet]:[Region]])</f>
        <v>3</v>
      </c>
      <c r="S53" s="6"/>
      <c r="T53" s="6"/>
    </row>
    <row r="54" spans="1:20" x14ac:dyDescent="0.25">
      <c r="A54" s="2" t="s">
        <v>87</v>
      </c>
      <c r="B54" s="1" t="s">
        <v>15</v>
      </c>
      <c r="C54" s="1">
        <v>10</v>
      </c>
      <c r="D54" s="1" t="s">
        <v>706</v>
      </c>
      <c r="E54" s="1">
        <f>IF(Table1[[#This Row],[Lifespan Unit]]="months", Table1[[#This Row],[Lifespan]]/12,Table1[[#This Row],[Lifespan]])</f>
        <v>10</v>
      </c>
      <c r="F54" s="1" t="s">
        <v>582</v>
      </c>
      <c r="G54" s="1" t="str">
        <f t="shared" si="0"/>
        <v>10</v>
      </c>
      <c r="H54" s="1" t="str">
        <f t="shared" si="1"/>
        <v>oz</v>
      </c>
      <c r="I54" s="1" t="str">
        <f>IF(Table1[[#This Row],[Lifespan (Years)]]&lt;25, "&lt;25", IF(Table1[[#This Row],[Lifespan (Years)]]&lt;50, "25-49", IF(Table1[[#This Row],[Lifespan (Years)]]&lt;75, "50-74", IF(Table1[[#This Row],[Lifespan (Years)]]&lt;100, "75-99", "&gt;=100"))))</f>
        <v>&lt;25</v>
      </c>
      <c r="J54" s="14">
        <f>IF(Table1[[#This Row],[Weight Unit]]="oz",Table1[[#This Row],[Weight (Digits)]]/16, Table1[[#This Row],[Weight (Digits)]]/1)</f>
        <v>0.625</v>
      </c>
      <c r="K5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54" s="1" t="s">
        <v>2</v>
      </c>
      <c r="M54" s="1" t="str">
        <f>IF(COUNTIF(Table2[Animal],Table1[[#This Row],[Animal]]) = 1, "Previous Participant", "New Participant")</f>
        <v>New Participant</v>
      </c>
      <c r="N54" s="1" t="str">
        <f>_xlfn.XLOOKUP(Table1[[#This Row],[Region]],'Support - Tables'!$B$3:$B$10,'Support - Tables'!$D$3:$D$10,"Not Found",0)</f>
        <v>Air</v>
      </c>
      <c r="O54" s="6">
        <f>_xlfn.XLOOKUP(Table1[[#This Row],[Region]],'Support - Tables'!$B$3:$B$10,'Support - Tables'!$C$3:$C$10, "Not Found",0)</f>
        <v>600</v>
      </c>
      <c r="P54" s="6">
        <f>_xlfn.XLOOKUP(Table1[[#This Row],[Diet]],'Support - Tables'!$B$14:$B$16,'Support - Tables'!$C$14:$C$16, "Not Found", 0)</f>
        <v>500</v>
      </c>
      <c r="Q54" s="6">
        <f>Table1[[#This Row],[Revenue]]-Table1[[#This Row],[Cost]]</f>
        <v>100</v>
      </c>
      <c r="R54" s="6">
        <f>COUNTBLANK(Table1[[#This Row],[Diet]:[Region]])</f>
        <v>0</v>
      </c>
      <c r="S54" s="6"/>
      <c r="T54" s="6"/>
    </row>
    <row r="55" spans="1:20" x14ac:dyDescent="0.25">
      <c r="A55" s="2" t="s">
        <v>88</v>
      </c>
      <c r="B55" s="1" t="s">
        <v>13</v>
      </c>
      <c r="C55" s="1">
        <v>20</v>
      </c>
      <c r="D55" s="1" t="s">
        <v>706</v>
      </c>
      <c r="E55" s="1">
        <f>IF(Table1[[#This Row],[Lifespan Unit]]="months", Table1[[#This Row],[Lifespan]]/12,Table1[[#This Row],[Lifespan]])</f>
        <v>20</v>
      </c>
      <c r="F55" s="1" t="s">
        <v>573</v>
      </c>
      <c r="G55" s="1" t="str">
        <f t="shared" si="0"/>
        <v/>
      </c>
      <c r="H55" s="1" t="str">
        <f t="shared" si="1"/>
        <v/>
      </c>
      <c r="I55" s="1" t="str">
        <f>IF(Table1[[#This Row],[Lifespan (Years)]]&lt;25, "&lt;25", IF(Table1[[#This Row],[Lifespan (Years)]]&lt;50, "25-49", IF(Table1[[#This Row],[Lifespan (Years)]]&lt;75, "50-74", IF(Table1[[#This Row],[Lifespan (Years)]]&lt;100, "75-99", "&gt;=100"))))</f>
        <v>&lt;25</v>
      </c>
      <c r="J55" s="14">
        <v>0</v>
      </c>
      <c r="K5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55" s="1" t="s">
        <v>5</v>
      </c>
      <c r="M55" s="1" t="str">
        <f>IF(COUNTIF(Table2[Animal],Table1[[#This Row],[Animal]]) = 1, "Previous Participant", "New Participant")</f>
        <v>Previous Participant</v>
      </c>
      <c r="N55" s="1" t="str">
        <f>_xlfn.XLOOKUP(Table1[[#This Row],[Region]],'Support - Tables'!$B$3:$B$10,'Support - Tables'!$D$3:$D$10,"Not Found",0)</f>
        <v>Boat</v>
      </c>
      <c r="O55" s="6">
        <f>_xlfn.XLOOKUP(Table1[[#This Row],[Region]],'Support - Tables'!$B$3:$B$10,'Support - Tables'!$C$3:$C$10, "Not Found",0)</f>
        <v>400</v>
      </c>
      <c r="P55" s="6">
        <f>_xlfn.XLOOKUP(Table1[[#This Row],[Diet]],'Support - Tables'!$B$14:$B$16,'Support - Tables'!$C$14:$C$16, "Not Found", 0)</f>
        <v>400</v>
      </c>
      <c r="Q55" s="6">
        <f>Table1[[#This Row],[Revenue]]-Table1[[#This Row],[Cost]]</f>
        <v>0</v>
      </c>
      <c r="R55" s="6">
        <f>COUNTBLANK(Table1[[#This Row],[Diet]:[Region]])</f>
        <v>3</v>
      </c>
      <c r="S55" s="6"/>
      <c r="T55" s="6"/>
    </row>
    <row r="56" spans="1:20" x14ac:dyDescent="0.25">
      <c r="A56" s="2" t="s">
        <v>89</v>
      </c>
      <c r="B56" s="1" t="s">
        <v>15</v>
      </c>
      <c r="C56" s="1">
        <v>15</v>
      </c>
      <c r="D56" s="1" t="s">
        <v>706</v>
      </c>
      <c r="E56" s="1">
        <f>IF(Table1[[#This Row],[Lifespan Unit]]="months", Table1[[#This Row],[Lifespan]]/12,Table1[[#This Row],[Lifespan]])</f>
        <v>15</v>
      </c>
      <c r="F56" s="1" t="s">
        <v>573</v>
      </c>
      <c r="G56" s="1" t="str">
        <f t="shared" si="0"/>
        <v/>
      </c>
      <c r="H56" s="1" t="str">
        <f t="shared" si="1"/>
        <v/>
      </c>
      <c r="I56" s="1" t="str">
        <f>IF(Table1[[#This Row],[Lifespan (Years)]]&lt;25, "&lt;25", IF(Table1[[#This Row],[Lifespan (Years)]]&lt;50, "25-49", IF(Table1[[#This Row],[Lifespan (Years)]]&lt;75, "50-74", IF(Table1[[#This Row],[Lifespan (Years)]]&lt;100, "75-99", "&gt;=100"))))</f>
        <v>&lt;25</v>
      </c>
      <c r="J56" s="14">
        <v>0</v>
      </c>
      <c r="K5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56" s="1" t="s">
        <v>1</v>
      </c>
      <c r="M56" s="1" t="str">
        <f>IF(COUNTIF(Table2[Animal],Table1[[#This Row],[Animal]]) = 1, "Previous Participant", "New Participant")</f>
        <v>Previous Participant</v>
      </c>
      <c r="N56" s="1" t="str">
        <f>_xlfn.XLOOKUP(Table1[[#This Row],[Region]],'Support - Tables'!$B$3:$B$10,'Support - Tables'!$D$3:$D$10,"Not Found",0)</f>
        <v>Air</v>
      </c>
      <c r="O56" s="6">
        <f>_xlfn.XLOOKUP(Table1[[#This Row],[Region]],'Support - Tables'!$B$3:$B$10,'Support - Tables'!$C$3:$C$10, "Not Found",0)</f>
        <v>700</v>
      </c>
      <c r="P56" s="6">
        <f>_xlfn.XLOOKUP(Table1[[#This Row],[Diet]],'Support - Tables'!$B$14:$B$16,'Support - Tables'!$C$14:$C$16, "Not Found", 0)</f>
        <v>500</v>
      </c>
      <c r="Q56" s="6">
        <f>Table1[[#This Row],[Revenue]]-Table1[[#This Row],[Cost]]</f>
        <v>200</v>
      </c>
      <c r="R56" s="6">
        <f>COUNTBLANK(Table1[[#This Row],[Diet]:[Region]])</f>
        <v>3</v>
      </c>
      <c r="S56" s="6"/>
      <c r="T56" s="6"/>
    </row>
    <row r="57" spans="1:20" x14ac:dyDescent="0.25">
      <c r="A57" s="2" t="s">
        <v>90</v>
      </c>
      <c r="B57" s="1" t="s">
        <v>13</v>
      </c>
      <c r="C57" s="1">
        <v>12</v>
      </c>
      <c r="D57" s="1" t="s">
        <v>706</v>
      </c>
      <c r="E57" s="1">
        <f>IF(Table1[[#This Row],[Lifespan Unit]]="months", Table1[[#This Row],[Lifespan]]/12,Table1[[#This Row],[Lifespan]])</f>
        <v>12</v>
      </c>
      <c r="F57" s="1" t="s">
        <v>91</v>
      </c>
      <c r="G57" s="1" t="str">
        <f t="shared" si="0"/>
        <v>24</v>
      </c>
      <c r="H57" s="1" t="str">
        <f t="shared" si="1"/>
        <v>lbs</v>
      </c>
      <c r="I57" s="1" t="str">
        <f>IF(Table1[[#This Row],[Lifespan (Years)]]&lt;25, "&lt;25", IF(Table1[[#This Row],[Lifespan (Years)]]&lt;50, "25-49", IF(Table1[[#This Row],[Lifespan (Years)]]&lt;75, "50-74", IF(Table1[[#This Row],[Lifespan (Years)]]&lt;100, "75-99", "&gt;=100"))))</f>
        <v>&lt;25</v>
      </c>
      <c r="J57" s="14">
        <f>IF(Table1[[#This Row],[Weight Unit]]="oz",Table1[[#This Row],[Weight (Digits)]]/16, Table1[[#This Row],[Weight (Digits)]]/1)</f>
        <v>24</v>
      </c>
      <c r="K5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57" s="1" t="s">
        <v>5</v>
      </c>
      <c r="M57" s="1" t="str">
        <f>IF(COUNTIF(Table2[Animal],Table1[[#This Row],[Animal]]) = 1, "Previous Participant", "New Participant")</f>
        <v>Previous Participant</v>
      </c>
      <c r="N57" s="1" t="str">
        <f>_xlfn.XLOOKUP(Table1[[#This Row],[Region]],'Support - Tables'!$B$3:$B$10,'Support - Tables'!$D$3:$D$10,"Not Found",0)</f>
        <v>Boat</v>
      </c>
      <c r="O57" s="6">
        <f>_xlfn.XLOOKUP(Table1[[#This Row],[Region]],'Support - Tables'!$B$3:$B$10,'Support - Tables'!$C$3:$C$10, "Not Found",0)</f>
        <v>400</v>
      </c>
      <c r="P57" s="6">
        <f>_xlfn.XLOOKUP(Table1[[#This Row],[Diet]],'Support - Tables'!$B$14:$B$16,'Support - Tables'!$C$14:$C$16, "Not Found", 0)</f>
        <v>400</v>
      </c>
      <c r="Q57" s="6">
        <f>Table1[[#This Row],[Revenue]]-Table1[[#This Row],[Cost]]</f>
        <v>0</v>
      </c>
      <c r="R57" s="6">
        <f>COUNTBLANK(Table1[[#This Row],[Diet]:[Region]])</f>
        <v>0</v>
      </c>
      <c r="S57" s="6"/>
      <c r="T57" s="6"/>
    </row>
    <row r="58" spans="1:20" x14ac:dyDescent="0.25">
      <c r="A58" s="2" t="s">
        <v>92</v>
      </c>
      <c r="B58" s="1" t="s">
        <v>15</v>
      </c>
      <c r="C58" s="1">
        <v>100</v>
      </c>
      <c r="D58" s="1" t="s">
        <v>706</v>
      </c>
      <c r="E58" s="1">
        <f>IF(Table1[[#This Row],[Lifespan Unit]]="months", Table1[[#This Row],[Lifespan]]/12,Table1[[#This Row],[Lifespan]])</f>
        <v>100</v>
      </c>
      <c r="F58" s="1" t="s">
        <v>573</v>
      </c>
      <c r="G58" s="1" t="str">
        <f t="shared" si="0"/>
        <v/>
      </c>
      <c r="H58" s="1" t="str">
        <f t="shared" si="1"/>
        <v/>
      </c>
      <c r="I58" s="1" t="str">
        <f>IF(Table1[[#This Row],[Lifespan (Years)]]&lt;25, "&lt;25", IF(Table1[[#This Row],[Lifespan (Years)]]&lt;50, "25-49", IF(Table1[[#This Row],[Lifespan (Years)]]&lt;75, "50-74", IF(Table1[[#This Row],[Lifespan (Years)]]&lt;100, "75-99", "&gt;=100"))))</f>
        <v>&gt;=100</v>
      </c>
      <c r="J58" s="14">
        <v>0</v>
      </c>
      <c r="K5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58" s="1" t="s">
        <v>724</v>
      </c>
      <c r="M58" s="1" t="str">
        <f>IF(COUNTIF(Table2[Animal],Table1[[#This Row],[Animal]]) = 1, "Previous Participant", "New Participant")</f>
        <v>Previous Participant</v>
      </c>
      <c r="N58" s="1" t="str">
        <f>_xlfn.XLOOKUP(Table1[[#This Row],[Region]],'Support - Tables'!$B$3:$B$10,'Support - Tables'!$D$3:$D$10,"Not Found",0)</f>
        <v>Road</v>
      </c>
      <c r="O58" s="6">
        <f>_xlfn.XLOOKUP(Table1[[#This Row],[Region]],'Support - Tables'!$B$3:$B$10,'Support - Tables'!$C$3:$C$10, "Not Found",0)</f>
        <v>450</v>
      </c>
      <c r="P58" s="6">
        <f>_xlfn.XLOOKUP(Table1[[#This Row],[Diet]],'Support - Tables'!$B$14:$B$16,'Support - Tables'!$C$14:$C$16, "Not Found", 0)</f>
        <v>500</v>
      </c>
      <c r="Q58" s="6">
        <f>Table1[[#This Row],[Revenue]]-Table1[[#This Row],[Cost]]</f>
        <v>-50</v>
      </c>
      <c r="R58" s="6">
        <f>COUNTBLANK(Table1[[#This Row],[Diet]:[Region]])</f>
        <v>3</v>
      </c>
      <c r="S58" s="6"/>
      <c r="T58" s="6"/>
    </row>
    <row r="59" spans="1:20" x14ac:dyDescent="0.25">
      <c r="A59" s="2" t="s">
        <v>93</v>
      </c>
      <c r="B59" s="1" t="s">
        <v>13</v>
      </c>
      <c r="C59" s="1">
        <v>12</v>
      </c>
      <c r="D59" s="1" t="s">
        <v>706</v>
      </c>
      <c r="E59" s="1">
        <f>IF(Table1[[#This Row],[Lifespan Unit]]="months", Table1[[#This Row],[Lifespan]]/12,Table1[[#This Row],[Lifespan]])</f>
        <v>12</v>
      </c>
      <c r="F59" s="1" t="s">
        <v>21</v>
      </c>
      <c r="G59" s="1" t="str">
        <f t="shared" si="0"/>
        <v>60</v>
      </c>
      <c r="H59" s="1" t="str">
        <f t="shared" si="1"/>
        <v>lbs</v>
      </c>
      <c r="I59" s="1" t="str">
        <f>IF(Table1[[#This Row],[Lifespan (Years)]]&lt;25, "&lt;25", IF(Table1[[#This Row],[Lifespan (Years)]]&lt;50, "25-49", IF(Table1[[#This Row],[Lifespan (Years)]]&lt;75, "50-74", IF(Table1[[#This Row],[Lifespan (Years)]]&lt;100, "75-99", "&gt;=100"))))</f>
        <v>&lt;25</v>
      </c>
      <c r="J59" s="14">
        <f>IF(Table1[[#This Row],[Weight Unit]]="oz",Table1[[#This Row],[Weight (Digits)]]/16, Table1[[#This Row],[Weight (Digits)]]/1)</f>
        <v>60</v>
      </c>
      <c r="K5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59" s="1" t="s">
        <v>2</v>
      </c>
      <c r="M59" s="1" t="str">
        <f>IF(COUNTIF(Table2[Animal],Table1[[#This Row],[Animal]]) = 1, "Previous Participant", "New Participant")</f>
        <v>Previous Participant</v>
      </c>
      <c r="N59" s="1" t="str">
        <f>_xlfn.XLOOKUP(Table1[[#This Row],[Region]],'Support - Tables'!$B$3:$B$10,'Support - Tables'!$D$3:$D$10,"Not Found",0)</f>
        <v>Air</v>
      </c>
      <c r="O59" s="6">
        <f>_xlfn.XLOOKUP(Table1[[#This Row],[Region]],'Support - Tables'!$B$3:$B$10,'Support - Tables'!$C$3:$C$10, "Not Found",0)</f>
        <v>600</v>
      </c>
      <c r="P59" s="6">
        <f>_xlfn.XLOOKUP(Table1[[#This Row],[Diet]],'Support - Tables'!$B$14:$B$16,'Support - Tables'!$C$14:$C$16, "Not Found", 0)</f>
        <v>400</v>
      </c>
      <c r="Q59" s="6">
        <f>Table1[[#This Row],[Revenue]]-Table1[[#This Row],[Cost]]</f>
        <v>200</v>
      </c>
      <c r="R59" s="6">
        <f>COUNTBLANK(Table1[[#This Row],[Diet]:[Region]])</f>
        <v>0</v>
      </c>
      <c r="S59" s="6"/>
      <c r="T59" s="6"/>
    </row>
    <row r="60" spans="1:20" x14ac:dyDescent="0.25">
      <c r="A60" s="2" t="s">
        <v>94</v>
      </c>
      <c r="B60" s="1" t="s">
        <v>13</v>
      </c>
      <c r="C60" s="1">
        <v>30</v>
      </c>
      <c r="D60" s="1" t="s">
        <v>706</v>
      </c>
      <c r="E60" s="1">
        <f>IF(Table1[[#This Row],[Lifespan Unit]]="months", Table1[[#This Row],[Lifespan]]/12,Table1[[#This Row],[Lifespan]])</f>
        <v>30</v>
      </c>
      <c r="F60" s="1" t="s">
        <v>583</v>
      </c>
      <c r="G60" s="1" t="str">
        <f t="shared" si="0"/>
        <v>0.07</v>
      </c>
      <c r="H60" s="1" t="str">
        <f t="shared" si="1"/>
        <v>oz</v>
      </c>
      <c r="I60" s="1" t="str">
        <f>IF(Table1[[#This Row],[Lifespan (Years)]]&lt;25, "&lt;25", IF(Table1[[#This Row],[Lifespan (Years)]]&lt;50, "25-49", IF(Table1[[#This Row],[Lifespan (Years)]]&lt;75, "50-74", IF(Table1[[#This Row],[Lifespan (Years)]]&lt;100, "75-99", "&gt;=100"))))</f>
        <v>25-49</v>
      </c>
      <c r="J60" s="14">
        <f>IF(Table1[[#This Row],[Weight Unit]]="oz",Table1[[#This Row],[Weight (Digits)]]/16, Table1[[#This Row],[Weight (Digits)]]/1)</f>
        <v>4.3750000000000004E-3</v>
      </c>
      <c r="K6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60" s="1" t="s">
        <v>724</v>
      </c>
      <c r="M60" s="1" t="str">
        <f>IF(COUNTIF(Table2[Animal],Table1[[#This Row],[Animal]]) = 1, "Previous Participant", "New Participant")</f>
        <v>Previous Participant</v>
      </c>
      <c r="N60" s="1" t="str">
        <f>_xlfn.XLOOKUP(Table1[[#This Row],[Region]],'Support - Tables'!$B$3:$B$10,'Support - Tables'!$D$3:$D$10,"Not Found",0)</f>
        <v>Road</v>
      </c>
      <c r="O60" s="6">
        <f>_xlfn.XLOOKUP(Table1[[#This Row],[Region]],'Support - Tables'!$B$3:$B$10,'Support - Tables'!$C$3:$C$10, "Not Found",0)</f>
        <v>450</v>
      </c>
      <c r="P60" s="6">
        <f>_xlfn.XLOOKUP(Table1[[#This Row],[Diet]],'Support - Tables'!$B$14:$B$16,'Support - Tables'!$C$14:$C$16, "Not Found", 0)</f>
        <v>400</v>
      </c>
      <c r="Q60" s="6">
        <f>Table1[[#This Row],[Revenue]]-Table1[[#This Row],[Cost]]</f>
        <v>50</v>
      </c>
      <c r="R60" s="6">
        <f>COUNTBLANK(Table1[[#This Row],[Diet]:[Region]])</f>
        <v>0</v>
      </c>
      <c r="S60" s="6"/>
      <c r="T60" s="6"/>
    </row>
    <row r="61" spans="1:20" x14ac:dyDescent="0.25">
      <c r="A61" s="2" t="s">
        <v>95</v>
      </c>
      <c r="B61" s="1" t="s">
        <v>13</v>
      </c>
      <c r="C61" s="1">
        <v>14</v>
      </c>
      <c r="D61" s="1" t="s">
        <v>706</v>
      </c>
      <c r="E61" s="1">
        <f>IF(Table1[[#This Row],[Lifespan Unit]]="months", Table1[[#This Row],[Lifespan]]/12,Table1[[#This Row],[Lifespan]])</f>
        <v>14</v>
      </c>
      <c r="F61" s="1" t="s">
        <v>96</v>
      </c>
      <c r="G61" s="1" t="str">
        <f t="shared" si="0"/>
        <v>75</v>
      </c>
      <c r="H61" s="1" t="str">
        <f t="shared" si="1"/>
        <v>lbs</v>
      </c>
      <c r="I61" s="1" t="str">
        <f>IF(Table1[[#This Row],[Lifespan (Years)]]&lt;25, "&lt;25", IF(Table1[[#This Row],[Lifespan (Years)]]&lt;50, "25-49", IF(Table1[[#This Row],[Lifespan (Years)]]&lt;75, "50-74", IF(Table1[[#This Row],[Lifespan (Years)]]&lt;100, "75-99", "&gt;=100"))))</f>
        <v>&lt;25</v>
      </c>
      <c r="J61" s="14">
        <f>IF(Table1[[#This Row],[Weight Unit]]="oz",Table1[[#This Row],[Weight (Digits)]]/16, Table1[[#This Row],[Weight (Digits)]]/1)</f>
        <v>75</v>
      </c>
      <c r="K6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61" s="1" t="s">
        <v>725</v>
      </c>
      <c r="M61" s="1" t="str">
        <f>IF(COUNTIF(Table2[Animal],Table1[[#This Row],[Animal]]) = 1, "Previous Participant", "New Participant")</f>
        <v>Previous Participant</v>
      </c>
      <c r="N61" s="1" t="str">
        <f>_xlfn.XLOOKUP(Table1[[#This Row],[Region]],'Support - Tables'!$B$3:$B$10,'Support - Tables'!$D$3:$D$10,"Not Found",0)</f>
        <v>Air</v>
      </c>
      <c r="O61" s="6">
        <f>_xlfn.XLOOKUP(Table1[[#This Row],[Region]],'Support - Tables'!$B$3:$B$10,'Support - Tables'!$C$3:$C$10, "Not Found",0)</f>
        <v>600</v>
      </c>
      <c r="P61" s="6">
        <f>_xlfn.XLOOKUP(Table1[[#This Row],[Diet]],'Support - Tables'!$B$14:$B$16,'Support - Tables'!$C$14:$C$16, "Not Found", 0)</f>
        <v>400</v>
      </c>
      <c r="Q61" s="6">
        <f>Table1[[#This Row],[Revenue]]-Table1[[#This Row],[Cost]]</f>
        <v>200</v>
      </c>
      <c r="R61" s="6">
        <f>COUNTBLANK(Table1[[#This Row],[Diet]:[Region]])</f>
        <v>0</v>
      </c>
      <c r="S61" s="6"/>
      <c r="T61" s="6"/>
    </row>
    <row r="62" spans="1:20" x14ac:dyDescent="0.25">
      <c r="A62" s="2" t="s">
        <v>97</v>
      </c>
      <c r="B62" s="1" t="s">
        <v>13</v>
      </c>
      <c r="C62" s="1">
        <v>15</v>
      </c>
      <c r="D62" s="1" t="s">
        <v>706</v>
      </c>
      <c r="E62" s="1">
        <f>IF(Table1[[#This Row],[Lifespan Unit]]="months", Table1[[#This Row],[Lifespan]]/12,Table1[[#This Row],[Lifespan]])</f>
        <v>15</v>
      </c>
      <c r="F62" s="1" t="s">
        <v>98</v>
      </c>
      <c r="G62" s="1" t="str">
        <f t="shared" si="0"/>
        <v>30</v>
      </c>
      <c r="H62" s="1" t="str">
        <f t="shared" si="1"/>
        <v>lbs</v>
      </c>
      <c r="I62" s="1" t="str">
        <f>IF(Table1[[#This Row],[Lifespan (Years)]]&lt;25, "&lt;25", IF(Table1[[#This Row],[Lifespan (Years)]]&lt;50, "25-49", IF(Table1[[#This Row],[Lifespan (Years)]]&lt;75, "50-74", IF(Table1[[#This Row],[Lifespan (Years)]]&lt;100, "75-99", "&gt;=100"))))</f>
        <v>&lt;25</v>
      </c>
      <c r="J62" s="14">
        <f>IF(Table1[[#This Row],[Weight Unit]]="oz",Table1[[#This Row],[Weight (Digits)]]/16, Table1[[#This Row],[Weight (Digits)]]/1)</f>
        <v>30</v>
      </c>
      <c r="K6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62" s="1" t="s">
        <v>725</v>
      </c>
      <c r="M62" s="1" t="str">
        <f>IF(COUNTIF(Table2[Animal],Table1[[#This Row],[Animal]]) = 1, "Previous Participant", "New Participant")</f>
        <v>Previous Participant</v>
      </c>
      <c r="N62" s="1" t="str">
        <f>_xlfn.XLOOKUP(Table1[[#This Row],[Region]],'Support - Tables'!$B$3:$B$10,'Support - Tables'!$D$3:$D$10,"Not Found",0)</f>
        <v>Air</v>
      </c>
      <c r="O62" s="6">
        <f>_xlfn.XLOOKUP(Table1[[#This Row],[Region]],'Support - Tables'!$B$3:$B$10,'Support - Tables'!$C$3:$C$10, "Not Found",0)</f>
        <v>600</v>
      </c>
      <c r="P62" s="6">
        <f>_xlfn.XLOOKUP(Table1[[#This Row],[Diet]],'Support - Tables'!$B$14:$B$16,'Support - Tables'!$C$14:$C$16, "Not Found", 0)</f>
        <v>400</v>
      </c>
      <c r="Q62" s="6">
        <f>Table1[[#This Row],[Revenue]]-Table1[[#This Row],[Cost]]</f>
        <v>200</v>
      </c>
      <c r="R62" s="6">
        <f>COUNTBLANK(Table1[[#This Row],[Diet]:[Region]])</f>
        <v>0</v>
      </c>
      <c r="S62" s="6"/>
      <c r="T62" s="6"/>
    </row>
    <row r="63" spans="1:20" x14ac:dyDescent="0.25">
      <c r="A63" s="2" t="s">
        <v>99</v>
      </c>
      <c r="B63" s="1" t="s">
        <v>13</v>
      </c>
      <c r="C63" s="1">
        <v>14</v>
      </c>
      <c r="D63" s="1" t="s">
        <v>706</v>
      </c>
      <c r="E63" s="1">
        <f>IF(Table1[[#This Row],[Lifespan Unit]]="months", Table1[[#This Row],[Lifespan]]/12,Table1[[#This Row],[Lifespan]])</f>
        <v>14</v>
      </c>
      <c r="F63" s="1" t="s">
        <v>21</v>
      </c>
      <c r="G63" s="1" t="str">
        <f t="shared" si="0"/>
        <v>60</v>
      </c>
      <c r="H63" s="1" t="str">
        <f t="shared" si="1"/>
        <v>lbs</v>
      </c>
      <c r="I63" s="1" t="str">
        <f>IF(Table1[[#This Row],[Lifespan (Years)]]&lt;25, "&lt;25", IF(Table1[[#This Row],[Lifespan (Years)]]&lt;50, "25-49", IF(Table1[[#This Row],[Lifespan (Years)]]&lt;75, "50-74", IF(Table1[[#This Row],[Lifespan (Years)]]&lt;100, "75-99", "&gt;=100"))))</f>
        <v>&lt;25</v>
      </c>
      <c r="J63" s="14">
        <f>IF(Table1[[#This Row],[Weight Unit]]="oz",Table1[[#This Row],[Weight (Digits)]]/16, Table1[[#This Row],[Weight (Digits)]]/1)</f>
        <v>60</v>
      </c>
      <c r="K6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63" s="1" t="s">
        <v>725</v>
      </c>
      <c r="M63" s="1" t="str">
        <f>IF(COUNTIF(Table2[Animal],Table1[[#This Row],[Animal]]) = 1, "Previous Participant", "New Participant")</f>
        <v>Previous Participant</v>
      </c>
      <c r="N63" s="1" t="str">
        <f>_xlfn.XLOOKUP(Table1[[#This Row],[Region]],'Support - Tables'!$B$3:$B$10,'Support - Tables'!$D$3:$D$10,"Not Found",0)</f>
        <v>Air</v>
      </c>
      <c r="O63" s="6">
        <f>_xlfn.XLOOKUP(Table1[[#This Row],[Region]],'Support - Tables'!$B$3:$B$10,'Support - Tables'!$C$3:$C$10, "Not Found",0)</f>
        <v>600</v>
      </c>
      <c r="P63" s="6">
        <f>_xlfn.XLOOKUP(Table1[[#This Row],[Diet]],'Support - Tables'!$B$14:$B$16,'Support - Tables'!$C$14:$C$16, "Not Found", 0)</f>
        <v>400</v>
      </c>
      <c r="Q63" s="6">
        <f>Table1[[#This Row],[Revenue]]-Table1[[#This Row],[Cost]]</f>
        <v>200</v>
      </c>
      <c r="R63" s="6">
        <f>COUNTBLANK(Table1[[#This Row],[Diet]:[Region]])</f>
        <v>0</v>
      </c>
      <c r="S63" s="6"/>
      <c r="T63" s="6"/>
    </row>
    <row r="64" spans="1:20" x14ac:dyDescent="0.25">
      <c r="A64" s="2" t="s">
        <v>100</v>
      </c>
      <c r="B64" s="1" t="s">
        <v>13</v>
      </c>
      <c r="C64" s="1">
        <v>15</v>
      </c>
      <c r="D64" s="1" t="s">
        <v>706</v>
      </c>
      <c r="E64" s="1">
        <f>IF(Table1[[#This Row],[Lifespan Unit]]="months", Table1[[#This Row],[Lifespan]]/12,Table1[[#This Row],[Lifespan]])</f>
        <v>15</v>
      </c>
      <c r="F64" s="1" t="s">
        <v>584</v>
      </c>
      <c r="G64" s="1" t="str">
        <f t="shared" si="0"/>
        <v>9</v>
      </c>
      <c r="H64" s="1" t="str">
        <f t="shared" si="1"/>
        <v>oz</v>
      </c>
      <c r="I64" s="1" t="str">
        <f>IF(Table1[[#This Row],[Lifespan (Years)]]&lt;25, "&lt;25", IF(Table1[[#This Row],[Lifespan (Years)]]&lt;50, "25-49", IF(Table1[[#This Row],[Lifespan (Years)]]&lt;75, "50-74", IF(Table1[[#This Row],[Lifespan (Years)]]&lt;100, "75-99", "&gt;=100"))))</f>
        <v>&lt;25</v>
      </c>
      <c r="J64" s="14">
        <f>IF(Table1[[#This Row],[Weight Unit]]="oz",Table1[[#This Row],[Weight (Digits)]]/16, Table1[[#This Row],[Weight (Digits)]]/1)</f>
        <v>0.5625</v>
      </c>
      <c r="K6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64" s="1" t="s">
        <v>725</v>
      </c>
      <c r="M64" s="1" t="str">
        <f>IF(COUNTIF(Table2[Animal],Table1[[#This Row],[Animal]]) = 1, "Previous Participant", "New Participant")</f>
        <v>New Participant</v>
      </c>
      <c r="N64" s="1" t="str">
        <f>_xlfn.XLOOKUP(Table1[[#This Row],[Region]],'Support - Tables'!$B$3:$B$10,'Support - Tables'!$D$3:$D$10,"Not Found",0)</f>
        <v>Air</v>
      </c>
      <c r="O64" s="6">
        <f>_xlfn.XLOOKUP(Table1[[#This Row],[Region]],'Support - Tables'!$B$3:$B$10,'Support - Tables'!$C$3:$C$10, "Not Found",0)</f>
        <v>600</v>
      </c>
      <c r="P64" s="6">
        <f>_xlfn.XLOOKUP(Table1[[#This Row],[Diet]],'Support - Tables'!$B$14:$B$16,'Support - Tables'!$C$14:$C$16, "Not Found", 0)</f>
        <v>400</v>
      </c>
      <c r="Q64" s="6">
        <f>Table1[[#This Row],[Revenue]]-Table1[[#This Row],[Cost]]</f>
        <v>200</v>
      </c>
      <c r="R64" s="6">
        <f>COUNTBLANK(Table1[[#This Row],[Diet]:[Region]])</f>
        <v>0</v>
      </c>
      <c r="S64" s="6"/>
      <c r="T64" s="6"/>
    </row>
    <row r="65" spans="1:20" x14ac:dyDescent="0.25">
      <c r="A65" s="2" t="s">
        <v>101</v>
      </c>
      <c r="B65" s="1" t="s">
        <v>23</v>
      </c>
      <c r="C65" s="1">
        <v>20</v>
      </c>
      <c r="D65" s="1" t="s">
        <v>706</v>
      </c>
      <c r="E65" s="1">
        <f>IF(Table1[[#This Row],[Lifespan Unit]]="months", Table1[[#This Row],[Lifespan]]/12,Table1[[#This Row],[Lifespan]])</f>
        <v>20</v>
      </c>
      <c r="F65" s="1" t="s">
        <v>263</v>
      </c>
      <c r="G65" s="1" t="str">
        <f t="shared" si="0"/>
        <v>35</v>
      </c>
      <c r="H65" s="1" t="str">
        <f t="shared" si="1"/>
        <v>lbs</v>
      </c>
      <c r="I65" s="1" t="str">
        <f>IF(Table1[[#This Row],[Lifespan (Years)]]&lt;25, "&lt;25", IF(Table1[[#This Row],[Lifespan (Years)]]&lt;50, "25-49", IF(Table1[[#This Row],[Lifespan (Years)]]&lt;75, "50-74", IF(Table1[[#This Row],[Lifespan (Years)]]&lt;100, "75-99", "&gt;=100"))))</f>
        <v>&lt;25</v>
      </c>
      <c r="J65" s="14">
        <f>IF(Table1[[#This Row],[Weight Unit]]="oz",Table1[[#This Row],[Weight (Digits)]]/16, Table1[[#This Row],[Weight (Digits)]]/1)</f>
        <v>35</v>
      </c>
      <c r="K6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65" s="1" t="s">
        <v>725</v>
      </c>
      <c r="M65" s="1" t="str">
        <f>IF(COUNTIF(Table2[Animal],Table1[[#This Row],[Animal]]) = 1, "Previous Participant", "New Participant")</f>
        <v>New Participant</v>
      </c>
      <c r="N65" s="1" t="str">
        <f>_xlfn.XLOOKUP(Table1[[#This Row],[Region]],'Support - Tables'!$B$3:$B$10,'Support - Tables'!$D$3:$D$10,"Not Found",0)</f>
        <v>Air</v>
      </c>
      <c r="O65" s="6">
        <f>_xlfn.XLOOKUP(Table1[[#This Row],[Region]],'Support - Tables'!$B$3:$B$10,'Support - Tables'!$C$3:$C$10, "Not Found",0)</f>
        <v>600</v>
      </c>
      <c r="P65" s="6">
        <f>_xlfn.XLOOKUP(Table1[[#This Row],[Diet]],'Support - Tables'!$B$14:$B$16,'Support - Tables'!$C$14:$C$16, "Not Found", 0)</f>
        <v>300</v>
      </c>
      <c r="Q65" s="6">
        <f>Table1[[#This Row],[Revenue]]-Table1[[#This Row],[Cost]]</f>
        <v>300</v>
      </c>
      <c r="R65" s="6">
        <f>COUNTBLANK(Table1[[#This Row],[Diet]:[Region]])</f>
        <v>0</v>
      </c>
      <c r="S65" s="6"/>
      <c r="T65" s="6"/>
    </row>
    <row r="66" spans="1:20" x14ac:dyDescent="0.25">
      <c r="A66" s="2" t="s">
        <v>102</v>
      </c>
      <c r="B66" s="1" t="s">
        <v>13</v>
      </c>
      <c r="C66" s="1">
        <v>16</v>
      </c>
      <c r="D66" s="1" t="s">
        <v>706</v>
      </c>
      <c r="E66" s="1">
        <f>IF(Table1[[#This Row],[Lifespan Unit]]="months", Table1[[#This Row],[Lifespan]]/12,Table1[[#This Row],[Lifespan]])</f>
        <v>16</v>
      </c>
      <c r="F66" s="1" t="s">
        <v>103</v>
      </c>
      <c r="G66" s="1" t="str">
        <f t="shared" ref="G66:G129" si="2">SUBSTITUTE(F66,IF(ISNUMBER(SEARCH("lbs", F66)),RIGHT(F66, 3), RIGHT(F66, 2)),"")</f>
        <v>23</v>
      </c>
      <c r="H66" s="1" t="str">
        <f t="shared" ref="H66:H129" si="3">IF(ISNUMBER(SEARCH("lbs", F66)),RIGHT(F66, 3), RIGHT(F66, 2))</f>
        <v>lbs</v>
      </c>
      <c r="I66" s="1" t="str">
        <f>IF(Table1[[#This Row],[Lifespan (Years)]]&lt;25, "&lt;25", IF(Table1[[#This Row],[Lifespan (Years)]]&lt;50, "25-49", IF(Table1[[#This Row],[Lifespan (Years)]]&lt;75, "50-74", IF(Table1[[#This Row],[Lifespan (Years)]]&lt;100, "75-99", "&gt;=100"))))</f>
        <v>&lt;25</v>
      </c>
      <c r="J66" s="14">
        <f>IF(Table1[[#This Row],[Weight Unit]]="oz",Table1[[#This Row],[Weight (Digits)]]/16, Table1[[#This Row],[Weight (Digits)]]/1)</f>
        <v>23</v>
      </c>
      <c r="K6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66" s="1" t="s">
        <v>725</v>
      </c>
      <c r="M66" s="1" t="str">
        <f>IF(COUNTIF(Table2[Animal],Table1[[#This Row],[Animal]]) = 1, "Previous Participant", "New Participant")</f>
        <v>Previous Participant</v>
      </c>
      <c r="N66" s="1" t="str">
        <f>_xlfn.XLOOKUP(Table1[[#This Row],[Region]],'Support - Tables'!$B$3:$B$10,'Support - Tables'!$D$3:$D$10,"Not Found",0)</f>
        <v>Air</v>
      </c>
      <c r="O66" s="6">
        <f>_xlfn.XLOOKUP(Table1[[#This Row],[Region]],'Support - Tables'!$B$3:$B$10,'Support - Tables'!$C$3:$C$10, "Not Found",0)</f>
        <v>600</v>
      </c>
      <c r="P66" s="6">
        <f>_xlfn.XLOOKUP(Table1[[#This Row],[Diet]],'Support - Tables'!$B$14:$B$16,'Support - Tables'!$C$14:$C$16, "Not Found", 0)</f>
        <v>400</v>
      </c>
      <c r="Q66" s="6">
        <f>Table1[[#This Row],[Revenue]]-Table1[[#This Row],[Cost]]</f>
        <v>200</v>
      </c>
      <c r="R66" s="6">
        <f>COUNTBLANK(Table1[[#This Row],[Diet]:[Region]])</f>
        <v>0</v>
      </c>
      <c r="S66" s="6"/>
      <c r="T66" s="6"/>
    </row>
    <row r="67" spans="1:20" x14ac:dyDescent="0.25">
      <c r="A67" s="2" t="s">
        <v>104</v>
      </c>
      <c r="B67" s="1" t="s">
        <v>15</v>
      </c>
      <c r="C67" s="1">
        <v>25</v>
      </c>
      <c r="D67" s="1" t="s">
        <v>706</v>
      </c>
      <c r="E67" s="1">
        <f>IF(Table1[[#This Row],[Lifespan Unit]]="months", Table1[[#This Row],[Lifespan]]/12,Table1[[#This Row],[Lifespan]])</f>
        <v>25</v>
      </c>
      <c r="F67" s="1" t="s">
        <v>585</v>
      </c>
      <c r="G67" s="1" t="str">
        <f t="shared" si="2"/>
        <v>309</v>
      </c>
      <c r="H67" s="1" t="str">
        <f t="shared" si="3"/>
        <v>lbs</v>
      </c>
      <c r="I67" s="1" t="str">
        <f>IF(Table1[[#This Row],[Lifespan (Years)]]&lt;25, "&lt;25", IF(Table1[[#This Row],[Lifespan (Years)]]&lt;50, "25-49", IF(Table1[[#This Row],[Lifespan (Years)]]&lt;75, "50-74", IF(Table1[[#This Row],[Lifespan (Years)]]&lt;100, "75-99", "&gt;=100"))))</f>
        <v>25-49</v>
      </c>
      <c r="J67" s="14">
        <f>IF(Table1[[#This Row],[Weight Unit]]="oz",Table1[[#This Row],[Weight (Digits)]]/16, Table1[[#This Row],[Weight (Digits)]]/1)</f>
        <v>309</v>
      </c>
      <c r="K6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300-399</v>
      </c>
      <c r="L67" s="1" t="s">
        <v>5</v>
      </c>
      <c r="M67" s="1" t="str">
        <f>IF(COUNTIF(Table2[Animal],Table1[[#This Row],[Animal]]) = 1, "Previous Participant", "New Participant")</f>
        <v>Previous Participant</v>
      </c>
      <c r="N67" s="1" t="str">
        <f>_xlfn.XLOOKUP(Table1[[#This Row],[Region]],'Support - Tables'!$B$3:$B$10,'Support - Tables'!$D$3:$D$10,"Not Found",0)</f>
        <v>Boat</v>
      </c>
      <c r="O67" s="6">
        <f>_xlfn.XLOOKUP(Table1[[#This Row],[Region]],'Support - Tables'!$B$3:$B$10,'Support - Tables'!$C$3:$C$10, "Not Found",0)</f>
        <v>400</v>
      </c>
      <c r="P67" s="6">
        <f>_xlfn.XLOOKUP(Table1[[#This Row],[Diet]],'Support - Tables'!$B$14:$B$16,'Support - Tables'!$C$14:$C$16, "Not Found", 0)</f>
        <v>500</v>
      </c>
      <c r="Q67" s="6">
        <f>Table1[[#This Row],[Revenue]]-Table1[[#This Row],[Cost]]</f>
        <v>-100</v>
      </c>
      <c r="R67" s="6">
        <f>COUNTBLANK(Table1[[#This Row],[Diet]:[Region]])</f>
        <v>0</v>
      </c>
      <c r="S67" s="6"/>
      <c r="T67" s="6"/>
    </row>
    <row r="68" spans="1:20" x14ac:dyDescent="0.25">
      <c r="A68" s="2" t="s">
        <v>105</v>
      </c>
      <c r="B68" s="1" t="s">
        <v>13</v>
      </c>
      <c r="C68" s="1">
        <v>8</v>
      </c>
      <c r="D68" s="1" t="s">
        <v>706</v>
      </c>
      <c r="E68" s="1">
        <f>IF(Table1[[#This Row],[Lifespan Unit]]="months", Table1[[#This Row],[Lifespan]]/12,Table1[[#This Row],[Lifespan]])</f>
        <v>8</v>
      </c>
      <c r="F68" s="1" t="s">
        <v>106</v>
      </c>
      <c r="G68" s="1" t="str">
        <f t="shared" si="2"/>
        <v>88</v>
      </c>
      <c r="H68" s="1" t="str">
        <f t="shared" si="3"/>
        <v>lbs</v>
      </c>
      <c r="I68" s="1" t="str">
        <f>IF(Table1[[#This Row],[Lifespan (Years)]]&lt;25, "&lt;25", IF(Table1[[#This Row],[Lifespan (Years)]]&lt;50, "25-49", IF(Table1[[#This Row],[Lifespan (Years)]]&lt;75, "50-74", IF(Table1[[#This Row],[Lifespan (Years)]]&lt;100, "75-99", "&gt;=100"))))</f>
        <v>&lt;25</v>
      </c>
      <c r="J68" s="14">
        <f>IF(Table1[[#This Row],[Weight Unit]]="oz",Table1[[#This Row],[Weight (Digits)]]/16, Table1[[#This Row],[Weight (Digits)]]/1)</f>
        <v>88</v>
      </c>
      <c r="K6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68" s="1" t="s">
        <v>724</v>
      </c>
      <c r="M68" s="1" t="str">
        <f>IF(COUNTIF(Table2[Animal],Table1[[#This Row],[Animal]]) = 1, "Previous Participant", "New Participant")</f>
        <v>Previous Participant</v>
      </c>
      <c r="N68" s="1" t="str">
        <f>_xlfn.XLOOKUP(Table1[[#This Row],[Region]],'Support - Tables'!$B$3:$B$10,'Support - Tables'!$D$3:$D$10,"Not Found",0)</f>
        <v>Road</v>
      </c>
      <c r="O68" s="6">
        <f>_xlfn.XLOOKUP(Table1[[#This Row],[Region]],'Support - Tables'!$B$3:$B$10,'Support - Tables'!$C$3:$C$10, "Not Found",0)</f>
        <v>450</v>
      </c>
      <c r="P68" s="6">
        <f>_xlfn.XLOOKUP(Table1[[#This Row],[Diet]],'Support - Tables'!$B$14:$B$16,'Support - Tables'!$C$14:$C$16, "Not Found", 0)</f>
        <v>400</v>
      </c>
      <c r="Q68" s="6">
        <f>Table1[[#This Row],[Revenue]]-Table1[[#This Row],[Cost]]</f>
        <v>50</v>
      </c>
      <c r="R68" s="6">
        <f>COUNTBLANK(Table1[[#This Row],[Diet]:[Region]])</f>
        <v>0</v>
      </c>
      <c r="S68" s="6"/>
      <c r="T68" s="6"/>
    </row>
    <row r="69" spans="1:20" x14ac:dyDescent="0.25">
      <c r="A69" s="2" t="s">
        <v>107</v>
      </c>
      <c r="B69" s="1" t="s">
        <v>13</v>
      </c>
      <c r="C69" s="1">
        <v>15</v>
      </c>
      <c r="D69" s="1" t="s">
        <v>706</v>
      </c>
      <c r="E69" s="1">
        <f>IF(Table1[[#This Row],[Lifespan Unit]]="months", Table1[[#This Row],[Lifespan]]/12,Table1[[#This Row],[Lifespan]])</f>
        <v>15</v>
      </c>
      <c r="F69" s="1" t="s">
        <v>108</v>
      </c>
      <c r="G69" s="1" t="str">
        <f t="shared" si="2"/>
        <v>18</v>
      </c>
      <c r="H69" s="1" t="str">
        <f t="shared" si="3"/>
        <v>lbs</v>
      </c>
      <c r="I69" s="1" t="str">
        <f>IF(Table1[[#This Row],[Lifespan (Years)]]&lt;25, "&lt;25", IF(Table1[[#This Row],[Lifespan (Years)]]&lt;50, "25-49", IF(Table1[[#This Row],[Lifespan (Years)]]&lt;75, "50-74", IF(Table1[[#This Row],[Lifespan (Years)]]&lt;100, "75-99", "&gt;=100"))))</f>
        <v>&lt;25</v>
      </c>
      <c r="J69" s="14">
        <f>IF(Table1[[#This Row],[Weight Unit]]="oz",Table1[[#This Row],[Weight (Digits)]]/16, Table1[[#This Row],[Weight (Digits)]]/1)</f>
        <v>18</v>
      </c>
      <c r="K6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69" s="1" t="s">
        <v>725</v>
      </c>
      <c r="M69" s="1" t="str">
        <f>IF(COUNTIF(Table2[Animal],Table1[[#This Row],[Animal]]) = 1, "Previous Participant", "New Participant")</f>
        <v>New Participant</v>
      </c>
      <c r="N69" s="1" t="str">
        <f>_xlfn.XLOOKUP(Table1[[#This Row],[Region]],'Support - Tables'!$B$3:$B$10,'Support - Tables'!$D$3:$D$10,"Not Found",0)</f>
        <v>Air</v>
      </c>
      <c r="O69" s="6">
        <f>_xlfn.XLOOKUP(Table1[[#This Row],[Region]],'Support - Tables'!$B$3:$B$10,'Support - Tables'!$C$3:$C$10, "Not Found",0)</f>
        <v>600</v>
      </c>
      <c r="P69" s="6">
        <f>_xlfn.XLOOKUP(Table1[[#This Row],[Diet]],'Support - Tables'!$B$14:$B$16,'Support - Tables'!$C$14:$C$16, "Not Found", 0)</f>
        <v>400</v>
      </c>
      <c r="Q69" s="6">
        <f>Table1[[#This Row],[Revenue]]-Table1[[#This Row],[Cost]]</f>
        <v>200</v>
      </c>
      <c r="R69" s="6">
        <f>COUNTBLANK(Table1[[#This Row],[Diet]:[Region]])</f>
        <v>0</v>
      </c>
      <c r="S69" s="6"/>
      <c r="T69" s="6"/>
    </row>
    <row r="70" spans="1:20" x14ac:dyDescent="0.25">
      <c r="A70" s="2" t="s">
        <v>109</v>
      </c>
      <c r="B70" s="1" t="s">
        <v>13</v>
      </c>
      <c r="C70" s="1">
        <v>25</v>
      </c>
      <c r="D70" s="1" t="s">
        <v>706</v>
      </c>
      <c r="E70" s="1">
        <f>IF(Table1[[#This Row],[Lifespan Unit]]="months", Table1[[#This Row],[Lifespan]]/12,Table1[[#This Row],[Lifespan]])</f>
        <v>25</v>
      </c>
      <c r="F70" s="1" t="s">
        <v>249</v>
      </c>
      <c r="G70" s="1" t="str">
        <f t="shared" si="2"/>
        <v>22</v>
      </c>
      <c r="H70" s="1" t="str">
        <f t="shared" si="3"/>
        <v>lbs</v>
      </c>
      <c r="I70" s="1" t="str">
        <f>IF(Table1[[#This Row],[Lifespan (Years)]]&lt;25, "&lt;25", IF(Table1[[#This Row],[Lifespan (Years)]]&lt;50, "25-49", IF(Table1[[#This Row],[Lifespan (Years)]]&lt;75, "50-74", IF(Table1[[#This Row],[Lifespan (Years)]]&lt;100, "75-99", "&gt;=100"))))</f>
        <v>25-49</v>
      </c>
      <c r="J70" s="14">
        <f>IF(Table1[[#This Row],[Weight Unit]]="oz",Table1[[#This Row],[Weight (Digits)]]/16, Table1[[#This Row],[Weight (Digits)]]/1)</f>
        <v>22</v>
      </c>
      <c r="K7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70" s="1" t="s">
        <v>2</v>
      </c>
      <c r="M70" s="1" t="str">
        <f>IF(COUNTIF(Table2[Animal],Table1[[#This Row],[Animal]]) = 1, "Previous Participant", "New Participant")</f>
        <v>New Participant</v>
      </c>
      <c r="N70" s="1" t="str">
        <f>_xlfn.XLOOKUP(Table1[[#This Row],[Region]],'Support - Tables'!$B$3:$B$10,'Support - Tables'!$D$3:$D$10,"Not Found",0)</f>
        <v>Air</v>
      </c>
      <c r="O70" s="6">
        <f>_xlfn.XLOOKUP(Table1[[#This Row],[Region]],'Support - Tables'!$B$3:$B$10,'Support - Tables'!$C$3:$C$10, "Not Found",0)</f>
        <v>600</v>
      </c>
      <c r="P70" s="6">
        <f>_xlfn.XLOOKUP(Table1[[#This Row],[Diet]],'Support - Tables'!$B$14:$B$16,'Support - Tables'!$C$14:$C$16, "Not Found", 0)</f>
        <v>400</v>
      </c>
      <c r="Q70" s="6">
        <f>Table1[[#This Row],[Revenue]]-Table1[[#This Row],[Cost]]</f>
        <v>200</v>
      </c>
      <c r="R70" s="6">
        <f>COUNTBLANK(Table1[[#This Row],[Diet]:[Region]])</f>
        <v>0</v>
      </c>
      <c r="S70" s="6"/>
      <c r="T70" s="6"/>
    </row>
    <row r="71" spans="1:20" x14ac:dyDescent="0.25">
      <c r="A71" s="2" t="s">
        <v>110</v>
      </c>
      <c r="B71" s="1" t="s">
        <v>15</v>
      </c>
      <c r="C71" s="1">
        <v>20</v>
      </c>
      <c r="D71" s="1" t="s">
        <v>706</v>
      </c>
      <c r="E71" s="1">
        <f>IF(Table1[[#This Row],[Lifespan Unit]]="months", Table1[[#This Row],[Lifespan]]/12,Table1[[#This Row],[Lifespan]])</f>
        <v>20</v>
      </c>
      <c r="F71" s="1" t="s">
        <v>108</v>
      </c>
      <c r="G71" s="1" t="str">
        <f t="shared" si="2"/>
        <v>18</v>
      </c>
      <c r="H71" s="1" t="str">
        <f t="shared" si="3"/>
        <v>lbs</v>
      </c>
      <c r="I71" s="1" t="str">
        <f>IF(Table1[[#This Row],[Lifespan (Years)]]&lt;25, "&lt;25", IF(Table1[[#This Row],[Lifespan (Years)]]&lt;50, "25-49", IF(Table1[[#This Row],[Lifespan (Years)]]&lt;75, "50-74", IF(Table1[[#This Row],[Lifespan (Years)]]&lt;100, "75-99", "&gt;=100"))))</f>
        <v>&lt;25</v>
      </c>
      <c r="J71" s="14">
        <f>IF(Table1[[#This Row],[Weight Unit]]="oz",Table1[[#This Row],[Weight (Digits)]]/16, Table1[[#This Row],[Weight (Digits)]]/1)</f>
        <v>18</v>
      </c>
      <c r="K7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71" s="1" t="s">
        <v>724</v>
      </c>
      <c r="M71" s="1" t="str">
        <f>IF(COUNTIF(Table2[Animal],Table1[[#This Row],[Animal]]) = 1, "Previous Participant", "New Participant")</f>
        <v>Previous Participant</v>
      </c>
      <c r="N71" s="1" t="str">
        <f>_xlfn.XLOOKUP(Table1[[#This Row],[Region]],'Support - Tables'!$B$3:$B$10,'Support - Tables'!$D$3:$D$10,"Not Found",0)</f>
        <v>Road</v>
      </c>
      <c r="O71" s="6">
        <f>_xlfn.XLOOKUP(Table1[[#This Row],[Region]],'Support - Tables'!$B$3:$B$10,'Support - Tables'!$C$3:$C$10, "Not Found",0)</f>
        <v>450</v>
      </c>
      <c r="P71" s="6">
        <f>_xlfn.XLOOKUP(Table1[[#This Row],[Diet]],'Support - Tables'!$B$14:$B$16,'Support - Tables'!$C$14:$C$16, "Not Found", 0)</f>
        <v>500</v>
      </c>
      <c r="Q71" s="6">
        <f>Table1[[#This Row],[Revenue]]-Table1[[#This Row],[Cost]]</f>
        <v>-50</v>
      </c>
      <c r="R71" s="6">
        <f>COUNTBLANK(Table1[[#This Row],[Diet]:[Region]])</f>
        <v>0</v>
      </c>
      <c r="S71" s="6"/>
      <c r="T71" s="6"/>
    </row>
    <row r="72" spans="1:20" x14ac:dyDescent="0.25">
      <c r="A72" s="2" t="s">
        <v>111</v>
      </c>
      <c r="B72" s="1" t="s">
        <v>23</v>
      </c>
      <c r="C72" s="1">
        <v>20</v>
      </c>
      <c r="D72" s="1" t="s">
        <v>706</v>
      </c>
      <c r="E72" s="1">
        <f>IF(Table1[[#This Row],[Lifespan Unit]]="months", Table1[[#This Row],[Lifespan]]/12,Table1[[#This Row],[Lifespan]])</f>
        <v>20</v>
      </c>
      <c r="F72" s="1" t="s">
        <v>586</v>
      </c>
      <c r="G72" s="1" t="str">
        <f t="shared" si="2"/>
        <v>2,200</v>
      </c>
      <c r="H72" s="1" t="str">
        <f t="shared" si="3"/>
        <v>lbs</v>
      </c>
      <c r="I72" s="1" t="str">
        <f>IF(Table1[[#This Row],[Lifespan (Years)]]&lt;25, "&lt;25", IF(Table1[[#This Row],[Lifespan (Years)]]&lt;50, "25-49", IF(Table1[[#This Row],[Lifespan (Years)]]&lt;75, "50-74", IF(Table1[[#This Row],[Lifespan (Years)]]&lt;100, "75-99", "&gt;=100"))))</f>
        <v>&lt;25</v>
      </c>
      <c r="J72" s="14">
        <f>IF(Table1[[#This Row],[Weight Unit]]="oz",Table1[[#This Row],[Weight (Digits)]]/16, Table1[[#This Row],[Weight (Digits)]]/1)</f>
        <v>2200</v>
      </c>
      <c r="K7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72" s="1" t="s">
        <v>725</v>
      </c>
      <c r="M72" s="1" t="str">
        <f>IF(COUNTIF(Table2[Animal],Table1[[#This Row],[Animal]]) = 1, "Previous Participant", "New Participant")</f>
        <v>Previous Participant</v>
      </c>
      <c r="N72" s="1" t="str">
        <f>_xlfn.XLOOKUP(Table1[[#This Row],[Region]],'Support - Tables'!$B$3:$B$10,'Support - Tables'!$D$3:$D$10,"Not Found",0)</f>
        <v>Air</v>
      </c>
      <c r="O72" s="6">
        <f>_xlfn.XLOOKUP(Table1[[#This Row],[Region]],'Support - Tables'!$B$3:$B$10,'Support - Tables'!$C$3:$C$10, "Not Found",0)</f>
        <v>600</v>
      </c>
      <c r="P72" s="6">
        <f>_xlfn.XLOOKUP(Table1[[#This Row],[Diet]],'Support - Tables'!$B$14:$B$16,'Support - Tables'!$C$14:$C$16, "Not Found", 0)</f>
        <v>300</v>
      </c>
      <c r="Q72" s="6">
        <f>Table1[[#This Row],[Revenue]]-Table1[[#This Row],[Cost]]</f>
        <v>300</v>
      </c>
      <c r="R72" s="6">
        <f>COUNTBLANK(Table1[[#This Row],[Diet]:[Region]])</f>
        <v>0</v>
      </c>
      <c r="S72" s="6"/>
      <c r="T72" s="6"/>
    </row>
    <row r="73" spans="1:20" x14ac:dyDescent="0.25">
      <c r="A73" s="2" t="s">
        <v>112</v>
      </c>
      <c r="B73" s="1" t="s">
        <v>13</v>
      </c>
      <c r="C73" s="1">
        <v>30</v>
      </c>
      <c r="D73" s="1" t="s">
        <v>706</v>
      </c>
      <c r="E73" s="1">
        <f>IF(Table1[[#This Row],[Lifespan Unit]]="months", Table1[[#This Row],[Lifespan]]/12,Table1[[#This Row],[Lifespan]])</f>
        <v>30</v>
      </c>
      <c r="F73" s="1" t="s">
        <v>587</v>
      </c>
      <c r="G73" s="1" t="str">
        <f t="shared" si="2"/>
        <v>220</v>
      </c>
      <c r="H73" s="1" t="str">
        <f t="shared" si="3"/>
        <v>lbs</v>
      </c>
      <c r="I73" s="1" t="str">
        <f>IF(Table1[[#This Row],[Lifespan (Years)]]&lt;25, "&lt;25", IF(Table1[[#This Row],[Lifespan (Years)]]&lt;50, "25-49", IF(Table1[[#This Row],[Lifespan (Years)]]&lt;75, "50-74", IF(Table1[[#This Row],[Lifespan (Years)]]&lt;100, "75-99", "&gt;=100"))))</f>
        <v>25-49</v>
      </c>
      <c r="J73" s="14">
        <f>IF(Table1[[#This Row],[Weight Unit]]="oz",Table1[[#This Row],[Weight (Digits)]]/16, Table1[[#This Row],[Weight (Digits)]]/1)</f>
        <v>220</v>
      </c>
      <c r="K7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200-299</v>
      </c>
      <c r="L73" s="1" t="s">
        <v>4</v>
      </c>
      <c r="M73" s="1" t="str">
        <f>IF(COUNTIF(Table2[Animal],Table1[[#This Row],[Animal]]) = 1, "Previous Participant", "New Participant")</f>
        <v>Previous Participant</v>
      </c>
      <c r="N73" s="1" t="str">
        <f>_xlfn.XLOOKUP(Table1[[#This Row],[Region]],'Support - Tables'!$B$3:$B$10,'Support - Tables'!$D$3:$D$10,"Not Found",0)</f>
        <v>Boat</v>
      </c>
      <c r="O73" s="6">
        <f>_xlfn.XLOOKUP(Table1[[#This Row],[Region]],'Support - Tables'!$B$3:$B$10,'Support - Tables'!$C$3:$C$10, "Not Found",0)</f>
        <v>200</v>
      </c>
      <c r="P73" s="6">
        <f>_xlfn.XLOOKUP(Table1[[#This Row],[Diet]],'Support - Tables'!$B$14:$B$16,'Support - Tables'!$C$14:$C$16, "Not Found", 0)</f>
        <v>400</v>
      </c>
      <c r="Q73" s="6">
        <f>Table1[[#This Row],[Revenue]]-Table1[[#This Row],[Cost]]</f>
        <v>-200</v>
      </c>
      <c r="R73" s="6">
        <f>COUNTBLANK(Table1[[#This Row],[Diet]:[Region]])</f>
        <v>0</v>
      </c>
      <c r="S73" s="6"/>
      <c r="T73" s="6"/>
    </row>
    <row r="74" spans="1:20" x14ac:dyDescent="0.25">
      <c r="A74" s="2" t="s">
        <v>113</v>
      </c>
      <c r="B74" s="1" t="s">
        <v>23</v>
      </c>
      <c r="C74" s="1">
        <v>50</v>
      </c>
      <c r="D74" s="1" t="s">
        <v>706</v>
      </c>
      <c r="E74" s="1">
        <f>IF(Table1[[#This Row],[Lifespan Unit]]="months", Table1[[#This Row],[Lifespan]]/12,Table1[[#This Row],[Lifespan]])</f>
        <v>50</v>
      </c>
      <c r="F74" s="1" t="s">
        <v>588</v>
      </c>
      <c r="G74" s="1" t="str">
        <f t="shared" si="2"/>
        <v>1,800</v>
      </c>
      <c r="H74" s="1" t="str">
        <f t="shared" si="3"/>
        <v>lbs</v>
      </c>
      <c r="I74" s="1" t="str">
        <f>IF(Table1[[#This Row],[Lifespan (Years)]]&lt;25, "&lt;25", IF(Table1[[#This Row],[Lifespan (Years)]]&lt;50, "25-49", IF(Table1[[#This Row],[Lifespan (Years)]]&lt;75, "50-74", IF(Table1[[#This Row],[Lifespan (Years)]]&lt;100, "75-99", "&gt;=100"))))</f>
        <v>50-74</v>
      </c>
      <c r="J74" s="14">
        <f>IF(Table1[[#This Row],[Weight Unit]]="oz",Table1[[#This Row],[Weight (Digits)]]/16, Table1[[#This Row],[Weight (Digits)]]/1)</f>
        <v>1800</v>
      </c>
      <c r="K7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74" s="1" t="s">
        <v>2</v>
      </c>
      <c r="M74" s="1" t="str">
        <f>IF(COUNTIF(Table2[Animal],Table1[[#This Row],[Animal]]) = 1, "Previous Participant", "New Participant")</f>
        <v>Previous Participant</v>
      </c>
      <c r="N74" s="1" t="str">
        <f>_xlfn.XLOOKUP(Table1[[#This Row],[Region]],'Support - Tables'!$B$3:$B$10,'Support - Tables'!$D$3:$D$10,"Not Found",0)</f>
        <v>Air</v>
      </c>
      <c r="O74" s="6">
        <f>_xlfn.XLOOKUP(Table1[[#This Row],[Region]],'Support - Tables'!$B$3:$B$10,'Support - Tables'!$C$3:$C$10, "Not Found",0)</f>
        <v>600</v>
      </c>
      <c r="P74" s="6">
        <f>_xlfn.XLOOKUP(Table1[[#This Row],[Diet]],'Support - Tables'!$B$14:$B$16,'Support - Tables'!$C$14:$C$16, "Not Found", 0)</f>
        <v>300</v>
      </c>
      <c r="Q74" s="6">
        <f>Table1[[#This Row],[Revenue]]-Table1[[#This Row],[Cost]]</f>
        <v>300</v>
      </c>
      <c r="R74" s="6">
        <f>COUNTBLANK(Table1[[#This Row],[Diet]:[Region]])</f>
        <v>0</v>
      </c>
      <c r="S74" s="6"/>
      <c r="T74" s="6"/>
    </row>
    <row r="75" spans="1:20" x14ac:dyDescent="0.25">
      <c r="A75" s="2" t="s">
        <v>114</v>
      </c>
      <c r="B75" s="1" t="s">
        <v>13</v>
      </c>
      <c r="C75" s="1">
        <v>11</v>
      </c>
      <c r="D75" s="1" t="s">
        <v>706</v>
      </c>
      <c r="E75" s="1">
        <f>IF(Table1[[#This Row],[Lifespan Unit]]="months", Table1[[#This Row],[Lifespan]]/12,Table1[[#This Row],[Lifespan]])</f>
        <v>11</v>
      </c>
      <c r="F75" s="1" t="s">
        <v>56</v>
      </c>
      <c r="G75" s="1" t="str">
        <f t="shared" si="2"/>
        <v>150</v>
      </c>
      <c r="H75" s="1" t="str">
        <f t="shared" si="3"/>
        <v>lbs</v>
      </c>
      <c r="I75" s="1" t="str">
        <f>IF(Table1[[#This Row],[Lifespan (Years)]]&lt;25, "&lt;25", IF(Table1[[#This Row],[Lifespan (Years)]]&lt;50, "25-49", IF(Table1[[#This Row],[Lifespan (Years)]]&lt;75, "50-74", IF(Table1[[#This Row],[Lifespan (Years)]]&lt;100, "75-99", "&gt;=100"))))</f>
        <v>&lt;25</v>
      </c>
      <c r="J75" s="14">
        <f>IF(Table1[[#This Row],[Weight Unit]]="oz",Table1[[#This Row],[Weight (Digits)]]/16, Table1[[#This Row],[Weight (Digits)]]/1)</f>
        <v>150</v>
      </c>
      <c r="K7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75" s="1" t="s">
        <v>5</v>
      </c>
      <c r="M75" s="1" t="str">
        <f>IF(COUNTIF(Table2[Animal],Table1[[#This Row],[Animal]]) = 1, "Previous Participant", "New Participant")</f>
        <v>Previous Participant</v>
      </c>
      <c r="N75" s="1" t="str">
        <f>_xlfn.XLOOKUP(Table1[[#This Row],[Region]],'Support - Tables'!$B$3:$B$10,'Support - Tables'!$D$3:$D$10,"Not Found",0)</f>
        <v>Boat</v>
      </c>
      <c r="O75" s="6">
        <f>_xlfn.XLOOKUP(Table1[[#This Row],[Region]],'Support - Tables'!$B$3:$B$10,'Support - Tables'!$C$3:$C$10, "Not Found",0)</f>
        <v>400</v>
      </c>
      <c r="P75" s="6">
        <f>_xlfn.XLOOKUP(Table1[[#This Row],[Diet]],'Support - Tables'!$B$14:$B$16,'Support - Tables'!$C$14:$C$16, "Not Found", 0)</f>
        <v>400</v>
      </c>
      <c r="Q75" s="6">
        <f>Table1[[#This Row],[Revenue]]-Table1[[#This Row],[Cost]]</f>
        <v>0</v>
      </c>
      <c r="R75" s="6">
        <f>COUNTBLANK(Table1[[#This Row],[Diet]:[Region]])</f>
        <v>0</v>
      </c>
      <c r="S75" s="6"/>
      <c r="T75" s="6"/>
    </row>
    <row r="76" spans="1:20" x14ac:dyDescent="0.25">
      <c r="A76" s="2" t="s">
        <v>115</v>
      </c>
      <c r="B76" s="1" t="s">
        <v>15</v>
      </c>
      <c r="C76" s="1">
        <v>3</v>
      </c>
      <c r="D76" s="1" t="s">
        <v>706</v>
      </c>
      <c r="E76" s="1">
        <f>IF(Table1[[#This Row],[Lifespan Unit]]="months", Table1[[#This Row],[Lifespan]]/12,Table1[[#This Row],[Lifespan]])</f>
        <v>3</v>
      </c>
      <c r="F76" s="1" t="s">
        <v>573</v>
      </c>
      <c r="G76" s="1" t="str">
        <f t="shared" si="2"/>
        <v/>
      </c>
      <c r="H76" s="1" t="str">
        <f t="shared" si="3"/>
        <v/>
      </c>
      <c r="I76" s="1" t="str">
        <f>IF(Table1[[#This Row],[Lifespan (Years)]]&lt;25, "&lt;25", IF(Table1[[#This Row],[Lifespan (Years)]]&lt;50, "25-49", IF(Table1[[#This Row],[Lifespan (Years)]]&lt;75, "50-74", IF(Table1[[#This Row],[Lifespan (Years)]]&lt;100, "75-99", "&gt;=100"))))</f>
        <v>&lt;25</v>
      </c>
      <c r="J76" s="14">
        <v>0</v>
      </c>
      <c r="K7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76" s="1" t="s">
        <v>5</v>
      </c>
      <c r="M76" s="1" t="str">
        <f>IF(COUNTIF(Table2[Animal],Table1[[#This Row],[Animal]]) = 1, "Previous Participant", "New Participant")</f>
        <v>Previous Participant</v>
      </c>
      <c r="N76" s="1" t="str">
        <f>_xlfn.XLOOKUP(Table1[[#This Row],[Region]],'Support - Tables'!$B$3:$B$10,'Support - Tables'!$D$3:$D$10,"Not Found",0)</f>
        <v>Boat</v>
      </c>
      <c r="O76" s="6">
        <f>_xlfn.XLOOKUP(Table1[[#This Row],[Region]],'Support - Tables'!$B$3:$B$10,'Support - Tables'!$C$3:$C$10, "Not Found",0)</f>
        <v>400</v>
      </c>
      <c r="P76" s="6">
        <f>_xlfn.XLOOKUP(Table1[[#This Row],[Diet]],'Support - Tables'!$B$14:$B$16,'Support - Tables'!$C$14:$C$16, "Not Found", 0)</f>
        <v>500</v>
      </c>
      <c r="Q76" s="6">
        <f>Table1[[#This Row],[Revenue]]-Table1[[#This Row],[Cost]]</f>
        <v>-100</v>
      </c>
      <c r="R76" s="6">
        <f>COUNTBLANK(Table1[[#This Row],[Diet]:[Region]])</f>
        <v>3</v>
      </c>
      <c r="S76" s="6"/>
      <c r="T76" s="6"/>
    </row>
    <row r="77" spans="1:20" x14ac:dyDescent="0.25">
      <c r="A77" s="2" t="s">
        <v>116</v>
      </c>
      <c r="B77" s="1" t="s">
        <v>13</v>
      </c>
      <c r="C77" s="1">
        <v>12</v>
      </c>
      <c r="D77" s="1" t="s">
        <v>706</v>
      </c>
      <c r="E77" s="1">
        <f>IF(Table1[[#This Row],[Lifespan Unit]]="months", Table1[[#This Row],[Lifespan]]/12,Table1[[#This Row],[Lifespan]])</f>
        <v>12</v>
      </c>
      <c r="F77" s="1" t="s">
        <v>36</v>
      </c>
      <c r="G77" s="1" t="str">
        <f t="shared" si="2"/>
        <v>110</v>
      </c>
      <c r="H77" s="1" t="str">
        <f t="shared" si="3"/>
        <v>lbs</v>
      </c>
      <c r="I77" s="1" t="str">
        <f>IF(Table1[[#This Row],[Lifespan (Years)]]&lt;25, "&lt;25", IF(Table1[[#This Row],[Lifespan (Years)]]&lt;50, "25-49", IF(Table1[[#This Row],[Lifespan (Years)]]&lt;75, "50-74", IF(Table1[[#This Row],[Lifespan (Years)]]&lt;100, "75-99", "&gt;=100"))))</f>
        <v>&lt;25</v>
      </c>
      <c r="J77" s="14">
        <f>IF(Table1[[#This Row],[Weight Unit]]="oz",Table1[[#This Row],[Weight (Digits)]]/16, Table1[[#This Row],[Weight (Digits)]]/1)</f>
        <v>110</v>
      </c>
      <c r="K7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77" s="1" t="s">
        <v>5</v>
      </c>
      <c r="M77" s="1" t="str">
        <f>IF(COUNTIF(Table2[Animal],Table1[[#This Row],[Animal]]) = 1, "Previous Participant", "New Participant")</f>
        <v>Previous Participant</v>
      </c>
      <c r="N77" s="1" t="str">
        <f>_xlfn.XLOOKUP(Table1[[#This Row],[Region]],'Support - Tables'!$B$3:$B$10,'Support - Tables'!$D$3:$D$10,"Not Found",0)</f>
        <v>Boat</v>
      </c>
      <c r="O77" s="6">
        <f>_xlfn.XLOOKUP(Table1[[#This Row],[Region]],'Support - Tables'!$B$3:$B$10,'Support - Tables'!$C$3:$C$10, "Not Found",0)</f>
        <v>400</v>
      </c>
      <c r="P77" s="6">
        <f>_xlfn.XLOOKUP(Table1[[#This Row],[Diet]],'Support - Tables'!$B$14:$B$16,'Support - Tables'!$C$14:$C$16, "Not Found", 0)</f>
        <v>400</v>
      </c>
      <c r="Q77" s="6">
        <f>Table1[[#This Row],[Revenue]]-Table1[[#This Row],[Cost]]</f>
        <v>0</v>
      </c>
      <c r="R77" s="6">
        <f>COUNTBLANK(Table1[[#This Row],[Diet]:[Region]])</f>
        <v>0</v>
      </c>
      <c r="S77" s="6"/>
      <c r="T77" s="6"/>
    </row>
    <row r="78" spans="1:20" x14ac:dyDescent="0.25">
      <c r="A78" s="2" t="s">
        <v>117</v>
      </c>
      <c r="B78" s="1" t="s">
        <v>15</v>
      </c>
      <c r="C78" s="1">
        <v>45</v>
      </c>
      <c r="D78" s="1" t="s">
        <v>706</v>
      </c>
      <c r="E78" s="1">
        <f>IF(Table1[[#This Row],[Lifespan Unit]]="months", Table1[[#This Row],[Lifespan]]/12,Table1[[#This Row],[Lifespan]])</f>
        <v>45</v>
      </c>
      <c r="F78" s="1" t="s">
        <v>589</v>
      </c>
      <c r="G78" s="1" t="str">
        <f t="shared" si="2"/>
        <v>220,000</v>
      </c>
      <c r="H78" s="1" t="str">
        <f t="shared" si="3"/>
        <v>lbs</v>
      </c>
      <c r="I78" s="1" t="str">
        <f>IF(Table1[[#This Row],[Lifespan (Years)]]&lt;25, "&lt;25", IF(Table1[[#This Row],[Lifespan (Years)]]&lt;50, "25-49", IF(Table1[[#This Row],[Lifespan (Years)]]&lt;75, "50-74", IF(Table1[[#This Row],[Lifespan (Years)]]&lt;100, "75-99", "&gt;=100"))))</f>
        <v>25-49</v>
      </c>
      <c r="J78" s="14">
        <f>IF(Table1[[#This Row],[Weight Unit]]="oz",Table1[[#This Row],[Weight (Digits)]]/16, Table1[[#This Row],[Weight (Digits)]]/1)</f>
        <v>220000</v>
      </c>
      <c r="K7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78" s="1" t="s">
        <v>5</v>
      </c>
      <c r="M78" s="1" t="str">
        <f>IF(COUNTIF(Table2[Animal],Table1[[#This Row],[Animal]]) = 1, "Previous Participant", "New Participant")</f>
        <v>Previous Participant</v>
      </c>
      <c r="N78" s="1" t="str">
        <f>_xlfn.XLOOKUP(Table1[[#This Row],[Region]],'Support - Tables'!$B$3:$B$10,'Support - Tables'!$D$3:$D$10,"Not Found",0)</f>
        <v>Boat</v>
      </c>
      <c r="O78" s="6">
        <f>_xlfn.XLOOKUP(Table1[[#This Row],[Region]],'Support - Tables'!$B$3:$B$10,'Support - Tables'!$C$3:$C$10, "Not Found",0)</f>
        <v>400</v>
      </c>
      <c r="P78" s="6">
        <f>_xlfn.XLOOKUP(Table1[[#This Row],[Diet]],'Support - Tables'!$B$14:$B$16,'Support - Tables'!$C$14:$C$16, "Not Found", 0)</f>
        <v>500</v>
      </c>
      <c r="Q78" s="6">
        <f>Table1[[#This Row],[Revenue]]-Table1[[#This Row],[Cost]]</f>
        <v>-100</v>
      </c>
      <c r="R78" s="6">
        <f>COUNTBLANK(Table1[[#This Row],[Diet]:[Region]])</f>
        <v>0</v>
      </c>
      <c r="S78" s="6"/>
      <c r="T78" s="6"/>
    </row>
    <row r="79" spans="1:20" x14ac:dyDescent="0.25">
      <c r="A79" s="2" t="s">
        <v>118</v>
      </c>
      <c r="B79" s="1" t="s">
        <v>13</v>
      </c>
      <c r="C79" s="1">
        <v>12</v>
      </c>
      <c r="D79" s="1" t="s">
        <v>706</v>
      </c>
      <c r="E79" s="1">
        <f>IF(Table1[[#This Row],[Lifespan Unit]]="months", Table1[[#This Row],[Lifespan]]/12,Table1[[#This Row],[Lifespan]])</f>
        <v>12</v>
      </c>
      <c r="F79" s="1" t="s">
        <v>52</v>
      </c>
      <c r="G79" s="1" t="str">
        <f t="shared" si="2"/>
        <v>80</v>
      </c>
      <c r="H79" s="1" t="str">
        <f t="shared" si="3"/>
        <v>lbs</v>
      </c>
      <c r="I79" s="1" t="str">
        <f>IF(Table1[[#This Row],[Lifespan (Years)]]&lt;25, "&lt;25", IF(Table1[[#This Row],[Lifespan (Years)]]&lt;50, "25-49", IF(Table1[[#This Row],[Lifespan (Years)]]&lt;75, "50-74", IF(Table1[[#This Row],[Lifespan (Years)]]&lt;100, "75-99", "&gt;=100"))))</f>
        <v>&lt;25</v>
      </c>
      <c r="J79" s="14">
        <f>IF(Table1[[#This Row],[Weight Unit]]="oz",Table1[[#This Row],[Weight (Digits)]]/16, Table1[[#This Row],[Weight (Digits)]]/1)</f>
        <v>80</v>
      </c>
      <c r="K7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79" s="1" t="s">
        <v>1</v>
      </c>
      <c r="M79" s="1" t="str">
        <f>IF(COUNTIF(Table2[Animal],Table1[[#This Row],[Animal]]) = 1, "Previous Participant", "New Participant")</f>
        <v>Previous Participant</v>
      </c>
      <c r="N79" s="1" t="str">
        <f>_xlfn.XLOOKUP(Table1[[#This Row],[Region]],'Support - Tables'!$B$3:$B$10,'Support - Tables'!$D$3:$D$10,"Not Found",0)</f>
        <v>Air</v>
      </c>
      <c r="O79" s="6">
        <f>_xlfn.XLOOKUP(Table1[[#This Row],[Region]],'Support - Tables'!$B$3:$B$10,'Support - Tables'!$C$3:$C$10, "Not Found",0)</f>
        <v>700</v>
      </c>
      <c r="P79" s="6">
        <f>_xlfn.XLOOKUP(Table1[[#This Row],[Diet]],'Support - Tables'!$B$14:$B$16,'Support - Tables'!$C$14:$C$16, "Not Found", 0)</f>
        <v>400</v>
      </c>
      <c r="Q79" s="6">
        <f>Table1[[#This Row],[Revenue]]-Table1[[#This Row],[Cost]]</f>
        <v>300</v>
      </c>
      <c r="R79" s="6">
        <f>COUNTBLANK(Table1[[#This Row],[Diet]:[Region]])</f>
        <v>0</v>
      </c>
      <c r="S79" s="6"/>
      <c r="T79" s="6"/>
    </row>
    <row r="80" spans="1:20" x14ac:dyDescent="0.25">
      <c r="A80" s="2" t="s">
        <v>119</v>
      </c>
      <c r="B80" s="1" t="s">
        <v>15</v>
      </c>
      <c r="C80" s="1">
        <v>15</v>
      </c>
      <c r="D80" s="1" t="s">
        <v>706</v>
      </c>
      <c r="E80" s="1">
        <f>IF(Table1[[#This Row],[Lifespan Unit]]="months", Table1[[#This Row],[Lifespan]]/12,Table1[[#This Row],[Lifespan]])</f>
        <v>15</v>
      </c>
      <c r="F80" s="1" t="s">
        <v>121</v>
      </c>
      <c r="G80" s="1" t="str">
        <f t="shared" si="2"/>
        <v>9</v>
      </c>
      <c r="H80" s="1" t="str">
        <f t="shared" si="3"/>
        <v>lbs</v>
      </c>
      <c r="I80" s="1" t="str">
        <f>IF(Table1[[#This Row],[Lifespan (Years)]]&lt;25, "&lt;25", IF(Table1[[#This Row],[Lifespan (Years)]]&lt;50, "25-49", IF(Table1[[#This Row],[Lifespan (Years)]]&lt;75, "50-74", IF(Table1[[#This Row],[Lifespan (Years)]]&lt;100, "75-99", "&gt;=100"))))</f>
        <v>&lt;25</v>
      </c>
      <c r="J80" s="14">
        <f>IF(Table1[[#This Row],[Weight Unit]]="oz",Table1[[#This Row],[Weight (Digits)]]/16, Table1[[#This Row],[Weight (Digits)]]/1)</f>
        <v>9</v>
      </c>
      <c r="K8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80" s="1" t="s">
        <v>724</v>
      </c>
      <c r="M80" s="1" t="str">
        <f>IF(COUNTIF(Table2[Animal],Table1[[#This Row],[Animal]]) = 1, "Previous Participant", "New Participant")</f>
        <v>Previous Participant</v>
      </c>
      <c r="N80" s="1" t="str">
        <f>_xlfn.XLOOKUP(Table1[[#This Row],[Region]],'Support - Tables'!$B$3:$B$10,'Support - Tables'!$D$3:$D$10,"Not Found",0)</f>
        <v>Road</v>
      </c>
      <c r="O80" s="6">
        <f>_xlfn.XLOOKUP(Table1[[#This Row],[Region]],'Support - Tables'!$B$3:$B$10,'Support - Tables'!$C$3:$C$10, "Not Found",0)</f>
        <v>450</v>
      </c>
      <c r="P80" s="6">
        <f>_xlfn.XLOOKUP(Table1[[#This Row],[Diet]],'Support - Tables'!$B$14:$B$16,'Support - Tables'!$C$14:$C$16, "Not Found", 0)</f>
        <v>500</v>
      </c>
      <c r="Q80" s="6">
        <f>Table1[[#This Row],[Revenue]]-Table1[[#This Row],[Cost]]</f>
        <v>-50</v>
      </c>
      <c r="R80" s="6">
        <f>COUNTBLANK(Table1[[#This Row],[Diet]:[Region]])</f>
        <v>0</v>
      </c>
      <c r="S80" s="6"/>
      <c r="T80" s="6"/>
    </row>
    <row r="81" spans="1:20" x14ac:dyDescent="0.25">
      <c r="A81" s="2" t="s">
        <v>120</v>
      </c>
      <c r="B81" s="1" t="s">
        <v>13</v>
      </c>
      <c r="C81" s="1">
        <v>14</v>
      </c>
      <c r="D81" s="1" t="s">
        <v>706</v>
      </c>
      <c r="E81" s="1">
        <f>IF(Table1[[#This Row],[Lifespan Unit]]="months", Table1[[#This Row],[Lifespan]]/12,Table1[[#This Row],[Lifespan]])</f>
        <v>14</v>
      </c>
      <c r="F81" s="1" t="s">
        <v>121</v>
      </c>
      <c r="G81" s="1" t="str">
        <f t="shared" si="2"/>
        <v>9</v>
      </c>
      <c r="H81" s="1" t="str">
        <f t="shared" si="3"/>
        <v>lbs</v>
      </c>
      <c r="I81" s="1" t="str">
        <f>IF(Table1[[#This Row],[Lifespan (Years)]]&lt;25, "&lt;25", IF(Table1[[#This Row],[Lifespan (Years)]]&lt;50, "25-49", IF(Table1[[#This Row],[Lifespan (Years)]]&lt;75, "50-74", IF(Table1[[#This Row],[Lifespan (Years)]]&lt;100, "75-99", "&gt;=100"))))</f>
        <v>&lt;25</v>
      </c>
      <c r="J81" s="14">
        <f>IF(Table1[[#This Row],[Weight Unit]]="oz",Table1[[#This Row],[Weight (Digits)]]/16, Table1[[#This Row],[Weight (Digits)]]/1)</f>
        <v>9</v>
      </c>
      <c r="K8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81" s="1" t="s">
        <v>6</v>
      </c>
      <c r="M81" s="1" t="str">
        <f>IF(COUNTIF(Table2[Animal],Table1[[#This Row],[Animal]]) = 1, "Previous Participant", "New Participant")</f>
        <v>New Participant</v>
      </c>
      <c r="N81" s="1" t="str">
        <f>_xlfn.XLOOKUP(Table1[[#This Row],[Region]],'Support - Tables'!$B$3:$B$10,'Support - Tables'!$D$3:$D$10,"Not Found",0)</f>
        <v>Air</v>
      </c>
      <c r="O81" s="6">
        <f>_xlfn.XLOOKUP(Table1[[#This Row],[Region]],'Support - Tables'!$B$3:$B$10,'Support - Tables'!$C$3:$C$10, "Not Found",0)</f>
        <v>450</v>
      </c>
      <c r="P81" s="6">
        <f>_xlfn.XLOOKUP(Table1[[#This Row],[Diet]],'Support - Tables'!$B$14:$B$16,'Support - Tables'!$C$14:$C$16, "Not Found", 0)</f>
        <v>400</v>
      </c>
      <c r="Q81" s="6">
        <f>Table1[[#This Row],[Revenue]]-Table1[[#This Row],[Cost]]</f>
        <v>50</v>
      </c>
      <c r="R81" s="6">
        <f>COUNTBLANK(Table1[[#This Row],[Diet]:[Region]])</f>
        <v>0</v>
      </c>
      <c r="S81" s="6"/>
      <c r="T81" s="6"/>
    </row>
    <row r="82" spans="1:20" x14ac:dyDescent="0.25">
      <c r="A82" s="2" t="s">
        <v>122</v>
      </c>
      <c r="B82" s="1" t="s">
        <v>15</v>
      </c>
      <c r="C82" s="1">
        <v>13</v>
      </c>
      <c r="D82" s="1" t="s">
        <v>706</v>
      </c>
      <c r="E82" s="1">
        <f>IF(Table1[[#This Row],[Lifespan Unit]]="months", Table1[[#This Row],[Lifespan]]/12,Table1[[#This Row],[Lifespan]])</f>
        <v>13</v>
      </c>
      <c r="F82" s="1" t="s">
        <v>16</v>
      </c>
      <c r="G82" s="1" t="str">
        <f t="shared" si="2"/>
        <v>10</v>
      </c>
      <c r="H82" s="1" t="str">
        <f t="shared" si="3"/>
        <v>lbs</v>
      </c>
      <c r="I82" s="1" t="str">
        <f>IF(Table1[[#This Row],[Lifespan (Years)]]&lt;25, "&lt;25", IF(Table1[[#This Row],[Lifespan (Years)]]&lt;50, "25-49", IF(Table1[[#This Row],[Lifespan (Years)]]&lt;75, "50-74", IF(Table1[[#This Row],[Lifespan (Years)]]&lt;100, "75-99", "&gt;=100"))))</f>
        <v>&lt;25</v>
      </c>
      <c r="J82" s="14">
        <f>IF(Table1[[#This Row],[Weight Unit]]="oz",Table1[[#This Row],[Weight (Digits)]]/16, Table1[[#This Row],[Weight (Digits)]]/1)</f>
        <v>10</v>
      </c>
      <c r="K8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82" s="1" t="s">
        <v>724</v>
      </c>
      <c r="M82" s="1" t="str">
        <f>IF(COUNTIF(Table2[Animal],Table1[[#This Row],[Animal]]) = 1, "Previous Participant", "New Participant")</f>
        <v>Previous Participant</v>
      </c>
      <c r="N82" s="1" t="str">
        <f>_xlfn.XLOOKUP(Table1[[#This Row],[Region]],'Support - Tables'!$B$3:$B$10,'Support - Tables'!$D$3:$D$10,"Not Found",0)</f>
        <v>Road</v>
      </c>
      <c r="O82" s="6">
        <f>_xlfn.XLOOKUP(Table1[[#This Row],[Region]],'Support - Tables'!$B$3:$B$10,'Support - Tables'!$C$3:$C$10, "Not Found",0)</f>
        <v>450</v>
      </c>
      <c r="P82" s="6">
        <f>_xlfn.XLOOKUP(Table1[[#This Row],[Diet]],'Support - Tables'!$B$14:$B$16,'Support - Tables'!$C$14:$C$16, "Not Found", 0)</f>
        <v>500</v>
      </c>
      <c r="Q82" s="6">
        <f>Table1[[#This Row],[Revenue]]-Table1[[#This Row],[Cost]]</f>
        <v>-50</v>
      </c>
      <c r="R82" s="6">
        <f>COUNTBLANK(Table1[[#This Row],[Diet]:[Region]])</f>
        <v>0</v>
      </c>
      <c r="S82" s="6"/>
      <c r="T82" s="6"/>
    </row>
    <row r="83" spans="1:20" x14ac:dyDescent="0.25">
      <c r="A83" s="2" t="s">
        <v>123</v>
      </c>
      <c r="B83" s="1" t="s">
        <v>23</v>
      </c>
      <c r="C83" s="1">
        <v>18</v>
      </c>
      <c r="D83" s="1" t="s">
        <v>706</v>
      </c>
      <c r="E83" s="1">
        <f>IF(Table1[[#This Row],[Lifespan Unit]]="months", Table1[[#This Row],[Lifespan]]/12,Table1[[#This Row],[Lifespan]])</f>
        <v>18</v>
      </c>
      <c r="F83" s="1" t="s">
        <v>497</v>
      </c>
      <c r="G83" s="1" t="str">
        <f t="shared" si="2"/>
        <v>330</v>
      </c>
      <c r="H83" s="1" t="str">
        <f t="shared" si="3"/>
        <v>lbs</v>
      </c>
      <c r="I83" s="1" t="str">
        <f>IF(Table1[[#This Row],[Lifespan (Years)]]&lt;25, "&lt;25", IF(Table1[[#This Row],[Lifespan (Years)]]&lt;50, "25-49", IF(Table1[[#This Row],[Lifespan (Years)]]&lt;75, "50-74", IF(Table1[[#This Row],[Lifespan (Years)]]&lt;100, "75-99", "&gt;=100"))))</f>
        <v>&lt;25</v>
      </c>
      <c r="J83" s="14">
        <f>IF(Table1[[#This Row],[Weight Unit]]="oz",Table1[[#This Row],[Weight (Digits)]]/16, Table1[[#This Row],[Weight (Digits)]]/1)</f>
        <v>330</v>
      </c>
      <c r="K8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300-399</v>
      </c>
      <c r="L83" s="1" t="s">
        <v>2</v>
      </c>
      <c r="M83" s="1" t="str">
        <f>IF(COUNTIF(Table2[Animal],Table1[[#This Row],[Animal]]) = 1, "Previous Participant", "New Participant")</f>
        <v>Previous Participant</v>
      </c>
      <c r="N83" s="1" t="str">
        <f>_xlfn.XLOOKUP(Table1[[#This Row],[Region]],'Support - Tables'!$B$3:$B$10,'Support - Tables'!$D$3:$D$10,"Not Found",0)</f>
        <v>Air</v>
      </c>
      <c r="O83" s="6">
        <f>_xlfn.XLOOKUP(Table1[[#This Row],[Region]],'Support - Tables'!$B$3:$B$10,'Support - Tables'!$C$3:$C$10, "Not Found",0)</f>
        <v>600</v>
      </c>
      <c r="P83" s="6">
        <f>_xlfn.XLOOKUP(Table1[[#This Row],[Diet]],'Support - Tables'!$B$14:$B$16,'Support - Tables'!$C$14:$C$16, "Not Found", 0)</f>
        <v>300</v>
      </c>
      <c r="Q83" s="6">
        <f>Table1[[#This Row],[Revenue]]-Table1[[#This Row],[Cost]]</f>
        <v>300</v>
      </c>
      <c r="R83" s="6">
        <f>COUNTBLANK(Table1[[#This Row],[Diet]:[Region]])</f>
        <v>0</v>
      </c>
      <c r="S83" s="6"/>
      <c r="T83" s="6"/>
    </row>
    <row r="84" spans="1:20" x14ac:dyDescent="0.25">
      <c r="A84" s="2" t="s">
        <v>124</v>
      </c>
      <c r="B84" s="1" t="s">
        <v>13</v>
      </c>
      <c r="C84" s="1">
        <v>40</v>
      </c>
      <c r="D84" s="1" t="s">
        <v>706</v>
      </c>
      <c r="E84" s="1">
        <f>IF(Table1[[#This Row],[Lifespan Unit]]="months", Table1[[#This Row],[Lifespan]]/12,Table1[[#This Row],[Lifespan]])</f>
        <v>40</v>
      </c>
      <c r="F84" s="1" t="s">
        <v>62</v>
      </c>
      <c r="G84" s="1" t="str">
        <f t="shared" si="2"/>
        <v>55</v>
      </c>
      <c r="H84" s="1" t="str">
        <f t="shared" si="3"/>
        <v>lbs</v>
      </c>
      <c r="I84" s="1" t="str">
        <f>IF(Table1[[#This Row],[Lifespan (Years)]]&lt;25, "&lt;25", IF(Table1[[#This Row],[Lifespan (Years)]]&lt;50, "25-49", IF(Table1[[#This Row],[Lifespan (Years)]]&lt;75, "50-74", IF(Table1[[#This Row],[Lifespan (Years)]]&lt;100, "75-99", "&gt;=100"))))</f>
        <v>25-49</v>
      </c>
      <c r="J84" s="14">
        <f>IF(Table1[[#This Row],[Weight Unit]]="oz",Table1[[#This Row],[Weight (Digits)]]/16, Table1[[#This Row],[Weight (Digits)]]/1)</f>
        <v>55</v>
      </c>
      <c r="K8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84" s="1" t="s">
        <v>5</v>
      </c>
      <c r="M84" s="1" t="str">
        <f>IF(COUNTIF(Table2[Animal],Table1[[#This Row],[Animal]]) = 1, "Previous Participant", "New Participant")</f>
        <v>New Participant</v>
      </c>
      <c r="N84" s="1" t="str">
        <f>_xlfn.XLOOKUP(Table1[[#This Row],[Region]],'Support - Tables'!$B$3:$B$10,'Support - Tables'!$D$3:$D$10,"Not Found",0)</f>
        <v>Boat</v>
      </c>
      <c r="O84" s="6">
        <f>_xlfn.XLOOKUP(Table1[[#This Row],[Region]],'Support - Tables'!$B$3:$B$10,'Support - Tables'!$C$3:$C$10, "Not Found",0)</f>
        <v>400</v>
      </c>
      <c r="P84" s="6">
        <f>_xlfn.XLOOKUP(Table1[[#This Row],[Diet]],'Support - Tables'!$B$14:$B$16,'Support - Tables'!$C$14:$C$16, "Not Found", 0)</f>
        <v>400</v>
      </c>
      <c r="Q84" s="6">
        <f>Table1[[#This Row],[Revenue]]-Table1[[#This Row],[Cost]]</f>
        <v>0</v>
      </c>
      <c r="R84" s="6">
        <f>COUNTBLANK(Table1[[#This Row],[Diet]:[Region]])</f>
        <v>0</v>
      </c>
      <c r="S84" s="6"/>
      <c r="T84" s="6"/>
    </row>
    <row r="85" spans="1:20" x14ac:dyDescent="0.25">
      <c r="A85" s="2" t="s">
        <v>125</v>
      </c>
      <c r="B85" s="1" t="s">
        <v>15</v>
      </c>
      <c r="C85" s="1">
        <v>17</v>
      </c>
      <c r="D85" s="1" t="s">
        <v>706</v>
      </c>
      <c r="E85" s="1">
        <f>IF(Table1[[#This Row],[Lifespan Unit]]="months", Table1[[#This Row],[Lifespan]]/12,Table1[[#This Row],[Lifespan]])</f>
        <v>17</v>
      </c>
      <c r="F85" s="1" t="s">
        <v>590</v>
      </c>
      <c r="G85" s="1" t="str">
        <f t="shared" si="2"/>
        <v>2</v>
      </c>
      <c r="H85" s="1" t="str">
        <f t="shared" si="3"/>
        <v>lbs</v>
      </c>
      <c r="I85" s="1" t="str">
        <f>IF(Table1[[#This Row],[Lifespan (Years)]]&lt;25, "&lt;25", IF(Table1[[#This Row],[Lifespan (Years)]]&lt;50, "25-49", IF(Table1[[#This Row],[Lifespan (Years)]]&lt;75, "50-74", IF(Table1[[#This Row],[Lifespan (Years)]]&lt;100, "75-99", "&gt;=100"))))</f>
        <v>&lt;25</v>
      </c>
      <c r="J85" s="14">
        <f>IF(Table1[[#This Row],[Weight Unit]]="oz",Table1[[#This Row],[Weight (Digits)]]/16, Table1[[#This Row],[Weight (Digits)]]/1)</f>
        <v>2</v>
      </c>
      <c r="K8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85" s="1" t="s">
        <v>5</v>
      </c>
      <c r="M85" s="1" t="str">
        <f>IF(COUNTIF(Table2[Animal],Table1[[#This Row],[Animal]]) = 1, "Previous Participant", "New Participant")</f>
        <v>Previous Participant</v>
      </c>
      <c r="N85" s="1" t="str">
        <f>_xlfn.XLOOKUP(Table1[[#This Row],[Region]],'Support - Tables'!$B$3:$B$10,'Support - Tables'!$D$3:$D$10,"Not Found",0)</f>
        <v>Boat</v>
      </c>
      <c r="O85" s="6">
        <f>_xlfn.XLOOKUP(Table1[[#This Row],[Region]],'Support - Tables'!$B$3:$B$10,'Support - Tables'!$C$3:$C$10, "Not Found",0)</f>
        <v>400</v>
      </c>
      <c r="P85" s="6">
        <f>_xlfn.XLOOKUP(Table1[[#This Row],[Diet]],'Support - Tables'!$B$14:$B$16,'Support - Tables'!$C$14:$C$16, "Not Found", 0)</f>
        <v>500</v>
      </c>
      <c r="Q85" s="6">
        <f>Table1[[#This Row],[Revenue]]-Table1[[#This Row],[Cost]]</f>
        <v>-100</v>
      </c>
      <c r="R85" s="6">
        <f>COUNTBLANK(Table1[[#This Row],[Diet]:[Region]])</f>
        <v>0</v>
      </c>
      <c r="S85" s="6"/>
      <c r="T85" s="6"/>
    </row>
    <row r="86" spans="1:20" x14ac:dyDescent="0.25">
      <c r="A86" s="2" t="s">
        <v>126</v>
      </c>
      <c r="B86" s="1" t="s">
        <v>13</v>
      </c>
      <c r="C86" s="1">
        <v>20</v>
      </c>
      <c r="D86" s="1" t="s">
        <v>706</v>
      </c>
      <c r="E86" s="1">
        <f>IF(Table1[[#This Row],[Lifespan Unit]]="months", Table1[[#This Row],[Lifespan]]/12,Table1[[#This Row],[Lifespan]])</f>
        <v>20</v>
      </c>
      <c r="F86" s="1" t="s">
        <v>54</v>
      </c>
      <c r="G86" s="1" t="str">
        <f t="shared" si="2"/>
        <v>45</v>
      </c>
      <c r="H86" s="1" t="str">
        <f t="shared" si="3"/>
        <v>lbs</v>
      </c>
      <c r="I86" s="1" t="str">
        <f>IF(Table1[[#This Row],[Lifespan (Years)]]&lt;25, "&lt;25", IF(Table1[[#This Row],[Lifespan (Years)]]&lt;50, "25-49", IF(Table1[[#This Row],[Lifespan (Years)]]&lt;75, "50-74", IF(Table1[[#This Row],[Lifespan (Years)]]&lt;100, "75-99", "&gt;=100"))))</f>
        <v>&lt;25</v>
      </c>
      <c r="J86" s="14">
        <f>IF(Table1[[#This Row],[Weight Unit]]="oz",Table1[[#This Row],[Weight (Digits)]]/16, Table1[[#This Row],[Weight (Digits)]]/1)</f>
        <v>45</v>
      </c>
      <c r="K8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86" s="1" t="s">
        <v>724</v>
      </c>
      <c r="M86" s="1" t="str">
        <f>IF(COUNTIF(Table2[Animal],Table1[[#This Row],[Animal]]) = 1, "Previous Participant", "New Participant")</f>
        <v>Previous Participant</v>
      </c>
      <c r="N86" s="1" t="str">
        <f>_xlfn.XLOOKUP(Table1[[#This Row],[Region]],'Support - Tables'!$B$3:$B$10,'Support - Tables'!$D$3:$D$10,"Not Found",0)</f>
        <v>Road</v>
      </c>
      <c r="O86" s="6">
        <f>_xlfn.XLOOKUP(Table1[[#This Row],[Region]],'Support - Tables'!$B$3:$B$10,'Support - Tables'!$C$3:$C$10, "Not Found",0)</f>
        <v>450</v>
      </c>
      <c r="P86" s="6">
        <f>_xlfn.XLOOKUP(Table1[[#This Row],[Diet]],'Support - Tables'!$B$14:$B$16,'Support - Tables'!$C$14:$C$16, "Not Found", 0)</f>
        <v>400</v>
      </c>
      <c r="Q86" s="6">
        <f>Table1[[#This Row],[Revenue]]-Table1[[#This Row],[Cost]]</f>
        <v>50</v>
      </c>
      <c r="R86" s="6">
        <f>COUNTBLANK(Table1[[#This Row],[Diet]:[Region]])</f>
        <v>0</v>
      </c>
      <c r="S86" s="6"/>
      <c r="T86" s="6"/>
    </row>
    <row r="87" spans="1:20" x14ac:dyDescent="0.25">
      <c r="A87" s="2" t="s">
        <v>127</v>
      </c>
      <c r="B87" s="1" t="s">
        <v>13</v>
      </c>
      <c r="C87" s="1">
        <v>15</v>
      </c>
      <c r="D87" s="1" t="s">
        <v>706</v>
      </c>
      <c r="E87" s="1">
        <f>IF(Table1[[#This Row],[Lifespan Unit]]="months", Table1[[#This Row],[Lifespan]]/12,Table1[[#This Row],[Lifespan]])</f>
        <v>15</v>
      </c>
      <c r="F87" s="1" t="s">
        <v>84</v>
      </c>
      <c r="G87" s="1" t="str">
        <f t="shared" si="2"/>
        <v>12</v>
      </c>
      <c r="H87" s="1" t="str">
        <f t="shared" si="3"/>
        <v>lbs</v>
      </c>
      <c r="I87" s="1" t="str">
        <f>IF(Table1[[#This Row],[Lifespan (Years)]]&lt;25, "&lt;25", IF(Table1[[#This Row],[Lifespan (Years)]]&lt;50, "25-49", IF(Table1[[#This Row],[Lifespan (Years)]]&lt;75, "50-74", IF(Table1[[#This Row],[Lifespan (Years)]]&lt;100, "75-99", "&gt;=100"))))</f>
        <v>&lt;25</v>
      </c>
      <c r="J87" s="14">
        <f>IF(Table1[[#This Row],[Weight Unit]]="oz",Table1[[#This Row],[Weight (Digits)]]/16, Table1[[#This Row],[Weight (Digits)]]/1)</f>
        <v>12</v>
      </c>
      <c r="K8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87" s="1" t="s">
        <v>725</v>
      </c>
      <c r="M87" s="1" t="str">
        <f>IF(COUNTIF(Table2[Animal],Table1[[#This Row],[Animal]]) = 1, "Previous Participant", "New Participant")</f>
        <v>Previous Participant</v>
      </c>
      <c r="N87" s="1" t="str">
        <f>_xlfn.XLOOKUP(Table1[[#This Row],[Region]],'Support - Tables'!$B$3:$B$10,'Support - Tables'!$D$3:$D$10,"Not Found",0)</f>
        <v>Air</v>
      </c>
      <c r="O87" s="6">
        <f>_xlfn.XLOOKUP(Table1[[#This Row],[Region]],'Support - Tables'!$B$3:$B$10,'Support - Tables'!$C$3:$C$10, "Not Found",0)</f>
        <v>600</v>
      </c>
      <c r="P87" s="6">
        <f>_xlfn.XLOOKUP(Table1[[#This Row],[Diet]],'Support - Tables'!$B$14:$B$16,'Support - Tables'!$C$14:$C$16, "Not Found", 0)</f>
        <v>400</v>
      </c>
      <c r="Q87" s="6">
        <f>Table1[[#This Row],[Revenue]]-Table1[[#This Row],[Cost]]</f>
        <v>200</v>
      </c>
      <c r="R87" s="6">
        <f>COUNTBLANK(Table1[[#This Row],[Diet]:[Region]])</f>
        <v>0</v>
      </c>
      <c r="S87" s="6"/>
      <c r="T87" s="6"/>
    </row>
    <row r="88" spans="1:20" x14ac:dyDescent="0.25">
      <c r="A88" s="2" t="s">
        <v>128</v>
      </c>
      <c r="B88" s="1" t="s">
        <v>13</v>
      </c>
      <c r="C88" s="1">
        <v>40</v>
      </c>
      <c r="D88" s="1" t="s">
        <v>706</v>
      </c>
      <c r="E88" s="1">
        <f>IF(Table1[[#This Row],[Lifespan Unit]]="months", Table1[[#This Row],[Lifespan]]/12,Table1[[#This Row],[Lifespan]])</f>
        <v>40</v>
      </c>
      <c r="F88" s="1" t="s">
        <v>289</v>
      </c>
      <c r="G88" s="1" t="str">
        <f t="shared" si="2"/>
        <v>66</v>
      </c>
      <c r="H88" s="1" t="str">
        <f t="shared" si="3"/>
        <v>lbs</v>
      </c>
      <c r="I88" s="1" t="str">
        <f>IF(Table1[[#This Row],[Lifespan (Years)]]&lt;25, "&lt;25", IF(Table1[[#This Row],[Lifespan (Years)]]&lt;50, "25-49", IF(Table1[[#This Row],[Lifespan (Years)]]&lt;75, "50-74", IF(Table1[[#This Row],[Lifespan (Years)]]&lt;100, "75-99", "&gt;=100"))))</f>
        <v>25-49</v>
      </c>
      <c r="J88" s="14">
        <f>IF(Table1[[#This Row],[Weight Unit]]="oz",Table1[[#This Row],[Weight (Digits)]]/16, Table1[[#This Row],[Weight (Digits)]]/1)</f>
        <v>66</v>
      </c>
      <c r="K8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88" s="1" t="s">
        <v>5</v>
      </c>
      <c r="M88" s="1" t="str">
        <f>IF(COUNTIF(Table2[Animal],Table1[[#This Row],[Animal]]) = 1, "Previous Participant", "New Participant")</f>
        <v>Previous Participant</v>
      </c>
      <c r="N88" s="1" t="str">
        <f>_xlfn.XLOOKUP(Table1[[#This Row],[Region]],'Support - Tables'!$B$3:$B$10,'Support - Tables'!$D$3:$D$10,"Not Found",0)</f>
        <v>Boat</v>
      </c>
      <c r="O88" s="6">
        <f>_xlfn.XLOOKUP(Table1[[#This Row],[Region]],'Support - Tables'!$B$3:$B$10,'Support - Tables'!$C$3:$C$10, "Not Found",0)</f>
        <v>400</v>
      </c>
      <c r="P88" s="6">
        <f>_xlfn.XLOOKUP(Table1[[#This Row],[Diet]],'Support - Tables'!$B$14:$B$16,'Support - Tables'!$C$14:$C$16, "Not Found", 0)</f>
        <v>400</v>
      </c>
      <c r="Q88" s="6">
        <f>Table1[[#This Row],[Revenue]]-Table1[[#This Row],[Cost]]</f>
        <v>0</v>
      </c>
      <c r="R88" s="6">
        <f>COUNTBLANK(Table1[[#This Row],[Diet]:[Region]])</f>
        <v>0</v>
      </c>
      <c r="S88" s="6"/>
      <c r="T88" s="6"/>
    </row>
    <row r="89" spans="1:20" x14ac:dyDescent="0.25">
      <c r="A89" s="2" t="s">
        <v>129</v>
      </c>
      <c r="B89" s="1" t="s">
        <v>23</v>
      </c>
      <c r="C89" s="1">
        <v>70</v>
      </c>
      <c r="D89" s="1" t="s">
        <v>706</v>
      </c>
      <c r="E89" s="1">
        <f>IF(Table1[[#This Row],[Lifespan Unit]]="months", Table1[[#This Row],[Lifespan]]/12,Table1[[#This Row],[Lifespan]])</f>
        <v>70</v>
      </c>
      <c r="F89" s="1" t="s">
        <v>576</v>
      </c>
      <c r="G89" s="1" t="str">
        <f t="shared" si="2"/>
        <v>6,500</v>
      </c>
      <c r="H89" s="1" t="str">
        <f t="shared" si="3"/>
        <v>lbs</v>
      </c>
      <c r="I89" s="1" t="str">
        <f>IF(Table1[[#This Row],[Lifespan (Years)]]&lt;25, "&lt;25", IF(Table1[[#This Row],[Lifespan (Years)]]&lt;50, "25-49", IF(Table1[[#This Row],[Lifespan (Years)]]&lt;75, "50-74", IF(Table1[[#This Row],[Lifespan (Years)]]&lt;100, "75-99", "&gt;=100"))))</f>
        <v>50-74</v>
      </c>
      <c r="J89" s="14">
        <f>IF(Table1[[#This Row],[Weight Unit]]="oz",Table1[[#This Row],[Weight (Digits)]]/16, Table1[[#This Row],[Weight (Digits)]]/1)</f>
        <v>6500</v>
      </c>
      <c r="K8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89" s="1" t="s">
        <v>725</v>
      </c>
      <c r="M89" s="1" t="str">
        <f>IF(COUNTIF(Table2[Animal],Table1[[#This Row],[Animal]]) = 1, "Previous Participant", "New Participant")</f>
        <v>Previous Participant</v>
      </c>
      <c r="N89" s="1" t="str">
        <f>_xlfn.XLOOKUP(Table1[[#This Row],[Region]],'Support - Tables'!$B$3:$B$10,'Support - Tables'!$D$3:$D$10,"Not Found",0)</f>
        <v>Air</v>
      </c>
      <c r="O89" s="6">
        <f>_xlfn.XLOOKUP(Table1[[#This Row],[Region]],'Support - Tables'!$B$3:$B$10,'Support - Tables'!$C$3:$C$10, "Not Found",0)</f>
        <v>600</v>
      </c>
      <c r="P89" s="6">
        <f>_xlfn.XLOOKUP(Table1[[#This Row],[Diet]],'Support - Tables'!$B$14:$B$16,'Support - Tables'!$C$14:$C$16, "Not Found", 0)</f>
        <v>300</v>
      </c>
      <c r="Q89" s="6">
        <f>Table1[[#This Row],[Revenue]]-Table1[[#This Row],[Cost]]</f>
        <v>300</v>
      </c>
      <c r="R89" s="6">
        <f>COUNTBLANK(Table1[[#This Row],[Diet]:[Region]])</f>
        <v>0</v>
      </c>
      <c r="S89" s="6"/>
      <c r="T89" s="6"/>
    </row>
    <row r="90" spans="1:20" x14ac:dyDescent="0.25">
      <c r="A90" s="2" t="s">
        <v>130</v>
      </c>
      <c r="B90" s="1" t="s">
        <v>13</v>
      </c>
      <c r="C90" s="1">
        <v>15</v>
      </c>
      <c r="D90" s="1" t="s">
        <v>706</v>
      </c>
      <c r="E90" s="1">
        <f>IF(Table1[[#This Row],[Lifespan Unit]]="months", Table1[[#This Row],[Lifespan]]/12,Table1[[#This Row],[Lifespan]])</f>
        <v>15</v>
      </c>
      <c r="F90" s="1" t="s">
        <v>131</v>
      </c>
      <c r="G90" s="1" t="str">
        <f t="shared" si="2"/>
        <v>25</v>
      </c>
      <c r="H90" s="1" t="str">
        <f t="shared" si="3"/>
        <v>lbs</v>
      </c>
      <c r="I90" s="1" t="str">
        <f>IF(Table1[[#This Row],[Lifespan (Years)]]&lt;25, "&lt;25", IF(Table1[[#This Row],[Lifespan (Years)]]&lt;50, "25-49", IF(Table1[[#This Row],[Lifespan (Years)]]&lt;75, "50-74", IF(Table1[[#This Row],[Lifespan (Years)]]&lt;100, "75-99", "&gt;=100"))))</f>
        <v>&lt;25</v>
      </c>
      <c r="J90" s="14">
        <f>IF(Table1[[#This Row],[Weight Unit]]="oz",Table1[[#This Row],[Weight (Digits)]]/16, Table1[[#This Row],[Weight (Digits)]]/1)</f>
        <v>25</v>
      </c>
      <c r="K9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90" s="1" t="s">
        <v>6</v>
      </c>
      <c r="M90" s="1" t="str">
        <f>IF(COUNTIF(Table2[Animal],Table1[[#This Row],[Animal]]) = 1, "Previous Participant", "New Participant")</f>
        <v>Previous Participant</v>
      </c>
      <c r="N90" s="1" t="str">
        <f>_xlfn.XLOOKUP(Table1[[#This Row],[Region]],'Support - Tables'!$B$3:$B$10,'Support - Tables'!$D$3:$D$10,"Not Found",0)</f>
        <v>Air</v>
      </c>
      <c r="O90" s="6">
        <f>_xlfn.XLOOKUP(Table1[[#This Row],[Region]],'Support - Tables'!$B$3:$B$10,'Support - Tables'!$C$3:$C$10, "Not Found",0)</f>
        <v>450</v>
      </c>
      <c r="P90" s="6">
        <f>_xlfn.XLOOKUP(Table1[[#This Row],[Diet]],'Support - Tables'!$B$14:$B$16,'Support - Tables'!$C$14:$C$16, "Not Found", 0)</f>
        <v>400</v>
      </c>
      <c r="Q90" s="6">
        <f>Table1[[#This Row],[Revenue]]-Table1[[#This Row],[Cost]]</f>
        <v>50</v>
      </c>
      <c r="R90" s="6">
        <f>COUNTBLANK(Table1[[#This Row],[Diet]:[Region]])</f>
        <v>0</v>
      </c>
      <c r="S90" s="6"/>
      <c r="T90" s="6"/>
    </row>
    <row r="91" spans="1:20" x14ac:dyDescent="0.25">
      <c r="A91" s="2" t="s">
        <v>132</v>
      </c>
      <c r="B91" s="1" t="s">
        <v>13</v>
      </c>
      <c r="C91" s="1">
        <v>35</v>
      </c>
      <c r="D91" s="1" t="s">
        <v>706</v>
      </c>
      <c r="E91" s="1">
        <f>IF(Table1[[#This Row],[Lifespan Unit]]="months", Table1[[#This Row],[Lifespan]]/12,Table1[[#This Row],[Lifespan]])</f>
        <v>35</v>
      </c>
      <c r="F91" s="1" t="s">
        <v>591</v>
      </c>
      <c r="G91" s="1" t="str">
        <f t="shared" si="2"/>
        <v>440</v>
      </c>
      <c r="H91" s="1" t="str">
        <f t="shared" si="3"/>
        <v>lbs</v>
      </c>
      <c r="I91" s="1" t="str">
        <f>IF(Table1[[#This Row],[Lifespan (Years)]]&lt;25, "&lt;25", IF(Table1[[#This Row],[Lifespan (Years)]]&lt;50, "25-49", IF(Table1[[#This Row],[Lifespan (Years)]]&lt;75, "50-74", IF(Table1[[#This Row],[Lifespan (Years)]]&lt;100, "75-99", "&gt;=100"))))</f>
        <v>25-49</v>
      </c>
      <c r="J91" s="14">
        <f>IF(Table1[[#This Row],[Weight Unit]]="oz",Table1[[#This Row],[Weight (Digits)]]/16, Table1[[#This Row],[Weight (Digits)]]/1)</f>
        <v>440</v>
      </c>
      <c r="K9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400-499</v>
      </c>
      <c r="L91" s="1" t="s">
        <v>5</v>
      </c>
      <c r="M91" s="1" t="str">
        <f>IF(COUNTIF(Table2[Animal],Table1[[#This Row],[Animal]]) = 1, "Previous Participant", "New Participant")</f>
        <v>Previous Participant</v>
      </c>
      <c r="N91" s="1" t="str">
        <f>_xlfn.XLOOKUP(Table1[[#This Row],[Region]],'Support - Tables'!$B$3:$B$10,'Support - Tables'!$D$3:$D$10,"Not Found",0)</f>
        <v>Boat</v>
      </c>
      <c r="O91" s="6">
        <f>_xlfn.XLOOKUP(Table1[[#This Row],[Region]],'Support - Tables'!$B$3:$B$10,'Support - Tables'!$C$3:$C$10, "Not Found",0)</f>
        <v>400</v>
      </c>
      <c r="P91" s="6">
        <f>_xlfn.XLOOKUP(Table1[[#This Row],[Diet]],'Support - Tables'!$B$14:$B$16,'Support - Tables'!$C$14:$C$16, "Not Found", 0)</f>
        <v>400</v>
      </c>
      <c r="Q91" s="6">
        <f>Table1[[#This Row],[Revenue]]-Table1[[#This Row],[Cost]]</f>
        <v>0</v>
      </c>
      <c r="R91" s="6">
        <f>COUNTBLANK(Table1[[#This Row],[Diet]:[Region]])</f>
        <v>0</v>
      </c>
      <c r="S91" s="6"/>
      <c r="T91" s="6"/>
    </row>
    <row r="92" spans="1:20" x14ac:dyDescent="0.25">
      <c r="A92" s="2" t="s">
        <v>133</v>
      </c>
      <c r="B92" s="1" t="s">
        <v>13</v>
      </c>
      <c r="C92" s="1">
        <v>11</v>
      </c>
      <c r="D92" s="1" t="s">
        <v>706</v>
      </c>
      <c r="E92" s="1">
        <f>IF(Table1[[#This Row],[Lifespan Unit]]="months", Table1[[#This Row],[Lifespan]]/12,Table1[[#This Row],[Lifespan]])</f>
        <v>11</v>
      </c>
      <c r="F92" s="1" t="s">
        <v>74</v>
      </c>
      <c r="G92" s="1" t="str">
        <f t="shared" si="2"/>
        <v>70</v>
      </c>
      <c r="H92" s="1" t="str">
        <f t="shared" si="3"/>
        <v>lbs</v>
      </c>
      <c r="I92" s="1" t="str">
        <f>IF(Table1[[#This Row],[Lifespan (Years)]]&lt;25, "&lt;25", IF(Table1[[#This Row],[Lifespan (Years)]]&lt;50, "25-49", IF(Table1[[#This Row],[Lifespan (Years)]]&lt;75, "50-74", IF(Table1[[#This Row],[Lifespan (Years)]]&lt;100, "75-99", "&gt;=100"))))</f>
        <v>&lt;25</v>
      </c>
      <c r="J92" s="14">
        <f>IF(Table1[[#This Row],[Weight Unit]]="oz",Table1[[#This Row],[Weight (Digits)]]/16, Table1[[#This Row],[Weight (Digits)]]/1)</f>
        <v>70</v>
      </c>
      <c r="K9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92" s="1" t="s">
        <v>724</v>
      </c>
      <c r="M92" s="1" t="str">
        <f>IF(COUNTIF(Table2[Animal],Table1[[#This Row],[Animal]]) = 1, "Previous Participant", "New Participant")</f>
        <v>Previous Participant</v>
      </c>
      <c r="N92" s="1" t="str">
        <f>_xlfn.XLOOKUP(Table1[[#This Row],[Region]],'Support - Tables'!$B$3:$B$10,'Support - Tables'!$D$3:$D$10,"Not Found",0)</f>
        <v>Road</v>
      </c>
      <c r="O92" s="6">
        <f>_xlfn.XLOOKUP(Table1[[#This Row],[Region]],'Support - Tables'!$B$3:$B$10,'Support - Tables'!$C$3:$C$10, "Not Found",0)</f>
        <v>450</v>
      </c>
      <c r="P92" s="6">
        <f>_xlfn.XLOOKUP(Table1[[#This Row],[Diet]],'Support - Tables'!$B$14:$B$16,'Support - Tables'!$C$14:$C$16, "Not Found", 0)</f>
        <v>400</v>
      </c>
      <c r="Q92" s="6">
        <f>Table1[[#This Row],[Revenue]]-Table1[[#This Row],[Cost]]</f>
        <v>50</v>
      </c>
      <c r="R92" s="6">
        <f>COUNTBLANK(Table1[[#This Row],[Diet]:[Region]])</f>
        <v>0</v>
      </c>
      <c r="S92" s="6"/>
      <c r="T92" s="6"/>
    </row>
    <row r="93" spans="1:20" x14ac:dyDescent="0.25">
      <c r="A93" s="2" t="s">
        <v>134</v>
      </c>
      <c r="B93" s="1" t="s">
        <v>13</v>
      </c>
      <c r="C93" s="1">
        <v>16</v>
      </c>
      <c r="D93" s="1" t="s">
        <v>706</v>
      </c>
      <c r="E93" s="1">
        <f>IF(Table1[[#This Row],[Lifespan Unit]]="months", Table1[[#This Row],[Lifespan]]/12,Table1[[#This Row],[Lifespan]])</f>
        <v>16</v>
      </c>
      <c r="F93" s="1" t="s">
        <v>135</v>
      </c>
      <c r="G93" s="1" t="str">
        <f t="shared" si="2"/>
        <v>38</v>
      </c>
      <c r="H93" s="1" t="str">
        <f t="shared" si="3"/>
        <v>lbs</v>
      </c>
      <c r="I93" s="1" t="str">
        <f>IF(Table1[[#This Row],[Lifespan (Years)]]&lt;25, "&lt;25", IF(Table1[[#This Row],[Lifespan (Years)]]&lt;50, "25-49", IF(Table1[[#This Row],[Lifespan (Years)]]&lt;75, "50-74", IF(Table1[[#This Row],[Lifespan (Years)]]&lt;100, "75-99", "&gt;=100"))))</f>
        <v>&lt;25</v>
      </c>
      <c r="J93" s="14">
        <f>IF(Table1[[#This Row],[Weight Unit]]="oz",Table1[[#This Row],[Weight (Digits)]]/16, Table1[[#This Row],[Weight (Digits)]]/1)</f>
        <v>38</v>
      </c>
      <c r="K9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93" s="1" t="s">
        <v>4</v>
      </c>
      <c r="M93" s="1" t="str">
        <f>IF(COUNTIF(Table2[Animal],Table1[[#This Row],[Animal]]) = 1, "Previous Participant", "New Participant")</f>
        <v>Previous Participant</v>
      </c>
      <c r="N93" s="1" t="str">
        <f>_xlfn.XLOOKUP(Table1[[#This Row],[Region]],'Support - Tables'!$B$3:$B$10,'Support - Tables'!$D$3:$D$10,"Not Found",0)</f>
        <v>Boat</v>
      </c>
      <c r="O93" s="6">
        <f>_xlfn.XLOOKUP(Table1[[#This Row],[Region]],'Support - Tables'!$B$3:$B$10,'Support - Tables'!$C$3:$C$10, "Not Found",0)</f>
        <v>200</v>
      </c>
      <c r="P93" s="6">
        <f>_xlfn.XLOOKUP(Table1[[#This Row],[Diet]],'Support - Tables'!$B$14:$B$16,'Support - Tables'!$C$14:$C$16, "Not Found", 0)</f>
        <v>400</v>
      </c>
      <c r="Q93" s="6">
        <f>Table1[[#This Row],[Revenue]]-Table1[[#This Row],[Cost]]</f>
        <v>-200</v>
      </c>
      <c r="R93" s="6">
        <f>COUNTBLANK(Table1[[#This Row],[Diet]:[Region]])</f>
        <v>0</v>
      </c>
      <c r="S93" s="6"/>
      <c r="T93" s="6"/>
    </row>
    <row r="94" spans="1:20" x14ac:dyDescent="0.25">
      <c r="A94" s="2" t="s">
        <v>136</v>
      </c>
      <c r="B94" s="1" t="s">
        <v>13</v>
      </c>
      <c r="C94" s="1">
        <v>14</v>
      </c>
      <c r="D94" s="1" t="s">
        <v>706</v>
      </c>
      <c r="E94" s="1">
        <f>IF(Table1[[#This Row],[Lifespan Unit]]="months", Table1[[#This Row],[Lifespan]]/12,Table1[[#This Row],[Lifespan]])</f>
        <v>14</v>
      </c>
      <c r="F94" s="1" t="s">
        <v>49</v>
      </c>
      <c r="G94" s="1" t="str">
        <f t="shared" si="2"/>
        <v>20</v>
      </c>
      <c r="H94" s="1" t="str">
        <f t="shared" si="3"/>
        <v>lbs</v>
      </c>
      <c r="I94" s="1" t="str">
        <f>IF(Table1[[#This Row],[Lifespan (Years)]]&lt;25, "&lt;25", IF(Table1[[#This Row],[Lifespan (Years)]]&lt;50, "25-49", IF(Table1[[#This Row],[Lifespan (Years)]]&lt;75, "50-74", IF(Table1[[#This Row],[Lifespan (Years)]]&lt;100, "75-99", "&gt;=100"))))</f>
        <v>&lt;25</v>
      </c>
      <c r="J94" s="14">
        <f>IF(Table1[[#This Row],[Weight Unit]]="oz",Table1[[#This Row],[Weight (Digits)]]/16, Table1[[#This Row],[Weight (Digits)]]/1)</f>
        <v>20</v>
      </c>
      <c r="K9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94" s="1" t="s">
        <v>5</v>
      </c>
      <c r="M94" s="1" t="str">
        <f>IF(COUNTIF(Table2[Animal],Table1[[#This Row],[Animal]]) = 1, "Previous Participant", "New Participant")</f>
        <v>Previous Participant</v>
      </c>
      <c r="N94" s="1" t="str">
        <f>_xlfn.XLOOKUP(Table1[[#This Row],[Region]],'Support - Tables'!$B$3:$B$10,'Support - Tables'!$D$3:$D$10,"Not Found",0)</f>
        <v>Boat</v>
      </c>
      <c r="O94" s="6">
        <f>_xlfn.XLOOKUP(Table1[[#This Row],[Region]],'Support - Tables'!$B$3:$B$10,'Support - Tables'!$C$3:$C$10, "Not Found",0)</f>
        <v>400</v>
      </c>
      <c r="P94" s="6">
        <f>_xlfn.XLOOKUP(Table1[[#This Row],[Diet]],'Support - Tables'!$B$14:$B$16,'Support - Tables'!$C$14:$C$16, "Not Found", 0)</f>
        <v>400</v>
      </c>
      <c r="Q94" s="6">
        <f>Table1[[#This Row],[Revenue]]-Table1[[#This Row],[Cost]]</f>
        <v>0</v>
      </c>
      <c r="R94" s="6">
        <f>COUNTBLANK(Table1[[#This Row],[Diet]:[Region]])</f>
        <v>0</v>
      </c>
      <c r="S94" s="6"/>
      <c r="T94" s="6"/>
    </row>
    <row r="95" spans="1:20" x14ac:dyDescent="0.25">
      <c r="A95" s="2" t="s">
        <v>137</v>
      </c>
      <c r="B95" s="1" t="s">
        <v>13</v>
      </c>
      <c r="C95" s="1">
        <v>30</v>
      </c>
      <c r="D95" s="1" t="s">
        <v>706</v>
      </c>
      <c r="E95" s="1">
        <f>IF(Table1[[#This Row],[Lifespan Unit]]="months", Table1[[#This Row],[Lifespan]]/12,Table1[[#This Row],[Lifespan]])</f>
        <v>30</v>
      </c>
      <c r="F95" s="1" t="s">
        <v>592</v>
      </c>
      <c r="G95" s="1" t="str">
        <f t="shared" si="2"/>
        <v>300</v>
      </c>
      <c r="H95" s="1" t="str">
        <f t="shared" si="3"/>
        <v>lbs</v>
      </c>
      <c r="I95" s="1" t="str">
        <f>IF(Table1[[#This Row],[Lifespan (Years)]]&lt;25, "&lt;25", IF(Table1[[#This Row],[Lifespan (Years)]]&lt;50, "25-49", IF(Table1[[#This Row],[Lifespan (Years)]]&lt;75, "50-74", IF(Table1[[#This Row],[Lifespan (Years)]]&lt;100, "75-99", "&gt;=100"))))</f>
        <v>25-49</v>
      </c>
      <c r="J95" s="14">
        <f>IF(Table1[[#This Row],[Weight Unit]]="oz",Table1[[#This Row],[Weight (Digits)]]/16, Table1[[#This Row],[Weight (Digits)]]/1)</f>
        <v>300</v>
      </c>
      <c r="K9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300-399</v>
      </c>
      <c r="L95" s="1" t="s">
        <v>5</v>
      </c>
      <c r="M95" s="1" t="str">
        <f>IF(COUNTIF(Table2[Animal],Table1[[#This Row],[Animal]]) = 1, "Previous Participant", "New Participant")</f>
        <v>New Participant</v>
      </c>
      <c r="N95" s="1" t="str">
        <f>_xlfn.XLOOKUP(Table1[[#This Row],[Region]],'Support - Tables'!$B$3:$B$10,'Support - Tables'!$D$3:$D$10,"Not Found",0)</f>
        <v>Boat</v>
      </c>
      <c r="O95" s="6">
        <f>_xlfn.XLOOKUP(Table1[[#This Row],[Region]],'Support - Tables'!$B$3:$B$10,'Support - Tables'!$C$3:$C$10, "Not Found",0)</f>
        <v>400</v>
      </c>
      <c r="P95" s="6">
        <f>_xlfn.XLOOKUP(Table1[[#This Row],[Diet]],'Support - Tables'!$B$14:$B$16,'Support - Tables'!$C$14:$C$16, "Not Found", 0)</f>
        <v>400</v>
      </c>
      <c r="Q95" s="6">
        <f>Table1[[#This Row],[Revenue]]-Table1[[#This Row],[Cost]]</f>
        <v>0</v>
      </c>
      <c r="R95" s="6">
        <f>COUNTBLANK(Table1[[#This Row],[Diet]:[Region]])</f>
        <v>0</v>
      </c>
      <c r="S95" s="6"/>
      <c r="T95" s="6"/>
    </row>
    <row r="96" spans="1:20" x14ac:dyDescent="0.25">
      <c r="A96" s="2" t="s">
        <v>138</v>
      </c>
      <c r="B96" s="1" t="s">
        <v>13</v>
      </c>
      <c r="C96" s="1">
        <v>6</v>
      </c>
      <c r="D96" s="1" t="s">
        <v>706</v>
      </c>
      <c r="E96" s="1">
        <f>IF(Table1[[#This Row],[Lifespan Unit]]="months", Table1[[#This Row],[Lifespan]]/12,Table1[[#This Row],[Lifespan]])</f>
        <v>6</v>
      </c>
      <c r="F96" s="1" t="s">
        <v>567</v>
      </c>
      <c r="G96" s="1" t="str">
        <f t="shared" si="2"/>
        <v>1</v>
      </c>
      <c r="H96" s="1" t="str">
        <f t="shared" si="3"/>
        <v>oz</v>
      </c>
      <c r="I96" s="1" t="str">
        <f>IF(Table1[[#This Row],[Lifespan (Years)]]&lt;25, "&lt;25", IF(Table1[[#This Row],[Lifespan (Years)]]&lt;50, "25-49", IF(Table1[[#This Row],[Lifespan (Years)]]&lt;75, "50-74", IF(Table1[[#This Row],[Lifespan (Years)]]&lt;100, "75-99", "&gt;=100"))))</f>
        <v>&lt;25</v>
      </c>
      <c r="J96" s="14">
        <f>IF(Table1[[#This Row],[Weight Unit]]="oz",Table1[[#This Row],[Weight (Digits)]]/16, Table1[[#This Row],[Weight (Digits)]]/1)</f>
        <v>6.25E-2</v>
      </c>
      <c r="K9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96" s="1" t="s">
        <v>5</v>
      </c>
      <c r="M96" s="1" t="str">
        <f>IF(COUNTIF(Table2[Animal],Table1[[#This Row],[Animal]]) = 1, "Previous Participant", "New Participant")</f>
        <v>Previous Participant</v>
      </c>
      <c r="N96" s="1" t="str">
        <f>_xlfn.XLOOKUP(Table1[[#This Row],[Region]],'Support - Tables'!$B$3:$B$10,'Support - Tables'!$D$3:$D$10,"Not Found",0)</f>
        <v>Boat</v>
      </c>
      <c r="O96" s="6">
        <f>_xlfn.XLOOKUP(Table1[[#This Row],[Region]],'Support - Tables'!$B$3:$B$10,'Support - Tables'!$C$3:$C$10, "Not Found",0)</f>
        <v>400</v>
      </c>
      <c r="P96" s="6">
        <f>_xlfn.XLOOKUP(Table1[[#This Row],[Diet]],'Support - Tables'!$B$14:$B$16,'Support - Tables'!$C$14:$C$16, "Not Found", 0)</f>
        <v>400</v>
      </c>
      <c r="Q96" s="6">
        <f>Table1[[#This Row],[Revenue]]-Table1[[#This Row],[Cost]]</f>
        <v>0</v>
      </c>
      <c r="R96" s="6">
        <f>COUNTBLANK(Table1[[#This Row],[Diet]:[Region]])</f>
        <v>0</v>
      </c>
      <c r="S96" s="6"/>
      <c r="T96" s="6"/>
    </row>
    <row r="97" spans="1:20" x14ac:dyDescent="0.25">
      <c r="A97" s="2" t="s">
        <v>139</v>
      </c>
      <c r="B97" s="1" t="s">
        <v>23</v>
      </c>
      <c r="C97" s="1">
        <v>22</v>
      </c>
      <c r="D97" s="1" t="s">
        <v>706</v>
      </c>
      <c r="E97" s="1">
        <f>IF(Table1[[#This Row],[Lifespan Unit]]="months", Table1[[#This Row],[Lifespan]]/12,Table1[[#This Row],[Lifespan]])</f>
        <v>22</v>
      </c>
      <c r="F97" s="1" t="s">
        <v>593</v>
      </c>
      <c r="G97" s="1" t="str">
        <f t="shared" si="2"/>
        <v>1,323</v>
      </c>
      <c r="H97" s="1" t="str">
        <f t="shared" si="3"/>
        <v>lbs</v>
      </c>
      <c r="I97" s="1" t="str">
        <f>IF(Table1[[#This Row],[Lifespan (Years)]]&lt;25, "&lt;25", IF(Table1[[#This Row],[Lifespan (Years)]]&lt;50, "25-49", IF(Table1[[#This Row],[Lifespan (Years)]]&lt;75, "50-74", IF(Table1[[#This Row],[Lifespan (Years)]]&lt;100, "75-99", "&gt;=100"))))</f>
        <v>&lt;25</v>
      </c>
      <c r="J97" s="14">
        <f>IF(Table1[[#This Row],[Weight Unit]]="oz",Table1[[#This Row],[Weight (Digits)]]/16, Table1[[#This Row],[Weight (Digits)]]/1)</f>
        <v>1323</v>
      </c>
      <c r="K9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97" s="1" t="s">
        <v>5</v>
      </c>
      <c r="M97" s="1" t="str">
        <f>IF(COUNTIF(Table2[Animal],Table1[[#This Row],[Animal]]) = 1, "Previous Participant", "New Participant")</f>
        <v>Previous Participant</v>
      </c>
      <c r="N97" s="1" t="str">
        <f>_xlfn.XLOOKUP(Table1[[#This Row],[Region]],'Support - Tables'!$B$3:$B$10,'Support - Tables'!$D$3:$D$10,"Not Found",0)</f>
        <v>Boat</v>
      </c>
      <c r="O97" s="6">
        <f>_xlfn.XLOOKUP(Table1[[#This Row],[Region]],'Support - Tables'!$B$3:$B$10,'Support - Tables'!$C$3:$C$10, "Not Found",0)</f>
        <v>400</v>
      </c>
      <c r="P97" s="6">
        <f>_xlfn.XLOOKUP(Table1[[#This Row],[Diet]],'Support - Tables'!$B$14:$B$16,'Support - Tables'!$C$14:$C$16, "Not Found", 0)</f>
        <v>300</v>
      </c>
      <c r="Q97" s="6">
        <f>Table1[[#This Row],[Revenue]]-Table1[[#This Row],[Cost]]</f>
        <v>100</v>
      </c>
      <c r="R97" s="6">
        <f>COUNTBLANK(Table1[[#This Row],[Diet]:[Region]])</f>
        <v>0</v>
      </c>
      <c r="S97" s="6"/>
      <c r="T97" s="6"/>
    </row>
    <row r="98" spans="1:20" x14ac:dyDescent="0.25">
      <c r="A98" s="2" t="s">
        <v>140</v>
      </c>
      <c r="B98" s="1" t="s">
        <v>13</v>
      </c>
      <c r="C98" s="1">
        <v>10</v>
      </c>
      <c r="D98" s="1" t="s">
        <v>706</v>
      </c>
      <c r="E98" s="1">
        <f>IF(Table1[[#This Row],[Lifespan Unit]]="months", Table1[[#This Row],[Lifespan]]/12,Table1[[#This Row],[Lifespan]])</f>
        <v>10</v>
      </c>
      <c r="F98" s="1" t="s">
        <v>141</v>
      </c>
      <c r="G98" s="1" t="str">
        <f t="shared" si="2"/>
        <v>130</v>
      </c>
      <c r="H98" s="1" t="str">
        <f t="shared" si="3"/>
        <v>lbs</v>
      </c>
      <c r="I98" s="1" t="str">
        <f>IF(Table1[[#This Row],[Lifespan (Years)]]&lt;25, "&lt;25", IF(Table1[[#This Row],[Lifespan (Years)]]&lt;50, "25-49", IF(Table1[[#This Row],[Lifespan (Years)]]&lt;75, "50-74", IF(Table1[[#This Row],[Lifespan (Years)]]&lt;100, "75-99", "&gt;=100"))))</f>
        <v>&lt;25</v>
      </c>
      <c r="J98" s="14">
        <f>IF(Table1[[#This Row],[Weight Unit]]="oz",Table1[[#This Row],[Weight (Digits)]]/16, Table1[[#This Row],[Weight (Digits)]]/1)</f>
        <v>130</v>
      </c>
      <c r="K9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98" s="1" t="s">
        <v>2</v>
      </c>
      <c r="M98" s="1" t="str">
        <f>IF(COUNTIF(Table2[Animal],Table1[[#This Row],[Animal]]) = 1, "Previous Participant", "New Participant")</f>
        <v>Previous Participant</v>
      </c>
      <c r="N98" s="1" t="str">
        <f>_xlfn.XLOOKUP(Table1[[#This Row],[Region]],'Support - Tables'!$B$3:$B$10,'Support - Tables'!$D$3:$D$10,"Not Found",0)</f>
        <v>Air</v>
      </c>
      <c r="O98" s="6">
        <f>_xlfn.XLOOKUP(Table1[[#This Row],[Region]],'Support - Tables'!$B$3:$B$10,'Support - Tables'!$C$3:$C$10, "Not Found",0)</f>
        <v>600</v>
      </c>
      <c r="P98" s="6">
        <f>_xlfn.XLOOKUP(Table1[[#This Row],[Diet]],'Support - Tables'!$B$14:$B$16,'Support - Tables'!$C$14:$C$16, "Not Found", 0)</f>
        <v>400</v>
      </c>
      <c r="Q98" s="6">
        <f>Table1[[#This Row],[Revenue]]-Table1[[#This Row],[Cost]]</f>
        <v>200</v>
      </c>
      <c r="R98" s="6">
        <f>COUNTBLANK(Table1[[#This Row],[Diet]:[Region]])</f>
        <v>0</v>
      </c>
      <c r="S98" s="6"/>
      <c r="T98" s="6"/>
    </row>
    <row r="99" spans="1:20" x14ac:dyDescent="0.25">
      <c r="A99" s="2" t="s">
        <v>142</v>
      </c>
      <c r="B99" s="1" t="s">
        <v>15</v>
      </c>
      <c r="C99" s="1">
        <v>25</v>
      </c>
      <c r="D99" s="1" t="s">
        <v>706</v>
      </c>
      <c r="E99" s="1">
        <f>IF(Table1[[#This Row],[Lifespan Unit]]="months", Table1[[#This Row],[Lifespan]]/12,Table1[[#This Row],[Lifespan]])</f>
        <v>25</v>
      </c>
      <c r="F99" s="1" t="s">
        <v>471</v>
      </c>
      <c r="G99" s="1" t="str">
        <f t="shared" si="2"/>
        <v>200</v>
      </c>
      <c r="H99" s="1" t="str">
        <f t="shared" si="3"/>
        <v>lbs</v>
      </c>
      <c r="I99" s="1" t="str">
        <f>IF(Table1[[#This Row],[Lifespan (Years)]]&lt;25, "&lt;25", IF(Table1[[#This Row],[Lifespan (Years)]]&lt;50, "25-49", IF(Table1[[#This Row],[Lifespan (Years)]]&lt;75, "50-74", IF(Table1[[#This Row],[Lifespan (Years)]]&lt;100, "75-99", "&gt;=100"))))</f>
        <v>25-49</v>
      </c>
      <c r="J99" s="14">
        <f>IF(Table1[[#This Row],[Weight Unit]]="oz",Table1[[#This Row],[Weight (Digits)]]/16, Table1[[#This Row],[Weight (Digits)]]/1)</f>
        <v>200</v>
      </c>
      <c r="K9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200-299</v>
      </c>
      <c r="L99" s="1" t="s">
        <v>725</v>
      </c>
      <c r="M99" s="1" t="str">
        <f>IF(COUNTIF(Table2[Animal],Table1[[#This Row],[Animal]]) = 1, "Previous Participant", "New Participant")</f>
        <v>New Participant</v>
      </c>
      <c r="N99" s="1" t="str">
        <f>_xlfn.XLOOKUP(Table1[[#This Row],[Region]],'Support - Tables'!$B$3:$B$10,'Support - Tables'!$D$3:$D$10,"Not Found",0)</f>
        <v>Air</v>
      </c>
      <c r="O99" s="6">
        <f>_xlfn.XLOOKUP(Table1[[#This Row],[Region]],'Support - Tables'!$B$3:$B$10,'Support - Tables'!$C$3:$C$10, "Not Found",0)</f>
        <v>600</v>
      </c>
      <c r="P99" s="6">
        <f>_xlfn.XLOOKUP(Table1[[#This Row],[Diet]],'Support - Tables'!$B$14:$B$16,'Support - Tables'!$C$14:$C$16, "Not Found", 0)</f>
        <v>500</v>
      </c>
      <c r="Q99" s="6">
        <f>Table1[[#This Row],[Revenue]]-Table1[[#This Row],[Cost]]</f>
        <v>100</v>
      </c>
      <c r="R99" s="6">
        <f>COUNTBLANK(Table1[[#This Row],[Diet]:[Region]])</f>
        <v>0</v>
      </c>
      <c r="S99" s="6"/>
      <c r="T99" s="6"/>
    </row>
    <row r="100" spans="1:20" x14ac:dyDescent="0.25">
      <c r="A100" s="2" t="s">
        <v>143</v>
      </c>
      <c r="B100" s="1" t="s">
        <v>13</v>
      </c>
      <c r="C100" s="1">
        <v>15</v>
      </c>
      <c r="D100" s="1" t="s">
        <v>706</v>
      </c>
      <c r="E100" s="1">
        <f>IF(Table1[[#This Row],[Lifespan Unit]]="months", Table1[[#This Row],[Lifespan]]/12,Table1[[#This Row],[Lifespan]])</f>
        <v>15</v>
      </c>
      <c r="F100" s="1" t="s">
        <v>144</v>
      </c>
      <c r="G100" s="1" t="str">
        <f t="shared" si="2"/>
        <v>62</v>
      </c>
      <c r="H100" s="1" t="str">
        <f t="shared" si="3"/>
        <v>lbs</v>
      </c>
      <c r="I100" s="1" t="str">
        <f>IF(Table1[[#This Row],[Lifespan (Years)]]&lt;25, "&lt;25", IF(Table1[[#This Row],[Lifespan (Years)]]&lt;50, "25-49", IF(Table1[[#This Row],[Lifespan (Years)]]&lt;75, "50-74", IF(Table1[[#This Row],[Lifespan (Years)]]&lt;100, "75-99", "&gt;=100"))))</f>
        <v>&lt;25</v>
      </c>
      <c r="J100" s="14">
        <f>IF(Table1[[#This Row],[Weight Unit]]="oz",Table1[[#This Row],[Weight (Digits)]]/16, Table1[[#This Row],[Weight (Digits)]]/1)</f>
        <v>62</v>
      </c>
      <c r="K10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00" s="1" t="s">
        <v>2</v>
      </c>
      <c r="M100" s="1" t="str">
        <f>IF(COUNTIF(Table2[Animal],Table1[[#This Row],[Animal]]) = 1, "Previous Participant", "New Participant")</f>
        <v>Previous Participant</v>
      </c>
      <c r="N100" s="1" t="str">
        <f>_xlfn.XLOOKUP(Table1[[#This Row],[Region]],'Support - Tables'!$B$3:$B$10,'Support - Tables'!$D$3:$D$10,"Not Found",0)</f>
        <v>Air</v>
      </c>
      <c r="O100" s="6">
        <f>_xlfn.XLOOKUP(Table1[[#This Row],[Region]],'Support - Tables'!$B$3:$B$10,'Support - Tables'!$C$3:$C$10, "Not Found",0)</f>
        <v>600</v>
      </c>
      <c r="P100" s="6">
        <f>_xlfn.XLOOKUP(Table1[[#This Row],[Diet]],'Support - Tables'!$B$14:$B$16,'Support - Tables'!$C$14:$C$16, "Not Found", 0)</f>
        <v>400</v>
      </c>
      <c r="Q100" s="6">
        <f>Table1[[#This Row],[Revenue]]-Table1[[#This Row],[Cost]]</f>
        <v>200</v>
      </c>
      <c r="R100" s="6">
        <f>COUNTBLANK(Table1[[#This Row],[Diet]:[Region]])</f>
        <v>0</v>
      </c>
      <c r="S100" s="6"/>
      <c r="T100" s="6"/>
    </row>
    <row r="101" spans="1:20" x14ac:dyDescent="0.25">
      <c r="A101" s="2" t="s">
        <v>145</v>
      </c>
      <c r="B101" s="1" t="s">
        <v>13</v>
      </c>
      <c r="C101" s="1">
        <v>14</v>
      </c>
      <c r="D101" s="1" t="s">
        <v>706</v>
      </c>
      <c r="E101" s="1">
        <f>IF(Table1[[#This Row],[Lifespan Unit]]="months", Table1[[#This Row],[Lifespan]]/12,Table1[[#This Row],[Lifespan]])</f>
        <v>14</v>
      </c>
      <c r="F101" s="1" t="s">
        <v>62</v>
      </c>
      <c r="G101" s="1" t="str">
        <f t="shared" si="2"/>
        <v>55</v>
      </c>
      <c r="H101" s="1" t="str">
        <f t="shared" si="3"/>
        <v>lbs</v>
      </c>
      <c r="I101" s="1" t="str">
        <f>IF(Table1[[#This Row],[Lifespan (Years)]]&lt;25, "&lt;25", IF(Table1[[#This Row],[Lifespan (Years)]]&lt;50, "25-49", IF(Table1[[#This Row],[Lifespan (Years)]]&lt;75, "50-74", IF(Table1[[#This Row],[Lifespan (Years)]]&lt;100, "75-99", "&gt;=100"))))</f>
        <v>&lt;25</v>
      </c>
      <c r="J101" s="14">
        <f>IF(Table1[[#This Row],[Weight Unit]]="oz",Table1[[#This Row],[Weight (Digits)]]/16, Table1[[#This Row],[Weight (Digits)]]/1)</f>
        <v>55</v>
      </c>
      <c r="K10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01" s="1" t="s">
        <v>5</v>
      </c>
      <c r="M101" s="1" t="str">
        <f>IF(COUNTIF(Table2[Animal],Table1[[#This Row],[Animal]]) = 1, "Previous Participant", "New Participant")</f>
        <v>Previous Participant</v>
      </c>
      <c r="N101" s="1" t="str">
        <f>_xlfn.XLOOKUP(Table1[[#This Row],[Region]],'Support - Tables'!$B$3:$B$10,'Support - Tables'!$D$3:$D$10,"Not Found",0)</f>
        <v>Boat</v>
      </c>
      <c r="O101" s="6">
        <f>_xlfn.XLOOKUP(Table1[[#This Row],[Region]],'Support - Tables'!$B$3:$B$10,'Support - Tables'!$C$3:$C$10, "Not Found",0)</f>
        <v>400</v>
      </c>
      <c r="P101" s="6">
        <f>_xlfn.XLOOKUP(Table1[[#This Row],[Diet]],'Support - Tables'!$B$14:$B$16,'Support - Tables'!$C$14:$C$16, "Not Found", 0)</f>
        <v>400</v>
      </c>
      <c r="Q101" s="6">
        <f>Table1[[#This Row],[Revenue]]-Table1[[#This Row],[Cost]]</f>
        <v>0</v>
      </c>
      <c r="R101" s="6">
        <f>COUNTBLANK(Table1[[#This Row],[Diet]:[Region]])</f>
        <v>0</v>
      </c>
      <c r="S101" s="6"/>
      <c r="T101" s="6"/>
    </row>
    <row r="102" spans="1:20" x14ac:dyDescent="0.25">
      <c r="A102" s="2" t="s">
        <v>146</v>
      </c>
      <c r="B102" s="1" t="s">
        <v>15</v>
      </c>
      <c r="C102" s="1">
        <v>10</v>
      </c>
      <c r="D102" s="1" t="s">
        <v>706</v>
      </c>
      <c r="E102" s="1">
        <f>IF(Table1[[#This Row],[Lifespan Unit]]="months", Table1[[#This Row],[Lifespan]]/12,Table1[[#This Row],[Lifespan]])</f>
        <v>10</v>
      </c>
      <c r="F102" s="1" t="s">
        <v>594</v>
      </c>
      <c r="G102" s="1" t="str">
        <f t="shared" si="2"/>
        <v>10.5</v>
      </c>
      <c r="H102" s="1" t="str">
        <f t="shared" si="3"/>
        <v>oz</v>
      </c>
      <c r="I102" s="1" t="str">
        <f>IF(Table1[[#This Row],[Lifespan (Years)]]&lt;25, "&lt;25", IF(Table1[[#This Row],[Lifespan (Years)]]&lt;50, "25-49", IF(Table1[[#This Row],[Lifespan (Years)]]&lt;75, "50-74", IF(Table1[[#This Row],[Lifespan (Years)]]&lt;100, "75-99", "&gt;=100"))))</f>
        <v>&lt;25</v>
      </c>
      <c r="J102" s="14">
        <f>IF(Table1[[#This Row],[Weight Unit]]="oz",Table1[[#This Row],[Weight (Digits)]]/16, Table1[[#This Row],[Weight (Digits)]]/1)</f>
        <v>0.65625</v>
      </c>
      <c r="K10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02" s="1" t="s">
        <v>6</v>
      </c>
      <c r="M102" s="1" t="str">
        <f>IF(COUNTIF(Table2[Animal],Table1[[#This Row],[Animal]]) = 1, "Previous Participant", "New Participant")</f>
        <v>Previous Participant</v>
      </c>
      <c r="N102" s="1" t="str">
        <f>_xlfn.XLOOKUP(Table1[[#This Row],[Region]],'Support - Tables'!$B$3:$B$10,'Support - Tables'!$D$3:$D$10,"Not Found",0)</f>
        <v>Air</v>
      </c>
      <c r="O102" s="6">
        <f>_xlfn.XLOOKUP(Table1[[#This Row],[Region]],'Support - Tables'!$B$3:$B$10,'Support - Tables'!$C$3:$C$10, "Not Found",0)</f>
        <v>450</v>
      </c>
      <c r="P102" s="6">
        <f>_xlfn.XLOOKUP(Table1[[#This Row],[Diet]],'Support - Tables'!$B$14:$B$16,'Support - Tables'!$C$14:$C$16, "Not Found", 0)</f>
        <v>500</v>
      </c>
      <c r="Q102" s="6">
        <f>Table1[[#This Row],[Revenue]]-Table1[[#This Row],[Cost]]</f>
        <v>-50</v>
      </c>
      <c r="R102" s="6">
        <f>COUNTBLANK(Table1[[#This Row],[Diet]:[Region]])</f>
        <v>0</v>
      </c>
      <c r="S102" s="6"/>
      <c r="T102" s="6"/>
    </row>
    <row r="103" spans="1:20" x14ac:dyDescent="0.25">
      <c r="A103" s="2" t="s">
        <v>147</v>
      </c>
      <c r="B103" s="1" t="s">
        <v>23</v>
      </c>
      <c r="C103" s="1">
        <v>1</v>
      </c>
      <c r="D103" s="1" t="s">
        <v>708</v>
      </c>
      <c r="E103" s="1">
        <f>IF(Table1[[#This Row],[Lifespan Unit]]="months", Table1[[#This Row],[Lifespan]]/12,Table1[[#This Row],[Lifespan]])</f>
        <v>1</v>
      </c>
      <c r="F103" s="1" t="s">
        <v>573</v>
      </c>
      <c r="G103" s="1" t="str">
        <f t="shared" si="2"/>
        <v/>
      </c>
      <c r="H103" s="1" t="str">
        <f t="shared" si="3"/>
        <v/>
      </c>
      <c r="I103" s="1" t="str">
        <f>IF(Table1[[#This Row],[Lifespan (Years)]]&lt;25, "&lt;25", IF(Table1[[#This Row],[Lifespan (Years)]]&lt;50, "25-49", IF(Table1[[#This Row],[Lifespan (Years)]]&lt;75, "50-74", IF(Table1[[#This Row],[Lifespan (Years)]]&lt;100, "75-99", "&gt;=100"))))</f>
        <v>&lt;25</v>
      </c>
      <c r="J103" s="14">
        <v>0</v>
      </c>
      <c r="K10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103" s="1" t="s">
        <v>724</v>
      </c>
      <c r="M103" s="1" t="str">
        <f>IF(COUNTIF(Table2[Animal],Table1[[#This Row],[Animal]]) = 1, "Previous Participant", "New Participant")</f>
        <v>Previous Participant</v>
      </c>
      <c r="N103" s="1" t="str">
        <f>_xlfn.XLOOKUP(Table1[[#This Row],[Region]],'Support - Tables'!$B$3:$B$10,'Support - Tables'!$D$3:$D$10,"Not Found",0)</f>
        <v>Road</v>
      </c>
      <c r="O103" s="6">
        <f>_xlfn.XLOOKUP(Table1[[#This Row],[Region]],'Support - Tables'!$B$3:$B$10,'Support - Tables'!$C$3:$C$10, "Not Found",0)</f>
        <v>450</v>
      </c>
      <c r="P103" s="6">
        <f>_xlfn.XLOOKUP(Table1[[#This Row],[Diet]],'Support - Tables'!$B$14:$B$16,'Support - Tables'!$C$14:$C$16, "Not Found", 0)</f>
        <v>300</v>
      </c>
      <c r="Q103" s="6">
        <f>Table1[[#This Row],[Revenue]]-Table1[[#This Row],[Cost]]</f>
        <v>150</v>
      </c>
      <c r="R103" s="6">
        <f>COUNTBLANK(Table1[[#This Row],[Diet]:[Region]])</f>
        <v>3</v>
      </c>
      <c r="S103" s="6"/>
      <c r="T103" s="6"/>
    </row>
    <row r="104" spans="1:20" x14ac:dyDescent="0.25">
      <c r="A104" s="2" t="s">
        <v>148</v>
      </c>
      <c r="B104" s="1" t="s">
        <v>15</v>
      </c>
      <c r="C104" s="1">
        <v>12</v>
      </c>
      <c r="D104" s="1" t="s">
        <v>706</v>
      </c>
      <c r="E104" s="1">
        <f>IF(Table1[[#This Row],[Lifespan Unit]]="months", Table1[[#This Row],[Lifespan]]/12,Table1[[#This Row],[Lifespan]])</f>
        <v>12</v>
      </c>
      <c r="F104" s="1" t="s">
        <v>16</v>
      </c>
      <c r="G104" s="1" t="str">
        <f t="shared" si="2"/>
        <v>10</v>
      </c>
      <c r="H104" s="1" t="str">
        <f t="shared" si="3"/>
        <v>lbs</v>
      </c>
      <c r="I104" s="1" t="str">
        <f>IF(Table1[[#This Row],[Lifespan (Years)]]&lt;25, "&lt;25", IF(Table1[[#This Row],[Lifespan (Years)]]&lt;50, "25-49", IF(Table1[[#This Row],[Lifespan (Years)]]&lt;75, "50-74", IF(Table1[[#This Row],[Lifespan (Years)]]&lt;100, "75-99", "&gt;=100"))))</f>
        <v>&lt;25</v>
      </c>
      <c r="J104" s="14">
        <f>IF(Table1[[#This Row],[Weight Unit]]="oz",Table1[[#This Row],[Weight (Digits)]]/16, Table1[[#This Row],[Weight (Digits)]]/1)</f>
        <v>10</v>
      </c>
      <c r="K10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04" s="1" t="s">
        <v>725</v>
      </c>
      <c r="M104" s="1" t="str">
        <f>IF(COUNTIF(Table2[Animal],Table1[[#This Row],[Animal]]) = 1, "Previous Participant", "New Participant")</f>
        <v>New Participant</v>
      </c>
      <c r="N104" s="1" t="str">
        <f>_xlfn.XLOOKUP(Table1[[#This Row],[Region]],'Support - Tables'!$B$3:$B$10,'Support - Tables'!$D$3:$D$10,"Not Found",0)</f>
        <v>Air</v>
      </c>
      <c r="O104" s="6">
        <f>_xlfn.XLOOKUP(Table1[[#This Row],[Region]],'Support - Tables'!$B$3:$B$10,'Support - Tables'!$C$3:$C$10, "Not Found",0)</f>
        <v>600</v>
      </c>
      <c r="P104" s="6">
        <f>_xlfn.XLOOKUP(Table1[[#This Row],[Diet]],'Support - Tables'!$B$14:$B$16,'Support - Tables'!$C$14:$C$16, "Not Found", 0)</f>
        <v>500</v>
      </c>
      <c r="Q104" s="6">
        <f>Table1[[#This Row],[Revenue]]-Table1[[#This Row],[Cost]]</f>
        <v>100</v>
      </c>
      <c r="R104" s="6">
        <f>COUNTBLANK(Table1[[#This Row],[Diet]:[Region]])</f>
        <v>0</v>
      </c>
      <c r="S104" s="6"/>
      <c r="T104" s="6"/>
    </row>
    <row r="105" spans="1:20" x14ac:dyDescent="0.25">
      <c r="A105" s="2" t="s">
        <v>149</v>
      </c>
      <c r="B105" s="1" t="s">
        <v>15</v>
      </c>
      <c r="C105" s="1">
        <v>15</v>
      </c>
      <c r="D105" s="1" t="s">
        <v>706</v>
      </c>
      <c r="E105" s="1">
        <f>IF(Table1[[#This Row],[Lifespan Unit]]="months", Table1[[#This Row],[Lifespan]]/12,Table1[[#This Row],[Lifespan]])</f>
        <v>15</v>
      </c>
      <c r="F105" s="1" t="s">
        <v>595</v>
      </c>
      <c r="G105" s="1" t="str">
        <f t="shared" si="2"/>
        <v>0.7</v>
      </c>
      <c r="H105" s="1" t="str">
        <f t="shared" si="3"/>
        <v>oz</v>
      </c>
      <c r="I105" s="1" t="str">
        <f>IF(Table1[[#This Row],[Lifespan (Years)]]&lt;25, "&lt;25", IF(Table1[[#This Row],[Lifespan (Years)]]&lt;50, "25-49", IF(Table1[[#This Row],[Lifespan (Years)]]&lt;75, "50-74", IF(Table1[[#This Row],[Lifespan (Years)]]&lt;100, "75-99", "&gt;=100"))))</f>
        <v>&lt;25</v>
      </c>
      <c r="J105" s="14">
        <f>IF(Table1[[#This Row],[Weight Unit]]="oz",Table1[[#This Row],[Weight (Digits)]]/16, Table1[[#This Row],[Weight (Digits)]]/1)</f>
        <v>4.3749999999999997E-2</v>
      </c>
      <c r="K10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05" s="1" t="s">
        <v>724</v>
      </c>
      <c r="M105" s="1" t="str">
        <f>IF(COUNTIF(Table2[Animal],Table1[[#This Row],[Animal]]) = 1, "Previous Participant", "New Participant")</f>
        <v>Previous Participant</v>
      </c>
      <c r="N105" s="1" t="str">
        <f>_xlfn.XLOOKUP(Table1[[#This Row],[Region]],'Support - Tables'!$B$3:$B$10,'Support - Tables'!$D$3:$D$10,"Not Found",0)</f>
        <v>Road</v>
      </c>
      <c r="O105" s="6">
        <f>_xlfn.XLOOKUP(Table1[[#This Row],[Region]],'Support - Tables'!$B$3:$B$10,'Support - Tables'!$C$3:$C$10, "Not Found",0)</f>
        <v>450</v>
      </c>
      <c r="P105" s="6">
        <f>_xlfn.XLOOKUP(Table1[[#This Row],[Diet]],'Support - Tables'!$B$14:$B$16,'Support - Tables'!$C$14:$C$16, "Not Found", 0)</f>
        <v>500</v>
      </c>
      <c r="Q105" s="6">
        <f>Table1[[#This Row],[Revenue]]-Table1[[#This Row],[Cost]]</f>
        <v>-50</v>
      </c>
      <c r="R105" s="6">
        <f>COUNTBLANK(Table1[[#This Row],[Diet]:[Region]])</f>
        <v>0</v>
      </c>
      <c r="S105" s="6"/>
      <c r="T105" s="6"/>
    </row>
    <row r="106" spans="1:20" x14ac:dyDescent="0.25">
      <c r="A106" s="2" t="s">
        <v>150</v>
      </c>
      <c r="B106" s="1" t="s">
        <v>23</v>
      </c>
      <c r="C106" s="1">
        <v>40</v>
      </c>
      <c r="D106" s="1" t="s">
        <v>709</v>
      </c>
      <c r="E106" s="1">
        <f>IF(Table1[[#This Row],[Lifespan Unit]]="months", Table1[[#This Row],[Lifespan]]/12,Table1[[#This Row],[Lifespan]])</f>
        <v>40</v>
      </c>
      <c r="F106" s="1" t="s">
        <v>573</v>
      </c>
      <c r="G106" s="1" t="str">
        <f t="shared" si="2"/>
        <v/>
      </c>
      <c r="H106" s="1" t="str">
        <f t="shared" si="3"/>
        <v/>
      </c>
      <c r="I106" s="1" t="str">
        <f>IF(Table1[[#This Row],[Lifespan (Years)]]&lt;25, "&lt;25", IF(Table1[[#This Row],[Lifespan (Years)]]&lt;50, "25-49", IF(Table1[[#This Row],[Lifespan (Years)]]&lt;75, "50-74", IF(Table1[[#This Row],[Lifespan (Years)]]&lt;100, "75-99", "&gt;=100"))))</f>
        <v>25-49</v>
      </c>
      <c r="J106" s="14">
        <v>0</v>
      </c>
      <c r="K10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106" s="1" t="s">
        <v>2</v>
      </c>
      <c r="M106" s="1" t="str">
        <f>IF(COUNTIF(Table2[Animal],Table1[[#This Row],[Animal]]) = 1, "Previous Participant", "New Participant")</f>
        <v>Previous Participant</v>
      </c>
      <c r="N106" s="1" t="str">
        <f>_xlfn.XLOOKUP(Table1[[#This Row],[Region]],'Support - Tables'!$B$3:$B$10,'Support - Tables'!$D$3:$D$10,"Not Found",0)</f>
        <v>Air</v>
      </c>
      <c r="O106" s="6">
        <f>_xlfn.XLOOKUP(Table1[[#This Row],[Region]],'Support - Tables'!$B$3:$B$10,'Support - Tables'!$C$3:$C$10, "Not Found",0)</f>
        <v>600</v>
      </c>
      <c r="P106" s="6">
        <f>_xlfn.XLOOKUP(Table1[[#This Row],[Diet]],'Support - Tables'!$B$14:$B$16,'Support - Tables'!$C$14:$C$16, "Not Found", 0)</f>
        <v>300</v>
      </c>
      <c r="Q106" s="6">
        <f>Table1[[#This Row],[Revenue]]-Table1[[#This Row],[Cost]]</f>
        <v>300</v>
      </c>
      <c r="R106" s="6">
        <f>COUNTBLANK(Table1[[#This Row],[Diet]:[Region]])</f>
        <v>3</v>
      </c>
      <c r="S106" s="6"/>
      <c r="T106" s="6"/>
    </row>
    <row r="107" spans="1:20" x14ac:dyDescent="0.25">
      <c r="A107" s="2" t="s">
        <v>151</v>
      </c>
      <c r="B107" s="1" t="s">
        <v>13</v>
      </c>
      <c r="C107" s="1">
        <v>12</v>
      </c>
      <c r="D107" s="1" t="s">
        <v>706</v>
      </c>
      <c r="E107" s="1">
        <f>IF(Table1[[#This Row],[Lifespan Unit]]="months", Table1[[#This Row],[Lifespan]]/12,Table1[[#This Row],[Lifespan]])</f>
        <v>12</v>
      </c>
      <c r="F107" s="1" t="s">
        <v>573</v>
      </c>
      <c r="G107" s="1" t="str">
        <f t="shared" si="2"/>
        <v/>
      </c>
      <c r="H107" s="1" t="str">
        <f t="shared" si="3"/>
        <v/>
      </c>
      <c r="I107" s="1" t="str">
        <f>IF(Table1[[#This Row],[Lifespan (Years)]]&lt;25, "&lt;25", IF(Table1[[#This Row],[Lifespan (Years)]]&lt;50, "25-49", IF(Table1[[#This Row],[Lifespan (Years)]]&lt;75, "50-74", IF(Table1[[#This Row],[Lifespan (Years)]]&lt;100, "75-99", "&gt;=100"))))</f>
        <v>&lt;25</v>
      </c>
      <c r="J107" s="14">
        <v>0</v>
      </c>
      <c r="K10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107" s="1" t="s">
        <v>5</v>
      </c>
      <c r="M107" s="1" t="str">
        <f>IF(COUNTIF(Table2[Animal],Table1[[#This Row],[Animal]]) = 1, "Previous Participant", "New Participant")</f>
        <v>Previous Participant</v>
      </c>
      <c r="N107" s="1" t="str">
        <f>_xlfn.XLOOKUP(Table1[[#This Row],[Region]],'Support - Tables'!$B$3:$B$10,'Support - Tables'!$D$3:$D$10,"Not Found",0)</f>
        <v>Boat</v>
      </c>
      <c r="O107" s="6">
        <f>_xlfn.XLOOKUP(Table1[[#This Row],[Region]],'Support - Tables'!$B$3:$B$10,'Support - Tables'!$C$3:$C$10, "Not Found",0)</f>
        <v>400</v>
      </c>
      <c r="P107" s="6">
        <f>_xlfn.XLOOKUP(Table1[[#This Row],[Diet]],'Support - Tables'!$B$14:$B$16,'Support - Tables'!$C$14:$C$16, "Not Found", 0)</f>
        <v>400</v>
      </c>
      <c r="Q107" s="6">
        <f>Table1[[#This Row],[Revenue]]-Table1[[#This Row],[Cost]]</f>
        <v>0</v>
      </c>
      <c r="R107" s="6">
        <f>COUNTBLANK(Table1[[#This Row],[Diet]:[Region]])</f>
        <v>3</v>
      </c>
      <c r="S107" s="6"/>
      <c r="T107" s="6"/>
    </row>
    <row r="108" spans="1:20" x14ac:dyDescent="0.25">
      <c r="A108" s="2" t="s">
        <v>152</v>
      </c>
      <c r="B108" s="1" t="s">
        <v>15</v>
      </c>
      <c r="C108" s="1">
        <v>40</v>
      </c>
      <c r="D108" s="1" t="s">
        <v>706</v>
      </c>
      <c r="E108" s="1">
        <f>IF(Table1[[#This Row],[Lifespan Unit]]="months", Table1[[#This Row],[Lifespan]]/12,Table1[[#This Row],[Lifespan]])</f>
        <v>40</v>
      </c>
      <c r="F108" s="1" t="s">
        <v>596</v>
      </c>
      <c r="G108" s="1" t="str">
        <f t="shared" si="2"/>
        <v>13</v>
      </c>
      <c r="H108" s="1" t="str">
        <f t="shared" si="3"/>
        <v>lbs</v>
      </c>
      <c r="I108" s="1" t="str">
        <f>IF(Table1[[#This Row],[Lifespan (Years)]]&lt;25, "&lt;25", IF(Table1[[#This Row],[Lifespan (Years)]]&lt;50, "25-49", IF(Table1[[#This Row],[Lifespan (Years)]]&lt;75, "50-74", IF(Table1[[#This Row],[Lifespan (Years)]]&lt;100, "75-99", "&gt;=100"))))</f>
        <v>25-49</v>
      </c>
      <c r="J108" s="14">
        <f>IF(Table1[[#This Row],[Weight Unit]]="oz",Table1[[#This Row],[Weight (Digits)]]/16, Table1[[#This Row],[Weight (Digits)]]/1)</f>
        <v>13</v>
      </c>
      <c r="K10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08" s="1" t="s">
        <v>724</v>
      </c>
      <c r="M108" s="1" t="str">
        <f>IF(COUNTIF(Table2[Animal],Table1[[#This Row],[Animal]]) = 1, "Previous Participant", "New Participant")</f>
        <v>New Participant</v>
      </c>
      <c r="N108" s="1" t="str">
        <f>_xlfn.XLOOKUP(Table1[[#This Row],[Region]],'Support - Tables'!$B$3:$B$10,'Support - Tables'!$D$3:$D$10,"Not Found",0)</f>
        <v>Road</v>
      </c>
      <c r="O108" s="6">
        <f>_xlfn.XLOOKUP(Table1[[#This Row],[Region]],'Support - Tables'!$B$3:$B$10,'Support - Tables'!$C$3:$C$10, "Not Found",0)</f>
        <v>450</v>
      </c>
      <c r="P108" s="6">
        <f>_xlfn.XLOOKUP(Table1[[#This Row],[Diet]],'Support - Tables'!$B$14:$B$16,'Support - Tables'!$C$14:$C$16, "Not Found", 0)</f>
        <v>500</v>
      </c>
      <c r="Q108" s="6">
        <f>Table1[[#This Row],[Revenue]]-Table1[[#This Row],[Cost]]</f>
        <v>-50</v>
      </c>
      <c r="R108" s="6">
        <f>COUNTBLANK(Table1[[#This Row],[Diet]:[Region]])</f>
        <v>0</v>
      </c>
      <c r="S108" s="6"/>
      <c r="T108" s="6"/>
    </row>
    <row r="109" spans="1:20" x14ac:dyDescent="0.25">
      <c r="A109" s="2" t="s">
        <v>153</v>
      </c>
      <c r="B109" s="1" t="s">
        <v>15</v>
      </c>
      <c r="C109" s="1">
        <v>30</v>
      </c>
      <c r="D109" s="1" t="s">
        <v>706</v>
      </c>
      <c r="E109" s="1">
        <f>IF(Table1[[#This Row],[Lifespan Unit]]="months", Table1[[#This Row],[Lifespan]]/12,Table1[[#This Row],[Lifespan]])</f>
        <v>30</v>
      </c>
      <c r="F109" s="1" t="s">
        <v>566</v>
      </c>
      <c r="G109" s="1" t="str">
        <f t="shared" si="2"/>
        <v>3</v>
      </c>
      <c r="H109" s="1" t="str">
        <f t="shared" si="3"/>
        <v>lbs</v>
      </c>
      <c r="I109" s="1" t="str">
        <f>IF(Table1[[#This Row],[Lifespan (Years)]]&lt;25, "&lt;25", IF(Table1[[#This Row],[Lifespan (Years)]]&lt;50, "25-49", IF(Table1[[#This Row],[Lifespan (Years)]]&lt;75, "50-74", IF(Table1[[#This Row],[Lifespan (Years)]]&lt;100, "75-99", "&gt;=100"))))</f>
        <v>25-49</v>
      </c>
      <c r="J109" s="14">
        <f>IF(Table1[[#This Row],[Weight Unit]]="oz",Table1[[#This Row],[Weight (Digits)]]/16, Table1[[#This Row],[Weight (Digits)]]/1)</f>
        <v>3</v>
      </c>
      <c r="K10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09" s="1" t="s">
        <v>725</v>
      </c>
      <c r="M109" s="1" t="str">
        <f>IF(COUNTIF(Table2[Animal],Table1[[#This Row],[Animal]]) = 1, "Previous Participant", "New Participant")</f>
        <v>Previous Participant</v>
      </c>
      <c r="N109" s="1" t="str">
        <f>_xlfn.XLOOKUP(Table1[[#This Row],[Region]],'Support - Tables'!$B$3:$B$10,'Support - Tables'!$D$3:$D$10,"Not Found",0)</f>
        <v>Air</v>
      </c>
      <c r="O109" s="6">
        <f>_xlfn.XLOOKUP(Table1[[#This Row],[Region]],'Support - Tables'!$B$3:$B$10,'Support - Tables'!$C$3:$C$10, "Not Found",0)</f>
        <v>600</v>
      </c>
      <c r="P109" s="6">
        <f>_xlfn.XLOOKUP(Table1[[#This Row],[Diet]],'Support - Tables'!$B$14:$B$16,'Support - Tables'!$C$14:$C$16, "Not Found", 0)</f>
        <v>500</v>
      </c>
      <c r="Q109" s="6">
        <f>Table1[[#This Row],[Revenue]]-Table1[[#This Row],[Cost]]</f>
        <v>100</v>
      </c>
      <c r="R109" s="6">
        <f>COUNTBLANK(Table1[[#This Row],[Diet]:[Region]])</f>
        <v>0</v>
      </c>
      <c r="S109" s="6"/>
      <c r="T109" s="6"/>
    </row>
    <row r="110" spans="1:20" x14ac:dyDescent="0.25">
      <c r="A110" s="2" t="s">
        <v>154</v>
      </c>
      <c r="B110" s="1" t="s">
        <v>13</v>
      </c>
      <c r="C110" s="1">
        <v>14</v>
      </c>
      <c r="D110" s="1" t="s">
        <v>706</v>
      </c>
      <c r="E110" s="1">
        <f>IF(Table1[[#This Row],[Lifespan Unit]]="months", Table1[[#This Row],[Lifespan]]/12,Table1[[#This Row],[Lifespan]])</f>
        <v>14</v>
      </c>
      <c r="F110" s="1" t="s">
        <v>76</v>
      </c>
      <c r="G110" s="1" t="str">
        <f t="shared" si="2"/>
        <v>14</v>
      </c>
      <c r="H110" s="1" t="str">
        <f t="shared" si="3"/>
        <v>lbs</v>
      </c>
      <c r="I110" s="1" t="str">
        <f>IF(Table1[[#This Row],[Lifespan (Years)]]&lt;25, "&lt;25", IF(Table1[[#This Row],[Lifespan (Years)]]&lt;50, "25-49", IF(Table1[[#This Row],[Lifespan (Years)]]&lt;75, "50-74", IF(Table1[[#This Row],[Lifespan (Years)]]&lt;100, "75-99", "&gt;=100"))))</f>
        <v>&lt;25</v>
      </c>
      <c r="J110" s="14">
        <f>IF(Table1[[#This Row],[Weight Unit]]="oz",Table1[[#This Row],[Weight (Digits)]]/16, Table1[[#This Row],[Weight (Digits)]]/1)</f>
        <v>14</v>
      </c>
      <c r="K11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10" s="1" t="s">
        <v>6</v>
      </c>
      <c r="M110" s="1" t="str">
        <f>IF(COUNTIF(Table2[Animal],Table1[[#This Row],[Animal]]) = 1, "Previous Participant", "New Participant")</f>
        <v>Previous Participant</v>
      </c>
      <c r="N110" s="1" t="str">
        <f>_xlfn.XLOOKUP(Table1[[#This Row],[Region]],'Support - Tables'!$B$3:$B$10,'Support - Tables'!$D$3:$D$10,"Not Found",0)</f>
        <v>Air</v>
      </c>
      <c r="O110" s="6">
        <f>_xlfn.XLOOKUP(Table1[[#This Row],[Region]],'Support - Tables'!$B$3:$B$10,'Support - Tables'!$C$3:$C$10, "Not Found",0)</f>
        <v>450</v>
      </c>
      <c r="P110" s="6">
        <f>_xlfn.XLOOKUP(Table1[[#This Row],[Diet]],'Support - Tables'!$B$14:$B$16,'Support - Tables'!$C$14:$C$16, "Not Found", 0)</f>
        <v>400</v>
      </c>
      <c r="Q110" s="6">
        <f>Table1[[#This Row],[Revenue]]-Table1[[#This Row],[Cost]]</f>
        <v>50</v>
      </c>
      <c r="R110" s="6">
        <f>COUNTBLANK(Table1[[#This Row],[Diet]:[Region]])</f>
        <v>0</v>
      </c>
      <c r="S110" s="6"/>
      <c r="T110" s="6"/>
    </row>
    <row r="111" spans="1:20" x14ac:dyDescent="0.25">
      <c r="A111" s="2" t="s">
        <v>155</v>
      </c>
      <c r="B111" s="1" t="s">
        <v>23</v>
      </c>
      <c r="C111" s="1">
        <v>50</v>
      </c>
      <c r="D111" s="1" t="s">
        <v>706</v>
      </c>
      <c r="E111" s="1">
        <f>IF(Table1[[#This Row],[Lifespan Unit]]="months", Table1[[#This Row],[Lifespan]]/12,Table1[[#This Row],[Lifespan]])</f>
        <v>50</v>
      </c>
      <c r="F111" s="1" t="s">
        <v>597</v>
      </c>
      <c r="G111" s="1" t="str">
        <f t="shared" si="2"/>
        <v>660</v>
      </c>
      <c r="H111" s="1" t="str">
        <f t="shared" si="3"/>
        <v>lbs</v>
      </c>
      <c r="I111" s="1" t="str">
        <f>IF(Table1[[#This Row],[Lifespan (Years)]]&lt;25, "&lt;25", IF(Table1[[#This Row],[Lifespan (Years)]]&lt;50, "25-49", IF(Table1[[#This Row],[Lifespan (Years)]]&lt;75, "50-74", IF(Table1[[#This Row],[Lifespan (Years)]]&lt;100, "75-99", "&gt;=100"))))</f>
        <v>50-74</v>
      </c>
      <c r="J111" s="14">
        <f>IF(Table1[[#This Row],[Weight Unit]]="oz",Table1[[#This Row],[Weight (Digits)]]/16, Table1[[#This Row],[Weight (Digits)]]/1)</f>
        <v>660</v>
      </c>
      <c r="K11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111" s="1" t="s">
        <v>5</v>
      </c>
      <c r="M111" s="1" t="str">
        <f>IF(COUNTIF(Table2[Animal],Table1[[#This Row],[Animal]]) = 1, "Previous Participant", "New Participant")</f>
        <v>Previous Participant</v>
      </c>
      <c r="N111" s="1" t="str">
        <f>_xlfn.XLOOKUP(Table1[[#This Row],[Region]],'Support - Tables'!$B$3:$B$10,'Support - Tables'!$D$3:$D$10,"Not Found",0)</f>
        <v>Boat</v>
      </c>
      <c r="O111" s="6">
        <f>_xlfn.XLOOKUP(Table1[[#This Row],[Region]],'Support - Tables'!$B$3:$B$10,'Support - Tables'!$C$3:$C$10, "Not Found",0)</f>
        <v>400</v>
      </c>
      <c r="P111" s="6">
        <f>_xlfn.XLOOKUP(Table1[[#This Row],[Diet]],'Support - Tables'!$B$14:$B$16,'Support - Tables'!$C$14:$C$16, "Not Found", 0)</f>
        <v>300</v>
      </c>
      <c r="Q111" s="6">
        <f>Table1[[#This Row],[Revenue]]-Table1[[#This Row],[Cost]]</f>
        <v>100</v>
      </c>
      <c r="R111" s="6">
        <f>COUNTBLANK(Table1[[#This Row],[Diet]:[Region]])</f>
        <v>0</v>
      </c>
      <c r="S111" s="6"/>
      <c r="T111" s="6"/>
    </row>
    <row r="112" spans="1:20" x14ac:dyDescent="0.25">
      <c r="A112" s="2" t="s">
        <v>156</v>
      </c>
      <c r="B112" s="1" t="s">
        <v>23</v>
      </c>
      <c r="C112" s="1">
        <v>10</v>
      </c>
      <c r="D112" s="1" t="s">
        <v>706</v>
      </c>
      <c r="E112" s="1">
        <f>IF(Table1[[#This Row],[Lifespan Unit]]="months", Table1[[#This Row],[Lifespan]]/12,Table1[[#This Row],[Lifespan]])</f>
        <v>10</v>
      </c>
      <c r="F112" s="1" t="s">
        <v>289</v>
      </c>
      <c r="G112" s="1" t="str">
        <f t="shared" si="2"/>
        <v>66</v>
      </c>
      <c r="H112" s="1" t="str">
        <f t="shared" si="3"/>
        <v>lbs</v>
      </c>
      <c r="I112" s="1" t="str">
        <f>IF(Table1[[#This Row],[Lifespan (Years)]]&lt;25, "&lt;25", IF(Table1[[#This Row],[Lifespan (Years)]]&lt;50, "25-49", IF(Table1[[#This Row],[Lifespan (Years)]]&lt;75, "50-74", IF(Table1[[#This Row],[Lifespan (Years)]]&lt;100, "75-99", "&gt;=100"))))</f>
        <v>&lt;25</v>
      </c>
      <c r="J112" s="14">
        <f>IF(Table1[[#This Row],[Weight Unit]]="oz",Table1[[#This Row],[Weight (Digits)]]/16, Table1[[#This Row],[Weight (Digits)]]/1)</f>
        <v>66</v>
      </c>
      <c r="K11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12" s="1" t="s">
        <v>4</v>
      </c>
      <c r="M112" s="1" t="str">
        <f>IF(COUNTIF(Table2[Animal],Table1[[#This Row],[Animal]]) = 1, "Previous Participant", "New Participant")</f>
        <v>Previous Participant</v>
      </c>
      <c r="N112" s="1" t="str">
        <f>_xlfn.XLOOKUP(Table1[[#This Row],[Region]],'Support - Tables'!$B$3:$B$10,'Support - Tables'!$D$3:$D$10,"Not Found",0)</f>
        <v>Boat</v>
      </c>
      <c r="O112" s="6">
        <f>_xlfn.XLOOKUP(Table1[[#This Row],[Region]],'Support - Tables'!$B$3:$B$10,'Support - Tables'!$C$3:$C$10, "Not Found",0)</f>
        <v>200</v>
      </c>
      <c r="P112" s="6">
        <f>_xlfn.XLOOKUP(Table1[[#This Row],[Diet]],'Support - Tables'!$B$14:$B$16,'Support - Tables'!$C$14:$C$16, "Not Found", 0)</f>
        <v>300</v>
      </c>
      <c r="Q112" s="6">
        <f>Table1[[#This Row],[Revenue]]-Table1[[#This Row],[Cost]]</f>
        <v>-100</v>
      </c>
      <c r="R112" s="6">
        <f>COUNTBLANK(Table1[[#This Row],[Diet]:[Region]])</f>
        <v>0</v>
      </c>
      <c r="S112" s="6"/>
      <c r="T112" s="6"/>
    </row>
    <row r="113" spans="1:20" x14ac:dyDescent="0.25">
      <c r="A113" s="2" t="s">
        <v>157</v>
      </c>
      <c r="B113" s="1" t="s">
        <v>15</v>
      </c>
      <c r="C113" s="1">
        <v>15</v>
      </c>
      <c r="D113" s="1" t="s">
        <v>706</v>
      </c>
      <c r="E113" s="1">
        <f>IF(Table1[[#This Row],[Lifespan Unit]]="months", Table1[[#This Row],[Lifespan]]/12,Table1[[#This Row],[Lifespan]])</f>
        <v>15</v>
      </c>
      <c r="F113" s="1" t="s">
        <v>91</v>
      </c>
      <c r="G113" s="1" t="str">
        <f t="shared" si="2"/>
        <v>24</v>
      </c>
      <c r="H113" s="1" t="str">
        <f t="shared" si="3"/>
        <v>lbs</v>
      </c>
      <c r="I113" s="1" t="str">
        <f>IF(Table1[[#This Row],[Lifespan (Years)]]&lt;25, "&lt;25", IF(Table1[[#This Row],[Lifespan (Years)]]&lt;50, "25-49", IF(Table1[[#This Row],[Lifespan (Years)]]&lt;75, "50-74", IF(Table1[[#This Row],[Lifespan (Years)]]&lt;100, "75-99", "&gt;=100"))))</f>
        <v>&lt;25</v>
      </c>
      <c r="J113" s="14">
        <f>IF(Table1[[#This Row],[Weight Unit]]="oz",Table1[[#This Row],[Weight (Digits)]]/16, Table1[[#This Row],[Weight (Digits)]]/1)</f>
        <v>24</v>
      </c>
      <c r="K11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13" s="1" t="s">
        <v>724</v>
      </c>
      <c r="M113" s="1" t="str">
        <f>IF(COUNTIF(Table2[Animal],Table1[[#This Row],[Animal]]) = 1, "Previous Participant", "New Participant")</f>
        <v>Previous Participant</v>
      </c>
      <c r="N113" s="1" t="str">
        <f>_xlfn.XLOOKUP(Table1[[#This Row],[Region]],'Support - Tables'!$B$3:$B$10,'Support - Tables'!$D$3:$D$10,"Not Found",0)</f>
        <v>Road</v>
      </c>
      <c r="O113" s="6">
        <f>_xlfn.XLOOKUP(Table1[[#This Row],[Region]],'Support - Tables'!$B$3:$B$10,'Support - Tables'!$C$3:$C$10, "Not Found",0)</f>
        <v>450</v>
      </c>
      <c r="P113" s="6">
        <f>_xlfn.XLOOKUP(Table1[[#This Row],[Diet]],'Support - Tables'!$B$14:$B$16,'Support - Tables'!$C$14:$C$16, "Not Found", 0)</f>
        <v>500</v>
      </c>
      <c r="Q113" s="6">
        <f>Table1[[#This Row],[Revenue]]-Table1[[#This Row],[Cost]]</f>
        <v>-50</v>
      </c>
      <c r="R113" s="6">
        <f>COUNTBLANK(Table1[[#This Row],[Diet]:[Region]])</f>
        <v>0</v>
      </c>
      <c r="S113" s="6"/>
      <c r="T113" s="6"/>
    </row>
    <row r="114" spans="1:20" x14ac:dyDescent="0.25">
      <c r="A114" s="2" t="s">
        <v>158</v>
      </c>
      <c r="B114" s="1" t="s">
        <v>13</v>
      </c>
      <c r="C114" s="1">
        <v>60</v>
      </c>
      <c r="D114" s="1" t="s">
        <v>706</v>
      </c>
      <c r="E114" s="1">
        <f>IF(Table1[[#This Row],[Lifespan Unit]]="months", Table1[[#This Row],[Lifespan]]/12,Table1[[#This Row],[Lifespan]])</f>
        <v>60</v>
      </c>
      <c r="F114" s="1" t="s">
        <v>62</v>
      </c>
      <c r="G114" s="1" t="str">
        <f t="shared" si="2"/>
        <v>55</v>
      </c>
      <c r="H114" s="1" t="str">
        <f t="shared" si="3"/>
        <v>lbs</v>
      </c>
      <c r="I114" s="1" t="str">
        <f>IF(Table1[[#This Row],[Lifespan (Years)]]&lt;25, "&lt;25", IF(Table1[[#This Row],[Lifespan (Years)]]&lt;50, "25-49", IF(Table1[[#This Row],[Lifespan (Years)]]&lt;75, "50-74", IF(Table1[[#This Row],[Lifespan (Years)]]&lt;100, "75-99", "&gt;=100"))))</f>
        <v>50-74</v>
      </c>
      <c r="J114" s="14">
        <f>IF(Table1[[#This Row],[Weight Unit]]="oz",Table1[[#This Row],[Weight (Digits)]]/16, Table1[[#This Row],[Weight (Digits)]]/1)</f>
        <v>55</v>
      </c>
      <c r="K11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14" s="1" t="s">
        <v>724</v>
      </c>
      <c r="M114" s="1" t="str">
        <f>IF(COUNTIF(Table2[Animal],Table1[[#This Row],[Animal]]) = 1, "Previous Participant", "New Participant")</f>
        <v>Previous Participant</v>
      </c>
      <c r="N114" s="1" t="str">
        <f>_xlfn.XLOOKUP(Table1[[#This Row],[Region]],'Support - Tables'!$B$3:$B$10,'Support - Tables'!$D$3:$D$10,"Not Found",0)</f>
        <v>Road</v>
      </c>
      <c r="O114" s="6">
        <f>_xlfn.XLOOKUP(Table1[[#This Row],[Region]],'Support - Tables'!$B$3:$B$10,'Support - Tables'!$C$3:$C$10, "Not Found",0)</f>
        <v>450</v>
      </c>
      <c r="P114" s="6">
        <f>_xlfn.XLOOKUP(Table1[[#This Row],[Diet]],'Support - Tables'!$B$14:$B$16,'Support - Tables'!$C$14:$C$16, "Not Found", 0)</f>
        <v>400</v>
      </c>
      <c r="Q114" s="6">
        <f>Table1[[#This Row],[Revenue]]-Table1[[#This Row],[Cost]]</f>
        <v>50</v>
      </c>
      <c r="R114" s="6">
        <f>COUNTBLANK(Table1[[#This Row],[Diet]:[Region]])</f>
        <v>0</v>
      </c>
      <c r="S114" s="6"/>
      <c r="T114" s="6"/>
    </row>
    <row r="115" spans="1:20" x14ac:dyDescent="0.25">
      <c r="A115" s="2" t="s">
        <v>159</v>
      </c>
      <c r="B115" s="1" t="s">
        <v>23</v>
      </c>
      <c r="C115" s="1">
        <v>3</v>
      </c>
      <c r="D115" s="1" t="s">
        <v>710</v>
      </c>
      <c r="E115" s="1">
        <f>IF(Table1[[#This Row],[Lifespan Unit]]="months", Table1[[#This Row],[Lifespan]]/12,Table1[[#This Row],[Lifespan]])</f>
        <v>3</v>
      </c>
      <c r="F115" s="1" t="s">
        <v>573</v>
      </c>
      <c r="G115" s="1" t="str">
        <f t="shared" si="2"/>
        <v/>
      </c>
      <c r="H115" s="1" t="str">
        <f t="shared" si="3"/>
        <v/>
      </c>
      <c r="I115" s="1" t="str">
        <f>IF(Table1[[#This Row],[Lifespan (Years)]]&lt;25, "&lt;25", IF(Table1[[#This Row],[Lifespan (Years)]]&lt;50, "25-49", IF(Table1[[#This Row],[Lifespan (Years)]]&lt;75, "50-74", IF(Table1[[#This Row],[Lifespan (Years)]]&lt;100, "75-99", "&gt;=100"))))</f>
        <v>&lt;25</v>
      </c>
      <c r="J115" s="14">
        <v>0</v>
      </c>
      <c r="K11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115" s="1" t="s">
        <v>6</v>
      </c>
      <c r="M115" s="1" t="str">
        <f>IF(COUNTIF(Table2[Animal],Table1[[#This Row],[Animal]]) = 1, "Previous Participant", "New Participant")</f>
        <v>Previous Participant</v>
      </c>
      <c r="N115" s="1" t="str">
        <f>_xlfn.XLOOKUP(Table1[[#This Row],[Region]],'Support - Tables'!$B$3:$B$10,'Support - Tables'!$D$3:$D$10,"Not Found",0)</f>
        <v>Air</v>
      </c>
      <c r="O115" s="6">
        <f>_xlfn.XLOOKUP(Table1[[#This Row],[Region]],'Support - Tables'!$B$3:$B$10,'Support - Tables'!$C$3:$C$10, "Not Found",0)</f>
        <v>450</v>
      </c>
      <c r="P115" s="6">
        <f>_xlfn.XLOOKUP(Table1[[#This Row],[Diet]],'Support - Tables'!$B$14:$B$16,'Support - Tables'!$C$14:$C$16, "Not Found", 0)</f>
        <v>300</v>
      </c>
      <c r="Q115" s="6">
        <f>Table1[[#This Row],[Revenue]]-Table1[[#This Row],[Cost]]</f>
        <v>150</v>
      </c>
      <c r="R115" s="6">
        <f>COUNTBLANK(Table1[[#This Row],[Diet]:[Region]])</f>
        <v>3</v>
      </c>
      <c r="S115" s="6"/>
      <c r="T115" s="6"/>
    </row>
    <row r="116" spans="1:20" x14ac:dyDescent="0.25">
      <c r="A116" s="2" t="s">
        <v>160</v>
      </c>
      <c r="B116" s="1" t="s">
        <v>15</v>
      </c>
      <c r="C116" s="1">
        <v>20</v>
      </c>
      <c r="D116" s="1" t="s">
        <v>706</v>
      </c>
      <c r="E116" s="1">
        <f>IF(Table1[[#This Row],[Lifespan Unit]]="months", Table1[[#This Row],[Lifespan]]/12,Table1[[#This Row],[Lifespan]])</f>
        <v>20</v>
      </c>
      <c r="F116" s="1" t="s">
        <v>573</v>
      </c>
      <c r="G116" s="1" t="str">
        <f t="shared" si="2"/>
        <v/>
      </c>
      <c r="H116" s="1" t="str">
        <f t="shared" si="3"/>
        <v/>
      </c>
      <c r="I116" s="1" t="str">
        <f>IF(Table1[[#This Row],[Lifespan (Years)]]&lt;25, "&lt;25", IF(Table1[[#This Row],[Lifespan (Years)]]&lt;50, "25-49", IF(Table1[[#This Row],[Lifespan (Years)]]&lt;75, "50-74", IF(Table1[[#This Row],[Lifespan (Years)]]&lt;100, "75-99", "&gt;=100"))))</f>
        <v>&lt;25</v>
      </c>
      <c r="J116" s="14">
        <v>0</v>
      </c>
      <c r="K11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116" s="1" t="s">
        <v>6</v>
      </c>
      <c r="M116" s="1" t="str">
        <f>IF(COUNTIF(Table2[Animal],Table1[[#This Row],[Animal]]) = 1, "Previous Participant", "New Participant")</f>
        <v>Previous Participant</v>
      </c>
      <c r="N116" s="1" t="str">
        <f>_xlfn.XLOOKUP(Table1[[#This Row],[Region]],'Support - Tables'!$B$3:$B$10,'Support - Tables'!$D$3:$D$10,"Not Found",0)</f>
        <v>Air</v>
      </c>
      <c r="O116" s="6">
        <f>_xlfn.XLOOKUP(Table1[[#This Row],[Region]],'Support - Tables'!$B$3:$B$10,'Support - Tables'!$C$3:$C$10, "Not Found",0)</f>
        <v>450</v>
      </c>
      <c r="P116" s="6">
        <f>_xlfn.XLOOKUP(Table1[[#This Row],[Diet]],'Support - Tables'!$B$14:$B$16,'Support - Tables'!$C$14:$C$16, "Not Found", 0)</f>
        <v>500</v>
      </c>
      <c r="Q116" s="6">
        <f>Table1[[#This Row],[Revenue]]-Table1[[#This Row],[Cost]]</f>
        <v>-50</v>
      </c>
      <c r="R116" s="6">
        <f>COUNTBLANK(Table1[[#This Row],[Diet]:[Region]])</f>
        <v>3</v>
      </c>
      <c r="S116" s="6"/>
      <c r="T116" s="6"/>
    </row>
    <row r="117" spans="1:20" x14ac:dyDescent="0.25">
      <c r="A117" s="2" t="s">
        <v>161</v>
      </c>
      <c r="B117" s="1" t="s">
        <v>13</v>
      </c>
      <c r="C117" s="1">
        <v>15</v>
      </c>
      <c r="D117" s="1" t="s">
        <v>706</v>
      </c>
      <c r="E117" s="1">
        <f>IF(Table1[[#This Row],[Lifespan Unit]]="months", Table1[[#This Row],[Lifespan]]/12,Table1[[#This Row],[Lifespan]])</f>
        <v>15</v>
      </c>
      <c r="F117" s="1" t="s">
        <v>108</v>
      </c>
      <c r="G117" s="1" t="str">
        <f t="shared" si="2"/>
        <v>18</v>
      </c>
      <c r="H117" s="1" t="str">
        <f t="shared" si="3"/>
        <v>lbs</v>
      </c>
      <c r="I117" s="1" t="str">
        <f>IF(Table1[[#This Row],[Lifespan (Years)]]&lt;25, "&lt;25", IF(Table1[[#This Row],[Lifespan (Years)]]&lt;50, "25-49", IF(Table1[[#This Row],[Lifespan (Years)]]&lt;75, "50-74", IF(Table1[[#This Row],[Lifespan (Years)]]&lt;100, "75-99", "&gt;=100"))))</f>
        <v>&lt;25</v>
      </c>
      <c r="J117" s="14">
        <f>IF(Table1[[#This Row],[Weight Unit]]="oz",Table1[[#This Row],[Weight (Digits)]]/16, Table1[[#This Row],[Weight (Digits)]]/1)</f>
        <v>18</v>
      </c>
      <c r="K11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17" s="1" t="s">
        <v>6</v>
      </c>
      <c r="M117" s="1" t="str">
        <f>IF(COUNTIF(Table2[Animal],Table1[[#This Row],[Animal]]) = 1, "Previous Participant", "New Participant")</f>
        <v>New Participant</v>
      </c>
      <c r="N117" s="1" t="str">
        <f>_xlfn.XLOOKUP(Table1[[#This Row],[Region]],'Support - Tables'!$B$3:$B$10,'Support - Tables'!$D$3:$D$10,"Not Found",0)</f>
        <v>Air</v>
      </c>
      <c r="O117" s="6">
        <f>_xlfn.XLOOKUP(Table1[[#This Row],[Region]],'Support - Tables'!$B$3:$B$10,'Support - Tables'!$C$3:$C$10, "Not Found",0)</f>
        <v>450</v>
      </c>
      <c r="P117" s="6">
        <f>_xlfn.XLOOKUP(Table1[[#This Row],[Diet]],'Support - Tables'!$B$14:$B$16,'Support - Tables'!$C$14:$C$16, "Not Found", 0)</f>
        <v>400</v>
      </c>
      <c r="Q117" s="6">
        <f>Table1[[#This Row],[Revenue]]-Table1[[#This Row],[Cost]]</f>
        <v>50</v>
      </c>
      <c r="R117" s="6">
        <f>COUNTBLANK(Table1[[#This Row],[Diet]:[Region]])</f>
        <v>0</v>
      </c>
      <c r="S117" s="6"/>
      <c r="T117" s="6"/>
    </row>
    <row r="118" spans="1:20" x14ac:dyDescent="0.25">
      <c r="A118" s="2" t="s">
        <v>162</v>
      </c>
      <c r="B118" s="1" t="s">
        <v>15</v>
      </c>
      <c r="C118" s="1">
        <v>5</v>
      </c>
      <c r="D118" s="1" t="s">
        <v>706</v>
      </c>
      <c r="E118" s="1">
        <f>IF(Table1[[#This Row],[Lifespan Unit]]="months", Table1[[#This Row],[Lifespan]]/12,Table1[[#This Row],[Lifespan]])</f>
        <v>5</v>
      </c>
      <c r="F118" s="1" t="s">
        <v>573</v>
      </c>
      <c r="G118" s="1" t="str">
        <f t="shared" si="2"/>
        <v/>
      </c>
      <c r="H118" s="1" t="str">
        <f t="shared" si="3"/>
        <v/>
      </c>
      <c r="I118" s="1" t="str">
        <f>IF(Table1[[#This Row],[Lifespan (Years)]]&lt;25, "&lt;25", IF(Table1[[#This Row],[Lifespan (Years)]]&lt;50, "25-49", IF(Table1[[#This Row],[Lifespan (Years)]]&lt;75, "50-74", IF(Table1[[#This Row],[Lifespan (Years)]]&lt;100, "75-99", "&gt;=100"))))</f>
        <v>&lt;25</v>
      </c>
      <c r="J118" s="14">
        <v>0</v>
      </c>
      <c r="K11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118" s="1" t="s">
        <v>5</v>
      </c>
      <c r="M118" s="1" t="str">
        <f>IF(COUNTIF(Table2[Animal],Table1[[#This Row],[Animal]]) = 1, "Previous Participant", "New Participant")</f>
        <v>Previous Participant</v>
      </c>
      <c r="N118" s="1" t="str">
        <f>_xlfn.XLOOKUP(Table1[[#This Row],[Region]],'Support - Tables'!$B$3:$B$10,'Support - Tables'!$D$3:$D$10,"Not Found",0)</f>
        <v>Boat</v>
      </c>
      <c r="O118" s="6">
        <f>_xlfn.XLOOKUP(Table1[[#This Row],[Region]],'Support - Tables'!$B$3:$B$10,'Support - Tables'!$C$3:$C$10, "Not Found",0)</f>
        <v>400</v>
      </c>
      <c r="P118" s="6">
        <f>_xlfn.XLOOKUP(Table1[[#This Row],[Diet]],'Support - Tables'!$B$14:$B$16,'Support - Tables'!$C$14:$C$16, "Not Found", 0)</f>
        <v>500</v>
      </c>
      <c r="Q118" s="6">
        <f>Table1[[#This Row],[Revenue]]-Table1[[#This Row],[Cost]]</f>
        <v>-100</v>
      </c>
      <c r="R118" s="6">
        <f>COUNTBLANK(Table1[[#This Row],[Diet]:[Region]])</f>
        <v>3</v>
      </c>
      <c r="S118" s="6"/>
      <c r="T118" s="6"/>
    </row>
    <row r="119" spans="1:20" x14ac:dyDescent="0.25">
      <c r="A119" s="2" t="s">
        <v>163</v>
      </c>
      <c r="B119" s="1" t="s">
        <v>13</v>
      </c>
      <c r="C119" s="1">
        <v>15</v>
      </c>
      <c r="D119" s="1" t="s">
        <v>706</v>
      </c>
      <c r="E119" s="1">
        <f>IF(Table1[[#This Row],[Lifespan Unit]]="months", Table1[[#This Row],[Lifespan]]/12,Table1[[#This Row],[Lifespan]])</f>
        <v>15</v>
      </c>
      <c r="F119" s="1" t="s">
        <v>96</v>
      </c>
      <c r="G119" s="1" t="str">
        <f t="shared" si="2"/>
        <v>75</v>
      </c>
      <c r="H119" s="1" t="str">
        <f t="shared" si="3"/>
        <v>lbs</v>
      </c>
      <c r="I119" s="1" t="str">
        <f>IF(Table1[[#This Row],[Lifespan (Years)]]&lt;25, "&lt;25", IF(Table1[[#This Row],[Lifespan (Years)]]&lt;50, "25-49", IF(Table1[[#This Row],[Lifespan (Years)]]&lt;75, "50-74", IF(Table1[[#This Row],[Lifespan (Years)]]&lt;100, "75-99", "&gt;=100"))))</f>
        <v>&lt;25</v>
      </c>
      <c r="J119" s="14">
        <f>IF(Table1[[#This Row],[Weight Unit]]="oz",Table1[[#This Row],[Weight (Digits)]]/16, Table1[[#This Row],[Weight (Digits)]]/1)</f>
        <v>75</v>
      </c>
      <c r="K11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19" s="1" t="s">
        <v>5</v>
      </c>
      <c r="M119" s="1" t="str">
        <f>IF(COUNTIF(Table2[Animal],Table1[[#This Row],[Animal]]) = 1, "Previous Participant", "New Participant")</f>
        <v>Previous Participant</v>
      </c>
      <c r="N119" s="1" t="str">
        <f>_xlfn.XLOOKUP(Table1[[#This Row],[Region]],'Support - Tables'!$B$3:$B$10,'Support - Tables'!$D$3:$D$10,"Not Found",0)</f>
        <v>Boat</v>
      </c>
      <c r="O119" s="6">
        <f>_xlfn.XLOOKUP(Table1[[#This Row],[Region]],'Support - Tables'!$B$3:$B$10,'Support - Tables'!$C$3:$C$10, "Not Found",0)</f>
        <v>400</v>
      </c>
      <c r="P119" s="6">
        <f>_xlfn.XLOOKUP(Table1[[#This Row],[Diet]],'Support - Tables'!$B$14:$B$16,'Support - Tables'!$C$14:$C$16, "Not Found", 0)</f>
        <v>400</v>
      </c>
      <c r="Q119" s="6">
        <f>Table1[[#This Row],[Revenue]]-Table1[[#This Row],[Cost]]</f>
        <v>0</v>
      </c>
      <c r="R119" s="6">
        <f>COUNTBLANK(Table1[[#This Row],[Diet]:[Region]])</f>
        <v>0</v>
      </c>
      <c r="S119" s="6"/>
      <c r="T119" s="6"/>
    </row>
    <row r="120" spans="1:20" x14ac:dyDescent="0.25">
      <c r="A120" s="2" t="s">
        <v>164</v>
      </c>
      <c r="B120" s="1" t="s">
        <v>13</v>
      </c>
      <c r="C120" s="1">
        <v>8</v>
      </c>
      <c r="D120" s="1" t="s">
        <v>706</v>
      </c>
      <c r="E120" s="1">
        <f>IF(Table1[[#This Row],[Lifespan Unit]]="months", Table1[[#This Row],[Lifespan]]/12,Table1[[#This Row],[Lifespan]])</f>
        <v>8</v>
      </c>
      <c r="F120" s="1" t="s">
        <v>598</v>
      </c>
      <c r="G120" s="1" t="str">
        <f t="shared" si="2"/>
        <v>0.02</v>
      </c>
      <c r="H120" s="1" t="str">
        <f t="shared" si="3"/>
        <v>lbs</v>
      </c>
      <c r="I120" s="1" t="str">
        <f>IF(Table1[[#This Row],[Lifespan (Years)]]&lt;25, "&lt;25", IF(Table1[[#This Row],[Lifespan (Years)]]&lt;50, "25-49", IF(Table1[[#This Row],[Lifespan (Years)]]&lt;75, "50-74", IF(Table1[[#This Row],[Lifespan (Years)]]&lt;100, "75-99", "&gt;=100"))))</f>
        <v>&lt;25</v>
      </c>
      <c r="J120" s="14">
        <f>IF(Table1[[#This Row],[Weight Unit]]="oz",Table1[[#This Row],[Weight (Digits)]]/16, Table1[[#This Row],[Weight (Digits)]]/1)</f>
        <v>0.02</v>
      </c>
      <c r="K12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20" s="1" t="s">
        <v>5</v>
      </c>
      <c r="M120" s="1" t="str">
        <f>IF(COUNTIF(Table2[Animal],Table1[[#This Row],[Animal]]) = 1, "Previous Participant", "New Participant")</f>
        <v>Previous Participant</v>
      </c>
      <c r="N120" s="1" t="str">
        <f>_xlfn.XLOOKUP(Table1[[#This Row],[Region]],'Support - Tables'!$B$3:$B$10,'Support - Tables'!$D$3:$D$10,"Not Found",0)</f>
        <v>Boat</v>
      </c>
      <c r="O120" s="6">
        <f>_xlfn.XLOOKUP(Table1[[#This Row],[Region]],'Support - Tables'!$B$3:$B$10,'Support - Tables'!$C$3:$C$10, "Not Found",0)</f>
        <v>400</v>
      </c>
      <c r="P120" s="6">
        <f>_xlfn.XLOOKUP(Table1[[#This Row],[Diet]],'Support - Tables'!$B$14:$B$16,'Support - Tables'!$C$14:$C$16, "Not Found", 0)</f>
        <v>400</v>
      </c>
      <c r="Q120" s="6">
        <f>Table1[[#This Row],[Revenue]]-Table1[[#This Row],[Cost]]</f>
        <v>0</v>
      </c>
      <c r="R120" s="6">
        <f>COUNTBLANK(Table1[[#This Row],[Diet]:[Region]])</f>
        <v>0</v>
      </c>
      <c r="S120" s="6"/>
      <c r="T120" s="6"/>
    </row>
    <row r="121" spans="1:20" x14ac:dyDescent="0.25">
      <c r="A121" s="2" t="s">
        <v>165</v>
      </c>
      <c r="B121" s="1" t="s">
        <v>23</v>
      </c>
      <c r="C121" s="1">
        <v>22</v>
      </c>
      <c r="D121" s="1" t="s">
        <v>706</v>
      </c>
      <c r="E121" s="1">
        <f>IF(Table1[[#This Row],[Lifespan Unit]]="months", Table1[[#This Row],[Lifespan]]/12,Table1[[#This Row],[Lifespan]])</f>
        <v>22</v>
      </c>
      <c r="F121" s="1" t="s">
        <v>36</v>
      </c>
      <c r="G121" s="1" t="str">
        <f t="shared" si="2"/>
        <v>110</v>
      </c>
      <c r="H121" s="1" t="str">
        <f t="shared" si="3"/>
        <v>lbs</v>
      </c>
      <c r="I121" s="1" t="str">
        <f>IF(Table1[[#This Row],[Lifespan (Years)]]&lt;25, "&lt;25", IF(Table1[[#This Row],[Lifespan (Years)]]&lt;50, "25-49", IF(Table1[[#This Row],[Lifespan (Years)]]&lt;75, "50-74", IF(Table1[[#This Row],[Lifespan (Years)]]&lt;100, "75-99", "&gt;=100"))))</f>
        <v>&lt;25</v>
      </c>
      <c r="J121" s="14">
        <f>IF(Table1[[#This Row],[Weight Unit]]="oz",Table1[[#This Row],[Weight (Digits)]]/16, Table1[[#This Row],[Weight (Digits)]]/1)</f>
        <v>110</v>
      </c>
      <c r="K12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121" s="1" t="s">
        <v>724</v>
      </c>
      <c r="M121" s="1" t="str">
        <f>IF(COUNTIF(Table2[Animal],Table1[[#This Row],[Animal]]) = 1, "Previous Participant", "New Participant")</f>
        <v>Previous Participant</v>
      </c>
      <c r="N121" s="1" t="str">
        <f>_xlfn.XLOOKUP(Table1[[#This Row],[Region]],'Support - Tables'!$B$3:$B$10,'Support - Tables'!$D$3:$D$10,"Not Found",0)</f>
        <v>Road</v>
      </c>
      <c r="O121" s="6">
        <f>_xlfn.XLOOKUP(Table1[[#This Row],[Region]],'Support - Tables'!$B$3:$B$10,'Support - Tables'!$C$3:$C$10, "Not Found",0)</f>
        <v>450</v>
      </c>
      <c r="P121" s="6">
        <f>_xlfn.XLOOKUP(Table1[[#This Row],[Diet]],'Support - Tables'!$B$14:$B$16,'Support - Tables'!$C$14:$C$16, "Not Found", 0)</f>
        <v>300</v>
      </c>
      <c r="Q121" s="6">
        <f>Table1[[#This Row],[Revenue]]-Table1[[#This Row],[Cost]]</f>
        <v>150</v>
      </c>
      <c r="R121" s="6">
        <f>COUNTBLANK(Table1[[#This Row],[Diet]:[Region]])</f>
        <v>0</v>
      </c>
      <c r="S121" s="6"/>
      <c r="T121" s="6"/>
    </row>
    <row r="122" spans="1:20" x14ac:dyDescent="0.25">
      <c r="A122" s="2" t="s">
        <v>166</v>
      </c>
      <c r="B122" s="1" t="s">
        <v>15</v>
      </c>
      <c r="C122" s="1">
        <v>12</v>
      </c>
      <c r="D122" s="1" t="s">
        <v>706</v>
      </c>
      <c r="E122" s="1">
        <f>IF(Table1[[#This Row],[Lifespan Unit]]="months", Table1[[#This Row],[Lifespan]]/12,Table1[[#This Row],[Lifespan]])</f>
        <v>12</v>
      </c>
      <c r="F122" s="1" t="s">
        <v>106</v>
      </c>
      <c r="G122" s="1" t="str">
        <f t="shared" si="2"/>
        <v>88</v>
      </c>
      <c r="H122" s="1" t="str">
        <f t="shared" si="3"/>
        <v>lbs</v>
      </c>
      <c r="I122" s="1" t="str">
        <f>IF(Table1[[#This Row],[Lifespan (Years)]]&lt;25, "&lt;25", IF(Table1[[#This Row],[Lifespan (Years)]]&lt;50, "25-49", IF(Table1[[#This Row],[Lifespan (Years)]]&lt;75, "50-74", IF(Table1[[#This Row],[Lifespan (Years)]]&lt;100, "75-99", "&gt;=100"))))</f>
        <v>&lt;25</v>
      </c>
      <c r="J122" s="14">
        <f>IF(Table1[[#This Row],[Weight Unit]]="oz",Table1[[#This Row],[Weight (Digits)]]/16, Table1[[#This Row],[Weight (Digits)]]/1)</f>
        <v>88</v>
      </c>
      <c r="K12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22" s="1" t="s">
        <v>5</v>
      </c>
      <c r="M122" s="1" t="str">
        <f>IF(COUNTIF(Table2[Animal],Table1[[#This Row],[Animal]]) = 1, "Previous Participant", "New Participant")</f>
        <v>Previous Participant</v>
      </c>
      <c r="N122" s="1" t="str">
        <f>_xlfn.XLOOKUP(Table1[[#This Row],[Region]],'Support - Tables'!$B$3:$B$10,'Support - Tables'!$D$3:$D$10,"Not Found",0)</f>
        <v>Boat</v>
      </c>
      <c r="O122" s="6">
        <f>_xlfn.XLOOKUP(Table1[[#This Row],[Region]],'Support - Tables'!$B$3:$B$10,'Support - Tables'!$C$3:$C$10, "Not Found",0)</f>
        <v>400</v>
      </c>
      <c r="P122" s="6">
        <f>_xlfn.XLOOKUP(Table1[[#This Row],[Diet]],'Support - Tables'!$B$14:$B$16,'Support - Tables'!$C$14:$C$16, "Not Found", 0)</f>
        <v>500</v>
      </c>
      <c r="Q122" s="6">
        <f>Table1[[#This Row],[Revenue]]-Table1[[#This Row],[Cost]]</f>
        <v>-100</v>
      </c>
      <c r="R122" s="6">
        <f>COUNTBLANK(Table1[[#This Row],[Diet]:[Region]])</f>
        <v>0</v>
      </c>
      <c r="S122" s="6"/>
      <c r="T122" s="6"/>
    </row>
    <row r="123" spans="1:20" x14ac:dyDescent="0.25">
      <c r="A123" s="2" t="s">
        <v>167</v>
      </c>
      <c r="B123" s="1" t="s">
        <v>13</v>
      </c>
      <c r="C123" s="1">
        <v>13</v>
      </c>
      <c r="D123" s="1" t="s">
        <v>706</v>
      </c>
      <c r="E123" s="1">
        <f>IF(Table1[[#This Row],[Lifespan Unit]]="months", Table1[[#This Row],[Lifespan]]/12,Table1[[#This Row],[Lifespan]])</f>
        <v>13</v>
      </c>
      <c r="F123" s="1" t="s">
        <v>96</v>
      </c>
      <c r="G123" s="1" t="str">
        <f t="shared" si="2"/>
        <v>75</v>
      </c>
      <c r="H123" s="1" t="str">
        <f t="shared" si="3"/>
        <v>lbs</v>
      </c>
      <c r="I123" s="1" t="str">
        <f>IF(Table1[[#This Row],[Lifespan (Years)]]&lt;25, "&lt;25", IF(Table1[[#This Row],[Lifespan (Years)]]&lt;50, "25-49", IF(Table1[[#This Row],[Lifespan (Years)]]&lt;75, "50-74", IF(Table1[[#This Row],[Lifespan (Years)]]&lt;100, "75-99", "&gt;=100"))))</f>
        <v>&lt;25</v>
      </c>
      <c r="J123" s="14">
        <f>IF(Table1[[#This Row],[Weight Unit]]="oz",Table1[[#This Row],[Weight (Digits)]]/16, Table1[[#This Row],[Weight (Digits)]]/1)</f>
        <v>75</v>
      </c>
      <c r="K12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23" s="1" t="s">
        <v>724</v>
      </c>
      <c r="M123" s="1" t="str">
        <f>IF(COUNTIF(Table2[Animal],Table1[[#This Row],[Animal]]) = 1, "Previous Participant", "New Participant")</f>
        <v>Previous Participant</v>
      </c>
      <c r="N123" s="1" t="str">
        <f>_xlfn.XLOOKUP(Table1[[#This Row],[Region]],'Support - Tables'!$B$3:$B$10,'Support - Tables'!$D$3:$D$10,"Not Found",0)</f>
        <v>Road</v>
      </c>
      <c r="O123" s="6">
        <f>_xlfn.XLOOKUP(Table1[[#This Row],[Region]],'Support - Tables'!$B$3:$B$10,'Support - Tables'!$C$3:$C$10, "Not Found",0)</f>
        <v>450</v>
      </c>
      <c r="P123" s="6">
        <f>_xlfn.XLOOKUP(Table1[[#This Row],[Diet]],'Support - Tables'!$B$14:$B$16,'Support - Tables'!$C$14:$C$16, "Not Found", 0)</f>
        <v>400</v>
      </c>
      <c r="Q123" s="6">
        <f>Table1[[#This Row],[Revenue]]-Table1[[#This Row],[Cost]]</f>
        <v>50</v>
      </c>
      <c r="R123" s="6">
        <f>COUNTBLANK(Table1[[#This Row],[Diet]:[Region]])</f>
        <v>0</v>
      </c>
      <c r="S123" s="6"/>
      <c r="T123" s="6"/>
    </row>
    <row r="124" spans="1:20" x14ac:dyDescent="0.25">
      <c r="A124" s="2" t="s">
        <v>168</v>
      </c>
      <c r="B124" s="1" t="s">
        <v>13</v>
      </c>
      <c r="C124" s="1">
        <v>4</v>
      </c>
      <c r="D124" s="1" t="s">
        <v>706</v>
      </c>
      <c r="E124" s="1">
        <f>IF(Table1[[#This Row],[Lifespan Unit]]="months", Table1[[#This Row],[Lifespan]]/12,Table1[[#This Row],[Lifespan]])</f>
        <v>4</v>
      </c>
      <c r="F124" s="1" t="s">
        <v>599</v>
      </c>
      <c r="G124" s="1" t="str">
        <f t="shared" si="2"/>
        <v>2.2</v>
      </c>
      <c r="H124" s="1" t="str">
        <f t="shared" si="3"/>
        <v>lbs</v>
      </c>
      <c r="I124" s="1" t="str">
        <f>IF(Table1[[#This Row],[Lifespan (Years)]]&lt;25, "&lt;25", IF(Table1[[#This Row],[Lifespan (Years)]]&lt;50, "25-49", IF(Table1[[#This Row],[Lifespan (Years)]]&lt;75, "50-74", IF(Table1[[#This Row],[Lifespan (Years)]]&lt;100, "75-99", "&gt;=100"))))</f>
        <v>&lt;25</v>
      </c>
      <c r="J124" s="14">
        <f>IF(Table1[[#This Row],[Weight Unit]]="oz",Table1[[#This Row],[Weight (Digits)]]/16, Table1[[#This Row],[Weight (Digits)]]/1)</f>
        <v>2.2000000000000002</v>
      </c>
      <c r="K12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24" s="1" t="s">
        <v>724</v>
      </c>
      <c r="M124" s="1" t="str">
        <f>IF(COUNTIF(Table2[Animal],Table1[[#This Row],[Animal]]) = 1, "Previous Participant", "New Participant")</f>
        <v>Previous Participant</v>
      </c>
      <c r="N124" s="1" t="str">
        <f>_xlfn.XLOOKUP(Table1[[#This Row],[Region]],'Support - Tables'!$B$3:$B$10,'Support - Tables'!$D$3:$D$10,"Not Found",0)</f>
        <v>Road</v>
      </c>
      <c r="O124" s="6">
        <f>_xlfn.XLOOKUP(Table1[[#This Row],[Region]],'Support - Tables'!$B$3:$B$10,'Support - Tables'!$C$3:$C$10, "Not Found",0)</f>
        <v>450</v>
      </c>
      <c r="P124" s="6">
        <f>_xlfn.XLOOKUP(Table1[[#This Row],[Diet]],'Support - Tables'!$B$14:$B$16,'Support - Tables'!$C$14:$C$16, "Not Found", 0)</f>
        <v>400</v>
      </c>
      <c r="Q124" s="6">
        <f>Table1[[#This Row],[Revenue]]-Table1[[#This Row],[Cost]]</f>
        <v>50</v>
      </c>
      <c r="R124" s="6">
        <f>COUNTBLANK(Table1[[#This Row],[Diet]:[Region]])</f>
        <v>0</v>
      </c>
      <c r="S124" s="6"/>
      <c r="T124" s="6"/>
    </row>
    <row r="125" spans="1:20" x14ac:dyDescent="0.25">
      <c r="A125" s="2" t="s">
        <v>169</v>
      </c>
      <c r="B125" s="1" t="s">
        <v>13</v>
      </c>
      <c r="C125" s="1">
        <v>18</v>
      </c>
      <c r="D125" s="1" t="s">
        <v>706</v>
      </c>
      <c r="E125" s="1">
        <f>IF(Table1[[#This Row],[Lifespan Unit]]="months", Table1[[#This Row],[Lifespan]]/12,Table1[[#This Row],[Lifespan]])</f>
        <v>18</v>
      </c>
      <c r="F125" s="1" t="s">
        <v>170</v>
      </c>
      <c r="G125" s="1" t="str">
        <f t="shared" si="2"/>
        <v>6</v>
      </c>
      <c r="H125" s="1" t="str">
        <f t="shared" si="3"/>
        <v>lbs</v>
      </c>
      <c r="I125" s="1" t="str">
        <f>IF(Table1[[#This Row],[Lifespan (Years)]]&lt;25, "&lt;25", IF(Table1[[#This Row],[Lifespan (Years)]]&lt;50, "25-49", IF(Table1[[#This Row],[Lifespan (Years)]]&lt;75, "50-74", IF(Table1[[#This Row],[Lifespan (Years)]]&lt;100, "75-99", "&gt;=100"))))</f>
        <v>&lt;25</v>
      </c>
      <c r="J125" s="14">
        <f>IF(Table1[[#This Row],[Weight Unit]]="oz",Table1[[#This Row],[Weight (Digits)]]/16, Table1[[#This Row],[Weight (Digits)]]/1)</f>
        <v>6</v>
      </c>
      <c r="K12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25" s="1" t="s">
        <v>5</v>
      </c>
      <c r="M125" s="1" t="str">
        <f>IF(COUNTIF(Table2[Animal],Table1[[#This Row],[Animal]]) = 1, "Previous Participant", "New Participant")</f>
        <v>Previous Participant</v>
      </c>
      <c r="N125" s="1" t="str">
        <f>_xlfn.XLOOKUP(Table1[[#This Row],[Region]],'Support - Tables'!$B$3:$B$10,'Support - Tables'!$D$3:$D$10,"Not Found",0)</f>
        <v>Boat</v>
      </c>
      <c r="O125" s="6">
        <f>_xlfn.XLOOKUP(Table1[[#This Row],[Region]],'Support - Tables'!$B$3:$B$10,'Support - Tables'!$C$3:$C$10, "Not Found",0)</f>
        <v>400</v>
      </c>
      <c r="P125" s="6">
        <f>_xlfn.XLOOKUP(Table1[[#This Row],[Diet]],'Support - Tables'!$B$14:$B$16,'Support - Tables'!$C$14:$C$16, "Not Found", 0)</f>
        <v>400</v>
      </c>
      <c r="Q125" s="6">
        <f>Table1[[#This Row],[Revenue]]-Table1[[#This Row],[Cost]]</f>
        <v>0</v>
      </c>
      <c r="R125" s="6">
        <f>COUNTBLANK(Table1[[#This Row],[Diet]:[Region]])</f>
        <v>0</v>
      </c>
      <c r="S125" s="6"/>
      <c r="T125" s="6"/>
    </row>
    <row r="126" spans="1:20" x14ac:dyDescent="0.25">
      <c r="A126" s="2" t="s">
        <v>171</v>
      </c>
      <c r="B126" s="1" t="s">
        <v>13</v>
      </c>
      <c r="C126" s="1">
        <v>60</v>
      </c>
      <c r="D126" s="1" t="s">
        <v>706</v>
      </c>
      <c r="E126" s="1">
        <f>IF(Table1[[#This Row],[Lifespan Unit]]="months", Table1[[#This Row],[Lifespan]]/12,Table1[[#This Row],[Lifespan]])</f>
        <v>60</v>
      </c>
      <c r="F126" s="1" t="s">
        <v>600</v>
      </c>
      <c r="G126" s="1" t="str">
        <f t="shared" si="2"/>
        <v>57</v>
      </c>
      <c r="H126" s="1" t="str">
        <f t="shared" si="3"/>
        <v>lbs</v>
      </c>
      <c r="I126" s="1" t="str">
        <f>IF(Table1[[#This Row],[Lifespan (Years)]]&lt;25, "&lt;25", IF(Table1[[#This Row],[Lifespan (Years)]]&lt;50, "25-49", IF(Table1[[#This Row],[Lifespan (Years)]]&lt;75, "50-74", IF(Table1[[#This Row],[Lifespan (Years)]]&lt;100, "75-99", "&gt;=100"))))</f>
        <v>50-74</v>
      </c>
      <c r="J126" s="14">
        <f>IF(Table1[[#This Row],[Weight Unit]]="oz",Table1[[#This Row],[Weight (Digits)]]/16, Table1[[#This Row],[Weight (Digits)]]/1)</f>
        <v>57</v>
      </c>
      <c r="K12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26" s="1" t="s">
        <v>724</v>
      </c>
      <c r="M126" s="1" t="str">
        <f>IF(COUNTIF(Table2[Animal],Table1[[#This Row],[Animal]]) = 1, "Previous Participant", "New Participant")</f>
        <v>Previous Participant</v>
      </c>
      <c r="N126" s="1" t="str">
        <f>_xlfn.XLOOKUP(Table1[[#This Row],[Region]],'Support - Tables'!$B$3:$B$10,'Support - Tables'!$D$3:$D$10,"Not Found",0)</f>
        <v>Road</v>
      </c>
      <c r="O126" s="6">
        <f>_xlfn.XLOOKUP(Table1[[#This Row],[Region]],'Support - Tables'!$B$3:$B$10,'Support - Tables'!$C$3:$C$10, "Not Found",0)</f>
        <v>450</v>
      </c>
      <c r="P126" s="6">
        <f>_xlfn.XLOOKUP(Table1[[#This Row],[Diet]],'Support - Tables'!$B$14:$B$16,'Support - Tables'!$C$14:$C$16, "Not Found", 0)</f>
        <v>400</v>
      </c>
      <c r="Q126" s="6">
        <f>Table1[[#This Row],[Revenue]]-Table1[[#This Row],[Cost]]</f>
        <v>50</v>
      </c>
      <c r="R126" s="6">
        <f>COUNTBLANK(Table1[[#This Row],[Diet]:[Region]])</f>
        <v>0</v>
      </c>
      <c r="S126" s="6"/>
      <c r="T126" s="6"/>
    </row>
    <row r="127" spans="1:20" x14ac:dyDescent="0.25">
      <c r="A127" s="2" t="s">
        <v>172</v>
      </c>
      <c r="B127" s="1" t="s">
        <v>23</v>
      </c>
      <c r="C127" s="1">
        <v>18</v>
      </c>
      <c r="D127" s="1" t="s">
        <v>706</v>
      </c>
      <c r="E127" s="1">
        <f>IF(Table1[[#This Row],[Lifespan Unit]]="months", Table1[[#This Row],[Lifespan]]/12,Table1[[#This Row],[Lifespan]])</f>
        <v>18</v>
      </c>
      <c r="F127" s="1" t="s">
        <v>601</v>
      </c>
      <c r="G127" s="1" t="str">
        <f t="shared" si="2"/>
        <v>14</v>
      </c>
      <c r="H127" s="1" t="str">
        <f t="shared" si="3"/>
        <v>oz</v>
      </c>
      <c r="I127" s="1" t="str">
        <f>IF(Table1[[#This Row],[Lifespan (Years)]]&lt;25, "&lt;25", IF(Table1[[#This Row],[Lifespan (Years)]]&lt;50, "25-49", IF(Table1[[#This Row],[Lifespan (Years)]]&lt;75, "50-74", IF(Table1[[#This Row],[Lifespan (Years)]]&lt;100, "75-99", "&gt;=100"))))</f>
        <v>&lt;25</v>
      </c>
      <c r="J127" s="14">
        <f>IF(Table1[[#This Row],[Weight Unit]]="oz",Table1[[#This Row],[Weight (Digits)]]/16, Table1[[#This Row],[Weight (Digits)]]/1)</f>
        <v>0.875</v>
      </c>
      <c r="K12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27" s="1" t="s">
        <v>724</v>
      </c>
      <c r="M127" s="1" t="str">
        <f>IF(COUNTIF(Table2[Animal],Table1[[#This Row],[Animal]]) = 1, "Previous Participant", "New Participant")</f>
        <v>Previous Participant</v>
      </c>
      <c r="N127" s="1" t="str">
        <f>_xlfn.XLOOKUP(Table1[[#This Row],[Region]],'Support - Tables'!$B$3:$B$10,'Support - Tables'!$D$3:$D$10,"Not Found",0)</f>
        <v>Road</v>
      </c>
      <c r="O127" s="6">
        <f>_xlfn.XLOOKUP(Table1[[#This Row],[Region]],'Support - Tables'!$B$3:$B$10,'Support - Tables'!$C$3:$C$10, "Not Found",0)</f>
        <v>450</v>
      </c>
      <c r="P127" s="6">
        <f>_xlfn.XLOOKUP(Table1[[#This Row],[Diet]],'Support - Tables'!$B$14:$B$16,'Support - Tables'!$C$14:$C$16, "Not Found", 0)</f>
        <v>300</v>
      </c>
      <c r="Q127" s="6">
        <f>Table1[[#This Row],[Revenue]]-Table1[[#This Row],[Cost]]</f>
        <v>150</v>
      </c>
      <c r="R127" s="6">
        <f>COUNTBLANK(Table1[[#This Row],[Diet]:[Region]])</f>
        <v>0</v>
      </c>
      <c r="S127" s="6"/>
      <c r="T127" s="6"/>
    </row>
    <row r="128" spans="1:20" x14ac:dyDescent="0.25">
      <c r="A128" s="2" t="s">
        <v>173</v>
      </c>
      <c r="B128" s="1" t="s">
        <v>13</v>
      </c>
      <c r="C128" s="1">
        <v>13</v>
      </c>
      <c r="D128" s="1" t="s">
        <v>706</v>
      </c>
      <c r="E128" s="1">
        <f>IF(Table1[[#This Row],[Lifespan Unit]]="months", Table1[[#This Row],[Lifespan]]/12,Table1[[#This Row],[Lifespan]])</f>
        <v>13</v>
      </c>
      <c r="F128" s="1" t="s">
        <v>16</v>
      </c>
      <c r="G128" s="1" t="str">
        <f t="shared" si="2"/>
        <v>10</v>
      </c>
      <c r="H128" s="1" t="str">
        <f t="shared" si="3"/>
        <v>lbs</v>
      </c>
      <c r="I128" s="1" t="str">
        <f>IF(Table1[[#This Row],[Lifespan (Years)]]&lt;25, "&lt;25", IF(Table1[[#This Row],[Lifespan (Years)]]&lt;50, "25-49", IF(Table1[[#This Row],[Lifespan (Years)]]&lt;75, "50-74", IF(Table1[[#This Row],[Lifespan (Years)]]&lt;100, "75-99", "&gt;=100"))))</f>
        <v>&lt;25</v>
      </c>
      <c r="J128" s="14">
        <f>IF(Table1[[#This Row],[Weight Unit]]="oz",Table1[[#This Row],[Weight (Digits)]]/16, Table1[[#This Row],[Weight (Digits)]]/1)</f>
        <v>10</v>
      </c>
      <c r="K12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28" s="1" t="s">
        <v>1</v>
      </c>
      <c r="M128" s="1" t="str">
        <f>IF(COUNTIF(Table2[Animal],Table1[[#This Row],[Animal]]) = 1, "Previous Participant", "New Participant")</f>
        <v>Previous Participant</v>
      </c>
      <c r="N128" s="1" t="str">
        <f>_xlfn.XLOOKUP(Table1[[#This Row],[Region]],'Support - Tables'!$B$3:$B$10,'Support - Tables'!$D$3:$D$10,"Not Found",0)</f>
        <v>Air</v>
      </c>
      <c r="O128" s="6">
        <f>_xlfn.XLOOKUP(Table1[[#This Row],[Region]],'Support - Tables'!$B$3:$B$10,'Support - Tables'!$C$3:$C$10, "Not Found",0)</f>
        <v>700</v>
      </c>
      <c r="P128" s="6">
        <f>_xlfn.XLOOKUP(Table1[[#This Row],[Diet]],'Support - Tables'!$B$14:$B$16,'Support - Tables'!$C$14:$C$16, "Not Found", 0)</f>
        <v>400</v>
      </c>
      <c r="Q128" s="6">
        <f>Table1[[#This Row],[Revenue]]-Table1[[#This Row],[Cost]]</f>
        <v>300</v>
      </c>
      <c r="R128" s="6">
        <f>COUNTBLANK(Table1[[#This Row],[Diet]:[Region]])</f>
        <v>0</v>
      </c>
      <c r="S128" s="6"/>
      <c r="T128" s="6"/>
    </row>
    <row r="129" spans="1:20" x14ac:dyDescent="0.25">
      <c r="A129" s="2" t="s">
        <v>174</v>
      </c>
      <c r="B129" s="1" t="s">
        <v>15</v>
      </c>
      <c r="C129" s="1">
        <v>20</v>
      </c>
      <c r="D129" s="1" t="s">
        <v>706</v>
      </c>
      <c r="E129" s="1">
        <f>IF(Table1[[#This Row],[Lifespan Unit]]="months", Table1[[#This Row],[Lifespan]]/12,Table1[[#This Row],[Lifespan]])</f>
        <v>20</v>
      </c>
      <c r="F129" s="1" t="s">
        <v>602</v>
      </c>
      <c r="G129" s="1" t="str">
        <f t="shared" si="2"/>
        <v>6.6</v>
      </c>
      <c r="H129" s="1" t="str">
        <f t="shared" si="3"/>
        <v>lbs</v>
      </c>
      <c r="I129" s="1" t="str">
        <f>IF(Table1[[#This Row],[Lifespan (Years)]]&lt;25, "&lt;25", IF(Table1[[#This Row],[Lifespan (Years)]]&lt;50, "25-49", IF(Table1[[#This Row],[Lifespan (Years)]]&lt;75, "50-74", IF(Table1[[#This Row],[Lifespan (Years)]]&lt;100, "75-99", "&gt;=100"))))</f>
        <v>&lt;25</v>
      </c>
      <c r="J129" s="14">
        <f>IF(Table1[[#This Row],[Weight Unit]]="oz",Table1[[#This Row],[Weight (Digits)]]/16, Table1[[#This Row],[Weight (Digits)]]/1)</f>
        <v>6.6</v>
      </c>
      <c r="K12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29" s="1" t="s">
        <v>724</v>
      </c>
      <c r="M129" s="1" t="str">
        <f>IF(COUNTIF(Table2[Animal],Table1[[#This Row],[Animal]]) = 1, "Previous Participant", "New Participant")</f>
        <v>New Participant</v>
      </c>
      <c r="N129" s="1" t="str">
        <f>_xlfn.XLOOKUP(Table1[[#This Row],[Region]],'Support - Tables'!$B$3:$B$10,'Support - Tables'!$D$3:$D$10,"Not Found",0)</f>
        <v>Road</v>
      </c>
      <c r="O129" s="6">
        <f>_xlfn.XLOOKUP(Table1[[#This Row],[Region]],'Support - Tables'!$B$3:$B$10,'Support - Tables'!$C$3:$C$10, "Not Found",0)</f>
        <v>450</v>
      </c>
      <c r="P129" s="6">
        <f>_xlfn.XLOOKUP(Table1[[#This Row],[Diet]],'Support - Tables'!$B$14:$B$16,'Support - Tables'!$C$14:$C$16, "Not Found", 0)</f>
        <v>500</v>
      </c>
      <c r="Q129" s="6">
        <f>Table1[[#This Row],[Revenue]]-Table1[[#This Row],[Cost]]</f>
        <v>-50</v>
      </c>
      <c r="R129" s="6">
        <f>COUNTBLANK(Table1[[#This Row],[Diet]:[Region]])</f>
        <v>0</v>
      </c>
      <c r="S129" s="6"/>
      <c r="T129" s="6"/>
    </row>
    <row r="130" spans="1:20" x14ac:dyDescent="0.25">
      <c r="A130" s="2" t="s">
        <v>175</v>
      </c>
      <c r="B130" s="1" t="s">
        <v>13</v>
      </c>
      <c r="C130" s="1">
        <v>8</v>
      </c>
      <c r="D130" s="1" t="s">
        <v>706</v>
      </c>
      <c r="E130" s="1">
        <f>IF(Table1[[#This Row],[Lifespan Unit]]="months", Table1[[#This Row],[Lifespan]]/12,Table1[[#This Row],[Lifespan]])</f>
        <v>8</v>
      </c>
      <c r="F130" s="1" t="s">
        <v>578</v>
      </c>
      <c r="G130" s="1" t="str">
        <f t="shared" ref="G130:G193" si="4">SUBSTITUTE(F130,IF(ISNUMBER(SEARCH("lbs", F130)),RIGHT(F130, 3), RIGHT(F130, 2)),"")</f>
        <v>2</v>
      </c>
      <c r="H130" s="1" t="str">
        <f t="shared" ref="H130:H193" si="5">IF(ISNUMBER(SEARCH("lbs", F130)),RIGHT(F130, 3), RIGHT(F130, 2))</f>
        <v>oz</v>
      </c>
      <c r="I130" s="1" t="str">
        <f>IF(Table1[[#This Row],[Lifespan (Years)]]&lt;25, "&lt;25", IF(Table1[[#This Row],[Lifespan (Years)]]&lt;50, "25-49", IF(Table1[[#This Row],[Lifespan (Years)]]&lt;75, "50-74", IF(Table1[[#This Row],[Lifespan (Years)]]&lt;100, "75-99", "&gt;=100"))))</f>
        <v>&lt;25</v>
      </c>
      <c r="J130" s="14">
        <f>IF(Table1[[#This Row],[Weight Unit]]="oz",Table1[[#This Row],[Weight (Digits)]]/16, Table1[[#This Row],[Weight (Digits)]]/1)</f>
        <v>0.125</v>
      </c>
      <c r="K13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30" s="1" t="s">
        <v>3</v>
      </c>
      <c r="M130" s="1" t="str">
        <f>IF(COUNTIF(Table2[Animal],Table1[[#This Row],[Animal]]) = 1, "Previous Participant", "New Participant")</f>
        <v>Previous Participant</v>
      </c>
      <c r="N130" s="1" t="str">
        <f>_xlfn.XLOOKUP(Table1[[#This Row],[Region]],'Support - Tables'!$B$3:$B$10,'Support - Tables'!$D$3:$D$10,"Not Found",0)</f>
        <v>Air</v>
      </c>
      <c r="O130" s="6">
        <f>_xlfn.XLOOKUP(Table1[[#This Row],[Region]],'Support - Tables'!$B$3:$B$10,'Support - Tables'!$C$3:$C$10, "Not Found",0)</f>
        <v>350</v>
      </c>
      <c r="P130" s="6">
        <f>_xlfn.XLOOKUP(Table1[[#This Row],[Diet]],'Support - Tables'!$B$14:$B$16,'Support - Tables'!$C$14:$C$16, "Not Found", 0)</f>
        <v>400</v>
      </c>
      <c r="Q130" s="6">
        <f>Table1[[#This Row],[Revenue]]-Table1[[#This Row],[Cost]]</f>
        <v>-50</v>
      </c>
      <c r="R130" s="6">
        <f>COUNTBLANK(Table1[[#This Row],[Diet]:[Region]])</f>
        <v>0</v>
      </c>
      <c r="S130" s="6"/>
      <c r="T130" s="6"/>
    </row>
    <row r="131" spans="1:20" x14ac:dyDescent="0.25">
      <c r="A131" s="2" t="s">
        <v>176</v>
      </c>
      <c r="B131" s="1" t="s">
        <v>13</v>
      </c>
      <c r="C131" s="1">
        <v>10</v>
      </c>
      <c r="D131" s="1" t="s">
        <v>706</v>
      </c>
      <c r="E131" s="1">
        <f>IF(Table1[[#This Row],[Lifespan Unit]]="months", Table1[[#This Row],[Lifespan]]/12,Table1[[#This Row],[Lifespan]])</f>
        <v>10</v>
      </c>
      <c r="F131" s="1" t="s">
        <v>74</v>
      </c>
      <c r="G131" s="1" t="str">
        <f t="shared" si="4"/>
        <v>70</v>
      </c>
      <c r="H131" s="1" t="str">
        <f t="shared" si="5"/>
        <v>lbs</v>
      </c>
      <c r="I131" s="1" t="str">
        <f>IF(Table1[[#This Row],[Lifespan (Years)]]&lt;25, "&lt;25", IF(Table1[[#This Row],[Lifespan (Years)]]&lt;50, "25-49", IF(Table1[[#This Row],[Lifespan (Years)]]&lt;75, "50-74", IF(Table1[[#This Row],[Lifespan (Years)]]&lt;100, "75-99", "&gt;=100"))))</f>
        <v>&lt;25</v>
      </c>
      <c r="J131" s="14">
        <f>IF(Table1[[#This Row],[Weight Unit]]="oz",Table1[[#This Row],[Weight (Digits)]]/16, Table1[[#This Row],[Weight (Digits)]]/1)</f>
        <v>70</v>
      </c>
      <c r="K13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31" s="1" t="s">
        <v>1</v>
      </c>
      <c r="M131" s="1" t="str">
        <f>IF(COUNTIF(Table2[Animal],Table1[[#This Row],[Animal]]) = 1, "Previous Participant", "New Participant")</f>
        <v>New Participant</v>
      </c>
      <c r="N131" s="1" t="str">
        <f>_xlfn.XLOOKUP(Table1[[#This Row],[Region]],'Support - Tables'!$B$3:$B$10,'Support - Tables'!$D$3:$D$10,"Not Found",0)</f>
        <v>Air</v>
      </c>
      <c r="O131" s="6">
        <f>_xlfn.XLOOKUP(Table1[[#This Row],[Region]],'Support - Tables'!$B$3:$B$10,'Support - Tables'!$C$3:$C$10, "Not Found",0)</f>
        <v>700</v>
      </c>
      <c r="P131" s="6">
        <f>_xlfn.XLOOKUP(Table1[[#This Row],[Diet]],'Support - Tables'!$B$14:$B$16,'Support - Tables'!$C$14:$C$16, "Not Found", 0)</f>
        <v>400</v>
      </c>
      <c r="Q131" s="6">
        <f>Table1[[#This Row],[Revenue]]-Table1[[#This Row],[Cost]]</f>
        <v>300</v>
      </c>
      <c r="R131" s="6">
        <f>COUNTBLANK(Table1[[#This Row],[Diet]:[Region]])</f>
        <v>0</v>
      </c>
      <c r="S131" s="6"/>
      <c r="T131" s="6"/>
    </row>
    <row r="132" spans="1:20" x14ac:dyDescent="0.25">
      <c r="A132" s="2" t="s">
        <v>177</v>
      </c>
      <c r="B132" s="1" t="s">
        <v>13</v>
      </c>
      <c r="C132" s="1">
        <v>60</v>
      </c>
      <c r="D132" s="1" t="s">
        <v>706</v>
      </c>
      <c r="E132" s="1">
        <f>IF(Table1[[#This Row],[Lifespan Unit]]="months", Table1[[#This Row],[Lifespan]]/12,Table1[[#This Row],[Lifespan]])</f>
        <v>60</v>
      </c>
      <c r="F132" s="1" t="s">
        <v>573</v>
      </c>
      <c r="G132" s="1" t="str">
        <f t="shared" si="4"/>
        <v/>
      </c>
      <c r="H132" s="1" t="str">
        <f t="shared" si="5"/>
        <v/>
      </c>
      <c r="I132" s="1" t="str">
        <f>IF(Table1[[#This Row],[Lifespan (Years)]]&lt;25, "&lt;25", IF(Table1[[#This Row],[Lifespan (Years)]]&lt;50, "25-49", IF(Table1[[#This Row],[Lifespan (Years)]]&lt;75, "50-74", IF(Table1[[#This Row],[Lifespan (Years)]]&lt;100, "75-99", "&gt;=100"))))</f>
        <v>50-74</v>
      </c>
      <c r="J132" s="14">
        <v>0</v>
      </c>
      <c r="K13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132" s="1" t="s">
        <v>725</v>
      </c>
      <c r="M132" s="1" t="str">
        <f>IF(COUNTIF(Table2[Animal],Table1[[#This Row],[Animal]]) = 1, "Previous Participant", "New Participant")</f>
        <v>Previous Participant</v>
      </c>
      <c r="N132" s="1" t="str">
        <f>_xlfn.XLOOKUP(Table1[[#This Row],[Region]],'Support - Tables'!$B$3:$B$10,'Support - Tables'!$D$3:$D$10,"Not Found",0)</f>
        <v>Air</v>
      </c>
      <c r="O132" s="6">
        <f>_xlfn.XLOOKUP(Table1[[#This Row],[Region]],'Support - Tables'!$B$3:$B$10,'Support - Tables'!$C$3:$C$10, "Not Found",0)</f>
        <v>600</v>
      </c>
      <c r="P132" s="6">
        <f>_xlfn.XLOOKUP(Table1[[#This Row],[Diet]],'Support - Tables'!$B$14:$B$16,'Support - Tables'!$C$14:$C$16, "Not Found", 0)</f>
        <v>400</v>
      </c>
      <c r="Q132" s="6">
        <f>Table1[[#This Row],[Revenue]]-Table1[[#This Row],[Cost]]</f>
        <v>200</v>
      </c>
      <c r="R132" s="6">
        <f>COUNTBLANK(Table1[[#This Row],[Diet]:[Region]])</f>
        <v>3</v>
      </c>
      <c r="S132" s="6"/>
      <c r="T132" s="6"/>
    </row>
    <row r="133" spans="1:20" x14ac:dyDescent="0.25">
      <c r="A133" s="2" t="s">
        <v>178</v>
      </c>
      <c r="B133" s="1" t="s">
        <v>15</v>
      </c>
      <c r="C133" s="1">
        <v>17</v>
      </c>
      <c r="D133" s="1" t="s">
        <v>706</v>
      </c>
      <c r="E133" s="1">
        <f>IF(Table1[[#This Row],[Lifespan Unit]]="months", Table1[[#This Row],[Lifespan]]/12,Table1[[#This Row],[Lifespan]])</f>
        <v>17</v>
      </c>
      <c r="F133" s="1" t="s">
        <v>91</v>
      </c>
      <c r="G133" s="1" t="str">
        <f t="shared" si="4"/>
        <v>24</v>
      </c>
      <c r="H133" s="1" t="str">
        <f t="shared" si="5"/>
        <v>lbs</v>
      </c>
      <c r="I133" s="1" t="str">
        <f>IF(Table1[[#This Row],[Lifespan (Years)]]&lt;25, "&lt;25", IF(Table1[[#This Row],[Lifespan (Years)]]&lt;50, "25-49", IF(Table1[[#This Row],[Lifespan (Years)]]&lt;75, "50-74", IF(Table1[[#This Row],[Lifespan (Years)]]&lt;100, "75-99", "&gt;=100"))))</f>
        <v>&lt;25</v>
      </c>
      <c r="J133" s="14">
        <f>IF(Table1[[#This Row],[Weight Unit]]="oz",Table1[[#This Row],[Weight (Digits)]]/16, Table1[[#This Row],[Weight (Digits)]]/1)</f>
        <v>24</v>
      </c>
      <c r="K13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33" s="1" t="s">
        <v>5</v>
      </c>
      <c r="M133" s="1" t="str">
        <f>IF(COUNTIF(Table2[Animal],Table1[[#This Row],[Animal]]) = 1, "Previous Participant", "New Participant")</f>
        <v>Previous Participant</v>
      </c>
      <c r="N133" s="1" t="str">
        <f>_xlfn.XLOOKUP(Table1[[#This Row],[Region]],'Support - Tables'!$B$3:$B$10,'Support - Tables'!$D$3:$D$10,"Not Found",0)</f>
        <v>Boat</v>
      </c>
      <c r="O133" s="6">
        <f>_xlfn.XLOOKUP(Table1[[#This Row],[Region]],'Support - Tables'!$B$3:$B$10,'Support - Tables'!$C$3:$C$10, "Not Found",0)</f>
        <v>400</v>
      </c>
      <c r="P133" s="6">
        <f>_xlfn.XLOOKUP(Table1[[#This Row],[Diet]],'Support - Tables'!$B$14:$B$16,'Support - Tables'!$C$14:$C$16, "Not Found", 0)</f>
        <v>500</v>
      </c>
      <c r="Q133" s="6">
        <f>Table1[[#This Row],[Revenue]]-Table1[[#This Row],[Cost]]</f>
        <v>-100</v>
      </c>
      <c r="R133" s="6">
        <f>COUNTBLANK(Table1[[#This Row],[Diet]:[Region]])</f>
        <v>0</v>
      </c>
      <c r="S133" s="6"/>
      <c r="T133" s="6"/>
    </row>
    <row r="134" spans="1:20" x14ac:dyDescent="0.25">
      <c r="A134" s="2" t="s">
        <v>179</v>
      </c>
      <c r="B134" s="1" t="s">
        <v>13</v>
      </c>
      <c r="C134" s="1">
        <v>8</v>
      </c>
      <c r="D134" s="1" t="s">
        <v>706</v>
      </c>
      <c r="E134" s="1">
        <f>IF(Table1[[#This Row],[Lifespan Unit]]="months", Table1[[#This Row],[Lifespan]]/12,Table1[[#This Row],[Lifespan]])</f>
        <v>8</v>
      </c>
      <c r="F134" s="1" t="s">
        <v>573</v>
      </c>
      <c r="G134" s="1" t="str">
        <f t="shared" si="4"/>
        <v/>
      </c>
      <c r="H134" s="1" t="str">
        <f t="shared" si="5"/>
        <v/>
      </c>
      <c r="I134" s="1" t="str">
        <f>IF(Table1[[#This Row],[Lifespan (Years)]]&lt;25, "&lt;25", IF(Table1[[#This Row],[Lifespan (Years)]]&lt;50, "25-49", IF(Table1[[#This Row],[Lifespan (Years)]]&lt;75, "50-74", IF(Table1[[#This Row],[Lifespan (Years)]]&lt;100, "75-99", "&gt;=100"))))</f>
        <v>&lt;25</v>
      </c>
      <c r="J134" s="14">
        <v>0</v>
      </c>
      <c r="K13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134" s="1" t="s">
        <v>5</v>
      </c>
      <c r="M134" s="1" t="str">
        <f>IF(COUNTIF(Table2[Animal],Table1[[#This Row],[Animal]]) = 1, "Previous Participant", "New Participant")</f>
        <v>Previous Participant</v>
      </c>
      <c r="N134" s="1" t="str">
        <f>_xlfn.XLOOKUP(Table1[[#This Row],[Region]],'Support - Tables'!$B$3:$B$10,'Support - Tables'!$D$3:$D$10,"Not Found",0)</f>
        <v>Boat</v>
      </c>
      <c r="O134" s="6">
        <f>_xlfn.XLOOKUP(Table1[[#This Row],[Region]],'Support - Tables'!$B$3:$B$10,'Support - Tables'!$C$3:$C$10, "Not Found",0)</f>
        <v>400</v>
      </c>
      <c r="P134" s="6">
        <f>_xlfn.XLOOKUP(Table1[[#This Row],[Diet]],'Support - Tables'!$B$14:$B$16,'Support - Tables'!$C$14:$C$16, "Not Found", 0)</f>
        <v>400</v>
      </c>
      <c r="Q134" s="6">
        <f>Table1[[#This Row],[Revenue]]-Table1[[#This Row],[Cost]]</f>
        <v>0</v>
      </c>
      <c r="R134" s="6">
        <f>COUNTBLANK(Table1[[#This Row],[Diet]:[Region]])</f>
        <v>3</v>
      </c>
      <c r="S134" s="6"/>
      <c r="T134" s="6"/>
    </row>
    <row r="135" spans="1:20" x14ac:dyDescent="0.25">
      <c r="A135" s="2" t="s">
        <v>180</v>
      </c>
      <c r="B135" s="1" t="s">
        <v>13</v>
      </c>
      <c r="C135" s="1">
        <v>15</v>
      </c>
      <c r="D135" s="1" t="s">
        <v>706</v>
      </c>
      <c r="E135" s="1">
        <f>IF(Table1[[#This Row],[Lifespan Unit]]="months", Table1[[#This Row],[Lifespan]]/12,Table1[[#This Row],[Lifespan]])</f>
        <v>15</v>
      </c>
      <c r="F135" s="1" t="s">
        <v>170</v>
      </c>
      <c r="G135" s="1" t="str">
        <f t="shared" si="4"/>
        <v>6</v>
      </c>
      <c r="H135" s="1" t="str">
        <f t="shared" si="5"/>
        <v>lbs</v>
      </c>
      <c r="I135" s="1" t="str">
        <f>IF(Table1[[#This Row],[Lifespan (Years)]]&lt;25, "&lt;25", IF(Table1[[#This Row],[Lifespan (Years)]]&lt;50, "25-49", IF(Table1[[#This Row],[Lifespan (Years)]]&lt;75, "50-74", IF(Table1[[#This Row],[Lifespan (Years)]]&lt;100, "75-99", "&gt;=100"))))</f>
        <v>&lt;25</v>
      </c>
      <c r="J135" s="14">
        <f>IF(Table1[[#This Row],[Weight Unit]]="oz",Table1[[#This Row],[Weight (Digits)]]/16, Table1[[#This Row],[Weight (Digits)]]/1)</f>
        <v>6</v>
      </c>
      <c r="K13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35" s="1" t="s">
        <v>724</v>
      </c>
      <c r="M135" s="1" t="str">
        <f>IF(COUNTIF(Table2[Animal],Table1[[#This Row],[Animal]]) = 1, "Previous Participant", "New Participant")</f>
        <v>Previous Participant</v>
      </c>
      <c r="N135" s="1" t="str">
        <f>_xlfn.XLOOKUP(Table1[[#This Row],[Region]],'Support - Tables'!$B$3:$B$10,'Support - Tables'!$D$3:$D$10,"Not Found",0)</f>
        <v>Road</v>
      </c>
      <c r="O135" s="6">
        <f>_xlfn.XLOOKUP(Table1[[#This Row],[Region]],'Support - Tables'!$B$3:$B$10,'Support - Tables'!$C$3:$C$10, "Not Found",0)</f>
        <v>450</v>
      </c>
      <c r="P135" s="6">
        <f>_xlfn.XLOOKUP(Table1[[#This Row],[Diet]],'Support - Tables'!$B$14:$B$16,'Support - Tables'!$C$14:$C$16, "Not Found", 0)</f>
        <v>400</v>
      </c>
      <c r="Q135" s="6">
        <f>Table1[[#This Row],[Revenue]]-Table1[[#This Row],[Cost]]</f>
        <v>50</v>
      </c>
      <c r="R135" s="6">
        <f>COUNTBLANK(Table1[[#This Row],[Diet]:[Region]])</f>
        <v>0</v>
      </c>
      <c r="S135" s="6"/>
      <c r="T135" s="6"/>
    </row>
    <row r="136" spans="1:20" x14ac:dyDescent="0.25">
      <c r="A136" s="2" t="s">
        <v>181</v>
      </c>
      <c r="B136" s="1" t="s">
        <v>13</v>
      </c>
      <c r="C136" s="1">
        <v>18</v>
      </c>
      <c r="D136" s="1" t="s">
        <v>707</v>
      </c>
      <c r="E136" s="1">
        <f>IF(Table1[[#This Row],[Lifespan Unit]]="months", Table1[[#This Row],[Lifespan]]/12,Table1[[#This Row],[Lifespan]])</f>
        <v>1.5</v>
      </c>
      <c r="F136" s="1" t="s">
        <v>573</v>
      </c>
      <c r="G136" s="1" t="str">
        <f t="shared" si="4"/>
        <v/>
      </c>
      <c r="H136" s="1" t="str">
        <f t="shared" si="5"/>
        <v/>
      </c>
      <c r="I136" s="1" t="str">
        <f>IF(Table1[[#This Row],[Lifespan (Years)]]&lt;25, "&lt;25", IF(Table1[[#This Row],[Lifespan (Years)]]&lt;50, "25-49", IF(Table1[[#This Row],[Lifespan (Years)]]&lt;75, "50-74", IF(Table1[[#This Row],[Lifespan (Years)]]&lt;100, "75-99", "&gt;=100"))))</f>
        <v>&lt;25</v>
      </c>
      <c r="J136" s="14">
        <v>0</v>
      </c>
      <c r="K13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136" s="1" t="s">
        <v>3</v>
      </c>
      <c r="M136" s="1" t="str">
        <f>IF(COUNTIF(Table2[Animal],Table1[[#This Row],[Animal]]) = 1, "Previous Participant", "New Participant")</f>
        <v>Previous Participant</v>
      </c>
      <c r="N136" s="1" t="str">
        <f>_xlfn.XLOOKUP(Table1[[#This Row],[Region]],'Support - Tables'!$B$3:$B$10,'Support - Tables'!$D$3:$D$10,"Not Found",0)</f>
        <v>Air</v>
      </c>
      <c r="O136" s="6">
        <f>_xlfn.XLOOKUP(Table1[[#This Row],[Region]],'Support - Tables'!$B$3:$B$10,'Support - Tables'!$C$3:$C$10, "Not Found",0)</f>
        <v>350</v>
      </c>
      <c r="P136" s="6">
        <f>_xlfn.XLOOKUP(Table1[[#This Row],[Diet]],'Support - Tables'!$B$14:$B$16,'Support - Tables'!$C$14:$C$16, "Not Found", 0)</f>
        <v>400</v>
      </c>
      <c r="Q136" s="6">
        <f>Table1[[#This Row],[Revenue]]-Table1[[#This Row],[Cost]]</f>
        <v>-50</v>
      </c>
      <c r="R136" s="6">
        <f>COUNTBLANK(Table1[[#This Row],[Diet]:[Region]])</f>
        <v>3</v>
      </c>
      <c r="S136" s="6"/>
      <c r="T136" s="6"/>
    </row>
    <row r="137" spans="1:20" x14ac:dyDescent="0.25">
      <c r="A137" s="2" t="s">
        <v>182</v>
      </c>
      <c r="B137" s="1" t="s">
        <v>13</v>
      </c>
      <c r="C137" s="1">
        <v>10</v>
      </c>
      <c r="D137" s="1" t="s">
        <v>706</v>
      </c>
      <c r="E137" s="1">
        <f>IF(Table1[[#This Row],[Lifespan Unit]]="months", Table1[[#This Row],[Lifespan]]/12,Table1[[#This Row],[Lifespan]])</f>
        <v>10</v>
      </c>
      <c r="F137" s="1" t="s">
        <v>49</v>
      </c>
      <c r="G137" s="1" t="str">
        <f t="shared" si="4"/>
        <v>20</v>
      </c>
      <c r="H137" s="1" t="str">
        <f t="shared" si="5"/>
        <v>lbs</v>
      </c>
      <c r="I137" s="1" t="str">
        <f>IF(Table1[[#This Row],[Lifespan (Years)]]&lt;25, "&lt;25", IF(Table1[[#This Row],[Lifespan (Years)]]&lt;50, "25-49", IF(Table1[[#This Row],[Lifespan (Years)]]&lt;75, "50-74", IF(Table1[[#This Row],[Lifespan (Years)]]&lt;100, "75-99", "&gt;=100"))))</f>
        <v>&lt;25</v>
      </c>
      <c r="J137" s="14">
        <f>IF(Table1[[#This Row],[Weight Unit]]="oz",Table1[[#This Row],[Weight (Digits)]]/16, Table1[[#This Row],[Weight (Digits)]]/1)</f>
        <v>20</v>
      </c>
      <c r="K13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37" s="1" t="s">
        <v>2</v>
      </c>
      <c r="M137" s="1" t="str">
        <f>IF(COUNTIF(Table2[Animal],Table1[[#This Row],[Animal]]) = 1, "Previous Participant", "New Participant")</f>
        <v>Previous Participant</v>
      </c>
      <c r="N137" s="1" t="str">
        <f>_xlfn.XLOOKUP(Table1[[#This Row],[Region]],'Support - Tables'!$B$3:$B$10,'Support - Tables'!$D$3:$D$10,"Not Found",0)</f>
        <v>Air</v>
      </c>
      <c r="O137" s="6">
        <f>_xlfn.XLOOKUP(Table1[[#This Row],[Region]],'Support - Tables'!$B$3:$B$10,'Support - Tables'!$C$3:$C$10, "Not Found",0)</f>
        <v>600</v>
      </c>
      <c r="P137" s="6">
        <f>_xlfn.XLOOKUP(Table1[[#This Row],[Diet]],'Support - Tables'!$B$14:$B$16,'Support - Tables'!$C$14:$C$16, "Not Found", 0)</f>
        <v>400</v>
      </c>
      <c r="Q137" s="6">
        <f>Table1[[#This Row],[Revenue]]-Table1[[#This Row],[Cost]]</f>
        <v>200</v>
      </c>
      <c r="R137" s="6">
        <f>COUNTBLANK(Table1[[#This Row],[Diet]:[Region]])</f>
        <v>0</v>
      </c>
      <c r="S137" s="6"/>
      <c r="T137" s="6"/>
    </row>
    <row r="138" spans="1:20" x14ac:dyDescent="0.25">
      <c r="A138" s="2" t="s">
        <v>183</v>
      </c>
      <c r="B138" s="1" t="s">
        <v>13</v>
      </c>
      <c r="C138" s="1">
        <v>13</v>
      </c>
      <c r="D138" s="1" t="s">
        <v>706</v>
      </c>
      <c r="E138" s="1">
        <f>IF(Table1[[#This Row],[Lifespan Unit]]="months", Table1[[#This Row],[Lifespan]]/12,Table1[[#This Row],[Lifespan]])</f>
        <v>13</v>
      </c>
      <c r="F138" s="1" t="s">
        <v>96</v>
      </c>
      <c r="G138" s="1" t="str">
        <f t="shared" si="4"/>
        <v>75</v>
      </c>
      <c r="H138" s="1" t="str">
        <f t="shared" si="5"/>
        <v>lbs</v>
      </c>
      <c r="I138" s="1" t="str">
        <f>IF(Table1[[#This Row],[Lifespan (Years)]]&lt;25, "&lt;25", IF(Table1[[#This Row],[Lifespan (Years)]]&lt;50, "25-49", IF(Table1[[#This Row],[Lifespan (Years)]]&lt;75, "50-74", IF(Table1[[#This Row],[Lifespan (Years)]]&lt;100, "75-99", "&gt;=100"))))</f>
        <v>&lt;25</v>
      </c>
      <c r="J138" s="14">
        <f>IF(Table1[[#This Row],[Weight Unit]]="oz",Table1[[#This Row],[Weight (Digits)]]/16, Table1[[#This Row],[Weight (Digits)]]/1)</f>
        <v>75</v>
      </c>
      <c r="K13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38" s="1" t="s">
        <v>5</v>
      </c>
      <c r="M138" s="1" t="str">
        <f>IF(COUNTIF(Table2[Animal],Table1[[#This Row],[Animal]]) = 1, "Previous Participant", "New Participant")</f>
        <v>Previous Participant</v>
      </c>
      <c r="N138" s="1" t="str">
        <f>_xlfn.XLOOKUP(Table1[[#This Row],[Region]],'Support - Tables'!$B$3:$B$10,'Support - Tables'!$D$3:$D$10,"Not Found",0)</f>
        <v>Boat</v>
      </c>
      <c r="O138" s="6">
        <f>_xlfn.XLOOKUP(Table1[[#This Row],[Region]],'Support - Tables'!$B$3:$B$10,'Support - Tables'!$C$3:$C$10, "Not Found",0)</f>
        <v>400</v>
      </c>
      <c r="P138" s="6">
        <f>_xlfn.XLOOKUP(Table1[[#This Row],[Diet]],'Support - Tables'!$B$14:$B$16,'Support - Tables'!$C$14:$C$16, "Not Found", 0)</f>
        <v>400</v>
      </c>
      <c r="Q138" s="6">
        <f>Table1[[#This Row],[Revenue]]-Table1[[#This Row],[Cost]]</f>
        <v>0</v>
      </c>
      <c r="R138" s="6">
        <f>COUNTBLANK(Table1[[#This Row],[Diet]:[Region]])</f>
        <v>0</v>
      </c>
      <c r="S138" s="6"/>
      <c r="T138" s="6"/>
    </row>
    <row r="139" spans="1:20" x14ac:dyDescent="0.25">
      <c r="A139" s="2" t="s">
        <v>184</v>
      </c>
      <c r="B139" s="1" t="s">
        <v>15</v>
      </c>
      <c r="C139" s="1">
        <v>10</v>
      </c>
      <c r="D139" s="1" t="s">
        <v>706</v>
      </c>
      <c r="E139" s="1">
        <f>IF(Table1[[#This Row],[Lifespan Unit]]="months", Table1[[#This Row],[Lifespan]]/12,Table1[[#This Row],[Lifespan]])</f>
        <v>10</v>
      </c>
      <c r="F139" s="1" t="s">
        <v>595</v>
      </c>
      <c r="G139" s="1" t="str">
        <f t="shared" si="4"/>
        <v>0.7</v>
      </c>
      <c r="H139" s="1" t="str">
        <f t="shared" si="5"/>
        <v>oz</v>
      </c>
      <c r="I139" s="1" t="str">
        <f>IF(Table1[[#This Row],[Lifespan (Years)]]&lt;25, "&lt;25", IF(Table1[[#This Row],[Lifespan (Years)]]&lt;50, "25-49", IF(Table1[[#This Row],[Lifespan (Years)]]&lt;75, "50-74", IF(Table1[[#This Row],[Lifespan (Years)]]&lt;100, "75-99", "&gt;=100"))))</f>
        <v>&lt;25</v>
      </c>
      <c r="J139" s="14">
        <f>IF(Table1[[#This Row],[Weight Unit]]="oz",Table1[[#This Row],[Weight (Digits)]]/16, Table1[[#This Row],[Weight (Digits)]]/1)</f>
        <v>4.3749999999999997E-2</v>
      </c>
      <c r="K13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39" s="1" t="s">
        <v>5</v>
      </c>
      <c r="M139" s="1" t="str">
        <f>IF(COUNTIF(Table2[Animal],Table1[[#This Row],[Animal]]) = 1, "Previous Participant", "New Participant")</f>
        <v>Previous Participant</v>
      </c>
      <c r="N139" s="1" t="str">
        <f>_xlfn.XLOOKUP(Table1[[#This Row],[Region]],'Support - Tables'!$B$3:$B$10,'Support - Tables'!$D$3:$D$10,"Not Found",0)</f>
        <v>Boat</v>
      </c>
      <c r="O139" s="6">
        <f>_xlfn.XLOOKUP(Table1[[#This Row],[Region]],'Support - Tables'!$B$3:$B$10,'Support - Tables'!$C$3:$C$10, "Not Found",0)</f>
        <v>400</v>
      </c>
      <c r="P139" s="6">
        <f>_xlfn.XLOOKUP(Table1[[#This Row],[Diet]],'Support - Tables'!$B$14:$B$16,'Support - Tables'!$C$14:$C$16, "Not Found", 0)</f>
        <v>500</v>
      </c>
      <c r="Q139" s="6">
        <f>Table1[[#This Row],[Revenue]]-Table1[[#This Row],[Cost]]</f>
        <v>-100</v>
      </c>
      <c r="R139" s="6">
        <f>COUNTBLANK(Table1[[#This Row],[Diet]:[Region]])</f>
        <v>0</v>
      </c>
      <c r="S139" s="6"/>
      <c r="T139" s="6"/>
    </row>
    <row r="140" spans="1:20" x14ac:dyDescent="0.25">
      <c r="A140" s="2" t="s">
        <v>185</v>
      </c>
      <c r="B140" s="1" t="s">
        <v>13</v>
      </c>
      <c r="C140" s="1">
        <v>25</v>
      </c>
      <c r="D140" s="1" t="s">
        <v>706</v>
      </c>
      <c r="E140" s="1">
        <f>IF(Table1[[#This Row],[Lifespan Unit]]="months", Table1[[#This Row],[Lifespan]]/12,Table1[[#This Row],[Lifespan]])</f>
        <v>25</v>
      </c>
      <c r="F140" s="1" t="s">
        <v>602</v>
      </c>
      <c r="G140" s="1" t="str">
        <f t="shared" si="4"/>
        <v>6.6</v>
      </c>
      <c r="H140" s="1" t="str">
        <f t="shared" si="5"/>
        <v>lbs</v>
      </c>
      <c r="I140" s="1" t="str">
        <f>IF(Table1[[#This Row],[Lifespan (Years)]]&lt;25, "&lt;25", IF(Table1[[#This Row],[Lifespan (Years)]]&lt;50, "25-49", IF(Table1[[#This Row],[Lifespan (Years)]]&lt;75, "50-74", IF(Table1[[#This Row],[Lifespan (Years)]]&lt;100, "75-99", "&gt;=100"))))</f>
        <v>25-49</v>
      </c>
      <c r="J140" s="14">
        <f>IF(Table1[[#This Row],[Weight Unit]]="oz",Table1[[#This Row],[Weight (Digits)]]/16, Table1[[#This Row],[Weight (Digits)]]/1)</f>
        <v>6.6</v>
      </c>
      <c r="K14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40" s="1" t="s">
        <v>725</v>
      </c>
      <c r="M140" s="1" t="str">
        <f>IF(COUNTIF(Table2[Animal],Table1[[#This Row],[Animal]]) = 1, "Previous Participant", "New Participant")</f>
        <v>Previous Participant</v>
      </c>
      <c r="N140" s="1" t="str">
        <f>_xlfn.XLOOKUP(Table1[[#This Row],[Region]],'Support - Tables'!$B$3:$B$10,'Support - Tables'!$D$3:$D$10,"Not Found",0)</f>
        <v>Air</v>
      </c>
      <c r="O140" s="6">
        <f>_xlfn.XLOOKUP(Table1[[#This Row],[Region]],'Support - Tables'!$B$3:$B$10,'Support - Tables'!$C$3:$C$10, "Not Found",0)</f>
        <v>600</v>
      </c>
      <c r="P140" s="6">
        <f>_xlfn.XLOOKUP(Table1[[#This Row],[Diet]],'Support - Tables'!$B$14:$B$16,'Support - Tables'!$C$14:$C$16, "Not Found", 0)</f>
        <v>400</v>
      </c>
      <c r="Q140" s="6">
        <f>Table1[[#This Row],[Revenue]]-Table1[[#This Row],[Cost]]</f>
        <v>200</v>
      </c>
      <c r="R140" s="6">
        <f>COUNTBLANK(Table1[[#This Row],[Diet]:[Region]])</f>
        <v>0</v>
      </c>
      <c r="S140" s="6"/>
      <c r="T140" s="6"/>
    </row>
    <row r="141" spans="1:20" x14ac:dyDescent="0.25">
      <c r="A141" s="2" t="s">
        <v>186</v>
      </c>
      <c r="B141" s="1" t="s">
        <v>15</v>
      </c>
      <c r="C141" s="1">
        <v>4</v>
      </c>
      <c r="D141" s="1" t="s">
        <v>706</v>
      </c>
      <c r="E141" s="1">
        <f>IF(Table1[[#This Row],[Lifespan Unit]]="months", Table1[[#This Row],[Lifespan]]/12,Table1[[#This Row],[Lifespan]])</f>
        <v>4</v>
      </c>
      <c r="F141" s="1" t="s">
        <v>595</v>
      </c>
      <c r="G141" s="1" t="str">
        <f t="shared" si="4"/>
        <v>0.7</v>
      </c>
      <c r="H141" s="1" t="str">
        <f t="shared" si="5"/>
        <v>oz</v>
      </c>
      <c r="I141" s="1" t="str">
        <f>IF(Table1[[#This Row],[Lifespan (Years)]]&lt;25, "&lt;25", IF(Table1[[#This Row],[Lifespan (Years)]]&lt;50, "25-49", IF(Table1[[#This Row],[Lifespan (Years)]]&lt;75, "50-74", IF(Table1[[#This Row],[Lifespan (Years)]]&lt;100, "75-99", "&gt;=100"))))</f>
        <v>&lt;25</v>
      </c>
      <c r="J141" s="14">
        <f>IF(Table1[[#This Row],[Weight Unit]]="oz",Table1[[#This Row],[Weight (Digits)]]/16, Table1[[#This Row],[Weight (Digits)]]/1)</f>
        <v>4.3749999999999997E-2</v>
      </c>
      <c r="K14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41" s="1" t="s">
        <v>6</v>
      </c>
      <c r="M141" s="1" t="str">
        <f>IF(COUNTIF(Table2[Animal],Table1[[#This Row],[Animal]]) = 1, "Previous Participant", "New Participant")</f>
        <v>Previous Participant</v>
      </c>
      <c r="N141" s="1" t="str">
        <f>_xlfn.XLOOKUP(Table1[[#This Row],[Region]],'Support - Tables'!$B$3:$B$10,'Support - Tables'!$D$3:$D$10,"Not Found",0)</f>
        <v>Air</v>
      </c>
      <c r="O141" s="6">
        <f>_xlfn.XLOOKUP(Table1[[#This Row],[Region]],'Support - Tables'!$B$3:$B$10,'Support - Tables'!$C$3:$C$10, "Not Found",0)</f>
        <v>450</v>
      </c>
      <c r="P141" s="6">
        <f>_xlfn.XLOOKUP(Table1[[#This Row],[Diet]],'Support - Tables'!$B$14:$B$16,'Support - Tables'!$C$14:$C$16, "Not Found", 0)</f>
        <v>500</v>
      </c>
      <c r="Q141" s="6">
        <f>Table1[[#This Row],[Revenue]]-Table1[[#This Row],[Cost]]</f>
        <v>-50</v>
      </c>
      <c r="R141" s="6">
        <f>COUNTBLANK(Table1[[#This Row],[Diet]:[Region]])</f>
        <v>0</v>
      </c>
      <c r="S141" s="6"/>
      <c r="T141" s="6"/>
    </row>
    <row r="142" spans="1:20" x14ac:dyDescent="0.25">
      <c r="A142" s="2" t="s">
        <v>187</v>
      </c>
      <c r="B142" s="1" t="s">
        <v>23</v>
      </c>
      <c r="C142" s="1">
        <v>30</v>
      </c>
      <c r="D142" s="1" t="s">
        <v>706</v>
      </c>
      <c r="E142" s="1">
        <f>IF(Table1[[#This Row],[Lifespan Unit]]="months", Table1[[#This Row],[Lifespan]]/12,Table1[[#This Row],[Lifespan]])</f>
        <v>30</v>
      </c>
      <c r="F142" s="1" t="s">
        <v>651</v>
      </c>
      <c r="G142" s="1" t="str">
        <f t="shared" si="4"/>
        <v>800</v>
      </c>
      <c r="H142" s="1" t="str">
        <f t="shared" si="5"/>
        <v>lbs</v>
      </c>
      <c r="I142" s="1" t="str">
        <f>IF(Table1[[#This Row],[Lifespan (Years)]]&lt;25, "&lt;25", IF(Table1[[#This Row],[Lifespan (Years)]]&lt;50, "25-49", IF(Table1[[#This Row],[Lifespan (Years)]]&lt;75, "50-74", IF(Table1[[#This Row],[Lifespan (Years)]]&lt;100, "75-99", "&gt;=100"))))</f>
        <v>25-49</v>
      </c>
      <c r="J142" s="14">
        <f>IF(Table1[[#This Row],[Weight Unit]]="oz",Table1[[#This Row],[Weight (Digits)]]/16, Table1[[#This Row],[Weight (Digits)]]/1)</f>
        <v>800</v>
      </c>
      <c r="K14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142" s="1" t="s">
        <v>2</v>
      </c>
      <c r="M142" s="1" t="str">
        <f>IF(COUNTIF(Table2[Animal],Table1[[#This Row],[Animal]]) = 1, "Previous Participant", "New Participant")</f>
        <v>Previous Participant</v>
      </c>
      <c r="N142" s="1" t="str">
        <f>_xlfn.XLOOKUP(Table1[[#This Row],[Region]],'Support - Tables'!$B$3:$B$10,'Support - Tables'!$D$3:$D$10,"Not Found",0)</f>
        <v>Air</v>
      </c>
      <c r="O142" s="6">
        <f>_xlfn.XLOOKUP(Table1[[#This Row],[Region]],'Support - Tables'!$B$3:$B$10,'Support - Tables'!$C$3:$C$10, "Not Found",0)</f>
        <v>600</v>
      </c>
      <c r="P142" s="6">
        <f>_xlfn.XLOOKUP(Table1[[#This Row],[Diet]],'Support - Tables'!$B$14:$B$16,'Support - Tables'!$C$14:$C$16, "Not Found", 0)</f>
        <v>300</v>
      </c>
      <c r="Q142" s="6">
        <f>Table1[[#This Row],[Revenue]]-Table1[[#This Row],[Cost]]</f>
        <v>300</v>
      </c>
      <c r="R142" s="6">
        <f>COUNTBLANK(Table1[[#This Row],[Diet]:[Region]])</f>
        <v>0</v>
      </c>
      <c r="S142" s="6"/>
      <c r="T142" s="6"/>
    </row>
    <row r="143" spans="1:20" x14ac:dyDescent="0.25">
      <c r="A143" s="2" t="s">
        <v>188</v>
      </c>
      <c r="B143" s="1" t="s">
        <v>13</v>
      </c>
      <c r="C143" s="1">
        <v>15</v>
      </c>
      <c r="D143" s="1" t="s">
        <v>706</v>
      </c>
      <c r="E143" s="1">
        <f>IF(Table1[[#This Row],[Lifespan Unit]]="months", Table1[[#This Row],[Lifespan]]/12,Table1[[#This Row],[Lifespan]])</f>
        <v>15</v>
      </c>
      <c r="F143" s="1" t="s">
        <v>603</v>
      </c>
      <c r="G143" s="1" t="str">
        <f t="shared" si="4"/>
        <v>7.7</v>
      </c>
      <c r="H143" s="1" t="str">
        <f t="shared" si="5"/>
        <v>oz</v>
      </c>
      <c r="I143" s="1" t="str">
        <f>IF(Table1[[#This Row],[Lifespan (Years)]]&lt;25, "&lt;25", IF(Table1[[#This Row],[Lifespan (Years)]]&lt;50, "25-49", IF(Table1[[#This Row],[Lifespan (Years)]]&lt;75, "50-74", IF(Table1[[#This Row],[Lifespan (Years)]]&lt;100, "75-99", "&gt;=100"))))</f>
        <v>&lt;25</v>
      </c>
      <c r="J143" s="14">
        <f>IF(Table1[[#This Row],[Weight Unit]]="oz",Table1[[#This Row],[Weight (Digits)]]/16, Table1[[#This Row],[Weight (Digits)]]/1)</f>
        <v>0.48125000000000001</v>
      </c>
      <c r="K14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43" s="1" t="s">
        <v>5</v>
      </c>
      <c r="M143" s="1" t="str">
        <f>IF(COUNTIF(Table2[Animal],Table1[[#This Row],[Animal]]) = 1, "Previous Participant", "New Participant")</f>
        <v>Previous Participant</v>
      </c>
      <c r="N143" s="1" t="str">
        <f>_xlfn.XLOOKUP(Table1[[#This Row],[Region]],'Support - Tables'!$B$3:$B$10,'Support - Tables'!$D$3:$D$10,"Not Found",0)</f>
        <v>Boat</v>
      </c>
      <c r="O143" s="6">
        <f>_xlfn.XLOOKUP(Table1[[#This Row],[Region]],'Support - Tables'!$B$3:$B$10,'Support - Tables'!$C$3:$C$10, "Not Found",0)</f>
        <v>400</v>
      </c>
      <c r="P143" s="6">
        <f>_xlfn.XLOOKUP(Table1[[#This Row],[Diet]],'Support - Tables'!$B$14:$B$16,'Support - Tables'!$C$14:$C$16, "Not Found", 0)</f>
        <v>400</v>
      </c>
      <c r="Q143" s="6">
        <f>Table1[[#This Row],[Revenue]]-Table1[[#This Row],[Cost]]</f>
        <v>0</v>
      </c>
      <c r="R143" s="6">
        <f>COUNTBLANK(Table1[[#This Row],[Diet]:[Region]])</f>
        <v>0</v>
      </c>
      <c r="S143" s="6"/>
      <c r="T143" s="6"/>
    </row>
    <row r="144" spans="1:20" x14ac:dyDescent="0.25">
      <c r="A144" s="2" t="s">
        <v>189</v>
      </c>
      <c r="B144" s="1" t="s">
        <v>15</v>
      </c>
      <c r="C144" s="1">
        <v>20</v>
      </c>
      <c r="D144" s="1" t="s">
        <v>706</v>
      </c>
      <c r="E144" s="1">
        <f>IF(Table1[[#This Row],[Lifespan Unit]]="months", Table1[[#This Row],[Lifespan]]/12,Table1[[#This Row],[Lifespan]])</f>
        <v>20</v>
      </c>
      <c r="F144" s="1" t="s">
        <v>604</v>
      </c>
      <c r="G144" s="1" t="str">
        <f t="shared" si="4"/>
        <v>64</v>
      </c>
      <c r="H144" s="1" t="str">
        <f t="shared" si="5"/>
        <v>lbs</v>
      </c>
      <c r="I144" s="1" t="str">
        <f>IF(Table1[[#This Row],[Lifespan (Years)]]&lt;25, "&lt;25", IF(Table1[[#This Row],[Lifespan (Years)]]&lt;50, "25-49", IF(Table1[[#This Row],[Lifespan (Years)]]&lt;75, "50-74", IF(Table1[[#This Row],[Lifespan (Years)]]&lt;100, "75-99", "&gt;=100"))))</f>
        <v>&lt;25</v>
      </c>
      <c r="J144" s="14">
        <f>IF(Table1[[#This Row],[Weight Unit]]="oz",Table1[[#This Row],[Weight (Digits)]]/16, Table1[[#This Row],[Weight (Digits)]]/1)</f>
        <v>64</v>
      </c>
      <c r="K14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44" s="1" t="s">
        <v>5</v>
      </c>
      <c r="M144" s="1" t="str">
        <f>IF(COUNTIF(Table2[Animal],Table1[[#This Row],[Animal]]) = 1, "Previous Participant", "New Participant")</f>
        <v>Previous Participant</v>
      </c>
      <c r="N144" s="1" t="str">
        <f>_xlfn.XLOOKUP(Table1[[#This Row],[Region]],'Support - Tables'!$B$3:$B$10,'Support - Tables'!$D$3:$D$10,"Not Found",0)</f>
        <v>Boat</v>
      </c>
      <c r="O144" s="6">
        <f>_xlfn.XLOOKUP(Table1[[#This Row],[Region]],'Support - Tables'!$B$3:$B$10,'Support - Tables'!$C$3:$C$10, "Not Found",0)</f>
        <v>400</v>
      </c>
      <c r="P144" s="6">
        <f>_xlfn.XLOOKUP(Table1[[#This Row],[Diet]],'Support - Tables'!$B$14:$B$16,'Support - Tables'!$C$14:$C$16, "Not Found", 0)</f>
        <v>500</v>
      </c>
      <c r="Q144" s="6">
        <f>Table1[[#This Row],[Revenue]]-Table1[[#This Row],[Cost]]</f>
        <v>-100</v>
      </c>
      <c r="R144" s="6">
        <f>COUNTBLANK(Table1[[#This Row],[Diet]:[Region]])</f>
        <v>0</v>
      </c>
      <c r="S144" s="6"/>
      <c r="T144" s="6"/>
    </row>
    <row r="145" spans="1:20" x14ac:dyDescent="0.25">
      <c r="A145" s="2" t="s">
        <v>190</v>
      </c>
      <c r="B145" s="1" t="s">
        <v>23</v>
      </c>
      <c r="C145" s="1">
        <v>20</v>
      </c>
      <c r="D145" s="1" t="s">
        <v>706</v>
      </c>
      <c r="E145" s="1">
        <f>IF(Table1[[#This Row],[Lifespan Unit]]="months", Table1[[#This Row],[Lifespan]]/12,Table1[[#This Row],[Lifespan]])</f>
        <v>20</v>
      </c>
      <c r="F145" s="1" t="s">
        <v>605</v>
      </c>
      <c r="G145" s="1" t="str">
        <f t="shared" si="4"/>
        <v>881</v>
      </c>
      <c r="H145" s="1" t="str">
        <f t="shared" si="5"/>
        <v>lbs</v>
      </c>
      <c r="I145" s="1" t="str">
        <f>IF(Table1[[#This Row],[Lifespan (Years)]]&lt;25, "&lt;25", IF(Table1[[#This Row],[Lifespan (Years)]]&lt;50, "25-49", IF(Table1[[#This Row],[Lifespan (Years)]]&lt;75, "50-74", IF(Table1[[#This Row],[Lifespan (Years)]]&lt;100, "75-99", "&gt;=100"))))</f>
        <v>&lt;25</v>
      </c>
      <c r="J145" s="14">
        <f>IF(Table1[[#This Row],[Weight Unit]]="oz",Table1[[#This Row],[Weight (Digits)]]/16, Table1[[#This Row],[Weight (Digits)]]/1)</f>
        <v>881</v>
      </c>
      <c r="K14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145" s="1" t="s">
        <v>5</v>
      </c>
      <c r="M145" s="1" t="str">
        <f>IF(COUNTIF(Table2[Animal],Table1[[#This Row],[Animal]]) = 1, "Previous Participant", "New Participant")</f>
        <v>Previous Participant</v>
      </c>
      <c r="N145" s="1" t="str">
        <f>_xlfn.XLOOKUP(Table1[[#This Row],[Region]],'Support - Tables'!$B$3:$B$10,'Support - Tables'!$D$3:$D$10,"Not Found",0)</f>
        <v>Boat</v>
      </c>
      <c r="O145" s="6">
        <f>_xlfn.XLOOKUP(Table1[[#This Row],[Region]],'Support - Tables'!$B$3:$B$10,'Support - Tables'!$C$3:$C$10, "Not Found",0)</f>
        <v>400</v>
      </c>
      <c r="P145" s="6">
        <f>_xlfn.XLOOKUP(Table1[[#This Row],[Diet]],'Support - Tables'!$B$14:$B$16,'Support - Tables'!$C$14:$C$16, "Not Found", 0)</f>
        <v>300</v>
      </c>
      <c r="Q145" s="6">
        <f>Table1[[#This Row],[Revenue]]-Table1[[#This Row],[Cost]]</f>
        <v>100</v>
      </c>
      <c r="R145" s="6">
        <f>COUNTBLANK(Table1[[#This Row],[Diet]:[Region]])</f>
        <v>0</v>
      </c>
      <c r="S145" s="6"/>
      <c r="T145" s="6"/>
    </row>
    <row r="146" spans="1:20" x14ac:dyDescent="0.25">
      <c r="A146" s="2" t="s">
        <v>191</v>
      </c>
      <c r="B146" s="1" t="s">
        <v>15</v>
      </c>
      <c r="C146" s="1">
        <v>15</v>
      </c>
      <c r="D146" s="1" t="s">
        <v>706</v>
      </c>
      <c r="E146" s="1">
        <f>IF(Table1[[#This Row],[Lifespan Unit]]="months", Table1[[#This Row],[Lifespan]]/12,Table1[[#This Row],[Lifespan]])</f>
        <v>15</v>
      </c>
      <c r="F146" s="1" t="s">
        <v>606</v>
      </c>
      <c r="G146" s="1" t="str">
        <f t="shared" si="4"/>
        <v>15</v>
      </c>
      <c r="H146" s="1" t="str">
        <f t="shared" si="5"/>
        <v>lbs</v>
      </c>
      <c r="I146" s="1" t="str">
        <f>IF(Table1[[#This Row],[Lifespan (Years)]]&lt;25, "&lt;25", IF(Table1[[#This Row],[Lifespan (Years)]]&lt;50, "25-49", IF(Table1[[#This Row],[Lifespan (Years)]]&lt;75, "50-74", IF(Table1[[#This Row],[Lifespan (Years)]]&lt;100, "75-99", "&gt;=100"))))</f>
        <v>&lt;25</v>
      </c>
      <c r="J146" s="14">
        <f>IF(Table1[[#This Row],[Weight Unit]]="oz",Table1[[#This Row],[Weight (Digits)]]/16, Table1[[#This Row],[Weight (Digits)]]/1)</f>
        <v>15</v>
      </c>
      <c r="K14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46" s="1" t="s">
        <v>5</v>
      </c>
      <c r="M146" s="1" t="str">
        <f>IF(COUNTIF(Table2[Animal],Table1[[#This Row],[Animal]]) = 1, "Previous Participant", "New Participant")</f>
        <v>Previous Participant</v>
      </c>
      <c r="N146" s="1" t="str">
        <f>_xlfn.XLOOKUP(Table1[[#This Row],[Region]],'Support - Tables'!$B$3:$B$10,'Support - Tables'!$D$3:$D$10,"Not Found",0)</f>
        <v>Boat</v>
      </c>
      <c r="O146" s="6">
        <f>_xlfn.XLOOKUP(Table1[[#This Row],[Region]],'Support - Tables'!$B$3:$B$10,'Support - Tables'!$C$3:$C$10, "Not Found",0)</f>
        <v>400</v>
      </c>
      <c r="P146" s="6">
        <f>_xlfn.XLOOKUP(Table1[[#This Row],[Diet]],'Support - Tables'!$B$14:$B$16,'Support - Tables'!$C$14:$C$16, "Not Found", 0)</f>
        <v>500</v>
      </c>
      <c r="Q146" s="6">
        <f>Table1[[#This Row],[Revenue]]-Table1[[#This Row],[Cost]]</f>
        <v>-100</v>
      </c>
      <c r="R146" s="6">
        <f>COUNTBLANK(Table1[[#This Row],[Diet]:[Region]])</f>
        <v>0</v>
      </c>
      <c r="S146" s="6"/>
      <c r="T146" s="6"/>
    </row>
    <row r="147" spans="1:20" x14ac:dyDescent="0.25">
      <c r="A147" s="2" t="s">
        <v>192</v>
      </c>
      <c r="B147" s="1" t="s">
        <v>15</v>
      </c>
      <c r="C147" s="1">
        <v>100</v>
      </c>
      <c r="D147" s="1" t="s">
        <v>706</v>
      </c>
      <c r="E147" s="1">
        <f>IF(Table1[[#This Row],[Lifespan Unit]]="months", Table1[[#This Row],[Lifespan]]/12,Table1[[#This Row],[Lifespan]])</f>
        <v>100</v>
      </c>
      <c r="F147" s="1" t="s">
        <v>607</v>
      </c>
      <c r="G147" s="1" t="str">
        <f t="shared" si="4"/>
        <v>3.5</v>
      </c>
      <c r="H147" s="1" t="str">
        <f t="shared" si="5"/>
        <v>oz</v>
      </c>
      <c r="I147" s="1" t="str">
        <f>IF(Table1[[#This Row],[Lifespan (Years)]]&lt;25, "&lt;25", IF(Table1[[#This Row],[Lifespan (Years)]]&lt;50, "25-49", IF(Table1[[#This Row],[Lifespan (Years)]]&lt;75, "50-74", IF(Table1[[#This Row],[Lifespan (Years)]]&lt;100, "75-99", "&gt;=100"))))</f>
        <v>&gt;=100</v>
      </c>
      <c r="J147" s="14">
        <f>IF(Table1[[#This Row],[Weight Unit]]="oz",Table1[[#This Row],[Weight (Digits)]]/16, Table1[[#This Row],[Weight (Digits)]]/1)</f>
        <v>0.21875</v>
      </c>
      <c r="K14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47" s="1" t="s">
        <v>2</v>
      </c>
      <c r="M147" s="1" t="str">
        <f>IF(COUNTIF(Table2[Animal],Table1[[#This Row],[Animal]]) = 1, "Previous Participant", "New Participant")</f>
        <v>Previous Participant</v>
      </c>
      <c r="N147" s="1" t="str">
        <f>_xlfn.XLOOKUP(Table1[[#This Row],[Region]],'Support - Tables'!$B$3:$B$10,'Support - Tables'!$D$3:$D$10,"Not Found",0)</f>
        <v>Air</v>
      </c>
      <c r="O147" s="6">
        <f>_xlfn.XLOOKUP(Table1[[#This Row],[Region]],'Support - Tables'!$B$3:$B$10,'Support - Tables'!$C$3:$C$10, "Not Found",0)</f>
        <v>600</v>
      </c>
      <c r="P147" s="6">
        <f>_xlfn.XLOOKUP(Table1[[#This Row],[Diet]],'Support - Tables'!$B$14:$B$16,'Support - Tables'!$C$14:$C$16, "Not Found", 0)</f>
        <v>500</v>
      </c>
      <c r="Q147" s="6">
        <f>Table1[[#This Row],[Revenue]]-Table1[[#This Row],[Cost]]</f>
        <v>100</v>
      </c>
      <c r="R147" s="6">
        <f>COUNTBLANK(Table1[[#This Row],[Diet]:[Region]])</f>
        <v>0</v>
      </c>
      <c r="S147" s="6"/>
      <c r="T147" s="6"/>
    </row>
    <row r="148" spans="1:20" x14ac:dyDescent="0.25">
      <c r="A148" s="2" t="s">
        <v>193</v>
      </c>
      <c r="B148" s="1" t="s">
        <v>15</v>
      </c>
      <c r="C148" s="1">
        <v>30</v>
      </c>
      <c r="D148" s="1" t="s">
        <v>706</v>
      </c>
      <c r="E148" s="1">
        <f>IF(Table1[[#This Row],[Lifespan Unit]]="months", Table1[[#This Row],[Lifespan]]/12,Table1[[#This Row],[Lifespan]])</f>
        <v>30</v>
      </c>
      <c r="F148" s="1" t="s">
        <v>373</v>
      </c>
      <c r="G148" s="1" t="str">
        <f t="shared" si="4"/>
        <v>7</v>
      </c>
      <c r="H148" s="1" t="str">
        <f t="shared" si="5"/>
        <v>lbs</v>
      </c>
      <c r="I148" s="1" t="str">
        <f>IF(Table1[[#This Row],[Lifespan (Years)]]&lt;25, "&lt;25", IF(Table1[[#This Row],[Lifespan (Years)]]&lt;50, "25-49", IF(Table1[[#This Row],[Lifespan (Years)]]&lt;75, "50-74", IF(Table1[[#This Row],[Lifespan (Years)]]&lt;100, "75-99", "&gt;=100"))))</f>
        <v>25-49</v>
      </c>
      <c r="J148" s="14">
        <f>IF(Table1[[#This Row],[Weight Unit]]="oz",Table1[[#This Row],[Weight (Digits)]]/16, Table1[[#This Row],[Weight (Digits)]]/1)</f>
        <v>7</v>
      </c>
      <c r="K14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48" s="1" t="s">
        <v>5</v>
      </c>
      <c r="M148" s="1" t="str">
        <f>IF(COUNTIF(Table2[Animal],Table1[[#This Row],[Animal]]) = 1, "Previous Participant", "New Participant")</f>
        <v>Previous Participant</v>
      </c>
      <c r="N148" s="1" t="str">
        <f>_xlfn.XLOOKUP(Table1[[#This Row],[Region]],'Support - Tables'!$B$3:$B$10,'Support - Tables'!$D$3:$D$10,"Not Found",0)</f>
        <v>Boat</v>
      </c>
      <c r="O148" s="6">
        <f>_xlfn.XLOOKUP(Table1[[#This Row],[Region]],'Support - Tables'!$B$3:$B$10,'Support - Tables'!$C$3:$C$10, "Not Found",0)</f>
        <v>400</v>
      </c>
      <c r="P148" s="6">
        <f>_xlfn.XLOOKUP(Table1[[#This Row],[Diet]],'Support - Tables'!$B$14:$B$16,'Support - Tables'!$C$14:$C$16, "Not Found", 0)</f>
        <v>500</v>
      </c>
      <c r="Q148" s="6">
        <f>Table1[[#This Row],[Revenue]]-Table1[[#This Row],[Cost]]</f>
        <v>-100</v>
      </c>
      <c r="R148" s="6">
        <f>COUNTBLANK(Table1[[#This Row],[Diet]:[Region]])</f>
        <v>0</v>
      </c>
      <c r="S148" s="6"/>
      <c r="T148" s="6"/>
    </row>
    <row r="149" spans="1:20" x14ac:dyDescent="0.25">
      <c r="A149" s="2" t="s">
        <v>194</v>
      </c>
      <c r="B149" s="1" t="s">
        <v>13</v>
      </c>
      <c r="C149" s="1">
        <v>30</v>
      </c>
      <c r="D149" s="1" t="s">
        <v>706</v>
      </c>
      <c r="E149" s="1">
        <f>IF(Table1[[#This Row],[Lifespan Unit]]="months", Table1[[#This Row],[Lifespan]]/12,Table1[[#This Row],[Lifespan]])</f>
        <v>30</v>
      </c>
      <c r="F149" s="1" t="s">
        <v>608</v>
      </c>
      <c r="G149" s="1" t="str">
        <f t="shared" si="4"/>
        <v>8.2</v>
      </c>
      <c r="H149" s="1" t="str">
        <f t="shared" si="5"/>
        <v>lbs</v>
      </c>
      <c r="I149" s="1" t="str">
        <f>IF(Table1[[#This Row],[Lifespan (Years)]]&lt;25, "&lt;25", IF(Table1[[#This Row],[Lifespan (Years)]]&lt;50, "25-49", IF(Table1[[#This Row],[Lifespan (Years)]]&lt;75, "50-74", IF(Table1[[#This Row],[Lifespan (Years)]]&lt;100, "75-99", "&gt;=100"))))</f>
        <v>25-49</v>
      </c>
      <c r="J149" s="14">
        <f>IF(Table1[[#This Row],[Weight Unit]]="oz",Table1[[#This Row],[Weight (Digits)]]/16, Table1[[#This Row],[Weight (Digits)]]/1)</f>
        <v>8.1999999999999993</v>
      </c>
      <c r="K14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49" s="1" t="s">
        <v>724</v>
      </c>
      <c r="M149" s="1" t="str">
        <f>IF(COUNTIF(Table2[Animal],Table1[[#This Row],[Animal]]) = 1, "Previous Participant", "New Participant")</f>
        <v>Previous Participant</v>
      </c>
      <c r="N149" s="1" t="str">
        <f>_xlfn.XLOOKUP(Table1[[#This Row],[Region]],'Support - Tables'!$B$3:$B$10,'Support - Tables'!$D$3:$D$10,"Not Found",0)</f>
        <v>Road</v>
      </c>
      <c r="O149" s="6">
        <f>_xlfn.XLOOKUP(Table1[[#This Row],[Region]],'Support - Tables'!$B$3:$B$10,'Support - Tables'!$C$3:$C$10, "Not Found",0)</f>
        <v>450</v>
      </c>
      <c r="P149" s="6">
        <f>_xlfn.XLOOKUP(Table1[[#This Row],[Diet]],'Support - Tables'!$B$14:$B$16,'Support - Tables'!$C$14:$C$16, "Not Found", 0)</f>
        <v>400</v>
      </c>
      <c r="Q149" s="6">
        <f>Table1[[#This Row],[Revenue]]-Table1[[#This Row],[Cost]]</f>
        <v>50</v>
      </c>
      <c r="R149" s="6">
        <f>COUNTBLANK(Table1[[#This Row],[Diet]:[Region]])</f>
        <v>0</v>
      </c>
      <c r="S149" s="6"/>
      <c r="T149" s="6"/>
    </row>
    <row r="150" spans="1:20" x14ac:dyDescent="0.25">
      <c r="A150" s="2" t="s">
        <v>195</v>
      </c>
      <c r="B150" s="1" t="s">
        <v>15</v>
      </c>
      <c r="C150" s="1">
        <v>20</v>
      </c>
      <c r="D150" s="1" t="s">
        <v>706</v>
      </c>
      <c r="E150" s="1">
        <f>IF(Table1[[#This Row],[Lifespan Unit]]="months", Table1[[#This Row],[Lifespan]]/12,Table1[[#This Row],[Lifespan]])</f>
        <v>20</v>
      </c>
      <c r="F150" s="1" t="s">
        <v>602</v>
      </c>
      <c r="G150" s="1" t="str">
        <f t="shared" si="4"/>
        <v>6.6</v>
      </c>
      <c r="H150" s="1" t="str">
        <f t="shared" si="5"/>
        <v>lbs</v>
      </c>
      <c r="I150" s="1" t="str">
        <f>IF(Table1[[#This Row],[Lifespan (Years)]]&lt;25, "&lt;25", IF(Table1[[#This Row],[Lifespan (Years)]]&lt;50, "25-49", IF(Table1[[#This Row],[Lifespan (Years)]]&lt;75, "50-74", IF(Table1[[#This Row],[Lifespan (Years)]]&lt;100, "75-99", "&gt;=100"))))</f>
        <v>&lt;25</v>
      </c>
      <c r="J150" s="14">
        <f>IF(Table1[[#This Row],[Weight Unit]]="oz",Table1[[#This Row],[Weight (Digits)]]/16, Table1[[#This Row],[Weight (Digits)]]/1)</f>
        <v>6.6</v>
      </c>
      <c r="K15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50" s="1" t="s">
        <v>5</v>
      </c>
      <c r="M150" s="1" t="str">
        <f>IF(COUNTIF(Table2[Animal],Table1[[#This Row],[Animal]]) = 1, "Previous Participant", "New Participant")</f>
        <v>Previous Participant</v>
      </c>
      <c r="N150" s="1" t="str">
        <f>_xlfn.XLOOKUP(Table1[[#This Row],[Region]],'Support - Tables'!$B$3:$B$10,'Support - Tables'!$D$3:$D$10,"Not Found",0)</f>
        <v>Boat</v>
      </c>
      <c r="O150" s="6">
        <f>_xlfn.XLOOKUP(Table1[[#This Row],[Region]],'Support - Tables'!$B$3:$B$10,'Support - Tables'!$C$3:$C$10, "Not Found",0)</f>
        <v>400</v>
      </c>
      <c r="P150" s="6">
        <f>_xlfn.XLOOKUP(Table1[[#This Row],[Diet]],'Support - Tables'!$B$14:$B$16,'Support - Tables'!$C$14:$C$16, "Not Found", 0)</f>
        <v>500</v>
      </c>
      <c r="Q150" s="6">
        <f>Table1[[#This Row],[Revenue]]-Table1[[#This Row],[Cost]]</f>
        <v>-100</v>
      </c>
      <c r="R150" s="6">
        <f>COUNTBLANK(Table1[[#This Row],[Diet]:[Region]])</f>
        <v>0</v>
      </c>
      <c r="S150" s="6"/>
      <c r="T150" s="6"/>
    </row>
    <row r="151" spans="1:20" x14ac:dyDescent="0.25">
      <c r="A151" s="2" t="s">
        <v>196</v>
      </c>
      <c r="B151" s="1" t="s">
        <v>15</v>
      </c>
      <c r="C151" s="1">
        <v>70</v>
      </c>
      <c r="D151" s="1" t="s">
        <v>706</v>
      </c>
      <c r="E151" s="1">
        <f>IF(Table1[[#This Row],[Lifespan Unit]]="months", Table1[[#This Row],[Lifespan]]/12,Table1[[#This Row],[Lifespan]])</f>
        <v>70</v>
      </c>
      <c r="F151" s="1" t="s">
        <v>43</v>
      </c>
      <c r="G151" s="1" t="str">
        <f t="shared" si="4"/>
        <v>40</v>
      </c>
      <c r="H151" s="1" t="str">
        <f t="shared" si="5"/>
        <v>lbs</v>
      </c>
      <c r="I151" s="1" t="str">
        <f>IF(Table1[[#This Row],[Lifespan (Years)]]&lt;25, "&lt;25", IF(Table1[[#This Row],[Lifespan (Years)]]&lt;50, "25-49", IF(Table1[[#This Row],[Lifespan (Years)]]&lt;75, "50-74", IF(Table1[[#This Row],[Lifespan (Years)]]&lt;100, "75-99", "&gt;=100"))))</f>
        <v>50-74</v>
      </c>
      <c r="J151" s="14">
        <f>IF(Table1[[#This Row],[Weight Unit]]="oz",Table1[[#This Row],[Weight (Digits)]]/16, Table1[[#This Row],[Weight (Digits)]]/1)</f>
        <v>40</v>
      </c>
      <c r="K15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51" s="1" t="s">
        <v>724</v>
      </c>
      <c r="M151" s="1" t="str">
        <f>IF(COUNTIF(Table2[Animal],Table1[[#This Row],[Animal]]) = 1, "Previous Participant", "New Participant")</f>
        <v>Previous Participant</v>
      </c>
      <c r="N151" s="1" t="str">
        <f>_xlfn.XLOOKUP(Table1[[#This Row],[Region]],'Support - Tables'!$B$3:$B$10,'Support - Tables'!$D$3:$D$10,"Not Found",0)</f>
        <v>Road</v>
      </c>
      <c r="O151" s="6">
        <f>_xlfn.XLOOKUP(Table1[[#This Row],[Region]],'Support - Tables'!$B$3:$B$10,'Support - Tables'!$C$3:$C$10, "Not Found",0)</f>
        <v>450</v>
      </c>
      <c r="P151" s="6">
        <f>_xlfn.XLOOKUP(Table1[[#This Row],[Diet]],'Support - Tables'!$B$14:$B$16,'Support - Tables'!$C$14:$C$16, "Not Found", 0)</f>
        <v>500</v>
      </c>
      <c r="Q151" s="6">
        <f>Table1[[#This Row],[Revenue]]-Table1[[#This Row],[Cost]]</f>
        <v>-50</v>
      </c>
      <c r="R151" s="6">
        <f>COUNTBLANK(Table1[[#This Row],[Diet]:[Region]])</f>
        <v>0</v>
      </c>
      <c r="S151" s="6"/>
      <c r="T151" s="6"/>
    </row>
    <row r="152" spans="1:20" x14ac:dyDescent="0.25">
      <c r="A152" s="2" t="s">
        <v>197</v>
      </c>
      <c r="B152" s="1" t="s">
        <v>13</v>
      </c>
      <c r="C152" s="1">
        <v>14</v>
      </c>
      <c r="D152" s="1" t="s">
        <v>706</v>
      </c>
      <c r="E152" s="1">
        <f>IF(Table1[[#This Row],[Lifespan Unit]]="months", Table1[[#This Row],[Lifespan]]/12,Table1[[#This Row],[Lifespan]])</f>
        <v>14</v>
      </c>
      <c r="F152" s="1" t="s">
        <v>96</v>
      </c>
      <c r="G152" s="1" t="str">
        <f t="shared" si="4"/>
        <v>75</v>
      </c>
      <c r="H152" s="1" t="str">
        <f t="shared" si="5"/>
        <v>lbs</v>
      </c>
      <c r="I152" s="1" t="str">
        <f>IF(Table1[[#This Row],[Lifespan (Years)]]&lt;25, "&lt;25", IF(Table1[[#This Row],[Lifespan (Years)]]&lt;50, "25-49", IF(Table1[[#This Row],[Lifespan (Years)]]&lt;75, "50-74", IF(Table1[[#This Row],[Lifespan (Years)]]&lt;100, "75-99", "&gt;=100"))))</f>
        <v>&lt;25</v>
      </c>
      <c r="J152" s="14">
        <f>IF(Table1[[#This Row],[Weight Unit]]="oz",Table1[[#This Row],[Weight (Digits)]]/16, Table1[[#This Row],[Weight (Digits)]]/1)</f>
        <v>75</v>
      </c>
      <c r="K15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52" s="1" t="s">
        <v>724</v>
      </c>
      <c r="M152" s="1" t="str">
        <f>IF(COUNTIF(Table2[Animal],Table1[[#This Row],[Animal]]) = 1, "Previous Participant", "New Participant")</f>
        <v>Previous Participant</v>
      </c>
      <c r="N152" s="1" t="str">
        <f>_xlfn.XLOOKUP(Table1[[#This Row],[Region]],'Support - Tables'!$B$3:$B$10,'Support - Tables'!$D$3:$D$10,"Not Found",0)</f>
        <v>Road</v>
      </c>
      <c r="O152" s="6">
        <f>_xlfn.XLOOKUP(Table1[[#This Row],[Region]],'Support - Tables'!$B$3:$B$10,'Support - Tables'!$C$3:$C$10, "Not Found",0)</f>
        <v>450</v>
      </c>
      <c r="P152" s="6">
        <f>_xlfn.XLOOKUP(Table1[[#This Row],[Diet]],'Support - Tables'!$B$14:$B$16,'Support - Tables'!$C$14:$C$16, "Not Found", 0)</f>
        <v>400</v>
      </c>
      <c r="Q152" s="6">
        <f>Table1[[#This Row],[Revenue]]-Table1[[#This Row],[Cost]]</f>
        <v>50</v>
      </c>
      <c r="R152" s="6">
        <f>COUNTBLANK(Table1[[#This Row],[Diet]:[Region]])</f>
        <v>0</v>
      </c>
      <c r="S152" s="6"/>
      <c r="T152" s="6"/>
    </row>
    <row r="153" spans="1:20" x14ac:dyDescent="0.25">
      <c r="A153" s="2" t="s">
        <v>198</v>
      </c>
      <c r="B153" s="1" t="s">
        <v>15</v>
      </c>
      <c r="C153" s="1">
        <v>3</v>
      </c>
      <c r="D153" s="1" t="s">
        <v>706</v>
      </c>
      <c r="E153" s="1">
        <f>IF(Table1[[#This Row],[Lifespan Unit]]="months", Table1[[#This Row],[Lifespan]]/12,Table1[[#This Row],[Lifespan]])</f>
        <v>3</v>
      </c>
      <c r="F153" s="1" t="s">
        <v>602</v>
      </c>
      <c r="G153" s="1" t="str">
        <f t="shared" si="4"/>
        <v>6.6</v>
      </c>
      <c r="H153" s="1" t="str">
        <f t="shared" si="5"/>
        <v>lbs</v>
      </c>
      <c r="I153" s="1" t="str">
        <f>IF(Table1[[#This Row],[Lifespan (Years)]]&lt;25, "&lt;25", IF(Table1[[#This Row],[Lifespan (Years)]]&lt;50, "25-49", IF(Table1[[#This Row],[Lifespan (Years)]]&lt;75, "50-74", IF(Table1[[#This Row],[Lifespan (Years)]]&lt;100, "75-99", "&gt;=100"))))</f>
        <v>&lt;25</v>
      </c>
      <c r="J153" s="14">
        <f>IF(Table1[[#This Row],[Weight Unit]]="oz",Table1[[#This Row],[Weight (Digits)]]/16, Table1[[#This Row],[Weight (Digits)]]/1)</f>
        <v>6.6</v>
      </c>
      <c r="K15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53" s="1" t="s">
        <v>5</v>
      </c>
      <c r="M153" s="1" t="str">
        <f>IF(COUNTIF(Table2[Animal],Table1[[#This Row],[Animal]]) = 1, "Previous Participant", "New Participant")</f>
        <v>Previous Participant</v>
      </c>
      <c r="N153" s="1" t="str">
        <f>_xlfn.XLOOKUP(Table1[[#This Row],[Region]],'Support - Tables'!$B$3:$B$10,'Support - Tables'!$D$3:$D$10,"Not Found",0)</f>
        <v>Boat</v>
      </c>
      <c r="O153" s="6">
        <f>_xlfn.XLOOKUP(Table1[[#This Row],[Region]],'Support - Tables'!$B$3:$B$10,'Support - Tables'!$C$3:$C$10, "Not Found",0)</f>
        <v>400</v>
      </c>
      <c r="P153" s="6">
        <f>_xlfn.XLOOKUP(Table1[[#This Row],[Diet]],'Support - Tables'!$B$14:$B$16,'Support - Tables'!$C$14:$C$16, "Not Found", 0)</f>
        <v>500</v>
      </c>
      <c r="Q153" s="6">
        <f>Table1[[#This Row],[Revenue]]-Table1[[#This Row],[Cost]]</f>
        <v>-100</v>
      </c>
      <c r="R153" s="6">
        <f>COUNTBLANK(Table1[[#This Row],[Diet]:[Region]])</f>
        <v>0</v>
      </c>
      <c r="S153" s="6"/>
      <c r="T153" s="6"/>
    </row>
    <row r="154" spans="1:20" x14ac:dyDescent="0.25">
      <c r="A154" s="2" t="s">
        <v>199</v>
      </c>
      <c r="B154" s="1" t="s">
        <v>13</v>
      </c>
      <c r="C154" s="1">
        <v>15</v>
      </c>
      <c r="D154" s="1" t="s">
        <v>706</v>
      </c>
      <c r="E154" s="1">
        <f>IF(Table1[[#This Row],[Lifespan Unit]]="months", Table1[[#This Row],[Lifespan]]/12,Table1[[#This Row],[Lifespan]])</f>
        <v>15</v>
      </c>
      <c r="F154" s="1" t="s">
        <v>121</v>
      </c>
      <c r="G154" s="1" t="str">
        <f t="shared" si="4"/>
        <v>9</v>
      </c>
      <c r="H154" s="1" t="str">
        <f t="shared" si="5"/>
        <v>lbs</v>
      </c>
      <c r="I154" s="1" t="str">
        <f>IF(Table1[[#This Row],[Lifespan (Years)]]&lt;25, "&lt;25", IF(Table1[[#This Row],[Lifespan (Years)]]&lt;50, "25-49", IF(Table1[[#This Row],[Lifespan (Years)]]&lt;75, "50-74", IF(Table1[[#This Row],[Lifespan (Years)]]&lt;100, "75-99", "&gt;=100"))))</f>
        <v>&lt;25</v>
      </c>
      <c r="J154" s="14">
        <f>IF(Table1[[#This Row],[Weight Unit]]="oz",Table1[[#This Row],[Weight (Digits)]]/16, Table1[[#This Row],[Weight (Digits)]]/1)</f>
        <v>9</v>
      </c>
      <c r="K15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54" s="1" t="s">
        <v>6</v>
      </c>
      <c r="M154" s="1" t="str">
        <f>IF(COUNTIF(Table2[Animal],Table1[[#This Row],[Animal]]) = 1, "Previous Participant", "New Participant")</f>
        <v>Previous Participant</v>
      </c>
      <c r="N154" s="1" t="str">
        <f>_xlfn.XLOOKUP(Table1[[#This Row],[Region]],'Support - Tables'!$B$3:$B$10,'Support - Tables'!$D$3:$D$10,"Not Found",0)</f>
        <v>Air</v>
      </c>
      <c r="O154" s="6">
        <f>_xlfn.XLOOKUP(Table1[[#This Row],[Region]],'Support - Tables'!$B$3:$B$10,'Support - Tables'!$C$3:$C$10, "Not Found",0)</f>
        <v>450</v>
      </c>
      <c r="P154" s="6">
        <f>_xlfn.XLOOKUP(Table1[[#This Row],[Diet]],'Support - Tables'!$B$14:$B$16,'Support - Tables'!$C$14:$C$16, "Not Found", 0)</f>
        <v>400</v>
      </c>
      <c r="Q154" s="6">
        <f>Table1[[#This Row],[Revenue]]-Table1[[#This Row],[Cost]]</f>
        <v>50</v>
      </c>
      <c r="R154" s="6">
        <f>COUNTBLANK(Table1[[#This Row],[Diet]:[Region]])</f>
        <v>0</v>
      </c>
      <c r="S154" s="6"/>
      <c r="T154" s="6"/>
    </row>
    <row r="155" spans="1:20" x14ac:dyDescent="0.25">
      <c r="A155" s="2" t="s">
        <v>200</v>
      </c>
      <c r="B155" s="1" t="s">
        <v>13</v>
      </c>
      <c r="C155" s="1">
        <v>12</v>
      </c>
      <c r="D155" s="1" t="s">
        <v>706</v>
      </c>
      <c r="E155" s="1">
        <f>IF(Table1[[#This Row],[Lifespan Unit]]="months", Table1[[#This Row],[Lifespan]]/12,Table1[[#This Row],[Lifespan]])</f>
        <v>12</v>
      </c>
      <c r="F155" s="1" t="s">
        <v>62</v>
      </c>
      <c r="G155" s="1" t="str">
        <f t="shared" si="4"/>
        <v>55</v>
      </c>
      <c r="H155" s="1" t="str">
        <f t="shared" si="5"/>
        <v>lbs</v>
      </c>
      <c r="I155" s="1" t="str">
        <f>IF(Table1[[#This Row],[Lifespan (Years)]]&lt;25, "&lt;25", IF(Table1[[#This Row],[Lifespan (Years)]]&lt;50, "25-49", IF(Table1[[#This Row],[Lifespan (Years)]]&lt;75, "50-74", IF(Table1[[#This Row],[Lifespan (Years)]]&lt;100, "75-99", "&gt;=100"))))</f>
        <v>&lt;25</v>
      </c>
      <c r="J155" s="14">
        <f>IF(Table1[[#This Row],[Weight Unit]]="oz",Table1[[#This Row],[Weight (Digits)]]/16, Table1[[#This Row],[Weight (Digits)]]/1)</f>
        <v>55</v>
      </c>
      <c r="K15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55" s="1" t="s">
        <v>5</v>
      </c>
      <c r="M155" s="1" t="str">
        <f>IF(COUNTIF(Table2[Animal],Table1[[#This Row],[Animal]]) = 1, "Previous Participant", "New Participant")</f>
        <v>New Participant</v>
      </c>
      <c r="N155" s="1" t="str">
        <f>_xlfn.XLOOKUP(Table1[[#This Row],[Region]],'Support - Tables'!$B$3:$B$10,'Support - Tables'!$D$3:$D$10,"Not Found",0)</f>
        <v>Boat</v>
      </c>
      <c r="O155" s="6">
        <f>_xlfn.XLOOKUP(Table1[[#This Row],[Region]],'Support - Tables'!$B$3:$B$10,'Support - Tables'!$C$3:$C$10, "Not Found",0)</f>
        <v>400</v>
      </c>
      <c r="P155" s="6">
        <f>_xlfn.XLOOKUP(Table1[[#This Row],[Diet]],'Support - Tables'!$B$14:$B$16,'Support - Tables'!$C$14:$C$16, "Not Found", 0)</f>
        <v>400</v>
      </c>
      <c r="Q155" s="6">
        <f>Table1[[#This Row],[Revenue]]-Table1[[#This Row],[Cost]]</f>
        <v>0</v>
      </c>
      <c r="R155" s="6">
        <f>COUNTBLANK(Table1[[#This Row],[Diet]:[Region]])</f>
        <v>0</v>
      </c>
      <c r="S155" s="6"/>
      <c r="T155" s="6"/>
    </row>
    <row r="156" spans="1:20" x14ac:dyDescent="0.25">
      <c r="A156" s="2" t="s">
        <v>201</v>
      </c>
      <c r="B156" s="1" t="s">
        <v>23</v>
      </c>
      <c r="C156" s="1">
        <v>20</v>
      </c>
      <c r="D156" s="1" t="s">
        <v>706</v>
      </c>
      <c r="E156" s="1">
        <f>IF(Table1[[#This Row],[Lifespan Unit]]="months", Table1[[#This Row],[Lifespan]]/12,Table1[[#This Row],[Lifespan]])</f>
        <v>20</v>
      </c>
      <c r="F156" s="1" t="s">
        <v>249</v>
      </c>
      <c r="G156" s="1" t="str">
        <f t="shared" si="4"/>
        <v>22</v>
      </c>
      <c r="H156" s="1" t="str">
        <f t="shared" si="5"/>
        <v>lbs</v>
      </c>
      <c r="I156" s="1" t="str">
        <f>IF(Table1[[#This Row],[Lifespan (Years)]]&lt;25, "&lt;25", IF(Table1[[#This Row],[Lifespan (Years)]]&lt;50, "25-49", IF(Table1[[#This Row],[Lifespan (Years)]]&lt;75, "50-74", IF(Table1[[#This Row],[Lifespan (Years)]]&lt;100, "75-99", "&gt;=100"))))</f>
        <v>&lt;25</v>
      </c>
      <c r="J156" s="14">
        <f>IF(Table1[[#This Row],[Weight Unit]]="oz",Table1[[#This Row],[Weight (Digits)]]/16, Table1[[#This Row],[Weight (Digits)]]/1)</f>
        <v>22</v>
      </c>
      <c r="K15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56" s="1" t="s">
        <v>1</v>
      </c>
      <c r="M156" s="1" t="str">
        <f>IF(COUNTIF(Table2[Animal],Table1[[#This Row],[Animal]]) = 1, "Previous Participant", "New Participant")</f>
        <v>New Participant</v>
      </c>
      <c r="N156" s="1" t="str">
        <f>_xlfn.XLOOKUP(Table1[[#This Row],[Region]],'Support - Tables'!$B$3:$B$10,'Support - Tables'!$D$3:$D$10,"Not Found",0)</f>
        <v>Air</v>
      </c>
      <c r="O156" s="6">
        <f>_xlfn.XLOOKUP(Table1[[#This Row],[Region]],'Support - Tables'!$B$3:$B$10,'Support - Tables'!$C$3:$C$10, "Not Found",0)</f>
        <v>700</v>
      </c>
      <c r="P156" s="6">
        <f>_xlfn.XLOOKUP(Table1[[#This Row],[Diet]],'Support - Tables'!$B$14:$B$16,'Support - Tables'!$C$14:$C$16, "Not Found", 0)</f>
        <v>300</v>
      </c>
      <c r="Q156" s="6">
        <f>Table1[[#This Row],[Revenue]]-Table1[[#This Row],[Cost]]</f>
        <v>400</v>
      </c>
      <c r="R156" s="6">
        <f>COUNTBLANK(Table1[[#This Row],[Diet]:[Region]])</f>
        <v>0</v>
      </c>
      <c r="S156" s="6"/>
      <c r="T156" s="6"/>
    </row>
    <row r="157" spans="1:20" x14ac:dyDescent="0.25">
      <c r="A157" s="2" t="s">
        <v>202</v>
      </c>
      <c r="B157" s="1" t="s">
        <v>23</v>
      </c>
      <c r="C157" s="1">
        <v>60</v>
      </c>
      <c r="D157" s="1" t="s">
        <v>706</v>
      </c>
      <c r="E157" s="1">
        <f>IF(Table1[[#This Row],[Lifespan Unit]]="months", Table1[[#This Row],[Lifespan]]/12,Table1[[#This Row],[Lifespan]])</f>
        <v>60</v>
      </c>
      <c r="F157" s="1" t="s">
        <v>19</v>
      </c>
      <c r="G157" s="1" t="str">
        <f t="shared" si="4"/>
        <v>8</v>
      </c>
      <c r="H157" s="1" t="str">
        <f t="shared" si="5"/>
        <v>lbs</v>
      </c>
      <c r="I157" s="1" t="str">
        <f>IF(Table1[[#This Row],[Lifespan (Years)]]&lt;25, "&lt;25", IF(Table1[[#This Row],[Lifespan (Years)]]&lt;50, "25-49", IF(Table1[[#This Row],[Lifespan (Years)]]&lt;75, "50-74", IF(Table1[[#This Row],[Lifespan (Years)]]&lt;100, "75-99", "&gt;=100"))))</f>
        <v>50-74</v>
      </c>
      <c r="J157" s="14">
        <f>IF(Table1[[#This Row],[Weight Unit]]="oz",Table1[[#This Row],[Weight (Digits)]]/16, Table1[[#This Row],[Weight (Digits)]]/1)</f>
        <v>8</v>
      </c>
      <c r="K15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57" s="1" t="s">
        <v>724</v>
      </c>
      <c r="M157" s="1" t="str">
        <f>IF(COUNTIF(Table2[Animal],Table1[[#This Row],[Animal]]) = 1, "Previous Participant", "New Participant")</f>
        <v>Previous Participant</v>
      </c>
      <c r="N157" s="1" t="str">
        <f>_xlfn.XLOOKUP(Table1[[#This Row],[Region]],'Support - Tables'!$B$3:$B$10,'Support - Tables'!$D$3:$D$10,"Not Found",0)</f>
        <v>Road</v>
      </c>
      <c r="O157" s="6">
        <f>_xlfn.XLOOKUP(Table1[[#This Row],[Region]],'Support - Tables'!$B$3:$B$10,'Support - Tables'!$C$3:$C$10, "Not Found",0)</f>
        <v>450</v>
      </c>
      <c r="P157" s="6">
        <f>_xlfn.XLOOKUP(Table1[[#This Row],[Diet]],'Support - Tables'!$B$14:$B$16,'Support - Tables'!$C$14:$C$16, "Not Found", 0)</f>
        <v>300</v>
      </c>
      <c r="Q157" s="6">
        <f>Table1[[#This Row],[Revenue]]-Table1[[#This Row],[Cost]]</f>
        <v>150</v>
      </c>
      <c r="R157" s="6">
        <f>COUNTBLANK(Table1[[#This Row],[Diet]:[Region]])</f>
        <v>0</v>
      </c>
      <c r="S157" s="6"/>
      <c r="T157" s="6"/>
    </row>
    <row r="158" spans="1:20" x14ac:dyDescent="0.25">
      <c r="A158" s="2" t="s">
        <v>203</v>
      </c>
      <c r="B158" s="1" t="s">
        <v>15</v>
      </c>
      <c r="C158" s="1">
        <v>15</v>
      </c>
      <c r="D158" s="1" t="s">
        <v>706</v>
      </c>
      <c r="E158" s="1">
        <f>IF(Table1[[#This Row],[Lifespan Unit]]="months", Table1[[#This Row],[Lifespan]]/12,Table1[[#This Row],[Lifespan]])</f>
        <v>15</v>
      </c>
      <c r="F158" s="1" t="s">
        <v>47</v>
      </c>
      <c r="G158" s="1" t="str">
        <f t="shared" si="4"/>
        <v>28</v>
      </c>
      <c r="H158" s="1" t="str">
        <f t="shared" si="5"/>
        <v>lbs</v>
      </c>
      <c r="I158" s="1" t="str">
        <f>IF(Table1[[#This Row],[Lifespan (Years)]]&lt;25, "&lt;25", IF(Table1[[#This Row],[Lifespan (Years)]]&lt;50, "25-49", IF(Table1[[#This Row],[Lifespan (Years)]]&lt;75, "50-74", IF(Table1[[#This Row],[Lifespan (Years)]]&lt;100, "75-99", "&gt;=100"))))</f>
        <v>&lt;25</v>
      </c>
      <c r="J158" s="14">
        <f>IF(Table1[[#This Row],[Weight Unit]]="oz",Table1[[#This Row],[Weight (Digits)]]/16, Table1[[#This Row],[Weight (Digits)]]/1)</f>
        <v>28</v>
      </c>
      <c r="K15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58" s="1" t="s">
        <v>5</v>
      </c>
      <c r="M158" s="1" t="str">
        <f>IF(COUNTIF(Table2[Animal],Table1[[#This Row],[Animal]]) = 1, "Previous Participant", "New Participant")</f>
        <v>Previous Participant</v>
      </c>
      <c r="N158" s="1" t="str">
        <f>_xlfn.XLOOKUP(Table1[[#This Row],[Region]],'Support - Tables'!$B$3:$B$10,'Support - Tables'!$D$3:$D$10,"Not Found",0)</f>
        <v>Boat</v>
      </c>
      <c r="O158" s="6">
        <f>_xlfn.XLOOKUP(Table1[[#This Row],[Region]],'Support - Tables'!$B$3:$B$10,'Support - Tables'!$C$3:$C$10, "Not Found",0)</f>
        <v>400</v>
      </c>
      <c r="P158" s="6">
        <f>_xlfn.XLOOKUP(Table1[[#This Row],[Diet]],'Support - Tables'!$B$14:$B$16,'Support - Tables'!$C$14:$C$16, "Not Found", 0)</f>
        <v>500</v>
      </c>
      <c r="Q158" s="6">
        <f>Table1[[#This Row],[Revenue]]-Table1[[#This Row],[Cost]]</f>
        <v>-100</v>
      </c>
      <c r="R158" s="6">
        <f>COUNTBLANK(Table1[[#This Row],[Diet]:[Region]])</f>
        <v>0</v>
      </c>
      <c r="S158" s="6"/>
      <c r="T158" s="6"/>
    </row>
    <row r="159" spans="1:20" x14ac:dyDescent="0.25">
      <c r="A159" s="2" t="s">
        <v>204</v>
      </c>
      <c r="B159" s="1" t="s">
        <v>13</v>
      </c>
      <c r="C159" s="1">
        <v>15</v>
      </c>
      <c r="D159" s="1" t="s">
        <v>706</v>
      </c>
      <c r="E159" s="1">
        <f>IF(Table1[[#This Row],[Lifespan Unit]]="months", Table1[[#This Row],[Lifespan]]/12,Table1[[#This Row],[Lifespan]])</f>
        <v>15</v>
      </c>
      <c r="F159" s="1" t="s">
        <v>573</v>
      </c>
      <c r="G159" s="1" t="str">
        <f t="shared" si="4"/>
        <v/>
      </c>
      <c r="H159" s="1" t="str">
        <f t="shared" si="5"/>
        <v/>
      </c>
      <c r="I159" s="1" t="str">
        <f>IF(Table1[[#This Row],[Lifespan (Years)]]&lt;25, "&lt;25", IF(Table1[[#This Row],[Lifespan (Years)]]&lt;50, "25-49", IF(Table1[[#This Row],[Lifespan (Years)]]&lt;75, "50-74", IF(Table1[[#This Row],[Lifespan (Years)]]&lt;100, "75-99", "&gt;=100"))))</f>
        <v>&lt;25</v>
      </c>
      <c r="J159" s="14">
        <v>0</v>
      </c>
      <c r="K15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159" s="1" t="s">
        <v>725</v>
      </c>
      <c r="M159" s="1" t="str">
        <f>IF(COUNTIF(Table2[Animal],Table1[[#This Row],[Animal]]) = 1, "Previous Participant", "New Participant")</f>
        <v>Previous Participant</v>
      </c>
      <c r="N159" s="1" t="str">
        <f>_xlfn.XLOOKUP(Table1[[#This Row],[Region]],'Support - Tables'!$B$3:$B$10,'Support - Tables'!$D$3:$D$10,"Not Found",0)</f>
        <v>Air</v>
      </c>
      <c r="O159" s="6">
        <f>_xlfn.XLOOKUP(Table1[[#This Row],[Region]],'Support - Tables'!$B$3:$B$10,'Support - Tables'!$C$3:$C$10, "Not Found",0)</f>
        <v>600</v>
      </c>
      <c r="P159" s="6">
        <f>_xlfn.XLOOKUP(Table1[[#This Row],[Diet]],'Support - Tables'!$B$14:$B$16,'Support - Tables'!$C$14:$C$16, "Not Found", 0)</f>
        <v>400</v>
      </c>
      <c r="Q159" s="6">
        <f>Table1[[#This Row],[Revenue]]-Table1[[#This Row],[Cost]]</f>
        <v>200</v>
      </c>
      <c r="R159" s="6">
        <f>COUNTBLANK(Table1[[#This Row],[Diet]:[Region]])</f>
        <v>3</v>
      </c>
      <c r="S159" s="6"/>
      <c r="T159" s="6"/>
    </row>
    <row r="160" spans="1:20" x14ac:dyDescent="0.25">
      <c r="A160" s="2" t="s">
        <v>205</v>
      </c>
      <c r="B160" s="1" t="s">
        <v>13</v>
      </c>
      <c r="C160" s="1">
        <v>12</v>
      </c>
      <c r="D160" s="1" t="s">
        <v>706</v>
      </c>
      <c r="E160" s="1">
        <f>IF(Table1[[#This Row],[Lifespan Unit]]="months", Table1[[#This Row],[Lifespan]]/12,Table1[[#This Row],[Lifespan]])</f>
        <v>12</v>
      </c>
      <c r="F160" s="1" t="s">
        <v>106</v>
      </c>
      <c r="G160" s="1" t="str">
        <f t="shared" si="4"/>
        <v>88</v>
      </c>
      <c r="H160" s="1" t="str">
        <f t="shared" si="5"/>
        <v>lbs</v>
      </c>
      <c r="I160" s="1" t="str">
        <f>IF(Table1[[#This Row],[Lifespan (Years)]]&lt;25, "&lt;25", IF(Table1[[#This Row],[Lifespan (Years)]]&lt;50, "25-49", IF(Table1[[#This Row],[Lifespan (Years)]]&lt;75, "50-74", IF(Table1[[#This Row],[Lifespan (Years)]]&lt;100, "75-99", "&gt;=100"))))</f>
        <v>&lt;25</v>
      </c>
      <c r="J160" s="14">
        <f>IF(Table1[[#This Row],[Weight Unit]]="oz",Table1[[#This Row],[Weight (Digits)]]/16, Table1[[#This Row],[Weight (Digits)]]/1)</f>
        <v>88</v>
      </c>
      <c r="K16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60" s="1" t="s">
        <v>5</v>
      </c>
      <c r="M160" s="1" t="str">
        <f>IF(COUNTIF(Table2[Animal],Table1[[#This Row],[Animal]]) = 1, "Previous Participant", "New Participant")</f>
        <v>New Participant</v>
      </c>
      <c r="N160" s="1" t="str">
        <f>_xlfn.XLOOKUP(Table1[[#This Row],[Region]],'Support - Tables'!$B$3:$B$10,'Support - Tables'!$D$3:$D$10,"Not Found",0)</f>
        <v>Boat</v>
      </c>
      <c r="O160" s="6">
        <f>_xlfn.XLOOKUP(Table1[[#This Row],[Region]],'Support - Tables'!$B$3:$B$10,'Support - Tables'!$C$3:$C$10, "Not Found",0)</f>
        <v>400</v>
      </c>
      <c r="P160" s="6">
        <f>_xlfn.XLOOKUP(Table1[[#This Row],[Diet]],'Support - Tables'!$B$14:$B$16,'Support - Tables'!$C$14:$C$16, "Not Found", 0)</f>
        <v>400</v>
      </c>
      <c r="Q160" s="6">
        <f>Table1[[#This Row],[Revenue]]-Table1[[#This Row],[Cost]]</f>
        <v>0</v>
      </c>
      <c r="R160" s="6">
        <f>COUNTBLANK(Table1[[#This Row],[Diet]:[Region]])</f>
        <v>0</v>
      </c>
      <c r="S160" s="6"/>
      <c r="T160" s="6"/>
    </row>
    <row r="161" spans="1:20" x14ac:dyDescent="0.25">
      <c r="A161" s="2" t="s">
        <v>206</v>
      </c>
      <c r="B161" s="1" t="s">
        <v>13</v>
      </c>
      <c r="C161" s="1">
        <v>30</v>
      </c>
      <c r="D161" s="1" t="s">
        <v>706</v>
      </c>
      <c r="E161" s="1">
        <f>IF(Table1[[#This Row],[Lifespan Unit]]="months", Table1[[#This Row],[Lifespan]]/12,Table1[[#This Row],[Lifespan]])</f>
        <v>30</v>
      </c>
      <c r="F161" s="1" t="s">
        <v>32</v>
      </c>
      <c r="G161" s="1" t="str">
        <f t="shared" si="4"/>
        <v>44</v>
      </c>
      <c r="H161" s="1" t="str">
        <f t="shared" si="5"/>
        <v>lbs</v>
      </c>
      <c r="I161" s="1" t="str">
        <f>IF(Table1[[#This Row],[Lifespan (Years)]]&lt;25, "&lt;25", IF(Table1[[#This Row],[Lifespan (Years)]]&lt;50, "25-49", IF(Table1[[#This Row],[Lifespan (Years)]]&lt;75, "50-74", IF(Table1[[#This Row],[Lifespan (Years)]]&lt;100, "75-99", "&gt;=100"))))</f>
        <v>25-49</v>
      </c>
      <c r="J161" s="14">
        <f>IF(Table1[[#This Row],[Weight Unit]]="oz",Table1[[#This Row],[Weight (Digits)]]/16, Table1[[#This Row],[Weight (Digits)]]/1)</f>
        <v>44</v>
      </c>
      <c r="K16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61" s="1" t="s">
        <v>5</v>
      </c>
      <c r="M161" s="1" t="str">
        <f>IF(COUNTIF(Table2[Animal],Table1[[#This Row],[Animal]]) = 1, "Previous Participant", "New Participant")</f>
        <v>Previous Participant</v>
      </c>
      <c r="N161" s="1" t="str">
        <f>_xlfn.XLOOKUP(Table1[[#This Row],[Region]],'Support - Tables'!$B$3:$B$10,'Support - Tables'!$D$3:$D$10,"Not Found",0)</f>
        <v>Boat</v>
      </c>
      <c r="O161" s="6">
        <f>_xlfn.XLOOKUP(Table1[[#This Row],[Region]],'Support - Tables'!$B$3:$B$10,'Support - Tables'!$C$3:$C$10, "Not Found",0)</f>
        <v>400</v>
      </c>
      <c r="P161" s="6">
        <f>_xlfn.XLOOKUP(Table1[[#This Row],[Diet]],'Support - Tables'!$B$14:$B$16,'Support - Tables'!$C$14:$C$16, "Not Found", 0)</f>
        <v>400</v>
      </c>
      <c r="Q161" s="6">
        <f>Table1[[#This Row],[Revenue]]-Table1[[#This Row],[Cost]]</f>
        <v>0</v>
      </c>
      <c r="R161" s="6">
        <f>COUNTBLANK(Table1[[#This Row],[Diet]:[Region]])</f>
        <v>0</v>
      </c>
      <c r="S161" s="6"/>
      <c r="T161" s="6"/>
    </row>
    <row r="162" spans="1:20" x14ac:dyDescent="0.25">
      <c r="A162" s="2" t="s">
        <v>207</v>
      </c>
      <c r="B162" s="1" t="s">
        <v>13</v>
      </c>
      <c r="C162" s="1">
        <v>13</v>
      </c>
      <c r="D162" s="1" t="s">
        <v>706</v>
      </c>
      <c r="E162" s="1">
        <f>IF(Table1[[#This Row],[Lifespan Unit]]="months", Table1[[#This Row],[Lifespan]]/12,Table1[[#This Row],[Lifespan]])</f>
        <v>13</v>
      </c>
      <c r="F162" s="1" t="s">
        <v>208</v>
      </c>
      <c r="G162" s="1" t="str">
        <f t="shared" si="4"/>
        <v>100</v>
      </c>
      <c r="H162" s="1" t="str">
        <f t="shared" si="5"/>
        <v>lbs</v>
      </c>
      <c r="I162" s="1" t="str">
        <f>IF(Table1[[#This Row],[Lifespan (Years)]]&lt;25, "&lt;25", IF(Table1[[#This Row],[Lifespan (Years)]]&lt;50, "25-49", IF(Table1[[#This Row],[Lifespan (Years)]]&lt;75, "50-74", IF(Table1[[#This Row],[Lifespan (Years)]]&lt;100, "75-99", "&gt;=100"))))</f>
        <v>&lt;25</v>
      </c>
      <c r="J162" s="14">
        <f>IF(Table1[[#This Row],[Weight Unit]]="oz",Table1[[#This Row],[Weight (Digits)]]/16, Table1[[#This Row],[Weight (Digits)]]/1)</f>
        <v>100</v>
      </c>
      <c r="K16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162" s="1" t="s">
        <v>6</v>
      </c>
      <c r="M162" s="1" t="str">
        <f>IF(COUNTIF(Table2[Animal],Table1[[#This Row],[Animal]]) = 1, "Previous Participant", "New Participant")</f>
        <v>Previous Participant</v>
      </c>
      <c r="N162" s="1" t="str">
        <f>_xlfn.XLOOKUP(Table1[[#This Row],[Region]],'Support - Tables'!$B$3:$B$10,'Support - Tables'!$D$3:$D$10,"Not Found",0)</f>
        <v>Air</v>
      </c>
      <c r="O162" s="6">
        <f>_xlfn.XLOOKUP(Table1[[#This Row],[Region]],'Support - Tables'!$B$3:$B$10,'Support - Tables'!$C$3:$C$10, "Not Found",0)</f>
        <v>450</v>
      </c>
      <c r="P162" s="6">
        <f>_xlfn.XLOOKUP(Table1[[#This Row],[Diet]],'Support - Tables'!$B$14:$B$16,'Support - Tables'!$C$14:$C$16, "Not Found", 0)</f>
        <v>400</v>
      </c>
      <c r="Q162" s="6">
        <f>Table1[[#This Row],[Revenue]]-Table1[[#This Row],[Cost]]</f>
        <v>50</v>
      </c>
      <c r="R162" s="6">
        <f>COUNTBLANK(Table1[[#This Row],[Diet]:[Region]])</f>
        <v>0</v>
      </c>
      <c r="S162" s="6"/>
      <c r="T162" s="6"/>
    </row>
    <row r="163" spans="1:20" x14ac:dyDescent="0.25">
      <c r="A163" s="2" t="s">
        <v>209</v>
      </c>
      <c r="B163" s="1" t="s">
        <v>13</v>
      </c>
      <c r="C163" s="1">
        <v>12</v>
      </c>
      <c r="D163" s="1" t="s">
        <v>706</v>
      </c>
      <c r="E163" s="1">
        <f>IF(Table1[[#This Row],[Lifespan Unit]]="months", Table1[[#This Row],[Lifespan]]/12,Table1[[#This Row],[Lifespan]])</f>
        <v>12</v>
      </c>
      <c r="F163" s="1" t="s">
        <v>208</v>
      </c>
      <c r="G163" s="1" t="str">
        <f t="shared" si="4"/>
        <v>100</v>
      </c>
      <c r="H163" s="1" t="str">
        <f t="shared" si="5"/>
        <v>lbs</v>
      </c>
      <c r="I163" s="1" t="str">
        <f>IF(Table1[[#This Row],[Lifespan (Years)]]&lt;25, "&lt;25", IF(Table1[[#This Row],[Lifespan (Years)]]&lt;50, "25-49", IF(Table1[[#This Row],[Lifespan (Years)]]&lt;75, "50-74", IF(Table1[[#This Row],[Lifespan (Years)]]&lt;100, "75-99", "&gt;=100"))))</f>
        <v>&lt;25</v>
      </c>
      <c r="J163" s="14">
        <f>IF(Table1[[#This Row],[Weight Unit]]="oz",Table1[[#This Row],[Weight (Digits)]]/16, Table1[[#This Row],[Weight (Digits)]]/1)</f>
        <v>100</v>
      </c>
      <c r="K16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163" s="1" t="s">
        <v>5</v>
      </c>
      <c r="M163" s="1" t="str">
        <f>IF(COUNTIF(Table2[Animal],Table1[[#This Row],[Animal]]) = 1, "Previous Participant", "New Participant")</f>
        <v>Previous Participant</v>
      </c>
      <c r="N163" s="1" t="str">
        <f>_xlfn.XLOOKUP(Table1[[#This Row],[Region]],'Support - Tables'!$B$3:$B$10,'Support - Tables'!$D$3:$D$10,"Not Found",0)</f>
        <v>Boat</v>
      </c>
      <c r="O163" s="6">
        <f>_xlfn.XLOOKUP(Table1[[#This Row],[Region]],'Support - Tables'!$B$3:$B$10,'Support - Tables'!$C$3:$C$10, "Not Found",0)</f>
        <v>400</v>
      </c>
      <c r="P163" s="6">
        <f>_xlfn.XLOOKUP(Table1[[#This Row],[Diet]],'Support - Tables'!$B$14:$B$16,'Support - Tables'!$C$14:$C$16, "Not Found", 0)</f>
        <v>400</v>
      </c>
      <c r="Q163" s="6">
        <f>Table1[[#This Row],[Revenue]]-Table1[[#This Row],[Cost]]</f>
        <v>0</v>
      </c>
      <c r="R163" s="6">
        <f>COUNTBLANK(Table1[[#This Row],[Diet]:[Region]])</f>
        <v>0</v>
      </c>
      <c r="S163" s="6"/>
      <c r="T163" s="6"/>
    </row>
    <row r="164" spans="1:20" x14ac:dyDescent="0.25">
      <c r="A164" s="2" t="s">
        <v>210</v>
      </c>
      <c r="B164" s="1" t="s">
        <v>15</v>
      </c>
      <c r="C164" s="1">
        <v>45</v>
      </c>
      <c r="D164" s="1" t="s">
        <v>706</v>
      </c>
      <c r="E164" s="1">
        <f>IF(Table1[[#This Row],[Lifespan Unit]]="months", Table1[[#This Row],[Lifespan]]/12,Table1[[#This Row],[Lifespan]])</f>
        <v>45</v>
      </c>
      <c r="F164" s="1" t="s">
        <v>587</v>
      </c>
      <c r="G164" s="1" t="str">
        <f t="shared" si="4"/>
        <v>220</v>
      </c>
      <c r="H164" s="1" t="str">
        <f t="shared" si="5"/>
        <v>lbs</v>
      </c>
      <c r="I164" s="1" t="str">
        <f>IF(Table1[[#This Row],[Lifespan (Years)]]&lt;25, "&lt;25", IF(Table1[[#This Row],[Lifespan (Years)]]&lt;50, "25-49", IF(Table1[[#This Row],[Lifespan (Years)]]&lt;75, "50-74", IF(Table1[[#This Row],[Lifespan (Years)]]&lt;100, "75-99", "&gt;=100"))))</f>
        <v>25-49</v>
      </c>
      <c r="J164" s="14">
        <f>IF(Table1[[#This Row],[Weight Unit]]="oz",Table1[[#This Row],[Weight (Digits)]]/16, Table1[[#This Row],[Weight (Digits)]]/1)</f>
        <v>220</v>
      </c>
      <c r="K16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200-299</v>
      </c>
      <c r="L164" s="1" t="s">
        <v>5</v>
      </c>
      <c r="M164" s="1" t="str">
        <f>IF(COUNTIF(Table2[Animal],Table1[[#This Row],[Animal]]) = 1, "Previous Participant", "New Participant")</f>
        <v>Previous Participant</v>
      </c>
      <c r="N164" s="1" t="str">
        <f>_xlfn.XLOOKUP(Table1[[#This Row],[Region]],'Support - Tables'!$B$3:$B$10,'Support - Tables'!$D$3:$D$10,"Not Found",0)</f>
        <v>Boat</v>
      </c>
      <c r="O164" s="6">
        <f>_xlfn.XLOOKUP(Table1[[#This Row],[Region]],'Support - Tables'!$B$3:$B$10,'Support - Tables'!$C$3:$C$10, "Not Found",0)</f>
        <v>400</v>
      </c>
      <c r="P164" s="6">
        <f>_xlfn.XLOOKUP(Table1[[#This Row],[Diet]],'Support - Tables'!$B$14:$B$16,'Support - Tables'!$C$14:$C$16, "Not Found", 0)</f>
        <v>500</v>
      </c>
      <c r="Q164" s="6">
        <f>Table1[[#This Row],[Revenue]]-Table1[[#This Row],[Cost]]</f>
        <v>-100</v>
      </c>
      <c r="R164" s="6">
        <f>COUNTBLANK(Table1[[#This Row],[Diet]:[Region]])</f>
        <v>0</v>
      </c>
      <c r="S164" s="6"/>
      <c r="T164" s="6"/>
    </row>
    <row r="165" spans="1:20" x14ac:dyDescent="0.25">
      <c r="A165" s="2" t="s">
        <v>211</v>
      </c>
      <c r="B165" s="1" t="s">
        <v>23</v>
      </c>
      <c r="C165" s="1">
        <v>30</v>
      </c>
      <c r="D165" s="1" t="s">
        <v>706</v>
      </c>
      <c r="E165" s="1">
        <f>IF(Table1[[#This Row],[Lifespan Unit]]="months", Table1[[#This Row],[Lifespan]]/12,Table1[[#This Row],[Lifespan]])</f>
        <v>30</v>
      </c>
      <c r="F165" s="1" t="s">
        <v>609</v>
      </c>
      <c r="G165" s="1" t="str">
        <f t="shared" si="4"/>
        <v>441</v>
      </c>
      <c r="H165" s="1" t="str">
        <f t="shared" si="5"/>
        <v>lbs</v>
      </c>
      <c r="I165" s="1" t="str">
        <f>IF(Table1[[#This Row],[Lifespan (Years)]]&lt;25, "&lt;25", IF(Table1[[#This Row],[Lifespan (Years)]]&lt;50, "25-49", IF(Table1[[#This Row],[Lifespan (Years)]]&lt;75, "50-74", IF(Table1[[#This Row],[Lifespan (Years)]]&lt;100, "75-99", "&gt;=100"))))</f>
        <v>25-49</v>
      </c>
      <c r="J165" s="14">
        <f>IF(Table1[[#This Row],[Weight Unit]]="oz",Table1[[#This Row],[Weight (Digits)]]/16, Table1[[#This Row],[Weight (Digits)]]/1)</f>
        <v>441</v>
      </c>
      <c r="K16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400-499</v>
      </c>
      <c r="L165" s="1" t="s">
        <v>5</v>
      </c>
      <c r="M165" s="1" t="str">
        <f>IF(COUNTIF(Table2[Animal],Table1[[#This Row],[Animal]]) = 1, "Previous Participant", "New Participant")</f>
        <v>Previous Participant</v>
      </c>
      <c r="N165" s="1" t="str">
        <f>_xlfn.XLOOKUP(Table1[[#This Row],[Region]],'Support - Tables'!$B$3:$B$10,'Support - Tables'!$D$3:$D$10,"Not Found",0)</f>
        <v>Boat</v>
      </c>
      <c r="O165" s="6">
        <f>_xlfn.XLOOKUP(Table1[[#This Row],[Region]],'Support - Tables'!$B$3:$B$10,'Support - Tables'!$C$3:$C$10, "Not Found",0)</f>
        <v>400</v>
      </c>
      <c r="P165" s="6">
        <f>_xlfn.XLOOKUP(Table1[[#This Row],[Diet]],'Support - Tables'!$B$14:$B$16,'Support - Tables'!$C$14:$C$16, "Not Found", 0)</f>
        <v>300</v>
      </c>
      <c r="Q165" s="6">
        <f>Table1[[#This Row],[Revenue]]-Table1[[#This Row],[Cost]]</f>
        <v>100</v>
      </c>
      <c r="R165" s="6">
        <f>COUNTBLANK(Table1[[#This Row],[Diet]:[Region]])</f>
        <v>0</v>
      </c>
      <c r="S165" s="6"/>
      <c r="T165" s="6"/>
    </row>
    <row r="166" spans="1:20" x14ac:dyDescent="0.25">
      <c r="A166" s="2" t="s">
        <v>212</v>
      </c>
      <c r="B166" s="1" t="s">
        <v>13</v>
      </c>
      <c r="C166" s="1">
        <v>5</v>
      </c>
      <c r="D166" s="1" t="s">
        <v>706</v>
      </c>
      <c r="E166" s="1">
        <f>IF(Table1[[#This Row],[Lifespan Unit]]="months", Table1[[#This Row],[Lifespan]]/12,Table1[[#This Row],[Lifespan]])</f>
        <v>5</v>
      </c>
      <c r="F166" s="1" t="s">
        <v>258</v>
      </c>
      <c r="G166" s="1" t="str">
        <f t="shared" si="4"/>
        <v>0.5</v>
      </c>
      <c r="H166" s="1" t="str">
        <f t="shared" si="5"/>
        <v>oz</v>
      </c>
      <c r="I166" s="1" t="str">
        <f>IF(Table1[[#This Row],[Lifespan (Years)]]&lt;25, "&lt;25", IF(Table1[[#This Row],[Lifespan (Years)]]&lt;50, "25-49", IF(Table1[[#This Row],[Lifespan (Years)]]&lt;75, "50-74", IF(Table1[[#This Row],[Lifespan (Years)]]&lt;100, "75-99", "&gt;=100"))))</f>
        <v>&lt;25</v>
      </c>
      <c r="J166" s="14">
        <f>IF(Table1[[#This Row],[Weight Unit]]="oz",Table1[[#This Row],[Weight (Digits)]]/16, Table1[[#This Row],[Weight (Digits)]]/1)</f>
        <v>3.125E-2</v>
      </c>
      <c r="K16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66" s="1" t="s">
        <v>4</v>
      </c>
      <c r="M166" s="1" t="str">
        <f>IF(COUNTIF(Table2[Animal],Table1[[#This Row],[Animal]]) = 1, "Previous Participant", "New Participant")</f>
        <v>New Participant</v>
      </c>
      <c r="N166" s="1" t="str">
        <f>_xlfn.XLOOKUP(Table1[[#This Row],[Region]],'Support - Tables'!$B$3:$B$10,'Support - Tables'!$D$3:$D$10,"Not Found",0)</f>
        <v>Boat</v>
      </c>
      <c r="O166" s="6">
        <f>_xlfn.XLOOKUP(Table1[[#This Row],[Region]],'Support - Tables'!$B$3:$B$10,'Support - Tables'!$C$3:$C$10, "Not Found",0)</f>
        <v>200</v>
      </c>
      <c r="P166" s="6">
        <f>_xlfn.XLOOKUP(Table1[[#This Row],[Diet]],'Support - Tables'!$B$14:$B$16,'Support - Tables'!$C$14:$C$16, "Not Found", 0)</f>
        <v>400</v>
      </c>
      <c r="Q166" s="6">
        <f>Table1[[#This Row],[Revenue]]-Table1[[#This Row],[Cost]]</f>
        <v>-200</v>
      </c>
      <c r="R166" s="6">
        <f>COUNTBLANK(Table1[[#This Row],[Diet]:[Region]])</f>
        <v>0</v>
      </c>
      <c r="S166" s="6"/>
      <c r="T166" s="6"/>
    </row>
    <row r="167" spans="1:20" x14ac:dyDescent="0.25">
      <c r="A167" s="2" t="s">
        <v>213</v>
      </c>
      <c r="B167" s="1" t="s">
        <v>15</v>
      </c>
      <c r="C167" s="1">
        <v>6</v>
      </c>
      <c r="D167" s="1" t="s">
        <v>706</v>
      </c>
      <c r="E167" s="1">
        <f>IF(Table1[[#This Row],[Lifespan Unit]]="months", Table1[[#This Row],[Lifespan]]/12,Table1[[#This Row],[Lifespan]])</f>
        <v>6</v>
      </c>
      <c r="F167" s="1" t="s">
        <v>573</v>
      </c>
      <c r="G167" s="1" t="str">
        <f t="shared" si="4"/>
        <v/>
      </c>
      <c r="H167" s="1" t="str">
        <f t="shared" si="5"/>
        <v/>
      </c>
      <c r="I167" s="1" t="str">
        <f>IF(Table1[[#This Row],[Lifespan (Years)]]&lt;25, "&lt;25", IF(Table1[[#This Row],[Lifespan (Years)]]&lt;50, "25-49", IF(Table1[[#This Row],[Lifespan (Years)]]&lt;75, "50-74", IF(Table1[[#This Row],[Lifespan (Years)]]&lt;100, "75-99", "&gt;=100"))))</f>
        <v>&lt;25</v>
      </c>
      <c r="J167" s="14">
        <v>0</v>
      </c>
      <c r="K16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167" s="1" t="s">
        <v>4</v>
      </c>
      <c r="M167" s="1" t="str">
        <f>IF(COUNTIF(Table2[Animal],Table1[[#This Row],[Animal]]) = 1, "Previous Participant", "New Participant")</f>
        <v>Previous Participant</v>
      </c>
      <c r="N167" s="1" t="str">
        <f>_xlfn.XLOOKUP(Table1[[#This Row],[Region]],'Support - Tables'!$B$3:$B$10,'Support - Tables'!$D$3:$D$10,"Not Found",0)</f>
        <v>Boat</v>
      </c>
      <c r="O167" s="6">
        <f>_xlfn.XLOOKUP(Table1[[#This Row],[Region]],'Support - Tables'!$B$3:$B$10,'Support - Tables'!$C$3:$C$10, "Not Found",0)</f>
        <v>200</v>
      </c>
      <c r="P167" s="6">
        <f>_xlfn.XLOOKUP(Table1[[#This Row],[Diet]],'Support - Tables'!$B$14:$B$16,'Support - Tables'!$C$14:$C$16, "Not Found", 0)</f>
        <v>500</v>
      </c>
      <c r="Q167" s="6">
        <f>Table1[[#This Row],[Revenue]]-Table1[[#This Row],[Cost]]</f>
        <v>-300</v>
      </c>
      <c r="R167" s="6">
        <f>COUNTBLANK(Table1[[#This Row],[Diet]:[Region]])</f>
        <v>3</v>
      </c>
      <c r="S167" s="6"/>
      <c r="T167" s="6"/>
    </row>
    <row r="168" spans="1:20" x14ac:dyDescent="0.25">
      <c r="A168" s="2" t="s">
        <v>214</v>
      </c>
      <c r="B168" s="1" t="s">
        <v>13</v>
      </c>
      <c r="C168" s="1">
        <v>8</v>
      </c>
      <c r="D168" s="1" t="s">
        <v>706</v>
      </c>
      <c r="E168" s="1">
        <f>IF(Table1[[#This Row],[Lifespan Unit]]="months", Table1[[#This Row],[Lifespan]]/12,Table1[[#This Row],[Lifespan]])</f>
        <v>8</v>
      </c>
      <c r="F168" s="1" t="s">
        <v>610</v>
      </c>
      <c r="G168" s="1" t="str">
        <f t="shared" si="4"/>
        <v>1.5</v>
      </c>
      <c r="H168" s="1" t="str">
        <f t="shared" si="5"/>
        <v>lbs</v>
      </c>
      <c r="I168" s="1" t="str">
        <f>IF(Table1[[#This Row],[Lifespan (Years)]]&lt;25, "&lt;25", IF(Table1[[#This Row],[Lifespan (Years)]]&lt;50, "25-49", IF(Table1[[#This Row],[Lifespan (Years)]]&lt;75, "50-74", IF(Table1[[#This Row],[Lifespan (Years)]]&lt;100, "75-99", "&gt;=100"))))</f>
        <v>&lt;25</v>
      </c>
      <c r="J168" s="14">
        <f>IF(Table1[[#This Row],[Weight Unit]]="oz",Table1[[#This Row],[Weight (Digits)]]/16, Table1[[#This Row],[Weight (Digits)]]/1)</f>
        <v>1.5</v>
      </c>
      <c r="K16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68" s="1" t="s">
        <v>4</v>
      </c>
      <c r="M168" s="1" t="str">
        <f>IF(COUNTIF(Table2[Animal],Table1[[#This Row],[Animal]]) = 1, "Previous Participant", "New Participant")</f>
        <v>New Participant</v>
      </c>
      <c r="N168" s="1" t="str">
        <f>_xlfn.XLOOKUP(Table1[[#This Row],[Region]],'Support - Tables'!$B$3:$B$10,'Support - Tables'!$D$3:$D$10,"Not Found",0)</f>
        <v>Boat</v>
      </c>
      <c r="O168" s="6">
        <f>_xlfn.XLOOKUP(Table1[[#This Row],[Region]],'Support - Tables'!$B$3:$B$10,'Support - Tables'!$C$3:$C$10, "Not Found",0)</f>
        <v>200</v>
      </c>
      <c r="P168" s="6">
        <f>_xlfn.XLOOKUP(Table1[[#This Row],[Diet]],'Support - Tables'!$B$14:$B$16,'Support - Tables'!$C$14:$C$16, "Not Found", 0)</f>
        <v>400</v>
      </c>
      <c r="Q168" s="6">
        <f>Table1[[#This Row],[Revenue]]-Table1[[#This Row],[Cost]]</f>
        <v>-200</v>
      </c>
      <c r="R168" s="6">
        <f>COUNTBLANK(Table1[[#This Row],[Diet]:[Region]])</f>
        <v>0</v>
      </c>
      <c r="S168" s="6"/>
      <c r="T168" s="6"/>
    </row>
    <row r="169" spans="1:20" x14ac:dyDescent="0.25">
      <c r="A169" s="2" t="s">
        <v>215</v>
      </c>
      <c r="B169" s="1" t="s">
        <v>15</v>
      </c>
      <c r="C169" s="1">
        <v>25</v>
      </c>
      <c r="D169" s="1" t="s">
        <v>706</v>
      </c>
      <c r="E169" s="1">
        <f>IF(Table1[[#This Row],[Lifespan Unit]]="months", Table1[[#This Row],[Lifespan]]/12,Table1[[#This Row],[Lifespan]])</f>
        <v>25</v>
      </c>
      <c r="F169" s="1" t="s">
        <v>611</v>
      </c>
      <c r="G169" s="1" t="str">
        <f t="shared" si="4"/>
        <v>176</v>
      </c>
      <c r="H169" s="1" t="str">
        <f t="shared" si="5"/>
        <v>lbs</v>
      </c>
      <c r="I169" s="1" t="str">
        <f>IF(Table1[[#This Row],[Lifespan (Years)]]&lt;25, "&lt;25", IF(Table1[[#This Row],[Lifespan (Years)]]&lt;50, "25-49", IF(Table1[[#This Row],[Lifespan (Years)]]&lt;75, "50-74", IF(Table1[[#This Row],[Lifespan (Years)]]&lt;100, "75-99", "&gt;=100"))))</f>
        <v>25-49</v>
      </c>
      <c r="J169" s="14">
        <f>IF(Table1[[#This Row],[Weight Unit]]="oz",Table1[[#This Row],[Weight (Digits)]]/16, Table1[[#This Row],[Weight (Digits)]]/1)</f>
        <v>176</v>
      </c>
      <c r="K16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169" s="1" t="s">
        <v>4</v>
      </c>
      <c r="M169" s="1" t="str">
        <f>IF(COUNTIF(Table2[Animal],Table1[[#This Row],[Animal]]) = 1, "Previous Participant", "New Participant")</f>
        <v>Previous Participant</v>
      </c>
      <c r="N169" s="1" t="str">
        <f>_xlfn.XLOOKUP(Table1[[#This Row],[Region]],'Support - Tables'!$B$3:$B$10,'Support - Tables'!$D$3:$D$10,"Not Found",0)</f>
        <v>Boat</v>
      </c>
      <c r="O169" s="6">
        <f>_xlfn.XLOOKUP(Table1[[#This Row],[Region]],'Support - Tables'!$B$3:$B$10,'Support - Tables'!$C$3:$C$10, "Not Found",0)</f>
        <v>200</v>
      </c>
      <c r="P169" s="6">
        <f>_xlfn.XLOOKUP(Table1[[#This Row],[Diet]],'Support - Tables'!$B$14:$B$16,'Support - Tables'!$C$14:$C$16, "Not Found", 0)</f>
        <v>500</v>
      </c>
      <c r="Q169" s="6">
        <f>Table1[[#This Row],[Revenue]]-Table1[[#This Row],[Cost]]</f>
        <v>-300</v>
      </c>
      <c r="R169" s="6">
        <f>COUNTBLANK(Table1[[#This Row],[Diet]:[Region]])</f>
        <v>0</v>
      </c>
      <c r="S169" s="6"/>
      <c r="T169" s="6"/>
    </row>
    <row r="170" spans="1:20" x14ac:dyDescent="0.25">
      <c r="A170" s="2" t="s">
        <v>216</v>
      </c>
      <c r="B170" s="1" t="s">
        <v>13</v>
      </c>
      <c r="C170" s="1">
        <v>30</v>
      </c>
      <c r="D170" s="1" t="s">
        <v>706</v>
      </c>
      <c r="E170" s="1">
        <f>IF(Table1[[#This Row],[Lifespan Unit]]="months", Table1[[#This Row],[Lifespan]]/12,Table1[[#This Row],[Lifespan]])</f>
        <v>30</v>
      </c>
      <c r="F170" s="1" t="s">
        <v>612</v>
      </c>
      <c r="G170" s="1" t="str">
        <f t="shared" si="4"/>
        <v>1.1</v>
      </c>
      <c r="H170" s="1" t="str">
        <f t="shared" si="5"/>
        <v>lbs</v>
      </c>
      <c r="I170" s="1" t="str">
        <f>IF(Table1[[#This Row],[Lifespan (Years)]]&lt;25, "&lt;25", IF(Table1[[#This Row],[Lifespan (Years)]]&lt;50, "25-49", IF(Table1[[#This Row],[Lifespan (Years)]]&lt;75, "50-74", IF(Table1[[#This Row],[Lifespan (Years)]]&lt;100, "75-99", "&gt;=100"))))</f>
        <v>25-49</v>
      </c>
      <c r="J170" s="14">
        <f>IF(Table1[[#This Row],[Weight Unit]]="oz",Table1[[#This Row],[Weight (Digits)]]/16, Table1[[#This Row],[Weight (Digits)]]/1)</f>
        <v>1.1000000000000001</v>
      </c>
      <c r="K17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70" s="1" t="s">
        <v>724</v>
      </c>
      <c r="M170" s="1" t="str">
        <f>IF(COUNTIF(Table2[Animal],Table1[[#This Row],[Animal]]) = 1, "Previous Participant", "New Participant")</f>
        <v>Previous Participant</v>
      </c>
      <c r="N170" s="1" t="str">
        <f>_xlfn.XLOOKUP(Table1[[#This Row],[Region]],'Support - Tables'!$B$3:$B$10,'Support - Tables'!$D$3:$D$10,"Not Found",0)</f>
        <v>Road</v>
      </c>
      <c r="O170" s="6">
        <f>_xlfn.XLOOKUP(Table1[[#This Row],[Region]],'Support - Tables'!$B$3:$B$10,'Support - Tables'!$C$3:$C$10, "Not Found",0)</f>
        <v>450</v>
      </c>
      <c r="P170" s="6">
        <f>_xlfn.XLOOKUP(Table1[[#This Row],[Diet]],'Support - Tables'!$B$14:$B$16,'Support - Tables'!$C$14:$C$16, "Not Found", 0)</f>
        <v>400</v>
      </c>
      <c r="Q170" s="6">
        <f>Table1[[#This Row],[Revenue]]-Table1[[#This Row],[Cost]]</f>
        <v>50</v>
      </c>
      <c r="R170" s="6">
        <f>COUNTBLANK(Table1[[#This Row],[Diet]:[Region]])</f>
        <v>0</v>
      </c>
      <c r="S170" s="6"/>
      <c r="T170" s="6"/>
    </row>
    <row r="171" spans="1:20" x14ac:dyDescent="0.25">
      <c r="A171" s="2" t="s">
        <v>217</v>
      </c>
      <c r="B171" s="1" t="s">
        <v>13</v>
      </c>
      <c r="C171" s="1">
        <v>3</v>
      </c>
      <c r="D171" s="1" t="s">
        <v>706</v>
      </c>
      <c r="E171" s="1">
        <f>IF(Table1[[#This Row],[Lifespan Unit]]="months", Table1[[#This Row],[Lifespan]]/12,Table1[[#This Row],[Lifespan]])</f>
        <v>3</v>
      </c>
      <c r="F171" s="1" t="s">
        <v>583</v>
      </c>
      <c r="G171" s="1" t="str">
        <f t="shared" si="4"/>
        <v>0.07</v>
      </c>
      <c r="H171" s="1" t="str">
        <f t="shared" si="5"/>
        <v>oz</v>
      </c>
      <c r="I171" s="1" t="str">
        <f>IF(Table1[[#This Row],[Lifespan (Years)]]&lt;25, "&lt;25", IF(Table1[[#This Row],[Lifespan (Years)]]&lt;50, "25-49", IF(Table1[[#This Row],[Lifespan (Years)]]&lt;75, "50-74", IF(Table1[[#This Row],[Lifespan (Years)]]&lt;100, "75-99", "&gt;=100"))))</f>
        <v>&lt;25</v>
      </c>
      <c r="J171" s="14">
        <f>IF(Table1[[#This Row],[Weight Unit]]="oz",Table1[[#This Row],[Weight (Digits)]]/16, Table1[[#This Row],[Weight (Digits)]]/1)</f>
        <v>4.3750000000000004E-3</v>
      </c>
      <c r="K17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71" s="1" t="s">
        <v>1</v>
      </c>
      <c r="M171" s="1" t="str">
        <f>IF(COUNTIF(Table2[Animal],Table1[[#This Row],[Animal]]) = 1, "Previous Participant", "New Participant")</f>
        <v>Previous Participant</v>
      </c>
      <c r="N171" s="1" t="str">
        <f>_xlfn.XLOOKUP(Table1[[#This Row],[Region]],'Support - Tables'!$B$3:$B$10,'Support - Tables'!$D$3:$D$10,"Not Found",0)</f>
        <v>Air</v>
      </c>
      <c r="O171" s="6">
        <f>_xlfn.XLOOKUP(Table1[[#This Row],[Region]],'Support - Tables'!$B$3:$B$10,'Support - Tables'!$C$3:$C$10, "Not Found",0)</f>
        <v>700</v>
      </c>
      <c r="P171" s="6">
        <f>_xlfn.XLOOKUP(Table1[[#This Row],[Diet]],'Support - Tables'!$B$14:$B$16,'Support - Tables'!$C$14:$C$16, "Not Found", 0)</f>
        <v>400</v>
      </c>
      <c r="Q171" s="6">
        <f>Table1[[#This Row],[Revenue]]-Table1[[#This Row],[Cost]]</f>
        <v>300</v>
      </c>
      <c r="R171" s="6">
        <f>COUNTBLANK(Table1[[#This Row],[Diet]:[Region]])</f>
        <v>0</v>
      </c>
      <c r="S171" s="6"/>
      <c r="T171" s="6"/>
    </row>
    <row r="172" spans="1:20" x14ac:dyDescent="0.25">
      <c r="A172" s="2" t="s">
        <v>218</v>
      </c>
      <c r="B172" s="1" t="s">
        <v>15</v>
      </c>
      <c r="C172" s="1">
        <v>40</v>
      </c>
      <c r="D172" s="1" t="s">
        <v>706</v>
      </c>
      <c r="E172" s="1">
        <f>IF(Table1[[#This Row],[Lifespan Unit]]="months", Table1[[#This Row],[Lifespan]]/12,Table1[[#This Row],[Lifespan]])</f>
        <v>40</v>
      </c>
      <c r="F172" s="1" t="s">
        <v>121</v>
      </c>
      <c r="G172" s="1" t="str">
        <f t="shared" si="4"/>
        <v>9</v>
      </c>
      <c r="H172" s="1" t="str">
        <f t="shared" si="5"/>
        <v>lbs</v>
      </c>
      <c r="I172" s="1" t="str">
        <f>IF(Table1[[#This Row],[Lifespan (Years)]]&lt;25, "&lt;25", IF(Table1[[#This Row],[Lifespan (Years)]]&lt;50, "25-49", IF(Table1[[#This Row],[Lifespan (Years)]]&lt;75, "50-74", IF(Table1[[#This Row],[Lifespan (Years)]]&lt;100, "75-99", "&gt;=100"))))</f>
        <v>25-49</v>
      </c>
      <c r="J172" s="14">
        <f>IF(Table1[[#This Row],[Weight Unit]]="oz",Table1[[#This Row],[Weight (Digits)]]/16, Table1[[#This Row],[Weight (Digits)]]/1)</f>
        <v>9</v>
      </c>
      <c r="K17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72" s="1" t="s">
        <v>724</v>
      </c>
      <c r="M172" s="1" t="str">
        <f>IF(COUNTIF(Table2[Animal],Table1[[#This Row],[Animal]]) = 1, "Previous Participant", "New Participant")</f>
        <v>Previous Participant</v>
      </c>
      <c r="N172" s="1" t="str">
        <f>_xlfn.XLOOKUP(Table1[[#This Row],[Region]],'Support - Tables'!$B$3:$B$10,'Support - Tables'!$D$3:$D$10,"Not Found",0)</f>
        <v>Road</v>
      </c>
      <c r="O172" s="6">
        <f>_xlfn.XLOOKUP(Table1[[#This Row],[Region]],'Support - Tables'!$B$3:$B$10,'Support - Tables'!$C$3:$C$10, "Not Found",0)</f>
        <v>450</v>
      </c>
      <c r="P172" s="6">
        <f>_xlfn.XLOOKUP(Table1[[#This Row],[Diet]],'Support - Tables'!$B$14:$B$16,'Support - Tables'!$C$14:$C$16, "Not Found", 0)</f>
        <v>500</v>
      </c>
      <c r="Q172" s="6">
        <f>Table1[[#This Row],[Revenue]]-Table1[[#This Row],[Cost]]</f>
        <v>-50</v>
      </c>
      <c r="R172" s="6">
        <f>COUNTBLANK(Table1[[#This Row],[Diet]:[Region]])</f>
        <v>0</v>
      </c>
      <c r="S172" s="6"/>
      <c r="T172" s="6"/>
    </row>
    <row r="173" spans="1:20" x14ac:dyDescent="0.25">
      <c r="A173" s="2" t="s">
        <v>219</v>
      </c>
      <c r="B173" s="1" t="s">
        <v>15</v>
      </c>
      <c r="C173" s="1">
        <v>15</v>
      </c>
      <c r="D173" s="1" t="s">
        <v>706</v>
      </c>
      <c r="E173" s="1">
        <f>IF(Table1[[#This Row],[Lifespan Unit]]="months", Table1[[#This Row],[Lifespan]]/12,Table1[[#This Row],[Lifespan]])</f>
        <v>15</v>
      </c>
      <c r="F173" s="1" t="s">
        <v>613</v>
      </c>
      <c r="G173" s="1" t="str">
        <f t="shared" si="4"/>
        <v>0.17</v>
      </c>
      <c r="H173" s="1" t="str">
        <f t="shared" si="5"/>
        <v>oz</v>
      </c>
      <c r="I173" s="1" t="str">
        <f>IF(Table1[[#This Row],[Lifespan (Years)]]&lt;25, "&lt;25", IF(Table1[[#This Row],[Lifespan (Years)]]&lt;50, "25-49", IF(Table1[[#This Row],[Lifespan (Years)]]&lt;75, "50-74", IF(Table1[[#This Row],[Lifespan (Years)]]&lt;100, "75-99", "&gt;=100"))))</f>
        <v>&lt;25</v>
      </c>
      <c r="J173" s="14">
        <f>IF(Table1[[#This Row],[Weight Unit]]="oz",Table1[[#This Row],[Weight (Digits)]]/16, Table1[[#This Row],[Weight (Digits)]]/1)</f>
        <v>1.0625000000000001E-2</v>
      </c>
      <c r="K17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73" s="1" t="s">
        <v>724</v>
      </c>
      <c r="M173" s="1" t="str">
        <f>IF(COUNTIF(Table2[Animal],Table1[[#This Row],[Animal]]) = 1, "Previous Participant", "New Participant")</f>
        <v>Previous Participant</v>
      </c>
      <c r="N173" s="1" t="str">
        <f>_xlfn.XLOOKUP(Table1[[#This Row],[Region]],'Support - Tables'!$B$3:$B$10,'Support - Tables'!$D$3:$D$10,"Not Found",0)</f>
        <v>Road</v>
      </c>
      <c r="O173" s="6">
        <f>_xlfn.XLOOKUP(Table1[[#This Row],[Region]],'Support - Tables'!$B$3:$B$10,'Support - Tables'!$C$3:$C$10, "Not Found",0)</f>
        <v>450</v>
      </c>
      <c r="P173" s="6">
        <f>_xlfn.XLOOKUP(Table1[[#This Row],[Diet]],'Support - Tables'!$B$14:$B$16,'Support - Tables'!$C$14:$C$16, "Not Found", 0)</f>
        <v>500</v>
      </c>
      <c r="Q173" s="6">
        <f>Table1[[#This Row],[Revenue]]-Table1[[#This Row],[Cost]]</f>
        <v>-50</v>
      </c>
      <c r="R173" s="6">
        <f>COUNTBLANK(Table1[[#This Row],[Diet]:[Region]])</f>
        <v>0</v>
      </c>
      <c r="S173" s="6"/>
      <c r="T173" s="6"/>
    </row>
    <row r="174" spans="1:20" x14ac:dyDescent="0.25">
      <c r="A174" s="2" t="s">
        <v>220</v>
      </c>
      <c r="B174" s="1" t="s">
        <v>15</v>
      </c>
      <c r="C174" s="1">
        <v>14</v>
      </c>
      <c r="D174" s="1" t="s">
        <v>706</v>
      </c>
      <c r="E174" s="1">
        <f>IF(Table1[[#This Row],[Lifespan Unit]]="months", Table1[[#This Row],[Lifespan]]/12,Table1[[#This Row],[Lifespan]])</f>
        <v>14</v>
      </c>
      <c r="F174" s="1" t="s">
        <v>16</v>
      </c>
      <c r="G174" s="1" t="str">
        <f t="shared" si="4"/>
        <v>10</v>
      </c>
      <c r="H174" s="1" t="str">
        <f t="shared" si="5"/>
        <v>lbs</v>
      </c>
      <c r="I174" s="1" t="str">
        <f>IF(Table1[[#This Row],[Lifespan (Years)]]&lt;25, "&lt;25", IF(Table1[[#This Row],[Lifespan (Years)]]&lt;50, "25-49", IF(Table1[[#This Row],[Lifespan (Years)]]&lt;75, "50-74", IF(Table1[[#This Row],[Lifespan (Years)]]&lt;100, "75-99", "&gt;=100"))))</f>
        <v>&lt;25</v>
      </c>
      <c r="J174" s="14">
        <f>IF(Table1[[#This Row],[Weight Unit]]="oz",Table1[[#This Row],[Weight (Digits)]]/16, Table1[[#This Row],[Weight (Digits)]]/1)</f>
        <v>10</v>
      </c>
      <c r="K17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74" s="1" t="s">
        <v>725</v>
      </c>
      <c r="M174" s="1" t="str">
        <f>IF(COUNTIF(Table2[Animal],Table1[[#This Row],[Animal]]) = 1, "Previous Participant", "New Participant")</f>
        <v>New Participant</v>
      </c>
      <c r="N174" s="1" t="str">
        <f>_xlfn.XLOOKUP(Table1[[#This Row],[Region]],'Support - Tables'!$B$3:$B$10,'Support - Tables'!$D$3:$D$10,"Not Found",0)</f>
        <v>Air</v>
      </c>
      <c r="O174" s="6">
        <f>_xlfn.XLOOKUP(Table1[[#This Row],[Region]],'Support - Tables'!$B$3:$B$10,'Support - Tables'!$C$3:$C$10, "Not Found",0)</f>
        <v>600</v>
      </c>
      <c r="P174" s="6">
        <f>_xlfn.XLOOKUP(Table1[[#This Row],[Diet]],'Support - Tables'!$B$14:$B$16,'Support - Tables'!$C$14:$C$16, "Not Found", 0)</f>
        <v>500</v>
      </c>
      <c r="Q174" s="6">
        <f>Table1[[#This Row],[Revenue]]-Table1[[#This Row],[Cost]]</f>
        <v>100</v>
      </c>
      <c r="R174" s="6">
        <f>COUNTBLANK(Table1[[#This Row],[Diet]:[Region]])</f>
        <v>0</v>
      </c>
      <c r="S174" s="6"/>
      <c r="T174" s="6"/>
    </row>
    <row r="175" spans="1:20" x14ac:dyDescent="0.25">
      <c r="A175" s="2" t="s">
        <v>221</v>
      </c>
      <c r="B175" s="1" t="s">
        <v>15</v>
      </c>
      <c r="C175" s="1">
        <v>22</v>
      </c>
      <c r="D175" s="1" t="s">
        <v>706</v>
      </c>
      <c r="E175" s="1">
        <f>IF(Table1[[#This Row],[Lifespan Unit]]="months", Table1[[#This Row],[Lifespan]]/12,Table1[[#This Row],[Lifespan]])</f>
        <v>22</v>
      </c>
      <c r="F175" s="1" t="s">
        <v>32</v>
      </c>
      <c r="G175" s="1" t="str">
        <f t="shared" si="4"/>
        <v>44</v>
      </c>
      <c r="H175" s="1" t="str">
        <f t="shared" si="5"/>
        <v>lbs</v>
      </c>
      <c r="I175" s="1" t="str">
        <f>IF(Table1[[#This Row],[Lifespan (Years)]]&lt;25, "&lt;25", IF(Table1[[#This Row],[Lifespan (Years)]]&lt;50, "25-49", IF(Table1[[#This Row],[Lifespan (Years)]]&lt;75, "50-74", IF(Table1[[#This Row],[Lifespan (Years)]]&lt;100, "75-99", "&gt;=100"))))</f>
        <v>&lt;25</v>
      </c>
      <c r="J175" s="14">
        <f>IF(Table1[[#This Row],[Weight Unit]]="oz",Table1[[#This Row],[Weight (Digits)]]/16, Table1[[#This Row],[Weight (Digits)]]/1)</f>
        <v>44</v>
      </c>
      <c r="K17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75" s="1" t="s">
        <v>724</v>
      </c>
      <c r="M175" s="1" t="str">
        <f>IF(COUNTIF(Table2[Animal],Table1[[#This Row],[Animal]]) = 1, "Previous Participant", "New Participant")</f>
        <v>New Participant</v>
      </c>
      <c r="N175" s="1" t="str">
        <f>_xlfn.XLOOKUP(Table1[[#This Row],[Region]],'Support - Tables'!$B$3:$B$10,'Support - Tables'!$D$3:$D$10,"Not Found",0)</f>
        <v>Road</v>
      </c>
      <c r="O175" s="6">
        <f>_xlfn.XLOOKUP(Table1[[#This Row],[Region]],'Support - Tables'!$B$3:$B$10,'Support - Tables'!$C$3:$C$10, "Not Found",0)</f>
        <v>450</v>
      </c>
      <c r="P175" s="6">
        <f>_xlfn.XLOOKUP(Table1[[#This Row],[Diet]],'Support - Tables'!$B$14:$B$16,'Support - Tables'!$C$14:$C$16, "Not Found", 0)</f>
        <v>500</v>
      </c>
      <c r="Q175" s="6">
        <f>Table1[[#This Row],[Revenue]]-Table1[[#This Row],[Cost]]</f>
        <v>-50</v>
      </c>
      <c r="R175" s="6">
        <f>COUNTBLANK(Table1[[#This Row],[Diet]:[Region]])</f>
        <v>0</v>
      </c>
      <c r="S175" s="6"/>
      <c r="T175" s="6"/>
    </row>
    <row r="176" spans="1:20" x14ac:dyDescent="0.25">
      <c r="A176" s="2" t="s">
        <v>222</v>
      </c>
      <c r="B176" s="1" t="s">
        <v>23</v>
      </c>
      <c r="C176" s="1">
        <v>70</v>
      </c>
      <c r="D176" s="1" t="s">
        <v>706</v>
      </c>
      <c r="E176" s="1">
        <f>IF(Table1[[#This Row],[Lifespan Unit]]="months", Table1[[#This Row],[Lifespan]]/12,Table1[[#This Row],[Lifespan]])</f>
        <v>70</v>
      </c>
      <c r="F176" s="1" t="s">
        <v>576</v>
      </c>
      <c r="G176" s="1" t="str">
        <f t="shared" si="4"/>
        <v>6,500</v>
      </c>
      <c r="H176" s="1" t="str">
        <f t="shared" si="5"/>
        <v>lbs</v>
      </c>
      <c r="I176" s="1" t="str">
        <f>IF(Table1[[#This Row],[Lifespan (Years)]]&lt;25, "&lt;25", IF(Table1[[#This Row],[Lifespan (Years)]]&lt;50, "25-49", IF(Table1[[#This Row],[Lifespan (Years)]]&lt;75, "50-74", IF(Table1[[#This Row],[Lifespan (Years)]]&lt;100, "75-99", "&gt;=100"))))</f>
        <v>50-74</v>
      </c>
      <c r="J176" s="14">
        <f>IF(Table1[[#This Row],[Weight Unit]]="oz",Table1[[#This Row],[Weight (Digits)]]/16, Table1[[#This Row],[Weight (Digits)]]/1)</f>
        <v>6500</v>
      </c>
      <c r="K17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176" s="1" t="s">
        <v>5</v>
      </c>
      <c r="M176" s="1" t="str">
        <f>IF(COUNTIF(Table2[Animal],Table1[[#This Row],[Animal]]) = 1, "Previous Participant", "New Participant")</f>
        <v>Previous Participant</v>
      </c>
      <c r="N176" s="1" t="str">
        <f>_xlfn.XLOOKUP(Table1[[#This Row],[Region]],'Support - Tables'!$B$3:$B$10,'Support - Tables'!$D$3:$D$10,"Not Found",0)</f>
        <v>Boat</v>
      </c>
      <c r="O176" s="6">
        <f>_xlfn.XLOOKUP(Table1[[#This Row],[Region]],'Support - Tables'!$B$3:$B$10,'Support - Tables'!$C$3:$C$10, "Not Found",0)</f>
        <v>400</v>
      </c>
      <c r="P176" s="6">
        <f>_xlfn.XLOOKUP(Table1[[#This Row],[Diet]],'Support - Tables'!$B$14:$B$16,'Support - Tables'!$C$14:$C$16, "Not Found", 0)</f>
        <v>300</v>
      </c>
      <c r="Q176" s="6">
        <f>Table1[[#This Row],[Revenue]]-Table1[[#This Row],[Cost]]</f>
        <v>100</v>
      </c>
      <c r="R176" s="6">
        <f>COUNTBLANK(Table1[[#This Row],[Diet]:[Region]])</f>
        <v>0</v>
      </c>
      <c r="S176" s="6"/>
      <c r="T176" s="6"/>
    </row>
    <row r="177" spans="1:20" x14ac:dyDescent="0.25">
      <c r="A177" s="2" t="s">
        <v>223</v>
      </c>
      <c r="B177" s="1" t="s">
        <v>15</v>
      </c>
      <c r="C177" s="1">
        <v>22</v>
      </c>
      <c r="D177" s="1" t="s">
        <v>706</v>
      </c>
      <c r="E177" s="1">
        <f>IF(Table1[[#This Row],[Lifespan Unit]]="months", Table1[[#This Row],[Lifespan]]/12,Table1[[#This Row],[Lifespan]])</f>
        <v>22</v>
      </c>
      <c r="F177" s="1" t="s">
        <v>614</v>
      </c>
      <c r="G177" s="1" t="str">
        <f t="shared" si="4"/>
        <v>2,000</v>
      </c>
      <c r="H177" s="1" t="str">
        <f t="shared" si="5"/>
        <v>lbs</v>
      </c>
      <c r="I177" s="1" t="str">
        <f>IF(Table1[[#This Row],[Lifespan (Years)]]&lt;25, "&lt;25", IF(Table1[[#This Row],[Lifespan (Years)]]&lt;50, "25-49", IF(Table1[[#This Row],[Lifespan (Years)]]&lt;75, "50-74", IF(Table1[[#This Row],[Lifespan (Years)]]&lt;100, "75-99", "&gt;=100"))))</f>
        <v>&lt;25</v>
      </c>
      <c r="J177" s="14">
        <f>IF(Table1[[#This Row],[Weight Unit]]="oz",Table1[[#This Row],[Weight (Digits)]]/16, Table1[[#This Row],[Weight (Digits)]]/1)</f>
        <v>2000</v>
      </c>
      <c r="K17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177" s="1" t="s">
        <v>2</v>
      </c>
      <c r="M177" s="1" t="str">
        <f>IF(COUNTIF(Table2[Animal],Table1[[#This Row],[Animal]]) = 1, "Previous Participant", "New Participant")</f>
        <v>Previous Participant</v>
      </c>
      <c r="N177" s="1" t="str">
        <f>_xlfn.XLOOKUP(Table1[[#This Row],[Region]],'Support - Tables'!$B$3:$B$10,'Support - Tables'!$D$3:$D$10,"Not Found",0)</f>
        <v>Air</v>
      </c>
      <c r="O177" s="6">
        <f>_xlfn.XLOOKUP(Table1[[#This Row],[Region]],'Support - Tables'!$B$3:$B$10,'Support - Tables'!$C$3:$C$10, "Not Found",0)</f>
        <v>600</v>
      </c>
      <c r="P177" s="6">
        <f>_xlfn.XLOOKUP(Table1[[#This Row],[Diet]],'Support - Tables'!$B$14:$B$16,'Support - Tables'!$C$14:$C$16, "Not Found", 0)</f>
        <v>500</v>
      </c>
      <c r="Q177" s="6">
        <f>Table1[[#This Row],[Revenue]]-Table1[[#This Row],[Cost]]</f>
        <v>100</v>
      </c>
      <c r="R177" s="6">
        <f>COUNTBLANK(Table1[[#This Row],[Diet]:[Region]])</f>
        <v>0</v>
      </c>
      <c r="S177" s="6"/>
      <c r="T177" s="6"/>
    </row>
    <row r="178" spans="1:20" x14ac:dyDescent="0.25">
      <c r="A178" s="2" t="s">
        <v>224</v>
      </c>
      <c r="B178" s="1" t="s">
        <v>13</v>
      </c>
      <c r="C178" s="1">
        <v>5</v>
      </c>
      <c r="D178" s="1" t="s">
        <v>706</v>
      </c>
      <c r="E178" s="1">
        <f>IF(Table1[[#This Row],[Lifespan Unit]]="months", Table1[[#This Row],[Lifespan]]/12,Table1[[#This Row],[Lifespan]])</f>
        <v>5</v>
      </c>
      <c r="F178" s="1" t="s">
        <v>578</v>
      </c>
      <c r="G178" s="1" t="str">
        <f t="shared" si="4"/>
        <v>2</v>
      </c>
      <c r="H178" s="1" t="str">
        <f t="shared" si="5"/>
        <v>oz</v>
      </c>
      <c r="I178" s="1" t="str">
        <f>IF(Table1[[#This Row],[Lifespan (Years)]]&lt;25, "&lt;25", IF(Table1[[#This Row],[Lifespan (Years)]]&lt;50, "25-49", IF(Table1[[#This Row],[Lifespan (Years)]]&lt;75, "50-74", IF(Table1[[#This Row],[Lifespan (Years)]]&lt;100, "75-99", "&gt;=100"))))</f>
        <v>&lt;25</v>
      </c>
      <c r="J178" s="14">
        <f>IF(Table1[[#This Row],[Weight Unit]]="oz",Table1[[#This Row],[Weight (Digits)]]/16, Table1[[#This Row],[Weight (Digits)]]/1)</f>
        <v>0.125</v>
      </c>
      <c r="K17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78" s="1" t="s">
        <v>725</v>
      </c>
      <c r="M178" s="1" t="str">
        <f>IF(COUNTIF(Table2[Animal],Table1[[#This Row],[Animal]]) = 1, "Previous Participant", "New Participant")</f>
        <v>Previous Participant</v>
      </c>
      <c r="N178" s="1" t="str">
        <f>_xlfn.XLOOKUP(Table1[[#This Row],[Region]],'Support - Tables'!$B$3:$B$10,'Support - Tables'!$D$3:$D$10,"Not Found",0)</f>
        <v>Air</v>
      </c>
      <c r="O178" s="6">
        <f>_xlfn.XLOOKUP(Table1[[#This Row],[Region]],'Support - Tables'!$B$3:$B$10,'Support - Tables'!$C$3:$C$10, "Not Found",0)</f>
        <v>600</v>
      </c>
      <c r="P178" s="6">
        <f>_xlfn.XLOOKUP(Table1[[#This Row],[Diet]],'Support - Tables'!$B$14:$B$16,'Support - Tables'!$C$14:$C$16, "Not Found", 0)</f>
        <v>400</v>
      </c>
      <c r="Q178" s="6">
        <f>Table1[[#This Row],[Revenue]]-Table1[[#This Row],[Cost]]</f>
        <v>200</v>
      </c>
      <c r="R178" s="6">
        <f>COUNTBLANK(Table1[[#This Row],[Diet]:[Region]])</f>
        <v>0</v>
      </c>
      <c r="S178" s="6"/>
      <c r="T178" s="6"/>
    </row>
    <row r="179" spans="1:20" x14ac:dyDescent="0.25">
      <c r="A179" s="2" t="s">
        <v>225</v>
      </c>
      <c r="B179" s="1" t="s">
        <v>15</v>
      </c>
      <c r="C179" s="1">
        <v>50</v>
      </c>
      <c r="D179" s="1" t="s">
        <v>706</v>
      </c>
      <c r="E179" s="1">
        <f>IF(Table1[[#This Row],[Lifespan Unit]]="months", Table1[[#This Row],[Lifespan]]/12,Table1[[#This Row],[Lifespan]])</f>
        <v>50</v>
      </c>
      <c r="F179" s="1" t="s">
        <v>615</v>
      </c>
      <c r="G179" s="1" t="str">
        <f t="shared" si="4"/>
        <v>49</v>
      </c>
      <c r="H179" s="1" t="str">
        <f t="shared" si="5"/>
        <v>lbs</v>
      </c>
      <c r="I179" s="1" t="str">
        <f>IF(Table1[[#This Row],[Lifespan (Years)]]&lt;25, "&lt;25", IF(Table1[[#This Row],[Lifespan (Years)]]&lt;50, "25-49", IF(Table1[[#This Row],[Lifespan (Years)]]&lt;75, "50-74", IF(Table1[[#This Row],[Lifespan (Years)]]&lt;100, "75-99", "&gt;=100"))))</f>
        <v>50-74</v>
      </c>
      <c r="J179" s="14">
        <f>IF(Table1[[#This Row],[Weight Unit]]="oz",Table1[[#This Row],[Weight (Digits)]]/16, Table1[[#This Row],[Weight (Digits)]]/1)</f>
        <v>49</v>
      </c>
      <c r="K17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79" s="1" t="s">
        <v>5</v>
      </c>
      <c r="M179" s="1" t="str">
        <f>IF(COUNTIF(Table2[Animal],Table1[[#This Row],[Animal]]) = 1, "Previous Participant", "New Participant")</f>
        <v>Previous Participant</v>
      </c>
      <c r="N179" s="1" t="str">
        <f>_xlfn.XLOOKUP(Table1[[#This Row],[Region]],'Support - Tables'!$B$3:$B$10,'Support - Tables'!$D$3:$D$10,"Not Found",0)</f>
        <v>Boat</v>
      </c>
      <c r="O179" s="6">
        <f>_xlfn.XLOOKUP(Table1[[#This Row],[Region]],'Support - Tables'!$B$3:$B$10,'Support - Tables'!$C$3:$C$10, "Not Found",0)</f>
        <v>400</v>
      </c>
      <c r="P179" s="6">
        <f>_xlfn.XLOOKUP(Table1[[#This Row],[Diet]],'Support - Tables'!$B$14:$B$16,'Support - Tables'!$C$14:$C$16, "Not Found", 0)</f>
        <v>500</v>
      </c>
      <c r="Q179" s="6">
        <f>Table1[[#This Row],[Revenue]]-Table1[[#This Row],[Cost]]</f>
        <v>-100</v>
      </c>
      <c r="R179" s="6">
        <f>COUNTBLANK(Table1[[#This Row],[Diet]:[Region]])</f>
        <v>0</v>
      </c>
      <c r="S179" s="6"/>
      <c r="T179" s="6"/>
    </row>
    <row r="180" spans="1:20" x14ac:dyDescent="0.25">
      <c r="A180" s="2" t="s">
        <v>226</v>
      </c>
      <c r="B180" s="1" t="s">
        <v>13</v>
      </c>
      <c r="C180" s="1">
        <v>15</v>
      </c>
      <c r="D180" s="1" t="s">
        <v>706</v>
      </c>
      <c r="E180" s="1">
        <f>IF(Table1[[#This Row],[Lifespan Unit]]="months", Table1[[#This Row],[Lifespan]]/12,Table1[[#This Row],[Lifespan]])</f>
        <v>15</v>
      </c>
      <c r="F180" s="1" t="s">
        <v>603</v>
      </c>
      <c r="G180" s="1" t="str">
        <f t="shared" si="4"/>
        <v>7.7</v>
      </c>
      <c r="H180" s="1" t="str">
        <f t="shared" si="5"/>
        <v>oz</v>
      </c>
      <c r="I180" s="1" t="str">
        <f>IF(Table1[[#This Row],[Lifespan (Years)]]&lt;25, "&lt;25", IF(Table1[[#This Row],[Lifespan (Years)]]&lt;50, "25-49", IF(Table1[[#This Row],[Lifespan (Years)]]&lt;75, "50-74", IF(Table1[[#This Row],[Lifespan (Years)]]&lt;100, "75-99", "&gt;=100"))))</f>
        <v>&lt;25</v>
      </c>
      <c r="J180" s="14">
        <f>IF(Table1[[#This Row],[Weight Unit]]="oz",Table1[[#This Row],[Weight (Digits)]]/16, Table1[[#This Row],[Weight (Digits)]]/1)</f>
        <v>0.48125000000000001</v>
      </c>
      <c r="K18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80" s="1" t="s">
        <v>725</v>
      </c>
      <c r="M180" s="1" t="str">
        <f>IF(COUNTIF(Table2[Animal],Table1[[#This Row],[Animal]]) = 1, "Previous Participant", "New Participant")</f>
        <v>Previous Participant</v>
      </c>
      <c r="N180" s="1" t="str">
        <f>_xlfn.XLOOKUP(Table1[[#This Row],[Region]],'Support - Tables'!$B$3:$B$10,'Support - Tables'!$D$3:$D$10,"Not Found",0)</f>
        <v>Air</v>
      </c>
      <c r="O180" s="6">
        <f>_xlfn.XLOOKUP(Table1[[#This Row],[Region]],'Support - Tables'!$B$3:$B$10,'Support - Tables'!$C$3:$C$10, "Not Found",0)</f>
        <v>600</v>
      </c>
      <c r="P180" s="6">
        <f>_xlfn.XLOOKUP(Table1[[#This Row],[Diet]],'Support - Tables'!$B$14:$B$16,'Support - Tables'!$C$14:$C$16, "Not Found", 0)</f>
        <v>400</v>
      </c>
      <c r="Q180" s="6">
        <f>Table1[[#This Row],[Revenue]]-Table1[[#This Row],[Cost]]</f>
        <v>200</v>
      </c>
      <c r="R180" s="6">
        <f>COUNTBLANK(Table1[[#This Row],[Diet]:[Region]])</f>
        <v>0</v>
      </c>
      <c r="S180" s="6"/>
      <c r="T180" s="6"/>
    </row>
    <row r="181" spans="1:20" x14ac:dyDescent="0.25">
      <c r="A181" s="2" t="s">
        <v>227</v>
      </c>
      <c r="B181" s="1" t="s">
        <v>13</v>
      </c>
      <c r="C181" s="1">
        <v>20</v>
      </c>
      <c r="D181" s="1" t="s">
        <v>706</v>
      </c>
      <c r="E181" s="1">
        <f>IF(Table1[[#This Row],[Lifespan Unit]]="months", Table1[[#This Row],[Lifespan]]/12,Table1[[#This Row],[Lifespan]])</f>
        <v>20</v>
      </c>
      <c r="F181" s="1" t="s">
        <v>43</v>
      </c>
      <c r="G181" s="1" t="str">
        <f t="shared" si="4"/>
        <v>40</v>
      </c>
      <c r="H181" s="1" t="str">
        <f t="shared" si="5"/>
        <v>lbs</v>
      </c>
      <c r="I181" s="1" t="str">
        <f>IF(Table1[[#This Row],[Lifespan (Years)]]&lt;25, "&lt;25", IF(Table1[[#This Row],[Lifespan (Years)]]&lt;50, "25-49", IF(Table1[[#This Row],[Lifespan (Years)]]&lt;75, "50-74", IF(Table1[[#This Row],[Lifespan (Years)]]&lt;100, "75-99", "&gt;=100"))))</f>
        <v>&lt;25</v>
      </c>
      <c r="J181" s="14">
        <f>IF(Table1[[#This Row],[Weight Unit]]="oz",Table1[[#This Row],[Weight (Digits)]]/16, Table1[[#This Row],[Weight (Digits)]]/1)</f>
        <v>40</v>
      </c>
      <c r="K18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81" s="1" t="s">
        <v>2</v>
      </c>
      <c r="M181" s="1" t="str">
        <f>IF(COUNTIF(Table2[Animal],Table1[[#This Row],[Animal]]) = 1, "Previous Participant", "New Participant")</f>
        <v>Previous Participant</v>
      </c>
      <c r="N181" s="1" t="str">
        <f>_xlfn.XLOOKUP(Table1[[#This Row],[Region]],'Support - Tables'!$B$3:$B$10,'Support - Tables'!$D$3:$D$10,"Not Found",0)</f>
        <v>Air</v>
      </c>
      <c r="O181" s="6">
        <f>_xlfn.XLOOKUP(Table1[[#This Row],[Region]],'Support - Tables'!$B$3:$B$10,'Support - Tables'!$C$3:$C$10, "Not Found",0)</f>
        <v>600</v>
      </c>
      <c r="P181" s="6">
        <f>_xlfn.XLOOKUP(Table1[[#This Row],[Diet]],'Support - Tables'!$B$14:$B$16,'Support - Tables'!$C$14:$C$16, "Not Found", 0)</f>
        <v>400</v>
      </c>
      <c r="Q181" s="6">
        <f>Table1[[#This Row],[Revenue]]-Table1[[#This Row],[Cost]]</f>
        <v>200</v>
      </c>
      <c r="R181" s="6">
        <f>COUNTBLANK(Table1[[#This Row],[Diet]:[Region]])</f>
        <v>0</v>
      </c>
      <c r="S181" s="6"/>
      <c r="T181" s="6"/>
    </row>
    <row r="182" spans="1:20" x14ac:dyDescent="0.25">
      <c r="A182" s="2" t="s">
        <v>228</v>
      </c>
      <c r="B182" s="1" t="s">
        <v>13</v>
      </c>
      <c r="C182" s="1">
        <v>15</v>
      </c>
      <c r="D182" s="1" t="s">
        <v>706</v>
      </c>
      <c r="E182" s="1">
        <f>IF(Table1[[#This Row],[Lifespan Unit]]="months", Table1[[#This Row],[Lifespan]]/12,Table1[[#This Row],[Lifespan]])</f>
        <v>15</v>
      </c>
      <c r="F182" s="1" t="s">
        <v>229</v>
      </c>
      <c r="G182" s="1" t="str">
        <f t="shared" si="4"/>
        <v>34</v>
      </c>
      <c r="H182" s="1" t="str">
        <f t="shared" si="5"/>
        <v>lbs</v>
      </c>
      <c r="I182" s="1" t="str">
        <f>IF(Table1[[#This Row],[Lifespan (Years)]]&lt;25, "&lt;25", IF(Table1[[#This Row],[Lifespan (Years)]]&lt;50, "25-49", IF(Table1[[#This Row],[Lifespan (Years)]]&lt;75, "50-74", IF(Table1[[#This Row],[Lifespan (Years)]]&lt;100, "75-99", "&gt;=100"))))</f>
        <v>&lt;25</v>
      </c>
      <c r="J182" s="14">
        <f>IF(Table1[[#This Row],[Weight Unit]]="oz",Table1[[#This Row],[Weight (Digits)]]/16, Table1[[#This Row],[Weight (Digits)]]/1)</f>
        <v>34</v>
      </c>
      <c r="K18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82" s="1" t="s">
        <v>724</v>
      </c>
      <c r="M182" s="1" t="str">
        <f>IF(COUNTIF(Table2[Animal],Table1[[#This Row],[Animal]]) = 1, "Previous Participant", "New Participant")</f>
        <v>Previous Participant</v>
      </c>
      <c r="N182" s="1" t="str">
        <f>_xlfn.XLOOKUP(Table1[[#This Row],[Region]],'Support - Tables'!$B$3:$B$10,'Support - Tables'!$D$3:$D$10,"Not Found",0)</f>
        <v>Road</v>
      </c>
      <c r="O182" s="6">
        <f>_xlfn.XLOOKUP(Table1[[#This Row],[Region]],'Support - Tables'!$B$3:$B$10,'Support - Tables'!$C$3:$C$10, "Not Found",0)</f>
        <v>450</v>
      </c>
      <c r="P182" s="6">
        <f>_xlfn.XLOOKUP(Table1[[#This Row],[Diet]],'Support - Tables'!$B$14:$B$16,'Support - Tables'!$C$14:$C$16, "Not Found", 0)</f>
        <v>400</v>
      </c>
      <c r="Q182" s="6">
        <f>Table1[[#This Row],[Revenue]]-Table1[[#This Row],[Cost]]</f>
        <v>50</v>
      </c>
      <c r="R182" s="6">
        <f>COUNTBLANK(Table1[[#This Row],[Diet]:[Region]])</f>
        <v>0</v>
      </c>
      <c r="S182" s="6"/>
      <c r="T182" s="6"/>
    </row>
    <row r="183" spans="1:20" x14ac:dyDescent="0.25">
      <c r="A183" s="2" t="s">
        <v>230</v>
      </c>
      <c r="B183" s="1" t="s">
        <v>13</v>
      </c>
      <c r="C183" s="1">
        <v>16</v>
      </c>
      <c r="D183" s="1" t="s">
        <v>706</v>
      </c>
      <c r="E183" s="1">
        <f>IF(Table1[[#This Row],[Lifespan Unit]]="months", Table1[[#This Row],[Lifespan]]/12,Table1[[#This Row],[Lifespan]])</f>
        <v>16</v>
      </c>
      <c r="F183" s="1" t="s">
        <v>21</v>
      </c>
      <c r="G183" s="1" t="str">
        <f t="shared" si="4"/>
        <v>60</v>
      </c>
      <c r="H183" s="1" t="str">
        <f t="shared" si="5"/>
        <v>lbs</v>
      </c>
      <c r="I183" s="1" t="str">
        <f>IF(Table1[[#This Row],[Lifespan (Years)]]&lt;25, "&lt;25", IF(Table1[[#This Row],[Lifespan (Years)]]&lt;50, "25-49", IF(Table1[[#This Row],[Lifespan (Years)]]&lt;75, "50-74", IF(Table1[[#This Row],[Lifespan (Years)]]&lt;100, "75-99", "&gt;=100"))))</f>
        <v>&lt;25</v>
      </c>
      <c r="J183" s="14">
        <f>IF(Table1[[#This Row],[Weight Unit]]="oz",Table1[[#This Row],[Weight (Digits)]]/16, Table1[[#This Row],[Weight (Digits)]]/1)</f>
        <v>60</v>
      </c>
      <c r="K18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83" s="1" t="s">
        <v>725</v>
      </c>
      <c r="M183" s="1" t="str">
        <f>IF(COUNTIF(Table2[Animal],Table1[[#This Row],[Animal]]) = 1, "Previous Participant", "New Participant")</f>
        <v>Previous Participant</v>
      </c>
      <c r="N183" s="1" t="str">
        <f>_xlfn.XLOOKUP(Table1[[#This Row],[Region]],'Support - Tables'!$B$3:$B$10,'Support - Tables'!$D$3:$D$10,"Not Found",0)</f>
        <v>Air</v>
      </c>
      <c r="O183" s="6">
        <f>_xlfn.XLOOKUP(Table1[[#This Row],[Region]],'Support - Tables'!$B$3:$B$10,'Support - Tables'!$C$3:$C$10, "Not Found",0)</f>
        <v>600</v>
      </c>
      <c r="P183" s="6">
        <f>_xlfn.XLOOKUP(Table1[[#This Row],[Diet]],'Support - Tables'!$B$14:$B$16,'Support - Tables'!$C$14:$C$16, "Not Found", 0)</f>
        <v>400</v>
      </c>
      <c r="Q183" s="6">
        <f>Table1[[#This Row],[Revenue]]-Table1[[#This Row],[Cost]]</f>
        <v>200</v>
      </c>
      <c r="R183" s="6">
        <f>COUNTBLANK(Table1[[#This Row],[Diet]:[Region]])</f>
        <v>0</v>
      </c>
      <c r="S183" s="6"/>
      <c r="T183" s="6"/>
    </row>
    <row r="184" spans="1:20" x14ac:dyDescent="0.25">
      <c r="A184" s="2" t="s">
        <v>231</v>
      </c>
      <c r="B184" s="1" t="s">
        <v>13</v>
      </c>
      <c r="C184" s="1">
        <v>12</v>
      </c>
      <c r="D184" s="1" t="s">
        <v>706</v>
      </c>
      <c r="E184" s="1">
        <f>IF(Table1[[#This Row],[Lifespan Unit]]="months", Table1[[#This Row],[Lifespan]]/12,Table1[[#This Row],[Lifespan]])</f>
        <v>12</v>
      </c>
      <c r="F184" s="1" t="s">
        <v>62</v>
      </c>
      <c r="G184" s="1" t="str">
        <f t="shared" si="4"/>
        <v>55</v>
      </c>
      <c r="H184" s="1" t="str">
        <f t="shared" si="5"/>
        <v>lbs</v>
      </c>
      <c r="I184" s="1" t="str">
        <f>IF(Table1[[#This Row],[Lifespan (Years)]]&lt;25, "&lt;25", IF(Table1[[#This Row],[Lifespan (Years)]]&lt;50, "25-49", IF(Table1[[#This Row],[Lifespan (Years)]]&lt;75, "50-74", IF(Table1[[#This Row],[Lifespan (Years)]]&lt;100, "75-99", "&gt;=100"))))</f>
        <v>&lt;25</v>
      </c>
      <c r="J184" s="14">
        <f>IF(Table1[[#This Row],[Weight Unit]]="oz",Table1[[#This Row],[Weight (Digits)]]/16, Table1[[#This Row],[Weight (Digits)]]/1)</f>
        <v>55</v>
      </c>
      <c r="K18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84" s="1" t="s">
        <v>4</v>
      </c>
      <c r="M184" s="1" t="str">
        <f>IF(COUNTIF(Table2[Animal],Table1[[#This Row],[Animal]]) = 1, "Previous Participant", "New Participant")</f>
        <v>Previous Participant</v>
      </c>
      <c r="N184" s="1" t="str">
        <f>_xlfn.XLOOKUP(Table1[[#This Row],[Region]],'Support - Tables'!$B$3:$B$10,'Support - Tables'!$D$3:$D$10,"Not Found",0)</f>
        <v>Boat</v>
      </c>
      <c r="O184" s="6">
        <f>_xlfn.XLOOKUP(Table1[[#This Row],[Region]],'Support - Tables'!$B$3:$B$10,'Support - Tables'!$C$3:$C$10, "Not Found",0)</f>
        <v>200</v>
      </c>
      <c r="P184" s="6">
        <f>_xlfn.XLOOKUP(Table1[[#This Row],[Diet]],'Support - Tables'!$B$14:$B$16,'Support - Tables'!$C$14:$C$16, "Not Found", 0)</f>
        <v>400</v>
      </c>
      <c r="Q184" s="6">
        <f>Table1[[#This Row],[Revenue]]-Table1[[#This Row],[Cost]]</f>
        <v>-200</v>
      </c>
      <c r="R184" s="6">
        <f>COUNTBLANK(Table1[[#This Row],[Diet]:[Region]])</f>
        <v>0</v>
      </c>
      <c r="S184" s="6"/>
      <c r="T184" s="6"/>
    </row>
    <row r="185" spans="1:20" x14ac:dyDescent="0.25">
      <c r="A185" s="2" t="s">
        <v>232</v>
      </c>
      <c r="B185" s="1" t="s">
        <v>13</v>
      </c>
      <c r="C185" s="1">
        <v>12</v>
      </c>
      <c r="D185" s="1" t="s">
        <v>706</v>
      </c>
      <c r="E185" s="1">
        <f>IF(Table1[[#This Row],[Lifespan Unit]]="months", Table1[[#This Row],[Lifespan]]/12,Table1[[#This Row],[Lifespan]])</f>
        <v>12</v>
      </c>
      <c r="F185" s="1" t="s">
        <v>30</v>
      </c>
      <c r="G185" s="1" t="str">
        <f t="shared" si="4"/>
        <v>65</v>
      </c>
      <c r="H185" s="1" t="str">
        <f t="shared" si="5"/>
        <v>lbs</v>
      </c>
      <c r="I185" s="1" t="str">
        <f>IF(Table1[[#This Row],[Lifespan (Years)]]&lt;25, "&lt;25", IF(Table1[[#This Row],[Lifespan (Years)]]&lt;50, "25-49", IF(Table1[[#This Row],[Lifespan (Years)]]&lt;75, "50-74", IF(Table1[[#This Row],[Lifespan (Years)]]&lt;100, "75-99", "&gt;=100"))))</f>
        <v>&lt;25</v>
      </c>
      <c r="J185" s="14">
        <f>IF(Table1[[#This Row],[Weight Unit]]="oz",Table1[[#This Row],[Weight (Digits)]]/16, Table1[[#This Row],[Weight (Digits)]]/1)</f>
        <v>65</v>
      </c>
      <c r="K18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85" s="1" t="s">
        <v>6</v>
      </c>
      <c r="M185" s="1" t="str">
        <f>IF(COUNTIF(Table2[Animal],Table1[[#This Row],[Animal]]) = 1, "Previous Participant", "New Participant")</f>
        <v>Previous Participant</v>
      </c>
      <c r="N185" s="1" t="str">
        <f>_xlfn.XLOOKUP(Table1[[#This Row],[Region]],'Support - Tables'!$B$3:$B$10,'Support - Tables'!$D$3:$D$10,"Not Found",0)</f>
        <v>Air</v>
      </c>
      <c r="O185" s="6">
        <f>_xlfn.XLOOKUP(Table1[[#This Row],[Region]],'Support - Tables'!$B$3:$B$10,'Support - Tables'!$C$3:$C$10, "Not Found",0)</f>
        <v>450</v>
      </c>
      <c r="P185" s="6">
        <f>_xlfn.XLOOKUP(Table1[[#This Row],[Diet]],'Support - Tables'!$B$14:$B$16,'Support - Tables'!$C$14:$C$16, "Not Found", 0)</f>
        <v>400</v>
      </c>
      <c r="Q185" s="6">
        <f>Table1[[#This Row],[Revenue]]-Table1[[#This Row],[Cost]]</f>
        <v>50</v>
      </c>
      <c r="R185" s="6">
        <f>COUNTBLANK(Table1[[#This Row],[Diet]:[Region]])</f>
        <v>0</v>
      </c>
      <c r="S185" s="6"/>
      <c r="T185" s="6"/>
    </row>
    <row r="186" spans="1:20" x14ac:dyDescent="0.25">
      <c r="A186" s="2" t="s">
        <v>233</v>
      </c>
      <c r="B186" s="1" t="s">
        <v>15</v>
      </c>
      <c r="C186" s="1">
        <v>18</v>
      </c>
      <c r="D186" s="1" t="s">
        <v>706</v>
      </c>
      <c r="E186" s="1">
        <f>IF(Table1[[#This Row],[Lifespan Unit]]="months", Table1[[#This Row],[Lifespan]]/12,Table1[[#This Row],[Lifespan]])</f>
        <v>18</v>
      </c>
      <c r="F186" s="1" t="s">
        <v>610</v>
      </c>
      <c r="G186" s="1" t="str">
        <f t="shared" si="4"/>
        <v>1.5</v>
      </c>
      <c r="H186" s="1" t="str">
        <f t="shared" si="5"/>
        <v>lbs</v>
      </c>
      <c r="I186" s="1" t="str">
        <f>IF(Table1[[#This Row],[Lifespan (Years)]]&lt;25, "&lt;25", IF(Table1[[#This Row],[Lifespan (Years)]]&lt;50, "25-49", IF(Table1[[#This Row],[Lifespan (Years)]]&lt;75, "50-74", IF(Table1[[#This Row],[Lifespan (Years)]]&lt;100, "75-99", "&gt;=100"))))</f>
        <v>&lt;25</v>
      </c>
      <c r="J186" s="14">
        <f>IF(Table1[[#This Row],[Weight Unit]]="oz",Table1[[#This Row],[Weight (Digits)]]/16, Table1[[#This Row],[Weight (Digits)]]/1)</f>
        <v>1.5</v>
      </c>
      <c r="K18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86" s="1" t="s">
        <v>724</v>
      </c>
      <c r="M186" s="1" t="str">
        <f>IF(COUNTIF(Table2[Animal],Table1[[#This Row],[Animal]]) = 1, "Previous Participant", "New Participant")</f>
        <v>Previous Participant</v>
      </c>
      <c r="N186" s="1" t="str">
        <f>_xlfn.XLOOKUP(Table1[[#This Row],[Region]],'Support - Tables'!$B$3:$B$10,'Support - Tables'!$D$3:$D$10,"Not Found",0)</f>
        <v>Road</v>
      </c>
      <c r="O186" s="6">
        <f>_xlfn.XLOOKUP(Table1[[#This Row],[Region]],'Support - Tables'!$B$3:$B$10,'Support - Tables'!$C$3:$C$10, "Not Found",0)</f>
        <v>450</v>
      </c>
      <c r="P186" s="6">
        <f>_xlfn.XLOOKUP(Table1[[#This Row],[Diet]],'Support - Tables'!$B$14:$B$16,'Support - Tables'!$C$14:$C$16, "Not Found", 0)</f>
        <v>500</v>
      </c>
      <c r="Q186" s="6">
        <f>Table1[[#This Row],[Revenue]]-Table1[[#This Row],[Cost]]</f>
        <v>-50</v>
      </c>
      <c r="R186" s="6">
        <f>COUNTBLANK(Table1[[#This Row],[Diet]:[Region]])</f>
        <v>0</v>
      </c>
      <c r="S186" s="6"/>
      <c r="T186" s="6"/>
    </row>
    <row r="187" spans="1:20" x14ac:dyDescent="0.25">
      <c r="A187" s="2" t="s">
        <v>234</v>
      </c>
      <c r="B187" s="1" t="s">
        <v>13</v>
      </c>
      <c r="C187" s="1">
        <v>14</v>
      </c>
      <c r="D187" s="1" t="s">
        <v>706</v>
      </c>
      <c r="E187" s="1">
        <f>IF(Table1[[#This Row],[Lifespan Unit]]="months", Table1[[#This Row],[Lifespan]]/12,Table1[[#This Row],[Lifespan]])</f>
        <v>14</v>
      </c>
      <c r="F187" s="1" t="s">
        <v>599</v>
      </c>
      <c r="G187" s="1" t="str">
        <f t="shared" si="4"/>
        <v>2.2</v>
      </c>
      <c r="H187" s="1" t="str">
        <f t="shared" si="5"/>
        <v>lbs</v>
      </c>
      <c r="I187" s="1" t="str">
        <f>IF(Table1[[#This Row],[Lifespan (Years)]]&lt;25, "&lt;25", IF(Table1[[#This Row],[Lifespan (Years)]]&lt;50, "25-49", IF(Table1[[#This Row],[Lifespan (Years)]]&lt;75, "50-74", IF(Table1[[#This Row],[Lifespan (Years)]]&lt;100, "75-99", "&gt;=100"))))</f>
        <v>&lt;25</v>
      </c>
      <c r="J187" s="14">
        <f>IF(Table1[[#This Row],[Weight Unit]]="oz",Table1[[#This Row],[Weight (Digits)]]/16, Table1[[#This Row],[Weight (Digits)]]/1)</f>
        <v>2.2000000000000002</v>
      </c>
      <c r="K18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87" s="1" t="s">
        <v>724</v>
      </c>
      <c r="M187" s="1" t="str">
        <f>IF(COUNTIF(Table2[Animal],Table1[[#This Row],[Animal]]) = 1, "Previous Participant", "New Participant")</f>
        <v>Previous Participant</v>
      </c>
      <c r="N187" s="1" t="str">
        <f>_xlfn.XLOOKUP(Table1[[#This Row],[Region]],'Support - Tables'!$B$3:$B$10,'Support - Tables'!$D$3:$D$10,"Not Found",0)</f>
        <v>Road</v>
      </c>
      <c r="O187" s="6">
        <f>_xlfn.XLOOKUP(Table1[[#This Row],[Region]],'Support - Tables'!$B$3:$B$10,'Support - Tables'!$C$3:$C$10, "Not Found",0)</f>
        <v>450</v>
      </c>
      <c r="P187" s="6">
        <f>_xlfn.XLOOKUP(Table1[[#This Row],[Diet]],'Support - Tables'!$B$14:$B$16,'Support - Tables'!$C$14:$C$16, "Not Found", 0)</f>
        <v>400</v>
      </c>
      <c r="Q187" s="6">
        <f>Table1[[#This Row],[Revenue]]-Table1[[#This Row],[Cost]]</f>
        <v>50</v>
      </c>
      <c r="R187" s="6">
        <f>COUNTBLANK(Table1[[#This Row],[Diet]:[Region]])</f>
        <v>0</v>
      </c>
      <c r="S187" s="6"/>
      <c r="T187" s="6"/>
    </row>
    <row r="188" spans="1:20" x14ac:dyDescent="0.25">
      <c r="A188" s="2" t="s">
        <v>235</v>
      </c>
      <c r="B188" s="1" t="s">
        <v>15</v>
      </c>
      <c r="C188" s="1">
        <v>10</v>
      </c>
      <c r="D188" s="1" t="s">
        <v>706</v>
      </c>
      <c r="E188" s="1">
        <f>IF(Table1[[#This Row],[Lifespan Unit]]="months", Table1[[#This Row],[Lifespan]]/12,Table1[[#This Row],[Lifespan]])</f>
        <v>10</v>
      </c>
      <c r="F188" s="1" t="s">
        <v>610</v>
      </c>
      <c r="G188" s="1" t="str">
        <f t="shared" si="4"/>
        <v>1.5</v>
      </c>
      <c r="H188" s="1" t="str">
        <f t="shared" si="5"/>
        <v>lbs</v>
      </c>
      <c r="I188" s="1" t="str">
        <f>IF(Table1[[#This Row],[Lifespan (Years)]]&lt;25, "&lt;25", IF(Table1[[#This Row],[Lifespan (Years)]]&lt;50, "25-49", IF(Table1[[#This Row],[Lifespan (Years)]]&lt;75, "50-74", IF(Table1[[#This Row],[Lifespan (Years)]]&lt;100, "75-99", "&gt;=100"))))</f>
        <v>&lt;25</v>
      </c>
      <c r="J188" s="14">
        <f>IF(Table1[[#This Row],[Weight Unit]]="oz",Table1[[#This Row],[Weight (Digits)]]/16, Table1[[#This Row],[Weight (Digits)]]/1)</f>
        <v>1.5</v>
      </c>
      <c r="K18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88" s="1" t="s">
        <v>724</v>
      </c>
      <c r="M188" s="1" t="str">
        <f>IF(COUNTIF(Table2[Animal],Table1[[#This Row],[Animal]]) = 1, "Previous Participant", "New Participant")</f>
        <v>Previous Participant</v>
      </c>
      <c r="N188" s="1" t="str">
        <f>_xlfn.XLOOKUP(Table1[[#This Row],[Region]],'Support - Tables'!$B$3:$B$10,'Support - Tables'!$D$3:$D$10,"Not Found",0)</f>
        <v>Road</v>
      </c>
      <c r="O188" s="6">
        <f>_xlfn.XLOOKUP(Table1[[#This Row],[Region]],'Support - Tables'!$B$3:$B$10,'Support - Tables'!$C$3:$C$10, "Not Found",0)</f>
        <v>450</v>
      </c>
      <c r="P188" s="6">
        <f>_xlfn.XLOOKUP(Table1[[#This Row],[Diet]],'Support - Tables'!$B$14:$B$16,'Support - Tables'!$C$14:$C$16, "Not Found", 0)</f>
        <v>500</v>
      </c>
      <c r="Q188" s="6">
        <f>Table1[[#This Row],[Revenue]]-Table1[[#This Row],[Cost]]</f>
        <v>-50</v>
      </c>
      <c r="R188" s="6">
        <f>COUNTBLANK(Table1[[#This Row],[Diet]:[Region]])</f>
        <v>0</v>
      </c>
      <c r="S188" s="6"/>
      <c r="T188" s="6"/>
    </row>
    <row r="189" spans="1:20" x14ac:dyDescent="0.25">
      <c r="A189" s="2" t="s">
        <v>236</v>
      </c>
      <c r="B189" s="1" t="s">
        <v>13</v>
      </c>
      <c r="C189" s="1">
        <v>14</v>
      </c>
      <c r="D189" s="1" t="s">
        <v>706</v>
      </c>
      <c r="E189" s="1">
        <f>IF(Table1[[#This Row],[Lifespan Unit]]="months", Table1[[#This Row],[Lifespan]]/12,Table1[[#This Row],[Lifespan]])</f>
        <v>14</v>
      </c>
      <c r="F189" s="1" t="s">
        <v>237</v>
      </c>
      <c r="G189" s="1" t="str">
        <f t="shared" si="4"/>
        <v>50</v>
      </c>
      <c r="H189" s="1" t="str">
        <f t="shared" si="5"/>
        <v>lbs</v>
      </c>
      <c r="I189" s="1" t="str">
        <f>IF(Table1[[#This Row],[Lifespan (Years)]]&lt;25, "&lt;25", IF(Table1[[#This Row],[Lifespan (Years)]]&lt;50, "25-49", IF(Table1[[#This Row],[Lifespan (Years)]]&lt;75, "50-74", IF(Table1[[#This Row],[Lifespan (Years)]]&lt;100, "75-99", "&gt;=100"))))</f>
        <v>&lt;25</v>
      </c>
      <c r="J189" s="14">
        <f>IF(Table1[[#This Row],[Weight Unit]]="oz",Table1[[#This Row],[Weight (Digits)]]/16, Table1[[#This Row],[Weight (Digits)]]/1)</f>
        <v>50</v>
      </c>
      <c r="K18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89" s="1" t="s">
        <v>724</v>
      </c>
      <c r="M189" s="1" t="str">
        <f>IF(COUNTIF(Table2[Animal],Table1[[#This Row],[Animal]]) = 1, "Previous Participant", "New Participant")</f>
        <v>Previous Participant</v>
      </c>
      <c r="N189" s="1" t="str">
        <f>_xlfn.XLOOKUP(Table1[[#This Row],[Region]],'Support - Tables'!$B$3:$B$10,'Support - Tables'!$D$3:$D$10,"Not Found",0)</f>
        <v>Road</v>
      </c>
      <c r="O189" s="6">
        <f>_xlfn.XLOOKUP(Table1[[#This Row],[Region]],'Support - Tables'!$B$3:$B$10,'Support - Tables'!$C$3:$C$10, "Not Found",0)</f>
        <v>450</v>
      </c>
      <c r="P189" s="6">
        <f>_xlfn.XLOOKUP(Table1[[#This Row],[Diet]],'Support - Tables'!$B$14:$B$16,'Support - Tables'!$C$14:$C$16, "Not Found", 0)</f>
        <v>400</v>
      </c>
      <c r="Q189" s="6">
        <f>Table1[[#This Row],[Revenue]]-Table1[[#This Row],[Cost]]</f>
        <v>50</v>
      </c>
      <c r="R189" s="6">
        <f>COUNTBLANK(Table1[[#This Row],[Diet]:[Region]])</f>
        <v>0</v>
      </c>
      <c r="S189" s="6"/>
      <c r="T189" s="6"/>
    </row>
    <row r="190" spans="1:20" x14ac:dyDescent="0.25">
      <c r="A190" s="2" t="s">
        <v>238</v>
      </c>
      <c r="B190" s="1" t="s">
        <v>15</v>
      </c>
      <c r="C190" s="1">
        <v>15</v>
      </c>
      <c r="D190" s="1" t="s">
        <v>706</v>
      </c>
      <c r="E190" s="1">
        <f>IF(Table1[[#This Row],[Lifespan Unit]]="months", Table1[[#This Row],[Lifespan]]/12,Table1[[#This Row],[Lifespan]])</f>
        <v>15</v>
      </c>
      <c r="F190" s="1" t="s">
        <v>595</v>
      </c>
      <c r="G190" s="1" t="str">
        <f t="shared" si="4"/>
        <v>0.7</v>
      </c>
      <c r="H190" s="1" t="str">
        <f t="shared" si="5"/>
        <v>oz</v>
      </c>
      <c r="I190" s="1" t="str">
        <f>IF(Table1[[#This Row],[Lifespan (Years)]]&lt;25, "&lt;25", IF(Table1[[#This Row],[Lifespan (Years)]]&lt;50, "25-49", IF(Table1[[#This Row],[Lifespan (Years)]]&lt;75, "50-74", IF(Table1[[#This Row],[Lifespan (Years)]]&lt;100, "75-99", "&gt;=100"))))</f>
        <v>&lt;25</v>
      </c>
      <c r="J190" s="14">
        <f>IF(Table1[[#This Row],[Weight Unit]]="oz",Table1[[#This Row],[Weight (Digits)]]/16, Table1[[#This Row],[Weight (Digits)]]/1)</f>
        <v>4.3749999999999997E-2</v>
      </c>
      <c r="K19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90" s="1" t="s">
        <v>5</v>
      </c>
      <c r="M190" s="1" t="str">
        <f>IF(COUNTIF(Table2[Animal],Table1[[#This Row],[Animal]]) = 1, "Previous Participant", "New Participant")</f>
        <v>Previous Participant</v>
      </c>
      <c r="N190" s="1" t="str">
        <f>_xlfn.XLOOKUP(Table1[[#This Row],[Region]],'Support - Tables'!$B$3:$B$10,'Support - Tables'!$D$3:$D$10,"Not Found",0)</f>
        <v>Boat</v>
      </c>
      <c r="O190" s="6">
        <f>_xlfn.XLOOKUP(Table1[[#This Row],[Region]],'Support - Tables'!$B$3:$B$10,'Support - Tables'!$C$3:$C$10, "Not Found",0)</f>
        <v>400</v>
      </c>
      <c r="P190" s="6">
        <f>_xlfn.XLOOKUP(Table1[[#This Row],[Diet]],'Support - Tables'!$B$14:$B$16,'Support - Tables'!$C$14:$C$16, "Not Found", 0)</f>
        <v>500</v>
      </c>
      <c r="Q190" s="6">
        <f>Table1[[#This Row],[Revenue]]-Table1[[#This Row],[Cost]]</f>
        <v>-100</v>
      </c>
      <c r="R190" s="6">
        <f>COUNTBLANK(Table1[[#This Row],[Diet]:[Region]])</f>
        <v>0</v>
      </c>
      <c r="S190" s="6"/>
      <c r="T190" s="6"/>
    </row>
    <row r="191" spans="1:20" x14ac:dyDescent="0.25">
      <c r="A191" s="2" t="s">
        <v>239</v>
      </c>
      <c r="B191" s="1" t="s">
        <v>15</v>
      </c>
      <c r="C191" s="1">
        <v>12</v>
      </c>
      <c r="D191" s="1" t="s">
        <v>706</v>
      </c>
      <c r="E191" s="1">
        <f>IF(Table1[[#This Row],[Lifespan Unit]]="months", Table1[[#This Row],[Lifespan]]/12,Table1[[#This Row],[Lifespan]])</f>
        <v>12</v>
      </c>
      <c r="F191" s="1" t="s">
        <v>84</v>
      </c>
      <c r="G191" s="1" t="str">
        <f t="shared" si="4"/>
        <v>12</v>
      </c>
      <c r="H191" s="1" t="str">
        <f t="shared" si="5"/>
        <v>lbs</v>
      </c>
      <c r="I191" s="1" t="str">
        <f>IF(Table1[[#This Row],[Lifespan (Years)]]&lt;25, "&lt;25", IF(Table1[[#This Row],[Lifespan (Years)]]&lt;50, "25-49", IF(Table1[[#This Row],[Lifespan (Years)]]&lt;75, "50-74", IF(Table1[[#This Row],[Lifespan (Years)]]&lt;100, "75-99", "&gt;=100"))))</f>
        <v>&lt;25</v>
      </c>
      <c r="J191" s="14">
        <f>IF(Table1[[#This Row],[Weight Unit]]="oz",Table1[[#This Row],[Weight (Digits)]]/16, Table1[[#This Row],[Weight (Digits)]]/1)</f>
        <v>12</v>
      </c>
      <c r="K19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91" s="1" t="s">
        <v>724</v>
      </c>
      <c r="M191" s="1" t="str">
        <f>IF(COUNTIF(Table2[Animal],Table1[[#This Row],[Animal]]) = 1, "Previous Participant", "New Participant")</f>
        <v>Previous Participant</v>
      </c>
      <c r="N191" s="1" t="str">
        <f>_xlfn.XLOOKUP(Table1[[#This Row],[Region]],'Support - Tables'!$B$3:$B$10,'Support - Tables'!$D$3:$D$10,"Not Found",0)</f>
        <v>Road</v>
      </c>
      <c r="O191" s="6">
        <f>_xlfn.XLOOKUP(Table1[[#This Row],[Region]],'Support - Tables'!$B$3:$B$10,'Support - Tables'!$C$3:$C$10, "Not Found",0)</f>
        <v>450</v>
      </c>
      <c r="P191" s="6">
        <f>_xlfn.XLOOKUP(Table1[[#This Row],[Diet]],'Support - Tables'!$B$14:$B$16,'Support - Tables'!$C$14:$C$16, "Not Found", 0)</f>
        <v>500</v>
      </c>
      <c r="Q191" s="6">
        <f>Table1[[#This Row],[Revenue]]-Table1[[#This Row],[Cost]]</f>
        <v>-50</v>
      </c>
      <c r="R191" s="6">
        <f>COUNTBLANK(Table1[[#This Row],[Diet]:[Region]])</f>
        <v>0</v>
      </c>
      <c r="S191" s="6"/>
      <c r="T191" s="6"/>
    </row>
    <row r="192" spans="1:20" x14ac:dyDescent="0.25">
      <c r="A192" s="2" t="s">
        <v>240</v>
      </c>
      <c r="B192" s="1" t="s">
        <v>13</v>
      </c>
      <c r="C192" s="1">
        <v>30</v>
      </c>
      <c r="D192" s="1" t="s">
        <v>706</v>
      </c>
      <c r="E192" s="1">
        <f>IF(Table1[[#This Row],[Lifespan Unit]]="months", Table1[[#This Row],[Lifespan]]/12,Table1[[#This Row],[Lifespan]])</f>
        <v>30</v>
      </c>
      <c r="F192" s="1" t="s">
        <v>569</v>
      </c>
      <c r="G192" s="1" t="str">
        <f t="shared" si="4"/>
        <v>4.4</v>
      </c>
      <c r="H192" s="1" t="str">
        <f t="shared" si="5"/>
        <v>lbs</v>
      </c>
      <c r="I192" s="1" t="str">
        <f>IF(Table1[[#This Row],[Lifespan (Years)]]&lt;25, "&lt;25", IF(Table1[[#This Row],[Lifespan (Years)]]&lt;50, "25-49", IF(Table1[[#This Row],[Lifespan (Years)]]&lt;75, "50-74", IF(Table1[[#This Row],[Lifespan (Years)]]&lt;100, "75-99", "&gt;=100"))))</f>
        <v>25-49</v>
      </c>
      <c r="J192" s="14">
        <f>IF(Table1[[#This Row],[Weight Unit]]="oz",Table1[[#This Row],[Weight (Digits)]]/16, Table1[[#This Row],[Weight (Digits)]]/1)</f>
        <v>4.4000000000000004</v>
      </c>
      <c r="K19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92" s="1" t="s">
        <v>724</v>
      </c>
      <c r="M192" s="1" t="str">
        <f>IF(COUNTIF(Table2[Animal],Table1[[#This Row],[Animal]]) = 1, "Previous Participant", "New Participant")</f>
        <v>Previous Participant</v>
      </c>
      <c r="N192" s="1" t="str">
        <f>_xlfn.XLOOKUP(Table1[[#This Row],[Region]],'Support - Tables'!$B$3:$B$10,'Support - Tables'!$D$3:$D$10,"Not Found",0)</f>
        <v>Road</v>
      </c>
      <c r="O192" s="6">
        <f>_xlfn.XLOOKUP(Table1[[#This Row],[Region]],'Support - Tables'!$B$3:$B$10,'Support - Tables'!$C$3:$C$10, "Not Found",0)</f>
        <v>450</v>
      </c>
      <c r="P192" s="6">
        <f>_xlfn.XLOOKUP(Table1[[#This Row],[Diet]],'Support - Tables'!$B$14:$B$16,'Support - Tables'!$C$14:$C$16, "Not Found", 0)</f>
        <v>400</v>
      </c>
      <c r="Q192" s="6">
        <f>Table1[[#This Row],[Revenue]]-Table1[[#This Row],[Cost]]</f>
        <v>50</v>
      </c>
      <c r="R192" s="6">
        <f>COUNTBLANK(Table1[[#This Row],[Diet]:[Region]])</f>
        <v>0</v>
      </c>
      <c r="S192" s="6"/>
      <c r="T192" s="6"/>
    </row>
    <row r="193" spans="1:20" x14ac:dyDescent="0.25">
      <c r="A193" s="2" t="s">
        <v>241</v>
      </c>
      <c r="B193" s="1" t="s">
        <v>13</v>
      </c>
      <c r="C193" s="1">
        <v>12</v>
      </c>
      <c r="D193" s="1" t="s">
        <v>706</v>
      </c>
      <c r="E193" s="1">
        <f>IF(Table1[[#This Row],[Lifespan Unit]]="months", Table1[[#This Row],[Lifespan]]/12,Table1[[#This Row],[Lifespan]])</f>
        <v>12</v>
      </c>
      <c r="F193" s="1" t="s">
        <v>74</v>
      </c>
      <c r="G193" s="1" t="str">
        <f t="shared" si="4"/>
        <v>70</v>
      </c>
      <c r="H193" s="1" t="str">
        <f t="shared" si="5"/>
        <v>lbs</v>
      </c>
      <c r="I193" s="1" t="str">
        <f>IF(Table1[[#This Row],[Lifespan (Years)]]&lt;25, "&lt;25", IF(Table1[[#This Row],[Lifespan (Years)]]&lt;50, "25-49", IF(Table1[[#This Row],[Lifespan (Years)]]&lt;75, "50-74", IF(Table1[[#This Row],[Lifespan (Years)]]&lt;100, "75-99", "&gt;=100"))))</f>
        <v>&lt;25</v>
      </c>
      <c r="J193" s="14">
        <f>IF(Table1[[#This Row],[Weight Unit]]="oz",Table1[[#This Row],[Weight (Digits)]]/16, Table1[[#This Row],[Weight (Digits)]]/1)</f>
        <v>70</v>
      </c>
      <c r="K19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93" s="1" t="s">
        <v>2</v>
      </c>
      <c r="M193" s="1" t="str">
        <f>IF(COUNTIF(Table2[Animal],Table1[[#This Row],[Animal]]) = 1, "Previous Participant", "New Participant")</f>
        <v>Previous Participant</v>
      </c>
      <c r="N193" s="1" t="str">
        <f>_xlfn.XLOOKUP(Table1[[#This Row],[Region]],'Support - Tables'!$B$3:$B$10,'Support - Tables'!$D$3:$D$10,"Not Found",0)</f>
        <v>Air</v>
      </c>
      <c r="O193" s="6">
        <f>_xlfn.XLOOKUP(Table1[[#This Row],[Region]],'Support - Tables'!$B$3:$B$10,'Support - Tables'!$C$3:$C$10, "Not Found",0)</f>
        <v>600</v>
      </c>
      <c r="P193" s="6">
        <f>_xlfn.XLOOKUP(Table1[[#This Row],[Diet]],'Support - Tables'!$B$14:$B$16,'Support - Tables'!$C$14:$C$16, "Not Found", 0)</f>
        <v>400</v>
      </c>
      <c r="Q193" s="6">
        <f>Table1[[#This Row],[Revenue]]-Table1[[#This Row],[Cost]]</f>
        <v>200</v>
      </c>
      <c r="R193" s="6">
        <f>COUNTBLANK(Table1[[#This Row],[Diet]:[Region]])</f>
        <v>0</v>
      </c>
      <c r="S193" s="6"/>
      <c r="T193" s="6"/>
    </row>
    <row r="194" spans="1:20" x14ac:dyDescent="0.25">
      <c r="A194" s="2" t="s">
        <v>242</v>
      </c>
      <c r="B194" s="1" t="s">
        <v>15</v>
      </c>
      <c r="C194" s="1">
        <v>10</v>
      </c>
      <c r="D194" s="1" t="s">
        <v>706</v>
      </c>
      <c r="E194" s="1">
        <f>IF(Table1[[#This Row],[Lifespan Unit]]="months", Table1[[#This Row],[Lifespan]]/12,Table1[[#This Row],[Lifespan]])</f>
        <v>10</v>
      </c>
      <c r="F194" s="1" t="s">
        <v>573</v>
      </c>
      <c r="G194" s="1" t="str">
        <f t="shared" ref="G194:G257" si="6">SUBSTITUTE(F194,IF(ISNUMBER(SEARCH("lbs", F194)),RIGHT(F194, 3), RIGHT(F194, 2)),"")</f>
        <v/>
      </c>
      <c r="H194" s="1" t="str">
        <f t="shared" ref="H194:H257" si="7">IF(ISNUMBER(SEARCH("lbs", F194)),RIGHT(F194, 3), RIGHT(F194, 2))</f>
        <v/>
      </c>
      <c r="I194" s="1" t="str">
        <f>IF(Table1[[#This Row],[Lifespan (Years)]]&lt;25, "&lt;25", IF(Table1[[#This Row],[Lifespan (Years)]]&lt;50, "25-49", IF(Table1[[#This Row],[Lifespan (Years)]]&lt;75, "50-74", IF(Table1[[#This Row],[Lifespan (Years)]]&lt;100, "75-99", "&gt;=100"))))</f>
        <v>&lt;25</v>
      </c>
      <c r="J194" s="14">
        <v>0</v>
      </c>
      <c r="K19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194" s="1" t="s">
        <v>2</v>
      </c>
      <c r="M194" s="1" t="str">
        <f>IF(COUNTIF(Table2[Animal],Table1[[#This Row],[Animal]]) = 1, "Previous Participant", "New Participant")</f>
        <v>Previous Participant</v>
      </c>
      <c r="N194" s="1" t="str">
        <f>_xlfn.XLOOKUP(Table1[[#This Row],[Region]],'Support - Tables'!$B$3:$B$10,'Support - Tables'!$D$3:$D$10,"Not Found",0)</f>
        <v>Air</v>
      </c>
      <c r="O194" s="6">
        <f>_xlfn.XLOOKUP(Table1[[#This Row],[Region]],'Support - Tables'!$B$3:$B$10,'Support - Tables'!$C$3:$C$10, "Not Found",0)</f>
        <v>600</v>
      </c>
      <c r="P194" s="6">
        <f>_xlfn.XLOOKUP(Table1[[#This Row],[Diet]],'Support - Tables'!$B$14:$B$16,'Support - Tables'!$C$14:$C$16, "Not Found", 0)</f>
        <v>500</v>
      </c>
      <c r="Q194" s="6">
        <f>Table1[[#This Row],[Revenue]]-Table1[[#This Row],[Cost]]</f>
        <v>100</v>
      </c>
      <c r="R194" s="6">
        <f>COUNTBLANK(Table1[[#This Row],[Diet]:[Region]])</f>
        <v>3</v>
      </c>
      <c r="S194" s="6"/>
      <c r="T194" s="6"/>
    </row>
    <row r="195" spans="1:20" x14ac:dyDescent="0.25">
      <c r="A195" s="2" t="s">
        <v>243</v>
      </c>
      <c r="B195" s="1" t="s">
        <v>13</v>
      </c>
      <c r="C195" s="1">
        <v>25</v>
      </c>
      <c r="D195" s="1" t="s">
        <v>709</v>
      </c>
      <c r="E195" s="1">
        <f>IF(Table1[[#This Row],[Lifespan Unit]]="months", Table1[[#This Row],[Lifespan]]/12,Table1[[#This Row],[Lifespan]])</f>
        <v>25</v>
      </c>
      <c r="F195" s="1" t="s">
        <v>573</v>
      </c>
      <c r="G195" s="1" t="str">
        <f t="shared" si="6"/>
        <v/>
      </c>
      <c r="H195" s="1" t="str">
        <f t="shared" si="7"/>
        <v/>
      </c>
      <c r="I195" s="1" t="str">
        <f>IF(Table1[[#This Row],[Lifespan (Years)]]&lt;25, "&lt;25", IF(Table1[[#This Row],[Lifespan (Years)]]&lt;50, "25-49", IF(Table1[[#This Row],[Lifespan (Years)]]&lt;75, "50-74", IF(Table1[[#This Row],[Lifespan (Years)]]&lt;100, "75-99", "&gt;=100"))))</f>
        <v>25-49</v>
      </c>
      <c r="J195" s="14">
        <v>0</v>
      </c>
      <c r="K19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195" s="1" t="s">
        <v>5</v>
      </c>
      <c r="M195" s="1" t="str">
        <f>IF(COUNTIF(Table2[Animal],Table1[[#This Row],[Animal]]) = 1, "Previous Participant", "New Participant")</f>
        <v>New Participant</v>
      </c>
      <c r="N195" s="1" t="str">
        <f>_xlfn.XLOOKUP(Table1[[#This Row],[Region]],'Support - Tables'!$B$3:$B$10,'Support - Tables'!$D$3:$D$10,"Not Found",0)</f>
        <v>Boat</v>
      </c>
      <c r="O195" s="6">
        <f>_xlfn.XLOOKUP(Table1[[#This Row],[Region]],'Support - Tables'!$B$3:$B$10,'Support - Tables'!$C$3:$C$10, "Not Found",0)</f>
        <v>400</v>
      </c>
      <c r="P195" s="6">
        <f>_xlfn.XLOOKUP(Table1[[#This Row],[Diet]],'Support - Tables'!$B$14:$B$16,'Support - Tables'!$C$14:$C$16, "Not Found", 0)</f>
        <v>400</v>
      </c>
      <c r="Q195" s="6">
        <f>Table1[[#This Row],[Revenue]]-Table1[[#This Row],[Cost]]</f>
        <v>0</v>
      </c>
      <c r="R195" s="6">
        <f>COUNTBLANK(Table1[[#This Row],[Diet]:[Region]])</f>
        <v>3</v>
      </c>
      <c r="S195" s="6"/>
      <c r="T195" s="6"/>
    </row>
    <row r="196" spans="1:20" x14ac:dyDescent="0.25">
      <c r="A196" s="2" t="s">
        <v>244</v>
      </c>
      <c r="B196" s="1" t="s">
        <v>13</v>
      </c>
      <c r="C196" s="1">
        <v>8</v>
      </c>
      <c r="D196" s="1" t="s">
        <v>706</v>
      </c>
      <c r="E196" s="1">
        <f>IF(Table1[[#This Row],[Lifespan Unit]]="months", Table1[[#This Row],[Lifespan]]/12,Table1[[#This Row],[Lifespan]])</f>
        <v>8</v>
      </c>
      <c r="F196" s="1" t="s">
        <v>578</v>
      </c>
      <c r="G196" s="1" t="str">
        <f t="shared" si="6"/>
        <v>2</v>
      </c>
      <c r="H196" s="1" t="str">
        <f t="shared" si="7"/>
        <v>oz</v>
      </c>
      <c r="I196" s="1" t="str">
        <f>IF(Table1[[#This Row],[Lifespan (Years)]]&lt;25, "&lt;25", IF(Table1[[#This Row],[Lifespan (Years)]]&lt;50, "25-49", IF(Table1[[#This Row],[Lifespan (Years)]]&lt;75, "50-74", IF(Table1[[#This Row],[Lifespan (Years)]]&lt;100, "75-99", "&gt;=100"))))</f>
        <v>&lt;25</v>
      </c>
      <c r="J196" s="14">
        <f>IF(Table1[[#This Row],[Weight Unit]]="oz",Table1[[#This Row],[Weight (Digits)]]/16, Table1[[#This Row],[Weight (Digits)]]/1)</f>
        <v>0.125</v>
      </c>
      <c r="K19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96" s="1" t="s">
        <v>5</v>
      </c>
      <c r="M196" s="1" t="str">
        <f>IF(COUNTIF(Table2[Animal],Table1[[#This Row],[Animal]]) = 1, "Previous Participant", "New Participant")</f>
        <v>Previous Participant</v>
      </c>
      <c r="N196" s="1" t="str">
        <f>_xlfn.XLOOKUP(Table1[[#This Row],[Region]],'Support - Tables'!$B$3:$B$10,'Support - Tables'!$D$3:$D$10,"Not Found",0)</f>
        <v>Boat</v>
      </c>
      <c r="O196" s="6">
        <f>_xlfn.XLOOKUP(Table1[[#This Row],[Region]],'Support - Tables'!$B$3:$B$10,'Support - Tables'!$C$3:$C$10, "Not Found",0)</f>
        <v>400</v>
      </c>
      <c r="P196" s="6">
        <f>_xlfn.XLOOKUP(Table1[[#This Row],[Diet]],'Support - Tables'!$B$14:$B$16,'Support - Tables'!$C$14:$C$16, "Not Found", 0)</f>
        <v>400</v>
      </c>
      <c r="Q196" s="6">
        <f>Table1[[#This Row],[Revenue]]-Table1[[#This Row],[Cost]]</f>
        <v>0</v>
      </c>
      <c r="R196" s="6">
        <f>COUNTBLANK(Table1[[#This Row],[Diet]:[Region]])</f>
        <v>0</v>
      </c>
      <c r="S196" s="6"/>
      <c r="T196" s="6"/>
    </row>
    <row r="197" spans="1:20" x14ac:dyDescent="0.25">
      <c r="A197" s="2" t="s">
        <v>245</v>
      </c>
      <c r="B197" s="1" t="s">
        <v>15</v>
      </c>
      <c r="C197" s="1">
        <v>20</v>
      </c>
      <c r="D197" s="1" t="s">
        <v>706</v>
      </c>
      <c r="E197" s="1">
        <f>IF(Table1[[#This Row],[Lifespan Unit]]="months", Table1[[#This Row],[Lifespan]]/12,Table1[[#This Row],[Lifespan]])</f>
        <v>20</v>
      </c>
      <c r="F197" s="1" t="s">
        <v>606</v>
      </c>
      <c r="G197" s="1" t="str">
        <f t="shared" si="6"/>
        <v>15</v>
      </c>
      <c r="H197" s="1" t="str">
        <f t="shared" si="7"/>
        <v>lbs</v>
      </c>
      <c r="I197" s="1" t="str">
        <f>IF(Table1[[#This Row],[Lifespan (Years)]]&lt;25, "&lt;25", IF(Table1[[#This Row],[Lifespan (Years)]]&lt;50, "25-49", IF(Table1[[#This Row],[Lifespan (Years)]]&lt;75, "50-74", IF(Table1[[#This Row],[Lifespan (Years)]]&lt;100, "75-99", "&gt;=100"))))</f>
        <v>&lt;25</v>
      </c>
      <c r="J197" s="14">
        <f>IF(Table1[[#This Row],[Weight Unit]]="oz",Table1[[#This Row],[Weight (Digits)]]/16, Table1[[#This Row],[Weight (Digits)]]/1)</f>
        <v>15</v>
      </c>
      <c r="K19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97" s="1" t="s">
        <v>724</v>
      </c>
      <c r="M197" s="1" t="str">
        <f>IF(COUNTIF(Table2[Animal],Table1[[#This Row],[Animal]]) = 1, "Previous Participant", "New Participant")</f>
        <v>Previous Participant</v>
      </c>
      <c r="N197" s="1" t="str">
        <f>_xlfn.XLOOKUP(Table1[[#This Row],[Region]],'Support - Tables'!$B$3:$B$10,'Support - Tables'!$D$3:$D$10,"Not Found",0)</f>
        <v>Road</v>
      </c>
      <c r="O197" s="6">
        <f>_xlfn.XLOOKUP(Table1[[#This Row],[Region]],'Support - Tables'!$B$3:$B$10,'Support - Tables'!$C$3:$C$10, "Not Found",0)</f>
        <v>450</v>
      </c>
      <c r="P197" s="6">
        <f>_xlfn.XLOOKUP(Table1[[#This Row],[Diet]],'Support - Tables'!$B$14:$B$16,'Support - Tables'!$C$14:$C$16, "Not Found", 0)</f>
        <v>500</v>
      </c>
      <c r="Q197" s="6">
        <f>Table1[[#This Row],[Revenue]]-Table1[[#This Row],[Cost]]</f>
        <v>-50</v>
      </c>
      <c r="R197" s="6">
        <f>COUNTBLANK(Table1[[#This Row],[Diet]:[Region]])</f>
        <v>0</v>
      </c>
      <c r="S197" s="6"/>
      <c r="T197" s="6"/>
    </row>
    <row r="198" spans="1:20" x14ac:dyDescent="0.25">
      <c r="A198" s="2" t="s">
        <v>246</v>
      </c>
      <c r="B198" s="1" t="s">
        <v>15</v>
      </c>
      <c r="C198" s="1">
        <v>11</v>
      </c>
      <c r="D198" s="1" t="s">
        <v>706</v>
      </c>
      <c r="E198" s="1">
        <f>IF(Table1[[#This Row],[Lifespan Unit]]="months", Table1[[#This Row],[Lifespan]]/12,Table1[[#This Row],[Lifespan]])</f>
        <v>11</v>
      </c>
      <c r="F198" s="1" t="s">
        <v>616</v>
      </c>
      <c r="G198" s="1" t="str">
        <f t="shared" si="6"/>
        <v>11</v>
      </c>
      <c r="H198" s="1" t="str">
        <f t="shared" si="7"/>
        <v>lbs</v>
      </c>
      <c r="I198" s="1" t="str">
        <f>IF(Table1[[#This Row],[Lifespan (Years)]]&lt;25, "&lt;25", IF(Table1[[#This Row],[Lifespan (Years)]]&lt;50, "25-49", IF(Table1[[#This Row],[Lifespan (Years)]]&lt;75, "50-74", IF(Table1[[#This Row],[Lifespan (Years)]]&lt;100, "75-99", "&gt;=100"))))</f>
        <v>&lt;25</v>
      </c>
      <c r="J198" s="14">
        <f>IF(Table1[[#This Row],[Weight Unit]]="oz",Table1[[#This Row],[Weight (Digits)]]/16, Table1[[#This Row],[Weight (Digits)]]/1)</f>
        <v>11</v>
      </c>
      <c r="K19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98" s="1" t="s">
        <v>724</v>
      </c>
      <c r="M198" s="1" t="str">
        <f>IF(COUNTIF(Table2[Animal],Table1[[#This Row],[Animal]]) = 1, "Previous Participant", "New Participant")</f>
        <v>Previous Participant</v>
      </c>
      <c r="N198" s="1" t="str">
        <f>_xlfn.XLOOKUP(Table1[[#This Row],[Region]],'Support - Tables'!$B$3:$B$10,'Support - Tables'!$D$3:$D$10,"Not Found",0)</f>
        <v>Road</v>
      </c>
      <c r="O198" s="6">
        <f>_xlfn.XLOOKUP(Table1[[#This Row],[Region]],'Support - Tables'!$B$3:$B$10,'Support - Tables'!$C$3:$C$10, "Not Found",0)</f>
        <v>450</v>
      </c>
      <c r="P198" s="6">
        <f>_xlfn.XLOOKUP(Table1[[#This Row],[Diet]],'Support - Tables'!$B$14:$B$16,'Support - Tables'!$C$14:$C$16, "Not Found", 0)</f>
        <v>500</v>
      </c>
      <c r="Q198" s="6">
        <f>Table1[[#This Row],[Revenue]]-Table1[[#This Row],[Cost]]</f>
        <v>-50</v>
      </c>
      <c r="R198" s="6">
        <f>COUNTBLANK(Table1[[#This Row],[Diet]:[Region]])</f>
        <v>0</v>
      </c>
      <c r="S198" s="6"/>
      <c r="T198" s="6"/>
    </row>
    <row r="199" spans="1:20" x14ac:dyDescent="0.25">
      <c r="A199" s="2" t="s">
        <v>247</v>
      </c>
      <c r="B199" s="1" t="s">
        <v>13</v>
      </c>
      <c r="C199" s="1">
        <v>14</v>
      </c>
      <c r="D199" s="1" t="s">
        <v>706</v>
      </c>
      <c r="E199" s="1">
        <f>IF(Table1[[#This Row],[Lifespan Unit]]="months", Table1[[#This Row],[Lifespan]]/12,Table1[[#This Row],[Lifespan]])</f>
        <v>14</v>
      </c>
      <c r="F199" s="1" t="s">
        <v>108</v>
      </c>
      <c r="G199" s="1" t="str">
        <f t="shared" si="6"/>
        <v>18</v>
      </c>
      <c r="H199" s="1" t="str">
        <f t="shared" si="7"/>
        <v>lbs</v>
      </c>
      <c r="I199" s="1" t="str">
        <f>IF(Table1[[#This Row],[Lifespan (Years)]]&lt;25, "&lt;25", IF(Table1[[#This Row],[Lifespan (Years)]]&lt;50, "25-49", IF(Table1[[#This Row],[Lifespan (Years)]]&lt;75, "50-74", IF(Table1[[#This Row],[Lifespan (Years)]]&lt;100, "75-99", "&gt;=100"))))</f>
        <v>&lt;25</v>
      </c>
      <c r="J199" s="14">
        <f>IF(Table1[[#This Row],[Weight Unit]]="oz",Table1[[#This Row],[Weight (Digits)]]/16, Table1[[#This Row],[Weight (Digits)]]/1)</f>
        <v>18</v>
      </c>
      <c r="K19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99" s="1" t="s">
        <v>724</v>
      </c>
      <c r="M199" s="1" t="str">
        <f>IF(COUNTIF(Table2[Animal],Table1[[#This Row],[Animal]]) = 1, "Previous Participant", "New Participant")</f>
        <v>Previous Participant</v>
      </c>
      <c r="N199" s="1" t="str">
        <f>_xlfn.XLOOKUP(Table1[[#This Row],[Region]],'Support - Tables'!$B$3:$B$10,'Support - Tables'!$D$3:$D$10,"Not Found",0)</f>
        <v>Road</v>
      </c>
      <c r="O199" s="6">
        <f>_xlfn.XLOOKUP(Table1[[#This Row],[Region]],'Support - Tables'!$B$3:$B$10,'Support - Tables'!$C$3:$C$10, "Not Found",0)</f>
        <v>450</v>
      </c>
      <c r="P199" s="6">
        <f>_xlfn.XLOOKUP(Table1[[#This Row],[Diet]],'Support - Tables'!$B$14:$B$16,'Support - Tables'!$C$14:$C$16, "Not Found", 0)</f>
        <v>400</v>
      </c>
      <c r="Q199" s="6">
        <f>Table1[[#This Row],[Revenue]]-Table1[[#This Row],[Cost]]</f>
        <v>50</v>
      </c>
      <c r="R199" s="6">
        <f>COUNTBLANK(Table1[[#This Row],[Diet]:[Region]])</f>
        <v>0</v>
      </c>
      <c r="S199" s="6"/>
      <c r="T199" s="6"/>
    </row>
    <row r="200" spans="1:20" x14ac:dyDescent="0.25">
      <c r="A200" s="2" t="s">
        <v>248</v>
      </c>
      <c r="B200" s="1" t="s">
        <v>13</v>
      </c>
      <c r="C200" s="1">
        <v>12</v>
      </c>
      <c r="D200" s="1" t="s">
        <v>706</v>
      </c>
      <c r="E200" s="1">
        <f>IF(Table1[[#This Row],[Lifespan Unit]]="months", Table1[[#This Row],[Lifespan]]/12,Table1[[#This Row],[Lifespan]])</f>
        <v>12</v>
      </c>
      <c r="F200" s="1" t="s">
        <v>249</v>
      </c>
      <c r="G200" s="1" t="str">
        <f t="shared" si="6"/>
        <v>22</v>
      </c>
      <c r="H200" s="1" t="str">
        <f t="shared" si="7"/>
        <v>lbs</v>
      </c>
      <c r="I200" s="1" t="str">
        <f>IF(Table1[[#This Row],[Lifespan (Years)]]&lt;25, "&lt;25", IF(Table1[[#This Row],[Lifespan (Years)]]&lt;50, "25-49", IF(Table1[[#This Row],[Lifespan (Years)]]&lt;75, "50-74", IF(Table1[[#This Row],[Lifespan (Years)]]&lt;100, "75-99", "&gt;=100"))))</f>
        <v>&lt;25</v>
      </c>
      <c r="J200" s="14">
        <f>IF(Table1[[#This Row],[Weight Unit]]="oz",Table1[[#This Row],[Weight (Digits)]]/16, Table1[[#This Row],[Weight (Digits)]]/1)</f>
        <v>22</v>
      </c>
      <c r="K20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00" s="1" t="s">
        <v>724</v>
      </c>
      <c r="M200" s="1" t="str">
        <f>IF(COUNTIF(Table2[Animal],Table1[[#This Row],[Animal]]) = 1, "Previous Participant", "New Participant")</f>
        <v>Previous Participant</v>
      </c>
      <c r="N200" s="1" t="str">
        <f>_xlfn.XLOOKUP(Table1[[#This Row],[Region]],'Support - Tables'!$B$3:$B$10,'Support - Tables'!$D$3:$D$10,"Not Found",0)</f>
        <v>Road</v>
      </c>
      <c r="O200" s="6">
        <f>_xlfn.XLOOKUP(Table1[[#This Row],[Region]],'Support - Tables'!$B$3:$B$10,'Support - Tables'!$C$3:$C$10, "Not Found",0)</f>
        <v>450</v>
      </c>
      <c r="P200" s="6">
        <f>_xlfn.XLOOKUP(Table1[[#This Row],[Diet]],'Support - Tables'!$B$14:$B$16,'Support - Tables'!$C$14:$C$16, "Not Found", 0)</f>
        <v>400</v>
      </c>
      <c r="Q200" s="6">
        <f>Table1[[#This Row],[Revenue]]-Table1[[#This Row],[Cost]]</f>
        <v>50</v>
      </c>
      <c r="R200" s="6">
        <f>COUNTBLANK(Table1[[#This Row],[Diet]:[Region]])</f>
        <v>0</v>
      </c>
      <c r="S200" s="6"/>
      <c r="T200" s="6"/>
    </row>
    <row r="201" spans="1:20" x14ac:dyDescent="0.25">
      <c r="A201" s="2" t="s">
        <v>250</v>
      </c>
      <c r="B201" s="1" t="s">
        <v>15</v>
      </c>
      <c r="C201" s="1">
        <v>25</v>
      </c>
      <c r="D201" s="1" t="s">
        <v>706</v>
      </c>
      <c r="E201" s="1">
        <f>IF(Table1[[#This Row],[Lifespan Unit]]="months", Table1[[#This Row],[Lifespan]]/12,Table1[[#This Row],[Lifespan]])</f>
        <v>25</v>
      </c>
      <c r="F201" s="1" t="s">
        <v>617</v>
      </c>
      <c r="G201" s="1" t="str">
        <f t="shared" si="6"/>
        <v>1.9</v>
      </c>
      <c r="H201" s="1" t="str">
        <f t="shared" si="7"/>
        <v>lbs</v>
      </c>
      <c r="I201" s="1" t="str">
        <f>IF(Table1[[#This Row],[Lifespan (Years)]]&lt;25, "&lt;25", IF(Table1[[#This Row],[Lifespan (Years)]]&lt;50, "25-49", IF(Table1[[#This Row],[Lifespan (Years)]]&lt;75, "50-74", IF(Table1[[#This Row],[Lifespan (Years)]]&lt;100, "75-99", "&gt;=100"))))</f>
        <v>25-49</v>
      </c>
      <c r="J201" s="14">
        <f>IF(Table1[[#This Row],[Weight Unit]]="oz",Table1[[#This Row],[Weight (Digits)]]/16, Table1[[#This Row],[Weight (Digits)]]/1)</f>
        <v>1.9</v>
      </c>
      <c r="K20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01" s="1" t="s">
        <v>5</v>
      </c>
      <c r="M201" s="1" t="str">
        <f>IF(COUNTIF(Table2[Animal],Table1[[#This Row],[Animal]]) = 1, "Previous Participant", "New Participant")</f>
        <v>Previous Participant</v>
      </c>
      <c r="N201" s="1" t="str">
        <f>_xlfn.XLOOKUP(Table1[[#This Row],[Region]],'Support - Tables'!$B$3:$B$10,'Support - Tables'!$D$3:$D$10,"Not Found",0)</f>
        <v>Boat</v>
      </c>
      <c r="O201" s="6">
        <f>_xlfn.XLOOKUP(Table1[[#This Row],[Region]],'Support - Tables'!$B$3:$B$10,'Support - Tables'!$C$3:$C$10, "Not Found",0)</f>
        <v>400</v>
      </c>
      <c r="P201" s="6">
        <f>_xlfn.XLOOKUP(Table1[[#This Row],[Diet]],'Support - Tables'!$B$14:$B$16,'Support - Tables'!$C$14:$C$16, "Not Found", 0)</f>
        <v>500</v>
      </c>
      <c r="Q201" s="6">
        <f>Table1[[#This Row],[Revenue]]-Table1[[#This Row],[Cost]]</f>
        <v>-100</v>
      </c>
      <c r="R201" s="6">
        <f>COUNTBLANK(Table1[[#This Row],[Diet]:[Region]])</f>
        <v>0</v>
      </c>
      <c r="S201" s="6"/>
      <c r="T201" s="6"/>
    </row>
    <row r="202" spans="1:20" x14ac:dyDescent="0.25">
      <c r="A202" s="2" t="s">
        <v>251</v>
      </c>
      <c r="B202" s="1" t="s">
        <v>13</v>
      </c>
      <c r="C202" s="1">
        <v>20</v>
      </c>
      <c r="D202" s="1" t="s">
        <v>706</v>
      </c>
      <c r="E202" s="1">
        <f>IF(Table1[[#This Row],[Lifespan Unit]]="months", Table1[[#This Row],[Lifespan]]/12,Table1[[#This Row],[Lifespan]])</f>
        <v>20</v>
      </c>
      <c r="F202" s="1" t="s">
        <v>612</v>
      </c>
      <c r="G202" s="1" t="str">
        <f t="shared" si="6"/>
        <v>1.1</v>
      </c>
      <c r="H202" s="1" t="str">
        <f t="shared" si="7"/>
        <v>lbs</v>
      </c>
      <c r="I202" s="1" t="str">
        <f>IF(Table1[[#This Row],[Lifespan (Years)]]&lt;25, "&lt;25", IF(Table1[[#This Row],[Lifespan (Years)]]&lt;50, "25-49", IF(Table1[[#This Row],[Lifespan (Years)]]&lt;75, "50-74", IF(Table1[[#This Row],[Lifespan (Years)]]&lt;100, "75-99", "&gt;=100"))))</f>
        <v>&lt;25</v>
      </c>
      <c r="J202" s="14">
        <f>IF(Table1[[#This Row],[Weight Unit]]="oz",Table1[[#This Row],[Weight (Digits)]]/16, Table1[[#This Row],[Weight (Digits)]]/1)</f>
        <v>1.1000000000000001</v>
      </c>
      <c r="K20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02" s="1" t="s">
        <v>6</v>
      </c>
      <c r="M202" s="1" t="str">
        <f>IF(COUNTIF(Table2[Animal],Table1[[#This Row],[Animal]]) = 1, "Previous Participant", "New Participant")</f>
        <v>New Participant</v>
      </c>
      <c r="N202" s="1" t="str">
        <f>_xlfn.XLOOKUP(Table1[[#This Row],[Region]],'Support - Tables'!$B$3:$B$10,'Support - Tables'!$D$3:$D$10,"Not Found",0)</f>
        <v>Air</v>
      </c>
      <c r="O202" s="6">
        <f>_xlfn.XLOOKUP(Table1[[#This Row],[Region]],'Support - Tables'!$B$3:$B$10,'Support - Tables'!$C$3:$C$10, "Not Found",0)</f>
        <v>450</v>
      </c>
      <c r="P202" s="6">
        <f>_xlfn.XLOOKUP(Table1[[#This Row],[Diet]],'Support - Tables'!$B$14:$B$16,'Support - Tables'!$C$14:$C$16, "Not Found", 0)</f>
        <v>400</v>
      </c>
      <c r="Q202" s="6">
        <f>Table1[[#This Row],[Revenue]]-Table1[[#This Row],[Cost]]</f>
        <v>50</v>
      </c>
      <c r="R202" s="6">
        <f>COUNTBLANK(Table1[[#This Row],[Diet]:[Region]])</f>
        <v>0</v>
      </c>
      <c r="S202" s="6"/>
      <c r="T202" s="6"/>
    </row>
    <row r="203" spans="1:20" x14ac:dyDescent="0.25">
      <c r="A203" s="2" t="s">
        <v>252</v>
      </c>
      <c r="B203" s="1" t="s">
        <v>13</v>
      </c>
      <c r="C203" s="1">
        <v>8</v>
      </c>
      <c r="D203" s="1" t="s">
        <v>706</v>
      </c>
      <c r="E203" s="1">
        <f>IF(Table1[[#This Row],[Lifespan Unit]]="months", Table1[[#This Row],[Lifespan]]/12,Table1[[#This Row],[Lifespan]])</f>
        <v>8</v>
      </c>
      <c r="F203" s="1" t="s">
        <v>583</v>
      </c>
      <c r="G203" s="1" t="str">
        <f t="shared" si="6"/>
        <v>0.07</v>
      </c>
      <c r="H203" s="1" t="str">
        <f t="shared" si="7"/>
        <v>oz</v>
      </c>
      <c r="I203" s="1" t="str">
        <f>IF(Table1[[#This Row],[Lifespan (Years)]]&lt;25, "&lt;25", IF(Table1[[#This Row],[Lifespan (Years)]]&lt;50, "25-49", IF(Table1[[#This Row],[Lifespan (Years)]]&lt;75, "50-74", IF(Table1[[#This Row],[Lifespan (Years)]]&lt;100, "75-99", "&gt;=100"))))</f>
        <v>&lt;25</v>
      </c>
      <c r="J203" s="14">
        <f>IF(Table1[[#This Row],[Weight Unit]]="oz",Table1[[#This Row],[Weight (Digits)]]/16, Table1[[#This Row],[Weight (Digits)]]/1)</f>
        <v>4.3750000000000004E-3</v>
      </c>
      <c r="K20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03" s="1" t="s">
        <v>6</v>
      </c>
      <c r="M203" s="1" t="str">
        <f>IF(COUNTIF(Table2[Animal],Table1[[#This Row],[Animal]]) = 1, "Previous Participant", "New Participant")</f>
        <v>Previous Participant</v>
      </c>
      <c r="N203" s="1" t="str">
        <f>_xlfn.XLOOKUP(Table1[[#This Row],[Region]],'Support - Tables'!$B$3:$B$10,'Support - Tables'!$D$3:$D$10,"Not Found",0)</f>
        <v>Air</v>
      </c>
      <c r="O203" s="6">
        <f>_xlfn.XLOOKUP(Table1[[#This Row],[Region]],'Support - Tables'!$B$3:$B$10,'Support - Tables'!$C$3:$C$10, "Not Found",0)</f>
        <v>450</v>
      </c>
      <c r="P203" s="6">
        <f>_xlfn.XLOOKUP(Table1[[#This Row],[Diet]],'Support - Tables'!$B$14:$B$16,'Support - Tables'!$C$14:$C$16, "Not Found", 0)</f>
        <v>400</v>
      </c>
      <c r="Q203" s="6">
        <f>Table1[[#This Row],[Revenue]]-Table1[[#This Row],[Cost]]</f>
        <v>50</v>
      </c>
      <c r="R203" s="6">
        <f>COUNTBLANK(Table1[[#This Row],[Diet]:[Region]])</f>
        <v>0</v>
      </c>
      <c r="S203" s="6"/>
      <c r="T203" s="6"/>
    </row>
    <row r="204" spans="1:20" x14ac:dyDescent="0.25">
      <c r="A204" s="2" t="s">
        <v>253</v>
      </c>
      <c r="B204" s="1" t="s">
        <v>15</v>
      </c>
      <c r="C204" s="1">
        <v>18</v>
      </c>
      <c r="D204" s="1" t="s">
        <v>706</v>
      </c>
      <c r="E204" s="1">
        <f>IF(Table1[[#This Row],[Lifespan Unit]]="months", Table1[[#This Row],[Lifespan]]/12,Table1[[#This Row],[Lifespan]])</f>
        <v>18</v>
      </c>
      <c r="F204" s="1" t="s">
        <v>618</v>
      </c>
      <c r="G204" s="1" t="str">
        <f t="shared" si="6"/>
        <v>230</v>
      </c>
      <c r="H204" s="1" t="str">
        <f t="shared" si="7"/>
        <v>lbs</v>
      </c>
      <c r="I204" s="1" t="str">
        <f>IF(Table1[[#This Row],[Lifespan (Years)]]&lt;25, "&lt;25", IF(Table1[[#This Row],[Lifespan (Years)]]&lt;50, "25-49", IF(Table1[[#This Row],[Lifespan (Years)]]&lt;75, "50-74", IF(Table1[[#This Row],[Lifespan (Years)]]&lt;100, "75-99", "&gt;=100"))))</f>
        <v>&lt;25</v>
      </c>
      <c r="J204" s="14">
        <f>IF(Table1[[#This Row],[Weight Unit]]="oz",Table1[[#This Row],[Weight (Digits)]]/16, Table1[[#This Row],[Weight (Digits)]]/1)</f>
        <v>230</v>
      </c>
      <c r="K20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200-299</v>
      </c>
      <c r="L204" s="1" t="s">
        <v>6</v>
      </c>
      <c r="M204" s="1" t="str">
        <f>IF(COUNTIF(Table2[Animal],Table1[[#This Row],[Animal]]) = 1, "Previous Participant", "New Participant")</f>
        <v>Previous Participant</v>
      </c>
      <c r="N204" s="1" t="str">
        <f>_xlfn.XLOOKUP(Table1[[#This Row],[Region]],'Support - Tables'!$B$3:$B$10,'Support - Tables'!$D$3:$D$10,"Not Found",0)</f>
        <v>Air</v>
      </c>
      <c r="O204" s="6">
        <f>_xlfn.XLOOKUP(Table1[[#This Row],[Region]],'Support - Tables'!$B$3:$B$10,'Support - Tables'!$C$3:$C$10, "Not Found",0)</f>
        <v>450</v>
      </c>
      <c r="P204" s="6">
        <f>_xlfn.XLOOKUP(Table1[[#This Row],[Diet]],'Support - Tables'!$B$14:$B$16,'Support - Tables'!$C$14:$C$16, "Not Found", 0)</f>
        <v>500</v>
      </c>
      <c r="Q204" s="6">
        <f>Table1[[#This Row],[Revenue]]-Table1[[#This Row],[Cost]]</f>
        <v>-50</v>
      </c>
      <c r="R204" s="6">
        <f>COUNTBLANK(Table1[[#This Row],[Diet]:[Region]])</f>
        <v>0</v>
      </c>
      <c r="S204" s="6"/>
      <c r="T204" s="6"/>
    </row>
    <row r="205" spans="1:20" x14ac:dyDescent="0.25">
      <c r="A205" s="2" t="s">
        <v>254</v>
      </c>
      <c r="B205" s="1" t="s">
        <v>15</v>
      </c>
      <c r="C205" s="1">
        <v>20</v>
      </c>
      <c r="D205" s="1" t="s">
        <v>706</v>
      </c>
      <c r="E205" s="1">
        <f>IF(Table1[[#This Row],[Lifespan Unit]]="months", Table1[[#This Row],[Lifespan]]/12,Table1[[#This Row],[Lifespan]])</f>
        <v>20</v>
      </c>
      <c r="F205" s="1" t="s">
        <v>569</v>
      </c>
      <c r="G205" s="1" t="str">
        <f t="shared" si="6"/>
        <v>4.4</v>
      </c>
      <c r="H205" s="1" t="str">
        <f t="shared" si="7"/>
        <v>lbs</v>
      </c>
      <c r="I205" s="1" t="str">
        <f>IF(Table1[[#This Row],[Lifespan (Years)]]&lt;25, "&lt;25", IF(Table1[[#This Row],[Lifespan (Years)]]&lt;50, "25-49", IF(Table1[[#This Row],[Lifespan (Years)]]&lt;75, "50-74", IF(Table1[[#This Row],[Lifespan (Years)]]&lt;100, "75-99", "&gt;=100"))))</f>
        <v>&lt;25</v>
      </c>
      <c r="J205" s="14">
        <f>IF(Table1[[#This Row],[Weight Unit]]="oz",Table1[[#This Row],[Weight (Digits)]]/16, Table1[[#This Row],[Weight (Digits)]]/1)</f>
        <v>4.4000000000000004</v>
      </c>
      <c r="K20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05" s="1" t="s">
        <v>6</v>
      </c>
      <c r="M205" s="1" t="str">
        <f>IF(COUNTIF(Table2[Animal],Table1[[#This Row],[Animal]]) = 1, "Previous Participant", "New Participant")</f>
        <v>Previous Participant</v>
      </c>
      <c r="N205" s="1" t="str">
        <f>_xlfn.XLOOKUP(Table1[[#This Row],[Region]],'Support - Tables'!$B$3:$B$10,'Support - Tables'!$D$3:$D$10,"Not Found",0)</f>
        <v>Air</v>
      </c>
      <c r="O205" s="6">
        <f>_xlfn.XLOOKUP(Table1[[#This Row],[Region]],'Support - Tables'!$B$3:$B$10,'Support - Tables'!$C$3:$C$10, "Not Found",0)</f>
        <v>450</v>
      </c>
      <c r="P205" s="6">
        <f>_xlfn.XLOOKUP(Table1[[#This Row],[Diet]],'Support - Tables'!$B$14:$B$16,'Support - Tables'!$C$14:$C$16, "Not Found", 0)</f>
        <v>500</v>
      </c>
      <c r="Q205" s="6">
        <f>Table1[[#This Row],[Revenue]]-Table1[[#This Row],[Cost]]</f>
        <v>-50</v>
      </c>
      <c r="R205" s="6">
        <f>COUNTBLANK(Table1[[#This Row],[Diet]:[Region]])</f>
        <v>0</v>
      </c>
      <c r="S205" s="6"/>
      <c r="T205" s="6"/>
    </row>
    <row r="206" spans="1:20" x14ac:dyDescent="0.25">
      <c r="A206" s="2" t="s">
        <v>255</v>
      </c>
      <c r="B206" s="1" t="s">
        <v>23</v>
      </c>
      <c r="C206" s="1">
        <v>150</v>
      </c>
      <c r="D206" s="1" t="s">
        <v>706</v>
      </c>
      <c r="E206" s="1">
        <f>IF(Table1[[#This Row],[Lifespan Unit]]="months", Table1[[#This Row],[Lifespan]]/12,Table1[[#This Row],[Lifespan]])</f>
        <v>150</v>
      </c>
      <c r="F206" s="1" t="s">
        <v>609</v>
      </c>
      <c r="G206" s="1" t="str">
        <f t="shared" si="6"/>
        <v>441</v>
      </c>
      <c r="H206" s="1" t="str">
        <f t="shared" si="7"/>
        <v>lbs</v>
      </c>
      <c r="I206" s="1" t="str">
        <f>IF(Table1[[#This Row],[Lifespan (Years)]]&lt;25, "&lt;25", IF(Table1[[#This Row],[Lifespan (Years)]]&lt;50, "25-49", IF(Table1[[#This Row],[Lifespan (Years)]]&lt;75, "50-74", IF(Table1[[#This Row],[Lifespan (Years)]]&lt;100, "75-99", "&gt;=100"))))</f>
        <v>&gt;=100</v>
      </c>
      <c r="J206" s="14">
        <f>IF(Table1[[#This Row],[Weight Unit]]="oz",Table1[[#This Row],[Weight (Digits)]]/16, Table1[[#This Row],[Weight (Digits)]]/1)</f>
        <v>441</v>
      </c>
      <c r="K20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400-499</v>
      </c>
      <c r="L206" s="1" t="s">
        <v>1</v>
      </c>
      <c r="M206" s="1" t="str">
        <f>IF(COUNTIF(Table2[Animal],Table1[[#This Row],[Animal]]) = 1, "Previous Participant", "New Participant")</f>
        <v>New Participant</v>
      </c>
      <c r="N206" s="1" t="str">
        <f>_xlfn.XLOOKUP(Table1[[#This Row],[Region]],'Support - Tables'!$B$3:$B$10,'Support - Tables'!$D$3:$D$10,"Not Found",0)</f>
        <v>Air</v>
      </c>
      <c r="O206" s="6">
        <f>_xlfn.XLOOKUP(Table1[[#This Row],[Region]],'Support - Tables'!$B$3:$B$10,'Support - Tables'!$C$3:$C$10, "Not Found",0)</f>
        <v>700</v>
      </c>
      <c r="P206" s="6">
        <f>_xlfn.XLOOKUP(Table1[[#This Row],[Diet]],'Support - Tables'!$B$14:$B$16,'Support - Tables'!$C$14:$C$16, "Not Found", 0)</f>
        <v>300</v>
      </c>
      <c r="Q206" s="6">
        <f>Table1[[#This Row],[Revenue]]-Table1[[#This Row],[Cost]]</f>
        <v>400</v>
      </c>
      <c r="R206" s="6">
        <f>COUNTBLANK(Table1[[#This Row],[Diet]:[Region]])</f>
        <v>0</v>
      </c>
      <c r="S206" s="6"/>
      <c r="T206" s="6"/>
    </row>
    <row r="207" spans="1:20" x14ac:dyDescent="0.25">
      <c r="A207" s="2" t="s">
        <v>256</v>
      </c>
      <c r="B207" s="1" t="s">
        <v>15</v>
      </c>
      <c r="C207" s="1">
        <v>20</v>
      </c>
      <c r="D207" s="1" t="s">
        <v>706</v>
      </c>
      <c r="E207" s="1">
        <f>IF(Table1[[#This Row],[Lifespan Unit]]="months", Table1[[#This Row],[Lifespan]]/12,Table1[[#This Row],[Lifespan]])</f>
        <v>20</v>
      </c>
      <c r="F207" s="1" t="s">
        <v>573</v>
      </c>
      <c r="G207" s="1" t="str">
        <f t="shared" si="6"/>
        <v/>
      </c>
      <c r="H207" s="1" t="str">
        <f t="shared" si="7"/>
        <v/>
      </c>
      <c r="I207" s="1" t="str">
        <f>IF(Table1[[#This Row],[Lifespan (Years)]]&lt;25, "&lt;25", IF(Table1[[#This Row],[Lifespan (Years)]]&lt;50, "25-49", IF(Table1[[#This Row],[Lifespan (Years)]]&lt;75, "50-74", IF(Table1[[#This Row],[Lifespan (Years)]]&lt;100, "75-99", "&gt;=100"))))</f>
        <v>&lt;25</v>
      </c>
      <c r="J207" s="14">
        <v>0</v>
      </c>
      <c r="K20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207" s="1" t="s">
        <v>725</v>
      </c>
      <c r="M207" s="1" t="str">
        <f>IF(COUNTIF(Table2[Animal],Table1[[#This Row],[Animal]]) = 1, "Previous Participant", "New Participant")</f>
        <v>Previous Participant</v>
      </c>
      <c r="N207" s="1" t="str">
        <f>_xlfn.XLOOKUP(Table1[[#This Row],[Region]],'Support - Tables'!$B$3:$B$10,'Support - Tables'!$D$3:$D$10,"Not Found",0)</f>
        <v>Air</v>
      </c>
      <c r="O207" s="6">
        <f>_xlfn.XLOOKUP(Table1[[#This Row],[Region]],'Support - Tables'!$B$3:$B$10,'Support - Tables'!$C$3:$C$10, "Not Found",0)</f>
        <v>600</v>
      </c>
      <c r="P207" s="6">
        <f>_xlfn.XLOOKUP(Table1[[#This Row],[Diet]],'Support - Tables'!$B$14:$B$16,'Support - Tables'!$C$14:$C$16, "Not Found", 0)</f>
        <v>500</v>
      </c>
      <c r="Q207" s="6">
        <f>Table1[[#This Row],[Revenue]]-Table1[[#This Row],[Cost]]</f>
        <v>100</v>
      </c>
      <c r="R207" s="6">
        <f>COUNTBLANK(Table1[[#This Row],[Diet]:[Region]])</f>
        <v>3</v>
      </c>
      <c r="S207" s="6"/>
      <c r="T207" s="6"/>
    </row>
    <row r="208" spans="1:20" x14ac:dyDescent="0.25">
      <c r="A208" s="2" t="s">
        <v>257</v>
      </c>
      <c r="B208" s="1" t="s">
        <v>15</v>
      </c>
      <c r="C208" s="1">
        <v>9</v>
      </c>
      <c r="D208" s="1" t="s">
        <v>706</v>
      </c>
      <c r="E208" s="1">
        <f>IF(Table1[[#This Row],[Lifespan Unit]]="months", Table1[[#This Row],[Lifespan]]/12,Table1[[#This Row],[Lifespan]])</f>
        <v>9</v>
      </c>
      <c r="F208" s="1" t="s">
        <v>258</v>
      </c>
      <c r="G208" s="1" t="str">
        <f t="shared" si="6"/>
        <v>0.5</v>
      </c>
      <c r="H208" s="1" t="str">
        <f t="shared" si="7"/>
        <v>oz</v>
      </c>
      <c r="I208" s="1" t="str">
        <f>IF(Table1[[#This Row],[Lifespan (Years)]]&lt;25, "&lt;25", IF(Table1[[#This Row],[Lifespan (Years)]]&lt;50, "25-49", IF(Table1[[#This Row],[Lifespan (Years)]]&lt;75, "50-74", IF(Table1[[#This Row],[Lifespan (Years)]]&lt;100, "75-99", "&gt;=100"))))</f>
        <v>&lt;25</v>
      </c>
      <c r="J208" s="14">
        <f>IF(Table1[[#This Row],[Weight Unit]]="oz",Table1[[#This Row],[Weight (Digits)]]/16, Table1[[#This Row],[Weight (Digits)]]/1)</f>
        <v>3.125E-2</v>
      </c>
      <c r="K20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08" s="1" t="s">
        <v>1</v>
      </c>
      <c r="M208" s="1" t="str">
        <f>IF(COUNTIF(Table2[Animal],Table1[[#This Row],[Animal]]) = 1, "Previous Participant", "New Participant")</f>
        <v>Previous Participant</v>
      </c>
      <c r="N208" s="1" t="str">
        <f>_xlfn.XLOOKUP(Table1[[#This Row],[Region]],'Support - Tables'!$B$3:$B$10,'Support - Tables'!$D$3:$D$10,"Not Found",0)</f>
        <v>Air</v>
      </c>
      <c r="O208" s="6">
        <f>_xlfn.XLOOKUP(Table1[[#This Row],[Region]],'Support - Tables'!$B$3:$B$10,'Support - Tables'!$C$3:$C$10, "Not Found",0)</f>
        <v>700</v>
      </c>
      <c r="P208" s="6">
        <f>_xlfn.XLOOKUP(Table1[[#This Row],[Diet]],'Support - Tables'!$B$14:$B$16,'Support - Tables'!$C$14:$C$16, "Not Found", 0)</f>
        <v>500</v>
      </c>
      <c r="Q208" s="6">
        <f>Table1[[#This Row],[Revenue]]-Table1[[#This Row],[Cost]]</f>
        <v>200</v>
      </c>
      <c r="R208" s="6">
        <f>COUNTBLANK(Table1[[#This Row],[Diet]:[Region]])</f>
        <v>0</v>
      </c>
      <c r="S208" s="6"/>
      <c r="T208" s="6"/>
    </row>
    <row r="209" spans="1:20" x14ac:dyDescent="0.25">
      <c r="A209" s="2" t="s">
        <v>259</v>
      </c>
      <c r="B209" s="1" t="s">
        <v>15</v>
      </c>
      <c r="C209" s="1">
        <v>20</v>
      </c>
      <c r="D209" s="1" t="s">
        <v>706</v>
      </c>
      <c r="E209" s="1">
        <f>IF(Table1[[#This Row],[Lifespan Unit]]="months", Table1[[#This Row],[Lifespan]]/12,Table1[[#This Row],[Lifespan]])</f>
        <v>20</v>
      </c>
      <c r="F209" s="1" t="s">
        <v>619</v>
      </c>
      <c r="G209" s="1" t="str">
        <f t="shared" si="6"/>
        <v>8.8</v>
      </c>
      <c r="H209" s="1" t="str">
        <f t="shared" si="7"/>
        <v>lbs</v>
      </c>
      <c r="I209" s="1" t="str">
        <f>IF(Table1[[#This Row],[Lifespan (Years)]]&lt;25, "&lt;25", IF(Table1[[#This Row],[Lifespan (Years)]]&lt;50, "25-49", IF(Table1[[#This Row],[Lifespan (Years)]]&lt;75, "50-74", IF(Table1[[#This Row],[Lifespan (Years)]]&lt;100, "75-99", "&gt;=100"))))</f>
        <v>&lt;25</v>
      </c>
      <c r="J209" s="14">
        <f>IF(Table1[[#This Row],[Weight Unit]]="oz",Table1[[#This Row],[Weight (Digits)]]/16, Table1[[#This Row],[Weight (Digits)]]/1)</f>
        <v>8.8000000000000007</v>
      </c>
      <c r="K20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09" s="1" t="s">
        <v>5</v>
      </c>
      <c r="M209" s="1" t="str">
        <f>IF(COUNTIF(Table2[Animal],Table1[[#This Row],[Animal]]) = 1, "Previous Participant", "New Participant")</f>
        <v>Previous Participant</v>
      </c>
      <c r="N209" s="1" t="str">
        <f>_xlfn.XLOOKUP(Table1[[#This Row],[Region]],'Support - Tables'!$B$3:$B$10,'Support - Tables'!$D$3:$D$10,"Not Found",0)</f>
        <v>Boat</v>
      </c>
      <c r="O209" s="6">
        <f>_xlfn.XLOOKUP(Table1[[#This Row],[Region]],'Support - Tables'!$B$3:$B$10,'Support - Tables'!$C$3:$C$10, "Not Found",0)</f>
        <v>400</v>
      </c>
      <c r="P209" s="6">
        <f>_xlfn.XLOOKUP(Table1[[#This Row],[Diet]],'Support - Tables'!$B$14:$B$16,'Support - Tables'!$C$14:$C$16, "Not Found", 0)</f>
        <v>500</v>
      </c>
      <c r="Q209" s="6">
        <f>Table1[[#This Row],[Revenue]]-Table1[[#This Row],[Cost]]</f>
        <v>-100</v>
      </c>
      <c r="R209" s="6">
        <f>COUNTBLANK(Table1[[#This Row],[Diet]:[Region]])</f>
        <v>0</v>
      </c>
      <c r="S209" s="6"/>
      <c r="T209" s="6"/>
    </row>
    <row r="210" spans="1:20" x14ac:dyDescent="0.25">
      <c r="A210" s="2" t="s">
        <v>260</v>
      </c>
      <c r="B210" s="1" t="s">
        <v>13</v>
      </c>
      <c r="C210" s="1">
        <v>15</v>
      </c>
      <c r="D210" s="1" t="s">
        <v>706</v>
      </c>
      <c r="E210" s="1">
        <f>IF(Table1[[#This Row],[Lifespan Unit]]="months", Table1[[#This Row],[Lifespan]]/12,Table1[[#This Row],[Lifespan]])</f>
        <v>15</v>
      </c>
      <c r="F210" s="1" t="s">
        <v>603</v>
      </c>
      <c r="G210" s="1" t="str">
        <f t="shared" si="6"/>
        <v>7.7</v>
      </c>
      <c r="H210" s="1" t="str">
        <f t="shared" si="7"/>
        <v>oz</v>
      </c>
      <c r="I210" s="1" t="str">
        <f>IF(Table1[[#This Row],[Lifespan (Years)]]&lt;25, "&lt;25", IF(Table1[[#This Row],[Lifespan (Years)]]&lt;50, "25-49", IF(Table1[[#This Row],[Lifespan (Years)]]&lt;75, "50-74", IF(Table1[[#This Row],[Lifespan (Years)]]&lt;100, "75-99", "&gt;=100"))))</f>
        <v>&lt;25</v>
      </c>
      <c r="J210" s="14">
        <f>IF(Table1[[#This Row],[Weight Unit]]="oz",Table1[[#This Row],[Weight (Digits)]]/16, Table1[[#This Row],[Weight (Digits)]]/1)</f>
        <v>0.48125000000000001</v>
      </c>
      <c r="K21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10" s="1" t="s">
        <v>5</v>
      </c>
      <c r="M210" s="1" t="str">
        <f>IF(COUNTIF(Table2[Animal],Table1[[#This Row],[Animal]]) = 1, "Previous Participant", "New Participant")</f>
        <v>Previous Participant</v>
      </c>
      <c r="N210" s="1" t="str">
        <f>_xlfn.XLOOKUP(Table1[[#This Row],[Region]],'Support - Tables'!$B$3:$B$10,'Support - Tables'!$D$3:$D$10,"Not Found",0)</f>
        <v>Boat</v>
      </c>
      <c r="O210" s="6">
        <f>_xlfn.XLOOKUP(Table1[[#This Row],[Region]],'Support - Tables'!$B$3:$B$10,'Support - Tables'!$C$3:$C$10, "Not Found",0)</f>
        <v>400</v>
      </c>
      <c r="P210" s="6">
        <f>_xlfn.XLOOKUP(Table1[[#This Row],[Diet]],'Support - Tables'!$B$14:$B$16,'Support - Tables'!$C$14:$C$16, "Not Found", 0)</f>
        <v>400</v>
      </c>
      <c r="Q210" s="6">
        <f>Table1[[#This Row],[Revenue]]-Table1[[#This Row],[Cost]]</f>
        <v>0</v>
      </c>
      <c r="R210" s="6">
        <f>COUNTBLANK(Table1[[#This Row],[Diet]:[Region]])</f>
        <v>0</v>
      </c>
      <c r="S210" s="6"/>
      <c r="T210" s="6"/>
    </row>
    <row r="211" spans="1:20" x14ac:dyDescent="0.25">
      <c r="A211" s="2" t="s">
        <v>261</v>
      </c>
      <c r="B211" s="1" t="s">
        <v>13</v>
      </c>
      <c r="C211" s="1">
        <v>5</v>
      </c>
      <c r="D211" s="1" t="s">
        <v>706</v>
      </c>
      <c r="E211" s="1">
        <f>IF(Table1[[#This Row],[Lifespan Unit]]="months", Table1[[#This Row],[Lifespan]]/12,Table1[[#This Row],[Lifespan]])</f>
        <v>5</v>
      </c>
      <c r="F211" s="1" t="s">
        <v>578</v>
      </c>
      <c r="G211" s="1" t="str">
        <f t="shared" si="6"/>
        <v>2</v>
      </c>
      <c r="H211" s="1" t="str">
        <f t="shared" si="7"/>
        <v>oz</v>
      </c>
      <c r="I211" s="1" t="str">
        <f>IF(Table1[[#This Row],[Lifespan (Years)]]&lt;25, "&lt;25", IF(Table1[[#This Row],[Lifespan (Years)]]&lt;50, "25-49", IF(Table1[[#This Row],[Lifespan (Years)]]&lt;75, "50-74", IF(Table1[[#This Row],[Lifespan (Years)]]&lt;100, "75-99", "&gt;=100"))))</f>
        <v>&lt;25</v>
      </c>
      <c r="J211" s="14">
        <f>IF(Table1[[#This Row],[Weight Unit]]="oz",Table1[[#This Row],[Weight (Digits)]]/16, Table1[[#This Row],[Weight (Digits)]]/1)</f>
        <v>0.125</v>
      </c>
      <c r="K21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11" s="1" t="s">
        <v>2</v>
      </c>
      <c r="M211" s="1" t="str">
        <f>IF(COUNTIF(Table2[Animal],Table1[[#This Row],[Animal]]) = 1, "Previous Participant", "New Participant")</f>
        <v>New Participant</v>
      </c>
      <c r="N211" s="1" t="str">
        <f>_xlfn.XLOOKUP(Table1[[#This Row],[Region]],'Support - Tables'!$B$3:$B$10,'Support - Tables'!$D$3:$D$10,"Not Found",0)</f>
        <v>Air</v>
      </c>
      <c r="O211" s="6">
        <f>_xlfn.XLOOKUP(Table1[[#This Row],[Region]],'Support - Tables'!$B$3:$B$10,'Support - Tables'!$C$3:$C$10, "Not Found",0)</f>
        <v>600</v>
      </c>
      <c r="P211" s="6">
        <f>_xlfn.XLOOKUP(Table1[[#This Row],[Diet]],'Support - Tables'!$B$14:$B$16,'Support - Tables'!$C$14:$C$16, "Not Found", 0)</f>
        <v>400</v>
      </c>
      <c r="Q211" s="6">
        <f>Table1[[#This Row],[Revenue]]-Table1[[#This Row],[Cost]]</f>
        <v>200</v>
      </c>
      <c r="R211" s="6">
        <f>COUNTBLANK(Table1[[#This Row],[Diet]:[Region]])</f>
        <v>0</v>
      </c>
      <c r="S211" s="6"/>
      <c r="T211" s="6"/>
    </row>
    <row r="212" spans="1:20" x14ac:dyDescent="0.25">
      <c r="A212" s="2" t="s">
        <v>262</v>
      </c>
      <c r="B212" s="1" t="s">
        <v>13</v>
      </c>
      <c r="C212" s="1">
        <v>15</v>
      </c>
      <c r="D212" s="1" t="s">
        <v>706</v>
      </c>
      <c r="E212" s="1">
        <f>IF(Table1[[#This Row],[Lifespan Unit]]="months", Table1[[#This Row],[Lifespan]]/12,Table1[[#This Row],[Lifespan]])</f>
        <v>15</v>
      </c>
      <c r="F212" s="1" t="s">
        <v>263</v>
      </c>
      <c r="G212" s="1" t="str">
        <f t="shared" si="6"/>
        <v>35</v>
      </c>
      <c r="H212" s="1" t="str">
        <f t="shared" si="7"/>
        <v>lbs</v>
      </c>
      <c r="I212" s="1" t="str">
        <f>IF(Table1[[#This Row],[Lifespan (Years)]]&lt;25, "&lt;25", IF(Table1[[#This Row],[Lifespan (Years)]]&lt;50, "25-49", IF(Table1[[#This Row],[Lifespan (Years)]]&lt;75, "50-74", IF(Table1[[#This Row],[Lifespan (Years)]]&lt;100, "75-99", "&gt;=100"))))</f>
        <v>&lt;25</v>
      </c>
      <c r="J212" s="14">
        <f>IF(Table1[[#This Row],[Weight Unit]]="oz",Table1[[#This Row],[Weight (Digits)]]/16, Table1[[#This Row],[Weight (Digits)]]/1)</f>
        <v>35</v>
      </c>
      <c r="K21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12" s="1" t="s">
        <v>724</v>
      </c>
      <c r="M212" s="1" t="str">
        <f>IF(COUNTIF(Table2[Animal],Table1[[#This Row],[Animal]]) = 1, "Previous Participant", "New Participant")</f>
        <v>Previous Participant</v>
      </c>
      <c r="N212" s="1" t="str">
        <f>_xlfn.XLOOKUP(Table1[[#This Row],[Region]],'Support - Tables'!$B$3:$B$10,'Support - Tables'!$D$3:$D$10,"Not Found",0)</f>
        <v>Road</v>
      </c>
      <c r="O212" s="6">
        <f>_xlfn.XLOOKUP(Table1[[#This Row],[Region]],'Support - Tables'!$B$3:$B$10,'Support - Tables'!$C$3:$C$10, "Not Found",0)</f>
        <v>450</v>
      </c>
      <c r="P212" s="6">
        <f>_xlfn.XLOOKUP(Table1[[#This Row],[Diet]],'Support - Tables'!$B$14:$B$16,'Support - Tables'!$C$14:$C$16, "Not Found", 0)</f>
        <v>400</v>
      </c>
      <c r="Q212" s="6">
        <f>Table1[[#This Row],[Revenue]]-Table1[[#This Row],[Cost]]</f>
        <v>50</v>
      </c>
      <c r="R212" s="6">
        <f>COUNTBLANK(Table1[[#This Row],[Diet]:[Region]])</f>
        <v>0</v>
      </c>
      <c r="S212" s="6"/>
      <c r="T212" s="6"/>
    </row>
    <row r="213" spans="1:20" x14ac:dyDescent="0.25">
      <c r="A213" s="2" t="s">
        <v>264</v>
      </c>
      <c r="B213" s="1" t="s">
        <v>13</v>
      </c>
      <c r="C213" s="1">
        <v>12</v>
      </c>
      <c r="D213" s="1" t="s">
        <v>706</v>
      </c>
      <c r="E213" s="1">
        <f>IF(Table1[[#This Row],[Lifespan Unit]]="months", Table1[[#This Row],[Lifespan]]/12,Table1[[#This Row],[Lifespan]])</f>
        <v>12</v>
      </c>
      <c r="F213" s="1" t="s">
        <v>265</v>
      </c>
      <c r="G213" s="1" t="str">
        <f t="shared" si="6"/>
        <v>95</v>
      </c>
      <c r="H213" s="1" t="str">
        <f t="shared" si="7"/>
        <v>lbs</v>
      </c>
      <c r="I213" s="1" t="str">
        <f>IF(Table1[[#This Row],[Lifespan (Years)]]&lt;25, "&lt;25", IF(Table1[[#This Row],[Lifespan (Years)]]&lt;50, "25-49", IF(Table1[[#This Row],[Lifespan (Years)]]&lt;75, "50-74", IF(Table1[[#This Row],[Lifespan (Years)]]&lt;100, "75-99", "&gt;=100"))))</f>
        <v>&lt;25</v>
      </c>
      <c r="J213" s="14">
        <f>IF(Table1[[#This Row],[Weight Unit]]="oz",Table1[[#This Row],[Weight (Digits)]]/16, Table1[[#This Row],[Weight (Digits)]]/1)</f>
        <v>95</v>
      </c>
      <c r="K21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13" s="1" t="s">
        <v>5</v>
      </c>
      <c r="M213" s="1" t="str">
        <f>IF(COUNTIF(Table2[Animal],Table1[[#This Row],[Animal]]) = 1, "Previous Participant", "New Participant")</f>
        <v>Previous Participant</v>
      </c>
      <c r="N213" s="1" t="str">
        <f>_xlfn.XLOOKUP(Table1[[#This Row],[Region]],'Support - Tables'!$B$3:$B$10,'Support - Tables'!$D$3:$D$10,"Not Found",0)</f>
        <v>Boat</v>
      </c>
      <c r="O213" s="6">
        <f>_xlfn.XLOOKUP(Table1[[#This Row],[Region]],'Support - Tables'!$B$3:$B$10,'Support - Tables'!$C$3:$C$10, "Not Found",0)</f>
        <v>400</v>
      </c>
      <c r="P213" s="6">
        <f>_xlfn.XLOOKUP(Table1[[#This Row],[Diet]],'Support - Tables'!$B$14:$B$16,'Support - Tables'!$C$14:$C$16, "Not Found", 0)</f>
        <v>400</v>
      </c>
      <c r="Q213" s="6">
        <f>Table1[[#This Row],[Revenue]]-Table1[[#This Row],[Cost]]</f>
        <v>0</v>
      </c>
      <c r="R213" s="6">
        <f>COUNTBLANK(Table1[[#This Row],[Diet]:[Region]])</f>
        <v>0</v>
      </c>
      <c r="S213" s="6"/>
      <c r="T213" s="6"/>
    </row>
    <row r="214" spans="1:20" x14ac:dyDescent="0.25">
      <c r="A214" s="2" t="s">
        <v>266</v>
      </c>
      <c r="B214" s="1" t="s">
        <v>15</v>
      </c>
      <c r="C214" s="1">
        <v>50</v>
      </c>
      <c r="D214" s="1" t="s">
        <v>706</v>
      </c>
      <c r="E214" s="1">
        <f>IF(Table1[[#This Row],[Lifespan Unit]]="months", Table1[[#This Row],[Lifespan]]/12,Table1[[#This Row],[Lifespan]])</f>
        <v>50</v>
      </c>
      <c r="F214" s="1" t="s">
        <v>620</v>
      </c>
      <c r="G214" s="1" t="str">
        <f t="shared" si="6"/>
        <v>330.7</v>
      </c>
      <c r="H214" s="1" t="str">
        <f t="shared" si="7"/>
        <v>lbs</v>
      </c>
      <c r="I214" s="1" t="str">
        <f>IF(Table1[[#This Row],[Lifespan (Years)]]&lt;25, "&lt;25", IF(Table1[[#This Row],[Lifespan (Years)]]&lt;50, "25-49", IF(Table1[[#This Row],[Lifespan (Years)]]&lt;75, "50-74", IF(Table1[[#This Row],[Lifespan (Years)]]&lt;100, "75-99", "&gt;=100"))))</f>
        <v>50-74</v>
      </c>
      <c r="J214" s="14">
        <f>IF(Table1[[#This Row],[Weight Unit]]="oz",Table1[[#This Row],[Weight (Digits)]]/16, Table1[[#This Row],[Weight (Digits)]]/1)</f>
        <v>330.7</v>
      </c>
      <c r="K21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300-399</v>
      </c>
      <c r="L214" s="1" t="s">
        <v>1</v>
      </c>
      <c r="M214" s="1" t="str">
        <f>IF(COUNTIF(Table2[Animal],Table1[[#This Row],[Animal]]) = 1, "Previous Participant", "New Participant")</f>
        <v>Previous Participant</v>
      </c>
      <c r="N214" s="1" t="str">
        <f>_xlfn.XLOOKUP(Table1[[#This Row],[Region]],'Support - Tables'!$B$3:$B$10,'Support - Tables'!$D$3:$D$10,"Not Found",0)</f>
        <v>Air</v>
      </c>
      <c r="O214" s="6">
        <f>_xlfn.XLOOKUP(Table1[[#This Row],[Region]],'Support - Tables'!$B$3:$B$10,'Support - Tables'!$C$3:$C$10, "Not Found",0)</f>
        <v>700</v>
      </c>
      <c r="P214" s="6">
        <f>_xlfn.XLOOKUP(Table1[[#This Row],[Diet]],'Support - Tables'!$B$14:$B$16,'Support - Tables'!$C$14:$C$16, "Not Found", 0)</f>
        <v>500</v>
      </c>
      <c r="Q214" s="6">
        <f>Table1[[#This Row],[Revenue]]-Table1[[#This Row],[Cost]]</f>
        <v>200</v>
      </c>
      <c r="R214" s="6">
        <f>COUNTBLANK(Table1[[#This Row],[Diet]:[Region]])</f>
        <v>0</v>
      </c>
      <c r="S214" s="6"/>
      <c r="T214" s="6"/>
    </row>
    <row r="215" spans="1:20" x14ac:dyDescent="0.25">
      <c r="A215" s="2" t="s">
        <v>267</v>
      </c>
      <c r="B215" s="1" t="s">
        <v>23</v>
      </c>
      <c r="C215" s="1">
        <v>10</v>
      </c>
      <c r="D215" s="1" t="s">
        <v>706</v>
      </c>
      <c r="E215" s="1">
        <f>IF(Table1[[#This Row],[Lifespan Unit]]="months", Table1[[#This Row],[Lifespan]]/12,Table1[[#This Row],[Lifespan]])</f>
        <v>10</v>
      </c>
      <c r="F215" s="1" t="s">
        <v>621</v>
      </c>
      <c r="G215" s="1" t="str">
        <f t="shared" si="6"/>
        <v>8.8</v>
      </c>
      <c r="H215" s="1" t="str">
        <f t="shared" si="7"/>
        <v>oz</v>
      </c>
      <c r="I215" s="1" t="str">
        <f>IF(Table1[[#This Row],[Lifespan (Years)]]&lt;25, "&lt;25", IF(Table1[[#This Row],[Lifespan (Years)]]&lt;50, "25-49", IF(Table1[[#This Row],[Lifespan (Years)]]&lt;75, "50-74", IF(Table1[[#This Row],[Lifespan (Years)]]&lt;100, "75-99", "&gt;=100"))))</f>
        <v>&lt;25</v>
      </c>
      <c r="J215" s="14">
        <f>IF(Table1[[#This Row],[Weight Unit]]="oz",Table1[[#This Row],[Weight (Digits)]]/16, Table1[[#This Row],[Weight (Digits)]]/1)</f>
        <v>0.55000000000000004</v>
      </c>
      <c r="K21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15" s="1" t="s">
        <v>2</v>
      </c>
      <c r="M215" s="1" t="str">
        <f>IF(COUNTIF(Table2[Animal],Table1[[#This Row],[Animal]]) = 1, "Previous Participant", "New Participant")</f>
        <v>Previous Participant</v>
      </c>
      <c r="N215" s="1" t="str">
        <f>_xlfn.XLOOKUP(Table1[[#This Row],[Region]],'Support - Tables'!$B$3:$B$10,'Support - Tables'!$D$3:$D$10,"Not Found",0)</f>
        <v>Air</v>
      </c>
      <c r="O215" s="6">
        <f>_xlfn.XLOOKUP(Table1[[#This Row],[Region]],'Support - Tables'!$B$3:$B$10,'Support - Tables'!$C$3:$C$10, "Not Found",0)</f>
        <v>600</v>
      </c>
      <c r="P215" s="6">
        <f>_xlfn.XLOOKUP(Table1[[#This Row],[Diet]],'Support - Tables'!$B$14:$B$16,'Support - Tables'!$C$14:$C$16, "Not Found", 0)</f>
        <v>300</v>
      </c>
      <c r="Q215" s="6">
        <f>Table1[[#This Row],[Revenue]]-Table1[[#This Row],[Cost]]</f>
        <v>300</v>
      </c>
      <c r="R215" s="6">
        <f>COUNTBLANK(Table1[[#This Row],[Diet]:[Region]])</f>
        <v>0</v>
      </c>
      <c r="S215" s="6"/>
      <c r="T215" s="6"/>
    </row>
    <row r="216" spans="1:20" x14ac:dyDescent="0.25">
      <c r="A216" s="2" t="s">
        <v>268</v>
      </c>
      <c r="B216" s="8" t="s">
        <v>13</v>
      </c>
      <c r="C216" s="1">
        <v>100</v>
      </c>
      <c r="D216" s="1" t="s">
        <v>706</v>
      </c>
      <c r="E216" s="1">
        <f>IF(Table1[[#This Row],[Lifespan Unit]]="months", Table1[[#This Row],[Lifespan]]/12,Table1[[#This Row],[Lifespan]])</f>
        <v>100</v>
      </c>
      <c r="F216" s="1" t="s">
        <v>587</v>
      </c>
      <c r="G216" s="1" t="str">
        <f t="shared" si="6"/>
        <v>220</v>
      </c>
      <c r="H216" s="1" t="str">
        <f t="shared" si="7"/>
        <v>lbs</v>
      </c>
      <c r="I216" s="1" t="str">
        <f>IF(Table1[[#This Row],[Lifespan (Years)]]&lt;25, "&lt;25", IF(Table1[[#This Row],[Lifespan (Years)]]&lt;50, "25-49", IF(Table1[[#This Row],[Lifespan (Years)]]&lt;75, "50-74", IF(Table1[[#This Row],[Lifespan (Years)]]&lt;100, "75-99", "&gt;=100"))))</f>
        <v>&gt;=100</v>
      </c>
      <c r="J216" s="14">
        <f>IF(Table1[[#This Row],[Weight Unit]]="oz",Table1[[#This Row],[Weight (Digits)]]/16, Table1[[#This Row],[Weight (Digits)]]/1)</f>
        <v>220</v>
      </c>
      <c r="K21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200-299</v>
      </c>
      <c r="L216" s="1" t="s">
        <v>5</v>
      </c>
      <c r="M216" s="1" t="str">
        <f>IF(COUNTIF(Table2[Animal],Table1[[#This Row],[Animal]]) = 1, "Previous Participant", "New Participant")</f>
        <v>Previous Participant</v>
      </c>
      <c r="N216" s="1" t="str">
        <f>_xlfn.XLOOKUP(Table1[[#This Row],[Region]],'Support - Tables'!$B$3:$B$10,'Support - Tables'!$D$3:$D$10,"Not Found",0)</f>
        <v>Boat</v>
      </c>
      <c r="O216" s="6">
        <f>_xlfn.XLOOKUP(Table1[[#This Row],[Region]],'Support - Tables'!$B$3:$B$10,'Support - Tables'!$C$3:$C$10, "Not Found",0)</f>
        <v>400</v>
      </c>
      <c r="P216" s="6">
        <f>_xlfn.XLOOKUP(Table1[[#This Row],[Diet]],'Support - Tables'!$B$14:$B$16,'Support - Tables'!$C$14:$C$16, "Not Found", 0)</f>
        <v>400</v>
      </c>
      <c r="Q216" s="6">
        <f>Table1[[#This Row],[Revenue]]-Table1[[#This Row],[Cost]]</f>
        <v>0</v>
      </c>
      <c r="R216" s="6">
        <f>COUNTBLANK(Table1[[#This Row],[Diet]:[Region]])</f>
        <v>0</v>
      </c>
      <c r="S216" s="6"/>
      <c r="T216" s="6"/>
    </row>
    <row r="217" spans="1:20" x14ac:dyDescent="0.25">
      <c r="A217" s="2" t="s">
        <v>269</v>
      </c>
      <c r="B217" s="1" t="s">
        <v>13</v>
      </c>
      <c r="C217" s="1">
        <v>35</v>
      </c>
      <c r="D217" s="1" t="s">
        <v>706</v>
      </c>
      <c r="E217" s="1">
        <f>IF(Table1[[#This Row],[Lifespan Unit]]="months", Table1[[#This Row],[Lifespan]]/12,Table1[[#This Row],[Lifespan]])</f>
        <v>35</v>
      </c>
      <c r="F217" s="1" t="s">
        <v>622</v>
      </c>
      <c r="G217" s="1" t="str">
        <f t="shared" si="6"/>
        <v>242</v>
      </c>
      <c r="H217" s="1" t="str">
        <f t="shared" si="7"/>
        <v>lbs</v>
      </c>
      <c r="I217" s="1" t="str">
        <f>IF(Table1[[#This Row],[Lifespan (Years)]]&lt;25, "&lt;25", IF(Table1[[#This Row],[Lifespan (Years)]]&lt;50, "25-49", IF(Table1[[#This Row],[Lifespan (Years)]]&lt;75, "50-74", IF(Table1[[#This Row],[Lifespan (Years)]]&lt;100, "75-99", "&gt;=100"))))</f>
        <v>25-49</v>
      </c>
      <c r="J217" s="14">
        <f>IF(Table1[[#This Row],[Weight Unit]]="oz",Table1[[#This Row],[Weight (Digits)]]/16, Table1[[#This Row],[Weight (Digits)]]/1)</f>
        <v>242</v>
      </c>
      <c r="K21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200-299</v>
      </c>
      <c r="L217" s="1" t="s">
        <v>5</v>
      </c>
      <c r="M217" s="1" t="str">
        <f>IF(COUNTIF(Table2[Animal],Table1[[#This Row],[Animal]]) = 1, "Previous Participant", "New Participant")</f>
        <v>Previous Participant</v>
      </c>
      <c r="N217" s="1" t="str">
        <f>_xlfn.XLOOKUP(Table1[[#This Row],[Region]],'Support - Tables'!$B$3:$B$10,'Support - Tables'!$D$3:$D$10,"Not Found",0)</f>
        <v>Boat</v>
      </c>
      <c r="O217" s="6">
        <f>_xlfn.XLOOKUP(Table1[[#This Row],[Region]],'Support - Tables'!$B$3:$B$10,'Support - Tables'!$C$3:$C$10, "Not Found",0)</f>
        <v>400</v>
      </c>
      <c r="P217" s="6">
        <f>_xlfn.XLOOKUP(Table1[[#This Row],[Diet]],'Support - Tables'!$B$14:$B$16,'Support - Tables'!$C$14:$C$16, "Not Found", 0)</f>
        <v>400</v>
      </c>
      <c r="Q217" s="6">
        <f>Table1[[#This Row],[Revenue]]-Table1[[#This Row],[Cost]]</f>
        <v>0</v>
      </c>
      <c r="R217" s="6">
        <f>COUNTBLANK(Table1[[#This Row],[Diet]:[Region]])</f>
        <v>0</v>
      </c>
      <c r="S217" s="6"/>
      <c r="T217" s="6"/>
    </row>
    <row r="218" spans="1:20" x14ac:dyDescent="0.25">
      <c r="A218" s="2" t="s">
        <v>270</v>
      </c>
      <c r="B218" s="1" t="s">
        <v>13</v>
      </c>
      <c r="C218" s="1">
        <v>12</v>
      </c>
      <c r="D218" s="1" t="s">
        <v>706</v>
      </c>
      <c r="E218" s="1">
        <f>IF(Table1[[#This Row],[Lifespan Unit]]="months", Table1[[#This Row],[Lifespan]]/12,Table1[[#This Row],[Lifespan]])</f>
        <v>12</v>
      </c>
      <c r="F218" s="1" t="s">
        <v>271</v>
      </c>
      <c r="G218" s="1" t="str">
        <f t="shared" si="6"/>
        <v>77</v>
      </c>
      <c r="H218" s="1" t="str">
        <f t="shared" si="7"/>
        <v>lbs</v>
      </c>
      <c r="I218" s="1" t="str">
        <f>IF(Table1[[#This Row],[Lifespan (Years)]]&lt;25, "&lt;25", IF(Table1[[#This Row],[Lifespan (Years)]]&lt;50, "25-49", IF(Table1[[#This Row],[Lifespan (Years)]]&lt;75, "50-74", IF(Table1[[#This Row],[Lifespan (Years)]]&lt;100, "75-99", "&gt;=100"))))</f>
        <v>&lt;25</v>
      </c>
      <c r="J218" s="14">
        <f>IF(Table1[[#This Row],[Weight Unit]]="oz",Table1[[#This Row],[Weight (Digits)]]/16, Table1[[#This Row],[Weight (Digits)]]/1)</f>
        <v>77</v>
      </c>
      <c r="K21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18" s="1" t="s">
        <v>724</v>
      </c>
      <c r="M218" s="1" t="str">
        <f>IF(COUNTIF(Table2[Animal],Table1[[#This Row],[Animal]]) = 1, "Previous Participant", "New Participant")</f>
        <v>Previous Participant</v>
      </c>
      <c r="N218" s="1" t="str">
        <f>_xlfn.XLOOKUP(Table1[[#This Row],[Region]],'Support - Tables'!$B$3:$B$10,'Support - Tables'!$D$3:$D$10,"Not Found",0)</f>
        <v>Road</v>
      </c>
      <c r="O218" s="6">
        <f>_xlfn.XLOOKUP(Table1[[#This Row],[Region]],'Support - Tables'!$B$3:$B$10,'Support - Tables'!$C$3:$C$10, "Not Found",0)</f>
        <v>450</v>
      </c>
      <c r="P218" s="6">
        <f>_xlfn.XLOOKUP(Table1[[#This Row],[Diet]],'Support - Tables'!$B$14:$B$16,'Support - Tables'!$C$14:$C$16, "Not Found", 0)</f>
        <v>400</v>
      </c>
      <c r="Q218" s="6">
        <f>Table1[[#This Row],[Revenue]]-Table1[[#This Row],[Cost]]</f>
        <v>50</v>
      </c>
      <c r="R218" s="6">
        <f>COUNTBLANK(Table1[[#This Row],[Diet]:[Region]])</f>
        <v>0</v>
      </c>
      <c r="S218" s="6"/>
      <c r="T218" s="6"/>
    </row>
    <row r="219" spans="1:20" x14ac:dyDescent="0.25">
      <c r="A219" s="2" t="s">
        <v>272</v>
      </c>
      <c r="B219" s="1" t="s">
        <v>13</v>
      </c>
      <c r="C219" s="1">
        <v>40</v>
      </c>
      <c r="D219" s="1" t="s">
        <v>706</v>
      </c>
      <c r="E219" s="1">
        <f>IF(Table1[[#This Row],[Lifespan Unit]]="months", Table1[[#This Row],[Lifespan]]/12,Table1[[#This Row],[Lifespan]])</f>
        <v>40</v>
      </c>
      <c r="F219" s="1" t="s">
        <v>623</v>
      </c>
      <c r="G219" s="1" t="str">
        <f t="shared" si="6"/>
        <v>13.2</v>
      </c>
      <c r="H219" s="1" t="str">
        <f t="shared" si="7"/>
        <v>lbs</v>
      </c>
      <c r="I219" s="1" t="str">
        <f>IF(Table1[[#This Row],[Lifespan (Years)]]&lt;25, "&lt;25", IF(Table1[[#This Row],[Lifespan (Years)]]&lt;50, "25-49", IF(Table1[[#This Row],[Lifespan (Years)]]&lt;75, "50-74", IF(Table1[[#This Row],[Lifespan (Years)]]&lt;100, "75-99", "&gt;=100"))))</f>
        <v>25-49</v>
      </c>
      <c r="J219" s="14">
        <f>IF(Table1[[#This Row],[Weight Unit]]="oz",Table1[[#This Row],[Weight (Digits)]]/16, Table1[[#This Row],[Weight (Digits)]]/1)</f>
        <v>13.2</v>
      </c>
      <c r="K21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19" s="1" t="s">
        <v>5</v>
      </c>
      <c r="M219" s="1" t="str">
        <f>IF(COUNTIF(Table2[Animal],Table1[[#This Row],[Animal]]) = 1, "Previous Participant", "New Participant")</f>
        <v>Previous Participant</v>
      </c>
      <c r="N219" s="1" t="str">
        <f>_xlfn.XLOOKUP(Table1[[#This Row],[Region]],'Support - Tables'!$B$3:$B$10,'Support - Tables'!$D$3:$D$10,"Not Found",0)</f>
        <v>Boat</v>
      </c>
      <c r="O219" s="6">
        <f>_xlfn.XLOOKUP(Table1[[#This Row],[Region]],'Support - Tables'!$B$3:$B$10,'Support - Tables'!$C$3:$C$10, "Not Found",0)</f>
        <v>400</v>
      </c>
      <c r="P219" s="6">
        <f>_xlfn.XLOOKUP(Table1[[#This Row],[Diet]],'Support - Tables'!$B$14:$B$16,'Support - Tables'!$C$14:$C$16, "Not Found", 0)</f>
        <v>400</v>
      </c>
      <c r="Q219" s="6">
        <f>Table1[[#This Row],[Revenue]]-Table1[[#This Row],[Cost]]</f>
        <v>0</v>
      </c>
      <c r="R219" s="6">
        <f>COUNTBLANK(Table1[[#This Row],[Diet]:[Region]])</f>
        <v>0</v>
      </c>
      <c r="S219" s="6"/>
      <c r="T219" s="6"/>
    </row>
    <row r="220" spans="1:20" x14ac:dyDescent="0.25">
      <c r="A220" s="2" t="s">
        <v>273</v>
      </c>
      <c r="B220" s="1" t="s">
        <v>15</v>
      </c>
      <c r="C220" s="1">
        <v>30</v>
      </c>
      <c r="D220" s="1" t="s">
        <v>706</v>
      </c>
      <c r="E220" s="1">
        <f>IF(Table1[[#This Row],[Lifespan Unit]]="months", Table1[[#This Row],[Lifespan]]/12,Table1[[#This Row],[Lifespan]])</f>
        <v>30</v>
      </c>
      <c r="F220" s="1" t="s">
        <v>566</v>
      </c>
      <c r="G220" s="1" t="str">
        <f t="shared" si="6"/>
        <v>3</v>
      </c>
      <c r="H220" s="1" t="str">
        <f t="shared" si="7"/>
        <v>lbs</v>
      </c>
      <c r="I220" s="1" t="str">
        <f>IF(Table1[[#This Row],[Lifespan (Years)]]&lt;25, "&lt;25", IF(Table1[[#This Row],[Lifespan (Years)]]&lt;50, "25-49", IF(Table1[[#This Row],[Lifespan (Years)]]&lt;75, "50-74", IF(Table1[[#This Row],[Lifespan (Years)]]&lt;100, "75-99", "&gt;=100"))))</f>
        <v>25-49</v>
      </c>
      <c r="J220" s="14">
        <f>IF(Table1[[#This Row],[Weight Unit]]="oz",Table1[[#This Row],[Weight (Digits)]]/16, Table1[[#This Row],[Weight (Digits)]]/1)</f>
        <v>3</v>
      </c>
      <c r="K22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20" s="1" t="s">
        <v>2</v>
      </c>
      <c r="M220" s="1" t="str">
        <f>IF(COUNTIF(Table2[Animal],Table1[[#This Row],[Animal]]) = 1, "Previous Participant", "New Participant")</f>
        <v>Previous Participant</v>
      </c>
      <c r="N220" s="1" t="str">
        <f>_xlfn.XLOOKUP(Table1[[#This Row],[Region]],'Support - Tables'!$B$3:$B$10,'Support - Tables'!$D$3:$D$10,"Not Found",0)</f>
        <v>Air</v>
      </c>
      <c r="O220" s="6">
        <f>_xlfn.XLOOKUP(Table1[[#This Row],[Region]],'Support - Tables'!$B$3:$B$10,'Support - Tables'!$C$3:$C$10, "Not Found",0)</f>
        <v>600</v>
      </c>
      <c r="P220" s="6">
        <f>_xlfn.XLOOKUP(Table1[[#This Row],[Diet]],'Support - Tables'!$B$14:$B$16,'Support - Tables'!$C$14:$C$16, "Not Found", 0)</f>
        <v>500</v>
      </c>
      <c r="Q220" s="6">
        <f>Table1[[#This Row],[Revenue]]-Table1[[#This Row],[Cost]]</f>
        <v>100</v>
      </c>
      <c r="R220" s="6">
        <f>COUNTBLANK(Table1[[#This Row],[Diet]:[Region]])</f>
        <v>0</v>
      </c>
      <c r="S220" s="6"/>
      <c r="T220" s="6"/>
    </row>
    <row r="221" spans="1:20" x14ac:dyDescent="0.25">
      <c r="A221" s="2" t="s">
        <v>274</v>
      </c>
      <c r="B221" s="1" t="s">
        <v>23</v>
      </c>
      <c r="C221" s="1">
        <v>25</v>
      </c>
      <c r="D221" s="1" t="s">
        <v>706</v>
      </c>
      <c r="E221" s="1">
        <f>IF(Table1[[#This Row],[Lifespan Unit]]="months", Table1[[#This Row],[Lifespan]]/12,Table1[[#This Row],[Lifespan]])</f>
        <v>25</v>
      </c>
      <c r="F221" s="1" t="s">
        <v>624</v>
      </c>
      <c r="G221" s="1" t="str">
        <f t="shared" si="6"/>
        <v>1,200</v>
      </c>
      <c r="H221" s="1" t="str">
        <f t="shared" si="7"/>
        <v>lbs</v>
      </c>
      <c r="I221" s="1" t="str">
        <f>IF(Table1[[#This Row],[Lifespan (Years)]]&lt;25, "&lt;25", IF(Table1[[#This Row],[Lifespan (Years)]]&lt;50, "25-49", IF(Table1[[#This Row],[Lifespan (Years)]]&lt;75, "50-74", IF(Table1[[#This Row],[Lifespan (Years)]]&lt;100, "75-99", "&gt;=100"))))</f>
        <v>25-49</v>
      </c>
      <c r="J221" s="14">
        <f>IF(Table1[[#This Row],[Weight Unit]]="oz",Table1[[#This Row],[Weight (Digits)]]/16, Table1[[#This Row],[Weight (Digits)]]/1)</f>
        <v>1200</v>
      </c>
      <c r="K22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221" s="1" t="s">
        <v>5</v>
      </c>
      <c r="M221" s="1" t="str">
        <f>IF(COUNTIF(Table2[Animal],Table1[[#This Row],[Animal]]) = 1, "Previous Participant", "New Participant")</f>
        <v>Previous Participant</v>
      </c>
      <c r="N221" s="1" t="str">
        <f>_xlfn.XLOOKUP(Table1[[#This Row],[Region]],'Support - Tables'!$B$3:$B$10,'Support - Tables'!$D$3:$D$10,"Not Found",0)</f>
        <v>Boat</v>
      </c>
      <c r="O221" s="6">
        <f>_xlfn.XLOOKUP(Table1[[#This Row],[Region]],'Support - Tables'!$B$3:$B$10,'Support - Tables'!$C$3:$C$10, "Not Found",0)</f>
        <v>400</v>
      </c>
      <c r="P221" s="6">
        <f>_xlfn.XLOOKUP(Table1[[#This Row],[Diet]],'Support - Tables'!$B$14:$B$16,'Support - Tables'!$C$14:$C$16, "Not Found", 0)</f>
        <v>300</v>
      </c>
      <c r="Q221" s="6">
        <f>Table1[[#This Row],[Revenue]]-Table1[[#This Row],[Cost]]</f>
        <v>100</v>
      </c>
      <c r="R221" s="6">
        <f>COUNTBLANK(Table1[[#This Row],[Diet]:[Region]])</f>
        <v>0</v>
      </c>
      <c r="S221" s="6"/>
      <c r="T221" s="6"/>
    </row>
    <row r="222" spans="1:20" x14ac:dyDescent="0.25">
      <c r="A222" s="2" t="s">
        <v>275</v>
      </c>
      <c r="B222" s="1" t="s">
        <v>13</v>
      </c>
      <c r="C222" s="1">
        <v>5</v>
      </c>
      <c r="D222" s="1" t="s">
        <v>707</v>
      </c>
      <c r="E222" s="1">
        <f>IF(Table1[[#This Row],[Lifespan Unit]]="months", Table1[[#This Row],[Lifespan]]/12,Table1[[#This Row],[Lifespan]])</f>
        <v>0.41666666666666669</v>
      </c>
      <c r="F222" s="1" t="s">
        <v>573</v>
      </c>
      <c r="G222" s="1" t="str">
        <f t="shared" si="6"/>
        <v/>
      </c>
      <c r="H222" s="1" t="str">
        <f t="shared" si="7"/>
        <v/>
      </c>
      <c r="I222" s="1" t="str">
        <f>IF(Table1[[#This Row],[Lifespan (Years)]]&lt;25, "&lt;25", IF(Table1[[#This Row],[Lifespan (Years)]]&lt;50, "25-49", IF(Table1[[#This Row],[Lifespan (Years)]]&lt;75, "50-74", IF(Table1[[#This Row],[Lifespan (Years)]]&lt;100, "75-99", "&gt;=100"))))</f>
        <v>&lt;25</v>
      </c>
      <c r="J222" s="14">
        <v>0</v>
      </c>
      <c r="K22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222" s="1" t="s">
        <v>5</v>
      </c>
      <c r="M222" s="1" t="str">
        <f>IF(COUNTIF(Table2[Animal],Table1[[#This Row],[Animal]]) = 1, "Previous Participant", "New Participant")</f>
        <v>Previous Participant</v>
      </c>
      <c r="N222" s="1" t="str">
        <f>_xlfn.XLOOKUP(Table1[[#This Row],[Region]],'Support - Tables'!$B$3:$B$10,'Support - Tables'!$D$3:$D$10,"Not Found",0)</f>
        <v>Boat</v>
      </c>
      <c r="O222" s="6">
        <f>_xlfn.XLOOKUP(Table1[[#This Row],[Region]],'Support - Tables'!$B$3:$B$10,'Support - Tables'!$C$3:$C$10, "Not Found",0)</f>
        <v>400</v>
      </c>
      <c r="P222" s="6">
        <f>_xlfn.XLOOKUP(Table1[[#This Row],[Diet]],'Support - Tables'!$B$14:$B$16,'Support - Tables'!$C$14:$C$16, "Not Found", 0)</f>
        <v>400</v>
      </c>
      <c r="Q222" s="6">
        <f>Table1[[#This Row],[Revenue]]-Table1[[#This Row],[Cost]]</f>
        <v>0</v>
      </c>
      <c r="R222" s="6">
        <f>COUNTBLANK(Table1[[#This Row],[Diet]:[Region]])</f>
        <v>3</v>
      </c>
      <c r="S222" s="6"/>
      <c r="T222" s="6"/>
    </row>
    <row r="223" spans="1:20" x14ac:dyDescent="0.25">
      <c r="A223" s="2" t="s">
        <v>276</v>
      </c>
      <c r="B223" s="1" t="s">
        <v>23</v>
      </c>
      <c r="C223" s="1">
        <v>15</v>
      </c>
      <c r="D223" s="1" t="s">
        <v>706</v>
      </c>
      <c r="E223" s="1">
        <f>IF(Table1[[#This Row],[Lifespan Unit]]="months", Table1[[#This Row],[Lifespan]]/12,Table1[[#This Row],[Lifespan]])</f>
        <v>15</v>
      </c>
      <c r="F223" s="1" t="s">
        <v>331</v>
      </c>
      <c r="G223" s="1" t="str">
        <f t="shared" si="6"/>
        <v>120</v>
      </c>
      <c r="H223" s="1" t="str">
        <f t="shared" si="7"/>
        <v>lbs</v>
      </c>
      <c r="I223" s="1" t="str">
        <f>IF(Table1[[#This Row],[Lifespan (Years)]]&lt;25, "&lt;25", IF(Table1[[#This Row],[Lifespan (Years)]]&lt;50, "25-49", IF(Table1[[#This Row],[Lifespan (Years)]]&lt;75, "50-74", IF(Table1[[#This Row],[Lifespan (Years)]]&lt;100, "75-99", "&gt;=100"))))</f>
        <v>&lt;25</v>
      </c>
      <c r="J223" s="14">
        <f>IF(Table1[[#This Row],[Weight Unit]]="oz",Table1[[#This Row],[Weight (Digits)]]/16, Table1[[#This Row],[Weight (Digits)]]/1)</f>
        <v>120</v>
      </c>
      <c r="K22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223" s="1" t="s">
        <v>5</v>
      </c>
      <c r="M223" s="1" t="str">
        <f>IF(COUNTIF(Table2[Animal],Table1[[#This Row],[Animal]]) = 1, "Previous Participant", "New Participant")</f>
        <v>New Participant</v>
      </c>
      <c r="N223" s="1" t="str">
        <f>_xlfn.XLOOKUP(Table1[[#This Row],[Region]],'Support - Tables'!$B$3:$B$10,'Support - Tables'!$D$3:$D$10,"Not Found",0)</f>
        <v>Boat</v>
      </c>
      <c r="O223" s="6">
        <f>_xlfn.XLOOKUP(Table1[[#This Row],[Region]],'Support - Tables'!$B$3:$B$10,'Support - Tables'!$C$3:$C$10, "Not Found",0)</f>
        <v>400</v>
      </c>
      <c r="P223" s="6">
        <f>_xlfn.XLOOKUP(Table1[[#This Row],[Diet]],'Support - Tables'!$B$14:$B$16,'Support - Tables'!$C$14:$C$16, "Not Found", 0)</f>
        <v>300</v>
      </c>
      <c r="Q223" s="6">
        <f>Table1[[#This Row],[Revenue]]-Table1[[#This Row],[Cost]]</f>
        <v>100</v>
      </c>
      <c r="R223" s="6">
        <f>COUNTBLANK(Table1[[#This Row],[Diet]:[Region]])</f>
        <v>0</v>
      </c>
      <c r="S223" s="6"/>
      <c r="T223" s="6"/>
    </row>
    <row r="224" spans="1:20" x14ac:dyDescent="0.25">
      <c r="A224" s="2" t="s">
        <v>277</v>
      </c>
      <c r="B224" s="1" t="s">
        <v>13</v>
      </c>
      <c r="C224" s="1">
        <v>15</v>
      </c>
      <c r="D224" s="1" t="s">
        <v>706</v>
      </c>
      <c r="E224" s="1">
        <f>IF(Table1[[#This Row],[Lifespan Unit]]="months", Table1[[#This Row],[Lifespan]]/12,Table1[[#This Row],[Lifespan]])</f>
        <v>15</v>
      </c>
      <c r="F224" s="1" t="s">
        <v>625</v>
      </c>
      <c r="G224" s="1" t="str">
        <f t="shared" si="6"/>
        <v>19</v>
      </c>
      <c r="H224" s="1" t="str">
        <f t="shared" si="7"/>
        <v>oz</v>
      </c>
      <c r="I224" s="1" t="str">
        <f>IF(Table1[[#This Row],[Lifespan (Years)]]&lt;25, "&lt;25", IF(Table1[[#This Row],[Lifespan (Years)]]&lt;50, "25-49", IF(Table1[[#This Row],[Lifespan (Years)]]&lt;75, "50-74", IF(Table1[[#This Row],[Lifespan (Years)]]&lt;100, "75-99", "&gt;=100"))))</f>
        <v>&lt;25</v>
      </c>
      <c r="J224" s="14">
        <f>IF(Table1[[#This Row],[Weight Unit]]="oz",Table1[[#This Row],[Weight (Digits)]]/16, Table1[[#This Row],[Weight (Digits)]]/1)</f>
        <v>1.1875</v>
      </c>
      <c r="K22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24" s="1" t="s">
        <v>5</v>
      </c>
      <c r="M224" s="1" t="str">
        <f>IF(COUNTIF(Table2[Animal],Table1[[#This Row],[Animal]]) = 1, "Previous Participant", "New Participant")</f>
        <v>Previous Participant</v>
      </c>
      <c r="N224" s="1" t="str">
        <f>_xlfn.XLOOKUP(Table1[[#This Row],[Region]],'Support - Tables'!$B$3:$B$10,'Support - Tables'!$D$3:$D$10,"Not Found",0)</f>
        <v>Boat</v>
      </c>
      <c r="O224" s="6">
        <f>_xlfn.XLOOKUP(Table1[[#This Row],[Region]],'Support - Tables'!$B$3:$B$10,'Support - Tables'!$C$3:$C$10, "Not Found",0)</f>
        <v>400</v>
      </c>
      <c r="P224" s="6">
        <f>_xlfn.XLOOKUP(Table1[[#This Row],[Diet]],'Support - Tables'!$B$14:$B$16,'Support - Tables'!$C$14:$C$16, "Not Found", 0)</f>
        <v>400</v>
      </c>
      <c r="Q224" s="6">
        <f>Table1[[#This Row],[Revenue]]-Table1[[#This Row],[Cost]]</f>
        <v>0</v>
      </c>
      <c r="R224" s="6">
        <f>COUNTBLANK(Table1[[#This Row],[Diet]:[Region]])</f>
        <v>0</v>
      </c>
      <c r="S224" s="6"/>
      <c r="T224" s="6"/>
    </row>
    <row r="225" spans="1:20" x14ac:dyDescent="0.25">
      <c r="A225" s="2" t="s">
        <v>278</v>
      </c>
      <c r="B225" s="1" t="s">
        <v>13</v>
      </c>
      <c r="C225" s="1">
        <v>12</v>
      </c>
      <c r="D225" s="1" t="s">
        <v>706</v>
      </c>
      <c r="E225" s="1">
        <f>IF(Table1[[#This Row],[Lifespan Unit]]="months", Table1[[#This Row],[Lifespan]]/12,Table1[[#This Row],[Lifespan]])</f>
        <v>12</v>
      </c>
      <c r="F225" s="1" t="s">
        <v>258</v>
      </c>
      <c r="G225" s="1" t="str">
        <f t="shared" si="6"/>
        <v>0.5</v>
      </c>
      <c r="H225" s="1" t="str">
        <f t="shared" si="7"/>
        <v>oz</v>
      </c>
      <c r="I225" s="1" t="str">
        <f>IF(Table1[[#This Row],[Lifespan (Years)]]&lt;25, "&lt;25", IF(Table1[[#This Row],[Lifespan (Years)]]&lt;50, "25-49", IF(Table1[[#This Row],[Lifespan (Years)]]&lt;75, "50-74", IF(Table1[[#This Row],[Lifespan (Years)]]&lt;100, "75-99", "&gt;=100"))))</f>
        <v>&lt;25</v>
      </c>
      <c r="J225" s="14">
        <f>IF(Table1[[#This Row],[Weight Unit]]="oz",Table1[[#This Row],[Weight (Digits)]]/16, Table1[[#This Row],[Weight (Digits)]]/1)</f>
        <v>3.125E-2</v>
      </c>
      <c r="K22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25" s="1" t="s">
        <v>725</v>
      </c>
      <c r="M225" s="1" t="str">
        <f>IF(COUNTIF(Table2[Animal],Table1[[#This Row],[Animal]]) = 1, "Previous Participant", "New Participant")</f>
        <v>Previous Participant</v>
      </c>
      <c r="N225" s="1" t="str">
        <f>_xlfn.XLOOKUP(Table1[[#This Row],[Region]],'Support - Tables'!$B$3:$B$10,'Support - Tables'!$D$3:$D$10,"Not Found",0)</f>
        <v>Air</v>
      </c>
      <c r="O225" s="6">
        <f>_xlfn.XLOOKUP(Table1[[#This Row],[Region]],'Support - Tables'!$B$3:$B$10,'Support - Tables'!$C$3:$C$10, "Not Found",0)</f>
        <v>600</v>
      </c>
      <c r="P225" s="6">
        <f>_xlfn.XLOOKUP(Table1[[#This Row],[Diet]],'Support - Tables'!$B$14:$B$16,'Support - Tables'!$C$14:$C$16, "Not Found", 0)</f>
        <v>400</v>
      </c>
      <c r="Q225" s="6">
        <f>Table1[[#This Row],[Revenue]]-Table1[[#This Row],[Cost]]</f>
        <v>200</v>
      </c>
      <c r="R225" s="6">
        <f>COUNTBLANK(Table1[[#This Row],[Diet]:[Region]])</f>
        <v>0</v>
      </c>
      <c r="S225" s="6"/>
      <c r="T225" s="6"/>
    </row>
    <row r="226" spans="1:20" x14ac:dyDescent="0.25">
      <c r="A226" s="2" t="s">
        <v>279</v>
      </c>
      <c r="B226" s="1" t="s">
        <v>13</v>
      </c>
      <c r="C226" s="1">
        <v>12</v>
      </c>
      <c r="D226" s="1" t="s">
        <v>706</v>
      </c>
      <c r="E226" s="1">
        <f>IF(Table1[[#This Row],[Lifespan Unit]]="months", Table1[[#This Row],[Lifespan]]/12,Table1[[#This Row],[Lifespan]])</f>
        <v>12</v>
      </c>
      <c r="F226" s="1" t="s">
        <v>96</v>
      </c>
      <c r="G226" s="1" t="str">
        <f t="shared" si="6"/>
        <v>75</v>
      </c>
      <c r="H226" s="1" t="str">
        <f t="shared" si="7"/>
        <v>lbs</v>
      </c>
      <c r="I226" s="1" t="str">
        <f>IF(Table1[[#This Row],[Lifespan (Years)]]&lt;25, "&lt;25", IF(Table1[[#This Row],[Lifespan (Years)]]&lt;50, "25-49", IF(Table1[[#This Row],[Lifespan (Years)]]&lt;75, "50-74", IF(Table1[[#This Row],[Lifespan (Years)]]&lt;100, "75-99", "&gt;=100"))))</f>
        <v>&lt;25</v>
      </c>
      <c r="J226" s="14">
        <f>IF(Table1[[#This Row],[Weight Unit]]="oz",Table1[[#This Row],[Weight (Digits)]]/16, Table1[[#This Row],[Weight (Digits)]]/1)</f>
        <v>75</v>
      </c>
      <c r="K22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26" s="1" t="s">
        <v>5</v>
      </c>
      <c r="M226" s="1" t="str">
        <f>IF(COUNTIF(Table2[Animal],Table1[[#This Row],[Animal]]) = 1, "Previous Participant", "New Participant")</f>
        <v>Previous Participant</v>
      </c>
      <c r="N226" s="1" t="str">
        <f>_xlfn.XLOOKUP(Table1[[#This Row],[Region]],'Support - Tables'!$B$3:$B$10,'Support - Tables'!$D$3:$D$10,"Not Found",0)</f>
        <v>Boat</v>
      </c>
      <c r="O226" s="6">
        <f>_xlfn.XLOOKUP(Table1[[#This Row],[Region]],'Support - Tables'!$B$3:$B$10,'Support - Tables'!$C$3:$C$10, "Not Found",0)</f>
        <v>400</v>
      </c>
      <c r="P226" s="6">
        <f>_xlfn.XLOOKUP(Table1[[#This Row],[Diet]],'Support - Tables'!$B$14:$B$16,'Support - Tables'!$C$14:$C$16, "Not Found", 0)</f>
        <v>400</v>
      </c>
      <c r="Q226" s="6">
        <f>Table1[[#This Row],[Revenue]]-Table1[[#This Row],[Cost]]</f>
        <v>0</v>
      </c>
      <c r="R226" s="6">
        <f>COUNTBLANK(Table1[[#This Row],[Diet]:[Region]])</f>
        <v>0</v>
      </c>
      <c r="S226" s="6"/>
      <c r="T226" s="6"/>
    </row>
    <row r="227" spans="1:20" x14ac:dyDescent="0.25">
      <c r="A227" s="2" t="s">
        <v>280</v>
      </c>
      <c r="B227" s="1" t="s">
        <v>13</v>
      </c>
      <c r="C227" s="1">
        <v>26</v>
      </c>
      <c r="D227" s="1" t="s">
        <v>706</v>
      </c>
      <c r="E227" s="1">
        <f>IF(Table1[[#This Row],[Lifespan Unit]]="months", Table1[[#This Row],[Lifespan]]/12,Table1[[#This Row],[Lifespan]])</f>
        <v>26</v>
      </c>
      <c r="F227" s="1" t="s">
        <v>626</v>
      </c>
      <c r="G227" s="1" t="str">
        <f t="shared" si="6"/>
        <v>3.3</v>
      </c>
      <c r="H227" s="1" t="str">
        <f t="shared" si="7"/>
        <v>lbs</v>
      </c>
      <c r="I227" s="1" t="str">
        <f>IF(Table1[[#This Row],[Lifespan (Years)]]&lt;25, "&lt;25", IF(Table1[[#This Row],[Lifespan (Years)]]&lt;50, "25-49", IF(Table1[[#This Row],[Lifespan (Years)]]&lt;75, "50-74", IF(Table1[[#This Row],[Lifespan (Years)]]&lt;100, "75-99", "&gt;=100"))))</f>
        <v>25-49</v>
      </c>
      <c r="J227" s="14">
        <f>IF(Table1[[#This Row],[Weight Unit]]="oz",Table1[[#This Row],[Weight (Digits)]]/16, Table1[[#This Row],[Weight (Digits)]]/1)</f>
        <v>3.3</v>
      </c>
      <c r="K22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27" s="1" t="s">
        <v>2</v>
      </c>
      <c r="M227" s="1" t="str">
        <f>IF(COUNTIF(Table2[Animal],Table1[[#This Row],[Animal]]) = 1, "Previous Participant", "New Participant")</f>
        <v>Previous Participant</v>
      </c>
      <c r="N227" s="1" t="str">
        <f>_xlfn.XLOOKUP(Table1[[#This Row],[Region]],'Support - Tables'!$B$3:$B$10,'Support - Tables'!$D$3:$D$10,"Not Found",0)</f>
        <v>Air</v>
      </c>
      <c r="O227" s="6">
        <f>_xlfn.XLOOKUP(Table1[[#This Row],[Region]],'Support - Tables'!$B$3:$B$10,'Support - Tables'!$C$3:$C$10, "Not Found",0)</f>
        <v>600</v>
      </c>
      <c r="P227" s="6">
        <f>_xlfn.XLOOKUP(Table1[[#This Row],[Diet]],'Support - Tables'!$B$14:$B$16,'Support - Tables'!$C$14:$C$16, "Not Found", 0)</f>
        <v>400</v>
      </c>
      <c r="Q227" s="6">
        <f>Table1[[#This Row],[Revenue]]-Table1[[#This Row],[Cost]]</f>
        <v>200</v>
      </c>
      <c r="R227" s="6">
        <f>COUNTBLANK(Table1[[#This Row],[Diet]:[Region]])</f>
        <v>0</v>
      </c>
      <c r="S227" s="6"/>
      <c r="T227" s="6"/>
    </row>
    <row r="228" spans="1:20" x14ac:dyDescent="0.25">
      <c r="A228" s="2" t="s">
        <v>281</v>
      </c>
      <c r="B228" s="1" t="s">
        <v>13</v>
      </c>
      <c r="C228" s="1">
        <v>5</v>
      </c>
      <c r="D228" s="1" t="s">
        <v>706</v>
      </c>
      <c r="E228" s="1">
        <f>IF(Table1[[#This Row],[Lifespan Unit]]="months", Table1[[#This Row],[Lifespan]]/12,Table1[[#This Row],[Lifespan]])</f>
        <v>5</v>
      </c>
      <c r="F228" s="1" t="s">
        <v>627</v>
      </c>
      <c r="G228" s="1" t="str">
        <f t="shared" si="6"/>
        <v>7.8</v>
      </c>
      <c r="H228" s="1" t="str">
        <f t="shared" si="7"/>
        <v>oz</v>
      </c>
      <c r="I228" s="1" t="str">
        <f>IF(Table1[[#This Row],[Lifespan (Years)]]&lt;25, "&lt;25", IF(Table1[[#This Row],[Lifespan (Years)]]&lt;50, "25-49", IF(Table1[[#This Row],[Lifespan (Years)]]&lt;75, "50-74", IF(Table1[[#This Row],[Lifespan (Years)]]&lt;100, "75-99", "&gt;=100"))))</f>
        <v>&lt;25</v>
      </c>
      <c r="J228" s="14">
        <f>IF(Table1[[#This Row],[Weight Unit]]="oz",Table1[[#This Row],[Weight (Digits)]]/16, Table1[[#This Row],[Weight (Digits)]]/1)</f>
        <v>0.48749999999999999</v>
      </c>
      <c r="K22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28" s="1" t="s">
        <v>1</v>
      </c>
      <c r="M228" s="1" t="str">
        <f>IF(COUNTIF(Table2[Animal],Table1[[#This Row],[Animal]]) = 1, "Previous Participant", "New Participant")</f>
        <v>New Participant</v>
      </c>
      <c r="N228" s="1" t="str">
        <f>_xlfn.XLOOKUP(Table1[[#This Row],[Region]],'Support - Tables'!$B$3:$B$10,'Support - Tables'!$D$3:$D$10,"Not Found",0)</f>
        <v>Air</v>
      </c>
      <c r="O228" s="6">
        <f>_xlfn.XLOOKUP(Table1[[#This Row],[Region]],'Support - Tables'!$B$3:$B$10,'Support - Tables'!$C$3:$C$10, "Not Found",0)</f>
        <v>700</v>
      </c>
      <c r="P228" s="6">
        <f>_xlfn.XLOOKUP(Table1[[#This Row],[Diet]],'Support - Tables'!$B$14:$B$16,'Support - Tables'!$C$14:$C$16, "Not Found", 0)</f>
        <v>400</v>
      </c>
      <c r="Q228" s="6">
        <f>Table1[[#This Row],[Revenue]]-Table1[[#This Row],[Cost]]</f>
        <v>300</v>
      </c>
      <c r="R228" s="6">
        <f>COUNTBLANK(Table1[[#This Row],[Diet]:[Region]])</f>
        <v>0</v>
      </c>
      <c r="S228" s="6"/>
      <c r="T228" s="6"/>
    </row>
    <row r="229" spans="1:20" x14ac:dyDescent="0.25">
      <c r="A229" s="2" t="s">
        <v>282</v>
      </c>
      <c r="B229" s="1" t="s">
        <v>23</v>
      </c>
      <c r="C229" s="1">
        <v>50</v>
      </c>
      <c r="D229" s="1" t="s">
        <v>706</v>
      </c>
      <c r="E229" s="1">
        <f>IF(Table1[[#This Row],[Lifespan Unit]]="months", Table1[[#This Row],[Lifespan]]/12,Table1[[#This Row],[Lifespan]])</f>
        <v>50</v>
      </c>
      <c r="F229" s="1" t="s">
        <v>587</v>
      </c>
      <c r="G229" s="1" t="str">
        <f t="shared" si="6"/>
        <v>220</v>
      </c>
      <c r="H229" s="1" t="str">
        <f t="shared" si="7"/>
        <v>lbs</v>
      </c>
      <c r="I229" s="1" t="str">
        <f>IF(Table1[[#This Row],[Lifespan (Years)]]&lt;25, "&lt;25", IF(Table1[[#This Row],[Lifespan (Years)]]&lt;50, "25-49", IF(Table1[[#This Row],[Lifespan (Years)]]&lt;75, "50-74", IF(Table1[[#This Row],[Lifespan (Years)]]&lt;100, "75-99", "&gt;=100"))))</f>
        <v>50-74</v>
      </c>
      <c r="J229" s="14">
        <f>IF(Table1[[#This Row],[Weight Unit]]="oz",Table1[[#This Row],[Weight (Digits)]]/16, Table1[[#This Row],[Weight (Digits)]]/1)</f>
        <v>220</v>
      </c>
      <c r="K22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200-299</v>
      </c>
      <c r="L229" s="1" t="s">
        <v>5</v>
      </c>
      <c r="M229" s="1" t="str">
        <f>IF(COUNTIF(Table2[Animal],Table1[[#This Row],[Animal]]) = 1, "Previous Participant", "New Participant")</f>
        <v>Previous Participant</v>
      </c>
      <c r="N229" s="1" t="str">
        <f>_xlfn.XLOOKUP(Table1[[#This Row],[Region]],'Support - Tables'!$B$3:$B$10,'Support - Tables'!$D$3:$D$10,"Not Found",0)</f>
        <v>Boat</v>
      </c>
      <c r="O229" s="6">
        <f>_xlfn.XLOOKUP(Table1[[#This Row],[Region]],'Support - Tables'!$B$3:$B$10,'Support - Tables'!$C$3:$C$10, "Not Found",0)</f>
        <v>400</v>
      </c>
      <c r="P229" s="6">
        <f>_xlfn.XLOOKUP(Table1[[#This Row],[Diet]],'Support - Tables'!$B$14:$B$16,'Support - Tables'!$C$14:$C$16, "Not Found", 0)</f>
        <v>300</v>
      </c>
      <c r="Q229" s="6">
        <f>Table1[[#This Row],[Revenue]]-Table1[[#This Row],[Cost]]</f>
        <v>100</v>
      </c>
      <c r="R229" s="6">
        <f>COUNTBLANK(Table1[[#This Row],[Diet]:[Region]])</f>
        <v>0</v>
      </c>
      <c r="S229" s="6"/>
      <c r="T229" s="6"/>
    </row>
    <row r="230" spans="1:20" x14ac:dyDescent="0.25">
      <c r="A230" s="2" t="s">
        <v>283</v>
      </c>
      <c r="B230" s="1" t="s">
        <v>23</v>
      </c>
      <c r="C230" s="1">
        <v>1</v>
      </c>
      <c r="D230" s="1" t="s">
        <v>708</v>
      </c>
      <c r="E230" s="1">
        <f>IF(Table1[[#This Row],[Lifespan Unit]]="months", Table1[[#This Row],[Lifespan]]/12,Table1[[#This Row],[Lifespan]])</f>
        <v>1</v>
      </c>
      <c r="F230" s="1" t="s">
        <v>573</v>
      </c>
      <c r="G230" s="1" t="str">
        <f t="shared" si="6"/>
        <v/>
      </c>
      <c r="H230" s="1" t="str">
        <f t="shared" si="7"/>
        <v/>
      </c>
      <c r="I230" s="1" t="str">
        <f>IF(Table1[[#This Row],[Lifespan (Years)]]&lt;25, "&lt;25", IF(Table1[[#This Row],[Lifespan (Years)]]&lt;50, "25-49", IF(Table1[[#This Row],[Lifespan (Years)]]&lt;75, "50-74", IF(Table1[[#This Row],[Lifespan (Years)]]&lt;100, "75-99", "&gt;=100"))))</f>
        <v>&lt;25</v>
      </c>
      <c r="J230" s="14">
        <v>0</v>
      </c>
      <c r="K23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230" s="1" t="s">
        <v>724</v>
      </c>
      <c r="M230" s="1" t="str">
        <f>IF(COUNTIF(Table2[Animal],Table1[[#This Row],[Animal]]) = 1, "Previous Participant", "New Participant")</f>
        <v>Previous Participant</v>
      </c>
      <c r="N230" s="1" t="str">
        <f>_xlfn.XLOOKUP(Table1[[#This Row],[Region]],'Support - Tables'!$B$3:$B$10,'Support - Tables'!$D$3:$D$10,"Not Found",0)</f>
        <v>Road</v>
      </c>
      <c r="O230" s="6">
        <f>_xlfn.XLOOKUP(Table1[[#This Row],[Region]],'Support - Tables'!$B$3:$B$10,'Support - Tables'!$C$3:$C$10, "Not Found",0)</f>
        <v>450</v>
      </c>
      <c r="P230" s="6">
        <f>_xlfn.XLOOKUP(Table1[[#This Row],[Diet]],'Support - Tables'!$B$14:$B$16,'Support - Tables'!$C$14:$C$16, "Not Found", 0)</f>
        <v>300</v>
      </c>
      <c r="Q230" s="6">
        <f>Table1[[#This Row],[Revenue]]-Table1[[#This Row],[Cost]]</f>
        <v>150</v>
      </c>
      <c r="R230" s="6">
        <f>COUNTBLANK(Table1[[#This Row],[Diet]:[Region]])</f>
        <v>3</v>
      </c>
      <c r="S230" s="6"/>
      <c r="T230" s="6"/>
    </row>
    <row r="231" spans="1:20" x14ac:dyDescent="0.25">
      <c r="A231" s="2" t="s">
        <v>284</v>
      </c>
      <c r="B231" s="1" t="s">
        <v>13</v>
      </c>
      <c r="C231" s="1">
        <v>7</v>
      </c>
      <c r="D231" s="1" t="s">
        <v>706</v>
      </c>
      <c r="E231" s="1">
        <f>IF(Table1[[#This Row],[Lifespan Unit]]="months", Table1[[#This Row],[Lifespan]]/12,Table1[[#This Row],[Lifespan]])</f>
        <v>7</v>
      </c>
      <c r="F231" s="1" t="s">
        <v>208</v>
      </c>
      <c r="G231" s="1" t="str">
        <f t="shared" si="6"/>
        <v>100</v>
      </c>
      <c r="H231" s="1" t="str">
        <f t="shared" si="7"/>
        <v>lbs</v>
      </c>
      <c r="I231" s="1" t="str">
        <f>IF(Table1[[#This Row],[Lifespan (Years)]]&lt;25, "&lt;25", IF(Table1[[#This Row],[Lifespan (Years)]]&lt;50, "25-49", IF(Table1[[#This Row],[Lifespan (Years)]]&lt;75, "50-74", IF(Table1[[#This Row],[Lifespan (Years)]]&lt;100, "75-99", "&gt;=100"))))</f>
        <v>&lt;25</v>
      </c>
      <c r="J231" s="14">
        <f>IF(Table1[[#This Row],[Weight Unit]]="oz",Table1[[#This Row],[Weight (Digits)]]/16, Table1[[#This Row],[Weight (Digits)]]/1)</f>
        <v>100</v>
      </c>
      <c r="K23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231" s="1" t="s">
        <v>5</v>
      </c>
      <c r="M231" s="1" t="str">
        <f>IF(COUNTIF(Table2[Animal],Table1[[#This Row],[Animal]]) = 1, "Previous Participant", "New Participant")</f>
        <v>Previous Participant</v>
      </c>
      <c r="N231" s="1" t="str">
        <f>_xlfn.XLOOKUP(Table1[[#This Row],[Region]],'Support - Tables'!$B$3:$B$10,'Support - Tables'!$D$3:$D$10,"Not Found",0)</f>
        <v>Boat</v>
      </c>
      <c r="O231" s="6">
        <f>_xlfn.XLOOKUP(Table1[[#This Row],[Region]],'Support - Tables'!$B$3:$B$10,'Support - Tables'!$C$3:$C$10, "Not Found",0)</f>
        <v>400</v>
      </c>
      <c r="P231" s="6">
        <f>_xlfn.XLOOKUP(Table1[[#This Row],[Diet]],'Support - Tables'!$B$14:$B$16,'Support - Tables'!$C$14:$C$16, "Not Found", 0)</f>
        <v>400</v>
      </c>
      <c r="Q231" s="6">
        <f>Table1[[#This Row],[Revenue]]-Table1[[#This Row],[Cost]]</f>
        <v>0</v>
      </c>
      <c r="R231" s="6">
        <f>COUNTBLANK(Table1[[#This Row],[Diet]:[Region]])</f>
        <v>0</v>
      </c>
      <c r="S231" s="6"/>
      <c r="T231" s="6"/>
    </row>
    <row r="232" spans="1:20" x14ac:dyDescent="0.25">
      <c r="A232" s="2" t="s">
        <v>285</v>
      </c>
      <c r="B232" s="1" t="s">
        <v>15</v>
      </c>
      <c r="C232" s="1">
        <v>40</v>
      </c>
      <c r="D232" s="1" t="s">
        <v>706</v>
      </c>
      <c r="E232" s="1">
        <f>IF(Table1[[#This Row],[Lifespan Unit]]="months", Table1[[#This Row],[Lifespan]]/12,Table1[[#This Row],[Lifespan]])</f>
        <v>40</v>
      </c>
      <c r="F232" s="1" t="s">
        <v>628</v>
      </c>
      <c r="G232" s="1" t="str">
        <f t="shared" si="6"/>
        <v>2,450</v>
      </c>
      <c r="H232" s="1" t="str">
        <f t="shared" si="7"/>
        <v>lbs</v>
      </c>
      <c r="I232" s="1" t="str">
        <f>IF(Table1[[#This Row],[Lifespan (Years)]]&lt;25, "&lt;25", IF(Table1[[#This Row],[Lifespan (Years)]]&lt;50, "25-49", IF(Table1[[#This Row],[Lifespan (Years)]]&lt;75, "50-74", IF(Table1[[#This Row],[Lifespan (Years)]]&lt;100, "75-99", "&gt;=100"))))</f>
        <v>25-49</v>
      </c>
      <c r="J232" s="14">
        <f>IF(Table1[[#This Row],[Weight Unit]]="oz",Table1[[#This Row],[Weight (Digits)]]/16, Table1[[#This Row],[Weight (Digits)]]/1)</f>
        <v>2450</v>
      </c>
      <c r="K23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232" s="1" t="s">
        <v>725</v>
      </c>
      <c r="M232" s="1" t="str">
        <f>IF(COUNTIF(Table2[Animal],Table1[[#This Row],[Animal]]) = 1, "Previous Participant", "New Participant")</f>
        <v>Previous Participant</v>
      </c>
      <c r="N232" s="1" t="str">
        <f>_xlfn.XLOOKUP(Table1[[#This Row],[Region]],'Support - Tables'!$B$3:$B$10,'Support - Tables'!$D$3:$D$10,"Not Found",0)</f>
        <v>Air</v>
      </c>
      <c r="O232" s="6">
        <f>_xlfn.XLOOKUP(Table1[[#This Row],[Region]],'Support - Tables'!$B$3:$B$10,'Support - Tables'!$C$3:$C$10, "Not Found",0)</f>
        <v>600</v>
      </c>
      <c r="P232" s="6">
        <f>_xlfn.XLOOKUP(Table1[[#This Row],[Diet]],'Support - Tables'!$B$14:$B$16,'Support - Tables'!$C$14:$C$16, "Not Found", 0)</f>
        <v>500</v>
      </c>
      <c r="Q232" s="6">
        <f>Table1[[#This Row],[Revenue]]-Table1[[#This Row],[Cost]]</f>
        <v>100</v>
      </c>
      <c r="R232" s="6">
        <f>COUNTBLANK(Table1[[#This Row],[Diet]:[Region]])</f>
        <v>0</v>
      </c>
      <c r="S232" s="6"/>
      <c r="T232" s="6"/>
    </row>
    <row r="233" spans="1:20" x14ac:dyDescent="0.25">
      <c r="A233" s="2" t="s">
        <v>286</v>
      </c>
      <c r="B233" s="1" t="s">
        <v>13</v>
      </c>
      <c r="C233" s="1">
        <v>12</v>
      </c>
      <c r="D233" s="1" t="s">
        <v>706</v>
      </c>
      <c r="E233" s="1">
        <f>IF(Table1[[#This Row],[Lifespan Unit]]="months", Table1[[#This Row],[Lifespan]]/12,Table1[[#This Row],[Lifespan]])</f>
        <v>12</v>
      </c>
      <c r="F233" s="1" t="s">
        <v>141</v>
      </c>
      <c r="G233" s="1" t="str">
        <f t="shared" si="6"/>
        <v>130</v>
      </c>
      <c r="H233" s="1" t="str">
        <f t="shared" si="7"/>
        <v>lbs</v>
      </c>
      <c r="I233" s="1" t="str">
        <f>IF(Table1[[#This Row],[Lifespan (Years)]]&lt;25, "&lt;25", IF(Table1[[#This Row],[Lifespan (Years)]]&lt;50, "25-49", IF(Table1[[#This Row],[Lifespan (Years)]]&lt;75, "50-74", IF(Table1[[#This Row],[Lifespan (Years)]]&lt;100, "75-99", "&gt;=100"))))</f>
        <v>&lt;25</v>
      </c>
      <c r="J233" s="14">
        <f>IF(Table1[[#This Row],[Weight Unit]]="oz",Table1[[#This Row],[Weight (Digits)]]/16, Table1[[#This Row],[Weight (Digits)]]/1)</f>
        <v>130</v>
      </c>
      <c r="K23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233" s="1" t="s">
        <v>1</v>
      </c>
      <c r="M233" s="1" t="str">
        <f>IF(COUNTIF(Table2[Animal],Table1[[#This Row],[Animal]]) = 1, "Previous Participant", "New Participant")</f>
        <v>Previous Participant</v>
      </c>
      <c r="N233" s="1" t="str">
        <f>_xlfn.XLOOKUP(Table1[[#This Row],[Region]],'Support - Tables'!$B$3:$B$10,'Support - Tables'!$D$3:$D$10,"Not Found",0)</f>
        <v>Air</v>
      </c>
      <c r="O233" s="6">
        <f>_xlfn.XLOOKUP(Table1[[#This Row],[Region]],'Support - Tables'!$B$3:$B$10,'Support - Tables'!$C$3:$C$10, "Not Found",0)</f>
        <v>700</v>
      </c>
      <c r="P233" s="6">
        <f>_xlfn.XLOOKUP(Table1[[#This Row],[Diet]],'Support - Tables'!$B$14:$B$16,'Support - Tables'!$C$14:$C$16, "Not Found", 0)</f>
        <v>400</v>
      </c>
      <c r="Q233" s="6">
        <f>Table1[[#This Row],[Revenue]]-Table1[[#This Row],[Cost]]</f>
        <v>300</v>
      </c>
      <c r="R233" s="6">
        <f>COUNTBLANK(Table1[[#This Row],[Diet]:[Region]])</f>
        <v>0</v>
      </c>
      <c r="S233" s="6"/>
      <c r="T233" s="6"/>
    </row>
    <row r="234" spans="1:20" x14ac:dyDescent="0.25">
      <c r="A234" s="2" t="s">
        <v>287</v>
      </c>
      <c r="B234" s="1" t="s">
        <v>13</v>
      </c>
      <c r="C234" s="1">
        <v>18</v>
      </c>
      <c r="D234" s="1" t="s">
        <v>706</v>
      </c>
      <c r="E234" s="1">
        <f>IF(Table1[[#This Row],[Lifespan Unit]]="months", Table1[[#This Row],[Lifespan]]/12,Table1[[#This Row],[Lifespan]])</f>
        <v>18</v>
      </c>
      <c r="F234" s="1" t="s">
        <v>258</v>
      </c>
      <c r="G234" s="1" t="str">
        <f t="shared" si="6"/>
        <v>0.5</v>
      </c>
      <c r="H234" s="1" t="str">
        <f t="shared" si="7"/>
        <v>oz</v>
      </c>
      <c r="I234" s="1" t="str">
        <f>IF(Table1[[#This Row],[Lifespan (Years)]]&lt;25, "&lt;25", IF(Table1[[#This Row],[Lifespan (Years)]]&lt;50, "25-49", IF(Table1[[#This Row],[Lifespan (Years)]]&lt;75, "50-74", IF(Table1[[#This Row],[Lifespan (Years)]]&lt;100, "75-99", "&gt;=100"))))</f>
        <v>&lt;25</v>
      </c>
      <c r="J234" s="14">
        <f>IF(Table1[[#This Row],[Weight Unit]]="oz",Table1[[#This Row],[Weight (Digits)]]/16, Table1[[#This Row],[Weight (Digits)]]/1)</f>
        <v>3.125E-2</v>
      </c>
      <c r="K23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34" s="1" t="s">
        <v>5</v>
      </c>
      <c r="M234" s="1" t="str">
        <f>IF(COUNTIF(Table2[Animal],Table1[[#This Row],[Animal]]) = 1, "Previous Participant", "New Participant")</f>
        <v>Previous Participant</v>
      </c>
      <c r="N234" s="1" t="str">
        <f>_xlfn.XLOOKUP(Table1[[#This Row],[Region]],'Support - Tables'!$B$3:$B$10,'Support - Tables'!$D$3:$D$10,"Not Found",0)</f>
        <v>Boat</v>
      </c>
      <c r="O234" s="6">
        <f>_xlfn.XLOOKUP(Table1[[#This Row],[Region]],'Support - Tables'!$B$3:$B$10,'Support - Tables'!$C$3:$C$10, "Not Found",0)</f>
        <v>400</v>
      </c>
      <c r="P234" s="6">
        <f>_xlfn.XLOOKUP(Table1[[#This Row],[Diet]],'Support - Tables'!$B$14:$B$16,'Support - Tables'!$C$14:$C$16, "Not Found", 0)</f>
        <v>400</v>
      </c>
      <c r="Q234" s="6">
        <f>Table1[[#This Row],[Revenue]]-Table1[[#This Row],[Cost]]</f>
        <v>0</v>
      </c>
      <c r="R234" s="6">
        <f>COUNTBLANK(Table1[[#This Row],[Diet]:[Region]])</f>
        <v>0</v>
      </c>
      <c r="S234" s="6"/>
      <c r="T234" s="6"/>
    </row>
    <row r="235" spans="1:20" x14ac:dyDescent="0.25">
      <c r="A235" s="2" t="s">
        <v>288</v>
      </c>
      <c r="B235" s="1" t="s">
        <v>13</v>
      </c>
      <c r="C235" s="1">
        <v>12</v>
      </c>
      <c r="D235" s="1" t="s">
        <v>706</v>
      </c>
      <c r="E235" s="1">
        <f>IF(Table1[[#This Row],[Lifespan Unit]]="months", Table1[[#This Row],[Lifespan]]/12,Table1[[#This Row],[Lifespan]])</f>
        <v>12</v>
      </c>
      <c r="F235" s="1" t="s">
        <v>289</v>
      </c>
      <c r="G235" s="1" t="str">
        <f t="shared" si="6"/>
        <v>66</v>
      </c>
      <c r="H235" s="1" t="str">
        <f t="shared" si="7"/>
        <v>lbs</v>
      </c>
      <c r="I235" s="1" t="str">
        <f>IF(Table1[[#This Row],[Lifespan (Years)]]&lt;25, "&lt;25", IF(Table1[[#This Row],[Lifespan (Years)]]&lt;50, "25-49", IF(Table1[[#This Row],[Lifespan (Years)]]&lt;75, "50-74", IF(Table1[[#This Row],[Lifespan (Years)]]&lt;100, "75-99", "&gt;=100"))))</f>
        <v>&lt;25</v>
      </c>
      <c r="J235" s="14">
        <f>IF(Table1[[#This Row],[Weight Unit]]="oz",Table1[[#This Row],[Weight (Digits)]]/16, Table1[[#This Row],[Weight (Digits)]]/1)</f>
        <v>66</v>
      </c>
      <c r="K23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35" s="1" t="s">
        <v>5</v>
      </c>
      <c r="M235" s="1" t="str">
        <f>IF(COUNTIF(Table2[Animal],Table1[[#This Row],[Animal]]) = 1, "Previous Participant", "New Participant")</f>
        <v>Previous Participant</v>
      </c>
      <c r="N235" s="1" t="str">
        <f>_xlfn.XLOOKUP(Table1[[#This Row],[Region]],'Support - Tables'!$B$3:$B$10,'Support - Tables'!$D$3:$D$10,"Not Found",0)</f>
        <v>Boat</v>
      </c>
      <c r="O235" s="6">
        <f>_xlfn.XLOOKUP(Table1[[#This Row],[Region]],'Support - Tables'!$B$3:$B$10,'Support - Tables'!$C$3:$C$10, "Not Found",0)</f>
        <v>400</v>
      </c>
      <c r="P235" s="6">
        <f>_xlfn.XLOOKUP(Table1[[#This Row],[Diet]],'Support - Tables'!$B$14:$B$16,'Support - Tables'!$C$14:$C$16, "Not Found", 0)</f>
        <v>400</v>
      </c>
      <c r="Q235" s="6">
        <f>Table1[[#This Row],[Revenue]]-Table1[[#This Row],[Cost]]</f>
        <v>0</v>
      </c>
      <c r="R235" s="6">
        <f>COUNTBLANK(Table1[[#This Row],[Diet]:[Region]])</f>
        <v>0</v>
      </c>
      <c r="S235" s="6"/>
      <c r="T235" s="6"/>
    </row>
    <row r="236" spans="1:20" x14ac:dyDescent="0.25">
      <c r="A236" s="2" t="s">
        <v>290</v>
      </c>
      <c r="B236" s="1" t="s">
        <v>13</v>
      </c>
      <c r="C236" s="1">
        <v>8</v>
      </c>
      <c r="D236" s="1" t="s">
        <v>706</v>
      </c>
      <c r="E236" s="1">
        <f>IF(Table1[[#This Row],[Lifespan Unit]]="months", Table1[[#This Row],[Lifespan]]/12,Table1[[#This Row],[Lifespan]])</f>
        <v>8</v>
      </c>
      <c r="F236" s="1" t="s">
        <v>578</v>
      </c>
      <c r="G236" s="1" t="str">
        <f t="shared" si="6"/>
        <v>2</v>
      </c>
      <c r="H236" s="1" t="str">
        <f t="shared" si="7"/>
        <v>oz</v>
      </c>
      <c r="I236" s="1" t="str">
        <f>IF(Table1[[#This Row],[Lifespan (Years)]]&lt;25, "&lt;25", IF(Table1[[#This Row],[Lifespan (Years)]]&lt;50, "25-49", IF(Table1[[#This Row],[Lifespan (Years)]]&lt;75, "50-74", IF(Table1[[#This Row],[Lifespan (Years)]]&lt;100, "75-99", "&gt;=100"))))</f>
        <v>&lt;25</v>
      </c>
      <c r="J236" s="14">
        <f>IF(Table1[[#This Row],[Weight Unit]]="oz",Table1[[#This Row],[Weight (Digits)]]/16, Table1[[#This Row],[Weight (Digits)]]/1)</f>
        <v>0.125</v>
      </c>
      <c r="K23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36" s="1" t="s">
        <v>5</v>
      </c>
      <c r="M236" s="1" t="str">
        <f>IF(COUNTIF(Table2[Animal],Table1[[#This Row],[Animal]]) = 1, "Previous Participant", "New Participant")</f>
        <v>Previous Participant</v>
      </c>
      <c r="N236" s="1" t="str">
        <f>_xlfn.XLOOKUP(Table1[[#This Row],[Region]],'Support - Tables'!$B$3:$B$10,'Support - Tables'!$D$3:$D$10,"Not Found",0)</f>
        <v>Boat</v>
      </c>
      <c r="O236" s="6">
        <f>_xlfn.XLOOKUP(Table1[[#This Row],[Region]],'Support - Tables'!$B$3:$B$10,'Support - Tables'!$C$3:$C$10, "Not Found",0)</f>
        <v>400</v>
      </c>
      <c r="P236" s="6">
        <f>_xlfn.XLOOKUP(Table1[[#This Row],[Diet]],'Support - Tables'!$B$14:$B$16,'Support - Tables'!$C$14:$C$16, "Not Found", 0)</f>
        <v>400</v>
      </c>
      <c r="Q236" s="6">
        <f>Table1[[#This Row],[Revenue]]-Table1[[#This Row],[Cost]]</f>
        <v>0</v>
      </c>
      <c r="R236" s="6">
        <f>COUNTBLANK(Table1[[#This Row],[Diet]:[Region]])</f>
        <v>0</v>
      </c>
      <c r="S236" s="6"/>
      <c r="T236" s="6"/>
    </row>
    <row r="237" spans="1:20" x14ac:dyDescent="0.25">
      <c r="A237" s="2" t="s">
        <v>291</v>
      </c>
      <c r="B237" s="1" t="s">
        <v>15</v>
      </c>
      <c r="C237" s="1">
        <v>28</v>
      </c>
      <c r="D237" s="1" t="s">
        <v>706</v>
      </c>
      <c r="E237" s="1">
        <f>IF(Table1[[#This Row],[Lifespan Unit]]="months", Table1[[#This Row],[Lifespan]]/12,Table1[[#This Row],[Lifespan]])</f>
        <v>28</v>
      </c>
      <c r="F237" s="1" t="s">
        <v>32</v>
      </c>
      <c r="G237" s="1" t="str">
        <f t="shared" si="6"/>
        <v>44</v>
      </c>
      <c r="H237" s="1" t="str">
        <f t="shared" si="7"/>
        <v>lbs</v>
      </c>
      <c r="I237" s="1" t="str">
        <f>IF(Table1[[#This Row],[Lifespan (Years)]]&lt;25, "&lt;25", IF(Table1[[#This Row],[Lifespan (Years)]]&lt;50, "25-49", IF(Table1[[#This Row],[Lifespan (Years)]]&lt;75, "50-74", IF(Table1[[#This Row],[Lifespan (Years)]]&lt;100, "75-99", "&gt;=100"))))</f>
        <v>25-49</v>
      </c>
      <c r="J237" s="14">
        <f>IF(Table1[[#This Row],[Weight Unit]]="oz",Table1[[#This Row],[Weight (Digits)]]/16, Table1[[#This Row],[Weight (Digits)]]/1)</f>
        <v>44</v>
      </c>
      <c r="K23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37" s="1" t="s">
        <v>5</v>
      </c>
      <c r="M237" s="1" t="str">
        <f>IF(COUNTIF(Table2[Animal],Table1[[#This Row],[Animal]]) = 1, "Previous Participant", "New Participant")</f>
        <v>Previous Participant</v>
      </c>
      <c r="N237" s="1" t="str">
        <f>_xlfn.XLOOKUP(Table1[[#This Row],[Region]],'Support - Tables'!$B$3:$B$10,'Support - Tables'!$D$3:$D$10,"Not Found",0)</f>
        <v>Boat</v>
      </c>
      <c r="O237" s="6">
        <f>_xlfn.XLOOKUP(Table1[[#This Row],[Region]],'Support - Tables'!$B$3:$B$10,'Support - Tables'!$C$3:$C$10, "Not Found",0)</f>
        <v>400</v>
      </c>
      <c r="P237" s="6">
        <f>_xlfn.XLOOKUP(Table1[[#This Row],[Diet]],'Support - Tables'!$B$14:$B$16,'Support - Tables'!$C$14:$C$16, "Not Found", 0)</f>
        <v>500</v>
      </c>
      <c r="Q237" s="6">
        <f>Table1[[#This Row],[Revenue]]-Table1[[#This Row],[Cost]]</f>
        <v>-100</v>
      </c>
      <c r="R237" s="6">
        <f>COUNTBLANK(Table1[[#This Row],[Diet]:[Region]])</f>
        <v>0</v>
      </c>
      <c r="S237" s="6"/>
      <c r="T237" s="6"/>
    </row>
    <row r="238" spans="1:20" x14ac:dyDescent="0.25">
      <c r="A238" s="2" t="s">
        <v>292</v>
      </c>
      <c r="B238" s="1" t="s">
        <v>15</v>
      </c>
      <c r="C238" s="1">
        <v>25</v>
      </c>
      <c r="D238" s="1" t="s">
        <v>706</v>
      </c>
      <c r="E238" s="1">
        <f>IF(Table1[[#This Row],[Lifespan Unit]]="months", Table1[[#This Row],[Lifespan]]/12,Table1[[#This Row],[Lifespan]])</f>
        <v>25</v>
      </c>
      <c r="F238" s="1" t="s">
        <v>497</v>
      </c>
      <c r="G238" s="1" t="str">
        <f t="shared" si="6"/>
        <v>330</v>
      </c>
      <c r="H238" s="1" t="str">
        <f t="shared" si="7"/>
        <v>lbs</v>
      </c>
      <c r="I238" s="1" t="str">
        <f>IF(Table1[[#This Row],[Lifespan (Years)]]&lt;25, "&lt;25", IF(Table1[[#This Row],[Lifespan (Years)]]&lt;50, "25-49", IF(Table1[[#This Row],[Lifespan (Years)]]&lt;75, "50-74", IF(Table1[[#This Row],[Lifespan (Years)]]&lt;100, "75-99", "&gt;=100"))))</f>
        <v>25-49</v>
      </c>
      <c r="J238" s="14">
        <f>IF(Table1[[#This Row],[Weight Unit]]="oz",Table1[[#This Row],[Weight (Digits)]]/16, Table1[[#This Row],[Weight (Digits)]]/1)</f>
        <v>330</v>
      </c>
      <c r="K23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300-399</v>
      </c>
      <c r="L238" s="1" t="s">
        <v>5</v>
      </c>
      <c r="M238" s="1" t="str">
        <f>IF(COUNTIF(Table2[Animal],Table1[[#This Row],[Animal]]) = 1, "Previous Participant", "New Participant")</f>
        <v>Previous Participant</v>
      </c>
      <c r="N238" s="1" t="str">
        <f>_xlfn.XLOOKUP(Table1[[#This Row],[Region]],'Support - Tables'!$B$3:$B$10,'Support - Tables'!$D$3:$D$10,"Not Found",0)</f>
        <v>Boat</v>
      </c>
      <c r="O238" s="6">
        <f>_xlfn.XLOOKUP(Table1[[#This Row],[Region]],'Support - Tables'!$B$3:$B$10,'Support - Tables'!$C$3:$C$10, "Not Found",0)</f>
        <v>400</v>
      </c>
      <c r="P238" s="6">
        <f>_xlfn.XLOOKUP(Table1[[#This Row],[Diet]],'Support - Tables'!$B$14:$B$16,'Support - Tables'!$C$14:$C$16, "Not Found", 0)</f>
        <v>500</v>
      </c>
      <c r="Q238" s="6">
        <f>Table1[[#This Row],[Revenue]]-Table1[[#This Row],[Cost]]</f>
        <v>-100</v>
      </c>
      <c r="R238" s="6">
        <f>COUNTBLANK(Table1[[#This Row],[Diet]:[Region]])</f>
        <v>0</v>
      </c>
      <c r="S238" s="6"/>
      <c r="T238" s="6"/>
    </row>
    <row r="239" spans="1:20" x14ac:dyDescent="0.25">
      <c r="A239" s="2" t="s">
        <v>293</v>
      </c>
      <c r="B239" s="1" t="s">
        <v>13</v>
      </c>
      <c r="C239" s="1">
        <v>11</v>
      </c>
      <c r="D239" s="1" t="s">
        <v>706</v>
      </c>
      <c r="E239" s="1">
        <f>IF(Table1[[#This Row],[Lifespan Unit]]="months", Table1[[#This Row],[Lifespan]]/12,Table1[[#This Row],[Lifespan]])</f>
        <v>11</v>
      </c>
      <c r="F239" s="1" t="s">
        <v>74</v>
      </c>
      <c r="G239" s="1" t="str">
        <f t="shared" si="6"/>
        <v>70</v>
      </c>
      <c r="H239" s="1" t="str">
        <f t="shared" si="7"/>
        <v>lbs</v>
      </c>
      <c r="I239" s="1" t="str">
        <f>IF(Table1[[#This Row],[Lifespan (Years)]]&lt;25, "&lt;25", IF(Table1[[#This Row],[Lifespan (Years)]]&lt;50, "25-49", IF(Table1[[#This Row],[Lifespan (Years)]]&lt;75, "50-74", IF(Table1[[#This Row],[Lifespan (Years)]]&lt;100, "75-99", "&gt;=100"))))</f>
        <v>&lt;25</v>
      </c>
      <c r="J239" s="14">
        <f>IF(Table1[[#This Row],[Weight Unit]]="oz",Table1[[#This Row],[Weight (Digits)]]/16, Table1[[#This Row],[Weight (Digits)]]/1)</f>
        <v>70</v>
      </c>
      <c r="K23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39" s="1" t="s">
        <v>5</v>
      </c>
      <c r="M239" s="1" t="str">
        <f>IF(COUNTIF(Table2[Animal],Table1[[#This Row],[Animal]]) = 1, "Previous Participant", "New Participant")</f>
        <v>Previous Participant</v>
      </c>
      <c r="N239" s="1" t="str">
        <f>_xlfn.XLOOKUP(Table1[[#This Row],[Region]],'Support - Tables'!$B$3:$B$10,'Support - Tables'!$D$3:$D$10,"Not Found",0)</f>
        <v>Boat</v>
      </c>
      <c r="O239" s="6">
        <f>_xlfn.XLOOKUP(Table1[[#This Row],[Region]],'Support - Tables'!$B$3:$B$10,'Support - Tables'!$C$3:$C$10, "Not Found",0)</f>
        <v>400</v>
      </c>
      <c r="P239" s="6">
        <f>_xlfn.XLOOKUP(Table1[[#This Row],[Diet]],'Support - Tables'!$B$14:$B$16,'Support - Tables'!$C$14:$C$16, "Not Found", 0)</f>
        <v>400</v>
      </c>
      <c r="Q239" s="6">
        <f>Table1[[#This Row],[Revenue]]-Table1[[#This Row],[Cost]]</f>
        <v>0</v>
      </c>
      <c r="R239" s="6">
        <f>COUNTBLANK(Table1[[#This Row],[Diet]:[Region]])</f>
        <v>0</v>
      </c>
      <c r="S239" s="6"/>
      <c r="T239" s="6"/>
    </row>
    <row r="240" spans="1:20" x14ac:dyDescent="0.25">
      <c r="A240" s="2" t="s">
        <v>294</v>
      </c>
      <c r="B240" s="1" t="s">
        <v>13</v>
      </c>
      <c r="C240" s="1">
        <v>25</v>
      </c>
      <c r="D240" s="1" t="s">
        <v>706</v>
      </c>
      <c r="E240" s="1">
        <f>IF(Table1[[#This Row],[Lifespan Unit]]="months", Table1[[#This Row],[Lifespan]]/12,Table1[[#This Row],[Lifespan]])</f>
        <v>25</v>
      </c>
      <c r="F240" s="1" t="s">
        <v>629</v>
      </c>
      <c r="G240" s="1" t="str">
        <f t="shared" si="6"/>
        <v>353</v>
      </c>
      <c r="H240" s="1" t="str">
        <f t="shared" si="7"/>
        <v>lbs</v>
      </c>
      <c r="I240" s="1" t="str">
        <f>IF(Table1[[#This Row],[Lifespan (Years)]]&lt;25, "&lt;25", IF(Table1[[#This Row],[Lifespan (Years)]]&lt;50, "25-49", IF(Table1[[#This Row],[Lifespan (Years)]]&lt;75, "50-74", IF(Table1[[#This Row],[Lifespan (Years)]]&lt;100, "75-99", "&gt;=100"))))</f>
        <v>25-49</v>
      </c>
      <c r="J240" s="14">
        <f>IF(Table1[[#This Row],[Weight Unit]]="oz",Table1[[#This Row],[Weight (Digits)]]/16, Table1[[#This Row],[Weight (Digits)]]/1)</f>
        <v>353</v>
      </c>
      <c r="K24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300-399</v>
      </c>
      <c r="L240" s="1" t="s">
        <v>5</v>
      </c>
      <c r="M240" s="1" t="str">
        <f>IF(COUNTIF(Table2[Animal],Table1[[#This Row],[Animal]]) = 1, "Previous Participant", "New Participant")</f>
        <v>New Participant</v>
      </c>
      <c r="N240" s="1" t="str">
        <f>_xlfn.XLOOKUP(Table1[[#This Row],[Region]],'Support - Tables'!$B$3:$B$10,'Support - Tables'!$D$3:$D$10,"Not Found",0)</f>
        <v>Boat</v>
      </c>
      <c r="O240" s="6">
        <f>_xlfn.XLOOKUP(Table1[[#This Row],[Region]],'Support - Tables'!$B$3:$B$10,'Support - Tables'!$C$3:$C$10, "Not Found",0)</f>
        <v>400</v>
      </c>
      <c r="P240" s="6">
        <f>_xlfn.XLOOKUP(Table1[[#This Row],[Diet]],'Support - Tables'!$B$14:$B$16,'Support - Tables'!$C$14:$C$16, "Not Found", 0)</f>
        <v>400</v>
      </c>
      <c r="Q240" s="6">
        <f>Table1[[#This Row],[Revenue]]-Table1[[#This Row],[Cost]]</f>
        <v>0</v>
      </c>
      <c r="R240" s="6">
        <f>COUNTBLANK(Table1[[#This Row],[Diet]:[Region]])</f>
        <v>0</v>
      </c>
      <c r="S240" s="6"/>
      <c r="T240" s="6"/>
    </row>
    <row r="241" spans="1:20" x14ac:dyDescent="0.25">
      <c r="A241" s="2" t="s">
        <v>295</v>
      </c>
      <c r="B241" s="1" t="s">
        <v>13</v>
      </c>
      <c r="C241" s="1">
        <v>10</v>
      </c>
      <c r="D241" s="1" t="s">
        <v>706</v>
      </c>
      <c r="E241" s="1">
        <f>IF(Table1[[#This Row],[Lifespan Unit]]="months", Table1[[#This Row],[Lifespan]]/12,Table1[[#This Row],[Lifespan]])</f>
        <v>10</v>
      </c>
      <c r="F241" s="1" t="s">
        <v>630</v>
      </c>
      <c r="G241" s="1" t="str">
        <f t="shared" si="6"/>
        <v>0.6</v>
      </c>
      <c r="H241" s="1" t="str">
        <f t="shared" si="7"/>
        <v>lbs</v>
      </c>
      <c r="I241" s="1" t="str">
        <f>IF(Table1[[#This Row],[Lifespan (Years)]]&lt;25, "&lt;25", IF(Table1[[#This Row],[Lifespan (Years)]]&lt;50, "25-49", IF(Table1[[#This Row],[Lifespan (Years)]]&lt;75, "50-74", IF(Table1[[#This Row],[Lifespan (Years)]]&lt;100, "75-99", "&gt;=100"))))</f>
        <v>&lt;25</v>
      </c>
      <c r="J241" s="14">
        <f>IF(Table1[[#This Row],[Weight Unit]]="oz",Table1[[#This Row],[Weight (Digits)]]/16, Table1[[#This Row],[Weight (Digits)]]/1)</f>
        <v>0.6</v>
      </c>
      <c r="K24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41" s="1" t="s">
        <v>5</v>
      </c>
      <c r="M241" s="1" t="str">
        <f>IF(COUNTIF(Table2[Animal],Table1[[#This Row],[Animal]]) = 1, "Previous Participant", "New Participant")</f>
        <v>Previous Participant</v>
      </c>
      <c r="N241" s="1" t="str">
        <f>_xlfn.XLOOKUP(Table1[[#This Row],[Region]],'Support - Tables'!$B$3:$B$10,'Support - Tables'!$D$3:$D$10,"Not Found",0)</f>
        <v>Boat</v>
      </c>
      <c r="O241" s="6">
        <f>_xlfn.XLOOKUP(Table1[[#This Row],[Region]],'Support - Tables'!$B$3:$B$10,'Support - Tables'!$C$3:$C$10, "Not Found",0)</f>
        <v>400</v>
      </c>
      <c r="P241" s="6">
        <f>_xlfn.XLOOKUP(Table1[[#This Row],[Diet]],'Support - Tables'!$B$14:$B$16,'Support - Tables'!$C$14:$C$16, "Not Found", 0)</f>
        <v>400</v>
      </c>
      <c r="Q241" s="6">
        <f>Table1[[#This Row],[Revenue]]-Table1[[#This Row],[Cost]]</f>
        <v>0</v>
      </c>
      <c r="R241" s="6">
        <f>COUNTBLANK(Table1[[#This Row],[Diet]:[Region]])</f>
        <v>0</v>
      </c>
      <c r="S241" s="6"/>
      <c r="T241" s="6"/>
    </row>
    <row r="242" spans="1:20" x14ac:dyDescent="0.25">
      <c r="A242" s="2" t="s">
        <v>296</v>
      </c>
      <c r="B242" s="1" t="s">
        <v>13</v>
      </c>
      <c r="C242" s="1">
        <v>20</v>
      </c>
      <c r="D242" s="1" t="s">
        <v>706</v>
      </c>
      <c r="E242" s="1">
        <f>IF(Table1[[#This Row],[Lifespan Unit]]="months", Table1[[#This Row],[Lifespan]]/12,Table1[[#This Row],[Lifespan]])</f>
        <v>20</v>
      </c>
      <c r="F242" s="1" t="s">
        <v>610</v>
      </c>
      <c r="G242" s="1" t="str">
        <f t="shared" si="6"/>
        <v>1.5</v>
      </c>
      <c r="H242" s="1" t="str">
        <f t="shared" si="7"/>
        <v>lbs</v>
      </c>
      <c r="I242" s="1" t="str">
        <f>IF(Table1[[#This Row],[Lifespan (Years)]]&lt;25, "&lt;25", IF(Table1[[#This Row],[Lifespan (Years)]]&lt;50, "25-49", IF(Table1[[#This Row],[Lifespan (Years)]]&lt;75, "50-74", IF(Table1[[#This Row],[Lifespan (Years)]]&lt;100, "75-99", "&gt;=100"))))</f>
        <v>&lt;25</v>
      </c>
      <c r="J242" s="14">
        <f>IF(Table1[[#This Row],[Weight Unit]]="oz",Table1[[#This Row],[Weight (Digits)]]/16, Table1[[#This Row],[Weight (Digits)]]/1)</f>
        <v>1.5</v>
      </c>
      <c r="K24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42" s="1" t="s">
        <v>5</v>
      </c>
      <c r="M242" s="1" t="str">
        <f>IF(COUNTIF(Table2[Animal],Table1[[#This Row],[Animal]]) = 1, "Previous Participant", "New Participant")</f>
        <v>Previous Participant</v>
      </c>
      <c r="N242" s="1" t="str">
        <f>_xlfn.XLOOKUP(Table1[[#This Row],[Region]],'Support - Tables'!$B$3:$B$10,'Support - Tables'!$D$3:$D$10,"Not Found",0)</f>
        <v>Boat</v>
      </c>
      <c r="O242" s="6">
        <f>_xlfn.XLOOKUP(Table1[[#This Row],[Region]],'Support - Tables'!$B$3:$B$10,'Support - Tables'!$C$3:$C$10, "Not Found",0)</f>
        <v>400</v>
      </c>
      <c r="P242" s="6">
        <f>_xlfn.XLOOKUP(Table1[[#This Row],[Diet]],'Support - Tables'!$B$14:$B$16,'Support - Tables'!$C$14:$C$16, "Not Found", 0)</f>
        <v>400</v>
      </c>
      <c r="Q242" s="6">
        <f>Table1[[#This Row],[Revenue]]-Table1[[#This Row],[Cost]]</f>
        <v>0</v>
      </c>
      <c r="R242" s="6">
        <f>COUNTBLANK(Table1[[#This Row],[Diet]:[Region]])</f>
        <v>0</v>
      </c>
      <c r="S242" s="6"/>
      <c r="T242" s="6"/>
    </row>
    <row r="243" spans="1:20" x14ac:dyDescent="0.25">
      <c r="A243" s="2" t="s">
        <v>297</v>
      </c>
      <c r="B243" s="1" t="s">
        <v>23</v>
      </c>
      <c r="C243" s="1">
        <v>8</v>
      </c>
      <c r="D243" s="1" t="s">
        <v>706</v>
      </c>
      <c r="E243" s="1">
        <f>IF(Table1[[#This Row],[Lifespan Unit]]="months", Table1[[#This Row],[Lifespan]]/12,Table1[[#This Row],[Lifespan]])</f>
        <v>8</v>
      </c>
      <c r="F243" s="1" t="s">
        <v>631</v>
      </c>
      <c r="G243" s="1" t="str">
        <f t="shared" si="6"/>
        <v>1</v>
      </c>
      <c r="H243" s="1" t="str">
        <f t="shared" si="7"/>
        <v>lbs</v>
      </c>
      <c r="I243" s="1" t="str">
        <f>IF(Table1[[#This Row],[Lifespan (Years)]]&lt;25, "&lt;25", IF(Table1[[#This Row],[Lifespan (Years)]]&lt;50, "25-49", IF(Table1[[#This Row],[Lifespan (Years)]]&lt;75, "50-74", IF(Table1[[#This Row],[Lifespan (Years)]]&lt;100, "75-99", "&gt;=100"))))</f>
        <v>&lt;25</v>
      </c>
      <c r="J243" s="14">
        <f>IF(Table1[[#This Row],[Weight Unit]]="oz",Table1[[#This Row],[Weight (Digits)]]/16, Table1[[#This Row],[Weight (Digits)]]/1)</f>
        <v>1</v>
      </c>
      <c r="K24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43" s="1" t="s">
        <v>724</v>
      </c>
      <c r="M243" s="1" t="str">
        <f>IF(COUNTIF(Table2[Animal],Table1[[#This Row],[Animal]]) = 1, "Previous Participant", "New Participant")</f>
        <v>New Participant</v>
      </c>
      <c r="N243" s="1" t="str">
        <f>_xlfn.XLOOKUP(Table1[[#This Row],[Region]],'Support - Tables'!$B$3:$B$10,'Support - Tables'!$D$3:$D$10,"Not Found",0)</f>
        <v>Road</v>
      </c>
      <c r="O243" s="6">
        <f>_xlfn.XLOOKUP(Table1[[#This Row],[Region]],'Support - Tables'!$B$3:$B$10,'Support - Tables'!$C$3:$C$10, "Not Found",0)</f>
        <v>450</v>
      </c>
      <c r="P243" s="6">
        <f>_xlfn.XLOOKUP(Table1[[#This Row],[Diet]],'Support - Tables'!$B$14:$B$16,'Support - Tables'!$C$14:$C$16, "Not Found", 0)</f>
        <v>300</v>
      </c>
      <c r="Q243" s="6">
        <f>Table1[[#This Row],[Revenue]]-Table1[[#This Row],[Cost]]</f>
        <v>150</v>
      </c>
      <c r="R243" s="6">
        <f>COUNTBLANK(Table1[[#This Row],[Diet]:[Region]])</f>
        <v>0</v>
      </c>
      <c r="S243" s="6"/>
      <c r="T243" s="6"/>
    </row>
    <row r="244" spans="1:20" x14ac:dyDescent="0.25">
      <c r="A244" s="2" t="s">
        <v>298</v>
      </c>
      <c r="B244" s="1" t="s">
        <v>13</v>
      </c>
      <c r="C244" s="1">
        <v>4</v>
      </c>
      <c r="D244" s="1" t="s">
        <v>706</v>
      </c>
      <c r="E244" s="1">
        <f>IF(Table1[[#This Row],[Lifespan Unit]]="months", Table1[[#This Row],[Lifespan]]/12,Table1[[#This Row],[Lifespan]])</f>
        <v>4</v>
      </c>
      <c r="F244" s="1" t="s">
        <v>573</v>
      </c>
      <c r="G244" s="1" t="str">
        <f t="shared" si="6"/>
        <v/>
      </c>
      <c r="H244" s="1" t="str">
        <f t="shared" si="7"/>
        <v/>
      </c>
      <c r="I244" s="1" t="str">
        <f>IF(Table1[[#This Row],[Lifespan (Years)]]&lt;25, "&lt;25", IF(Table1[[#This Row],[Lifespan (Years)]]&lt;50, "25-49", IF(Table1[[#This Row],[Lifespan (Years)]]&lt;75, "50-74", IF(Table1[[#This Row],[Lifespan (Years)]]&lt;100, "75-99", "&gt;=100"))))</f>
        <v>&lt;25</v>
      </c>
      <c r="J244" s="14">
        <v>0</v>
      </c>
      <c r="K24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244" s="1" t="s">
        <v>724</v>
      </c>
      <c r="M244" s="1" t="str">
        <f>IF(COUNTIF(Table2[Animal],Table1[[#This Row],[Animal]]) = 1, "Previous Participant", "New Participant")</f>
        <v>Previous Participant</v>
      </c>
      <c r="N244" s="1" t="str">
        <f>_xlfn.XLOOKUP(Table1[[#This Row],[Region]],'Support - Tables'!$B$3:$B$10,'Support - Tables'!$D$3:$D$10,"Not Found",0)</f>
        <v>Road</v>
      </c>
      <c r="O244" s="6">
        <f>_xlfn.XLOOKUP(Table1[[#This Row],[Region]],'Support - Tables'!$B$3:$B$10,'Support - Tables'!$C$3:$C$10, "Not Found",0)</f>
        <v>450</v>
      </c>
      <c r="P244" s="6">
        <f>_xlfn.XLOOKUP(Table1[[#This Row],[Diet]],'Support - Tables'!$B$14:$B$16,'Support - Tables'!$C$14:$C$16, "Not Found", 0)</f>
        <v>400</v>
      </c>
      <c r="Q244" s="6">
        <f>Table1[[#This Row],[Revenue]]-Table1[[#This Row],[Cost]]</f>
        <v>50</v>
      </c>
      <c r="R244" s="6">
        <f>COUNTBLANK(Table1[[#This Row],[Diet]:[Region]])</f>
        <v>3</v>
      </c>
      <c r="S244" s="6"/>
      <c r="T244" s="6"/>
    </row>
    <row r="245" spans="1:20" x14ac:dyDescent="0.25">
      <c r="A245" s="2" t="s">
        <v>299</v>
      </c>
      <c r="B245" s="1" t="s">
        <v>15</v>
      </c>
      <c r="C245" s="1">
        <v>25</v>
      </c>
      <c r="D245" s="1" t="s">
        <v>706</v>
      </c>
      <c r="E245" s="1">
        <f>IF(Table1[[#This Row],[Lifespan Unit]]="months", Table1[[#This Row],[Lifespan]]/12,Table1[[#This Row],[Lifespan]])</f>
        <v>25</v>
      </c>
      <c r="F245" s="1" t="s">
        <v>632</v>
      </c>
      <c r="G245" s="1" t="str">
        <f t="shared" si="6"/>
        <v>500</v>
      </c>
      <c r="H245" s="1" t="str">
        <f t="shared" si="7"/>
        <v>lbs</v>
      </c>
      <c r="I245" s="1" t="str">
        <f>IF(Table1[[#This Row],[Lifespan (Years)]]&lt;25, "&lt;25", IF(Table1[[#This Row],[Lifespan (Years)]]&lt;50, "25-49", IF(Table1[[#This Row],[Lifespan (Years)]]&lt;75, "50-74", IF(Table1[[#This Row],[Lifespan (Years)]]&lt;100, "75-99", "&gt;=100"))))</f>
        <v>25-49</v>
      </c>
      <c r="J245" s="14">
        <f>IF(Table1[[#This Row],[Weight Unit]]="oz",Table1[[#This Row],[Weight (Digits)]]/16, Table1[[#This Row],[Weight (Digits)]]/1)</f>
        <v>500</v>
      </c>
      <c r="K24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245" s="1" t="s">
        <v>724</v>
      </c>
      <c r="M245" s="1" t="str">
        <f>IF(COUNTIF(Table2[Animal],Table1[[#This Row],[Animal]]) = 1, "Previous Participant", "New Participant")</f>
        <v>New Participant</v>
      </c>
      <c r="N245" s="1" t="str">
        <f>_xlfn.XLOOKUP(Table1[[#This Row],[Region]],'Support - Tables'!$B$3:$B$10,'Support - Tables'!$D$3:$D$10,"Not Found",0)</f>
        <v>Road</v>
      </c>
      <c r="O245" s="6">
        <f>_xlfn.XLOOKUP(Table1[[#This Row],[Region]],'Support - Tables'!$B$3:$B$10,'Support - Tables'!$C$3:$C$10, "Not Found",0)</f>
        <v>450</v>
      </c>
      <c r="P245" s="6">
        <f>_xlfn.XLOOKUP(Table1[[#This Row],[Diet]],'Support - Tables'!$B$14:$B$16,'Support - Tables'!$C$14:$C$16, "Not Found", 0)</f>
        <v>500</v>
      </c>
      <c r="Q245" s="6">
        <f>Table1[[#This Row],[Revenue]]-Table1[[#This Row],[Cost]]</f>
        <v>-50</v>
      </c>
      <c r="R245" s="6">
        <f>COUNTBLANK(Table1[[#This Row],[Diet]:[Region]])</f>
        <v>0</v>
      </c>
      <c r="S245" s="6"/>
      <c r="T245" s="6"/>
    </row>
    <row r="246" spans="1:20" x14ac:dyDescent="0.25">
      <c r="A246" s="2" t="s">
        <v>300</v>
      </c>
      <c r="B246" s="1" t="s">
        <v>13</v>
      </c>
      <c r="C246" s="1">
        <v>3</v>
      </c>
      <c r="D246" s="1" t="s">
        <v>706</v>
      </c>
      <c r="E246" s="1">
        <f>IF(Table1[[#This Row],[Lifespan Unit]]="months", Table1[[#This Row],[Lifespan]]/12,Table1[[#This Row],[Lifespan]])</f>
        <v>3</v>
      </c>
      <c r="F246" s="1" t="s">
        <v>607</v>
      </c>
      <c r="G246" s="1" t="str">
        <f t="shared" si="6"/>
        <v>3.5</v>
      </c>
      <c r="H246" s="1" t="str">
        <f t="shared" si="7"/>
        <v>oz</v>
      </c>
      <c r="I246" s="1" t="str">
        <f>IF(Table1[[#This Row],[Lifespan (Years)]]&lt;25, "&lt;25", IF(Table1[[#This Row],[Lifespan (Years)]]&lt;50, "25-49", IF(Table1[[#This Row],[Lifespan (Years)]]&lt;75, "50-74", IF(Table1[[#This Row],[Lifespan (Years)]]&lt;100, "75-99", "&gt;=100"))))</f>
        <v>&lt;25</v>
      </c>
      <c r="J246" s="14">
        <f>IF(Table1[[#This Row],[Weight Unit]]="oz",Table1[[#This Row],[Weight (Digits)]]/16, Table1[[#This Row],[Weight (Digits)]]/1)</f>
        <v>0.21875</v>
      </c>
      <c r="K24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46" s="1" t="s">
        <v>724</v>
      </c>
      <c r="M246" s="1" t="str">
        <f>IF(COUNTIF(Table2[Animal],Table1[[#This Row],[Animal]]) = 1, "Previous Participant", "New Participant")</f>
        <v>New Participant</v>
      </c>
      <c r="N246" s="1" t="str">
        <f>_xlfn.XLOOKUP(Table1[[#This Row],[Region]],'Support - Tables'!$B$3:$B$10,'Support - Tables'!$D$3:$D$10,"Not Found",0)</f>
        <v>Road</v>
      </c>
      <c r="O246" s="6">
        <f>_xlfn.XLOOKUP(Table1[[#This Row],[Region]],'Support - Tables'!$B$3:$B$10,'Support - Tables'!$C$3:$C$10, "Not Found",0)</f>
        <v>450</v>
      </c>
      <c r="P246" s="6">
        <f>_xlfn.XLOOKUP(Table1[[#This Row],[Diet]],'Support - Tables'!$B$14:$B$16,'Support - Tables'!$C$14:$C$16, "Not Found", 0)</f>
        <v>400</v>
      </c>
      <c r="Q246" s="6">
        <f>Table1[[#This Row],[Revenue]]-Table1[[#This Row],[Cost]]</f>
        <v>50</v>
      </c>
      <c r="R246" s="6">
        <f>COUNTBLANK(Table1[[#This Row],[Diet]:[Region]])</f>
        <v>0</v>
      </c>
      <c r="S246" s="6"/>
      <c r="T246" s="6"/>
    </row>
    <row r="247" spans="1:20" x14ac:dyDescent="0.25">
      <c r="A247" s="2" t="s">
        <v>301</v>
      </c>
      <c r="B247" s="1" t="s">
        <v>23</v>
      </c>
      <c r="C247" s="1">
        <v>8</v>
      </c>
      <c r="D247" s="1" t="s">
        <v>706</v>
      </c>
      <c r="E247" s="1">
        <f>IF(Table1[[#This Row],[Lifespan Unit]]="months", Table1[[#This Row],[Lifespan]]/12,Table1[[#This Row],[Lifespan]])</f>
        <v>8</v>
      </c>
      <c r="F247" s="1" t="s">
        <v>566</v>
      </c>
      <c r="G247" s="1" t="str">
        <f t="shared" si="6"/>
        <v>3</v>
      </c>
      <c r="H247" s="1" t="str">
        <f t="shared" si="7"/>
        <v>lbs</v>
      </c>
      <c r="I247" s="1" t="str">
        <f>IF(Table1[[#This Row],[Lifespan (Years)]]&lt;25, "&lt;25", IF(Table1[[#This Row],[Lifespan (Years)]]&lt;50, "25-49", IF(Table1[[#This Row],[Lifespan (Years)]]&lt;75, "50-74", IF(Table1[[#This Row],[Lifespan (Years)]]&lt;100, "75-99", "&gt;=100"))))</f>
        <v>&lt;25</v>
      </c>
      <c r="J247" s="14">
        <f>IF(Table1[[#This Row],[Weight Unit]]="oz",Table1[[#This Row],[Weight (Digits)]]/16, Table1[[#This Row],[Weight (Digits)]]/1)</f>
        <v>3</v>
      </c>
      <c r="K24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47" s="1" t="s">
        <v>725</v>
      </c>
      <c r="M247" s="1" t="str">
        <f>IF(COUNTIF(Table2[Animal],Table1[[#This Row],[Animal]]) = 1, "Previous Participant", "New Participant")</f>
        <v>Previous Participant</v>
      </c>
      <c r="N247" s="1" t="str">
        <f>_xlfn.XLOOKUP(Table1[[#This Row],[Region]],'Support - Tables'!$B$3:$B$10,'Support - Tables'!$D$3:$D$10,"Not Found",0)</f>
        <v>Air</v>
      </c>
      <c r="O247" s="6">
        <f>_xlfn.XLOOKUP(Table1[[#This Row],[Region]],'Support - Tables'!$B$3:$B$10,'Support - Tables'!$C$3:$C$10, "Not Found",0)</f>
        <v>600</v>
      </c>
      <c r="P247" s="6">
        <f>_xlfn.XLOOKUP(Table1[[#This Row],[Diet]],'Support - Tables'!$B$14:$B$16,'Support - Tables'!$C$14:$C$16, "Not Found", 0)</f>
        <v>300</v>
      </c>
      <c r="Q247" s="6">
        <f>Table1[[#This Row],[Revenue]]-Table1[[#This Row],[Cost]]</f>
        <v>300</v>
      </c>
      <c r="R247" s="6">
        <f>COUNTBLANK(Table1[[#This Row],[Diet]:[Region]])</f>
        <v>0</v>
      </c>
      <c r="S247" s="6"/>
      <c r="T247" s="6"/>
    </row>
    <row r="248" spans="1:20" x14ac:dyDescent="0.25">
      <c r="A248" s="2" t="s">
        <v>302</v>
      </c>
      <c r="B248" s="1" t="s">
        <v>13</v>
      </c>
      <c r="C248" s="1">
        <v>16</v>
      </c>
      <c r="D248" s="1" t="s">
        <v>706</v>
      </c>
      <c r="E248" s="1">
        <f>IF(Table1[[#This Row],[Lifespan Unit]]="months", Table1[[#This Row],[Lifespan]]/12,Table1[[#This Row],[Lifespan]])</f>
        <v>16</v>
      </c>
      <c r="F248" s="1" t="s">
        <v>21</v>
      </c>
      <c r="G248" s="1" t="str">
        <f t="shared" si="6"/>
        <v>60</v>
      </c>
      <c r="H248" s="1" t="str">
        <f t="shared" si="7"/>
        <v>lbs</v>
      </c>
      <c r="I248" s="1" t="str">
        <f>IF(Table1[[#This Row],[Lifespan (Years)]]&lt;25, "&lt;25", IF(Table1[[#This Row],[Lifespan (Years)]]&lt;50, "25-49", IF(Table1[[#This Row],[Lifespan (Years)]]&lt;75, "50-74", IF(Table1[[#This Row],[Lifespan (Years)]]&lt;100, "75-99", "&gt;=100"))))</f>
        <v>&lt;25</v>
      </c>
      <c r="J248" s="14">
        <f>IF(Table1[[#This Row],[Weight Unit]]="oz",Table1[[#This Row],[Weight (Digits)]]/16, Table1[[#This Row],[Weight (Digits)]]/1)</f>
        <v>60</v>
      </c>
      <c r="K24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48" s="1" t="s">
        <v>5</v>
      </c>
      <c r="M248" s="1" t="str">
        <f>IF(COUNTIF(Table2[Animal],Table1[[#This Row],[Animal]]) = 1, "Previous Participant", "New Participant")</f>
        <v>Previous Participant</v>
      </c>
      <c r="N248" s="1" t="str">
        <f>_xlfn.XLOOKUP(Table1[[#This Row],[Region]],'Support - Tables'!$B$3:$B$10,'Support - Tables'!$D$3:$D$10,"Not Found",0)</f>
        <v>Boat</v>
      </c>
      <c r="O248" s="6">
        <f>_xlfn.XLOOKUP(Table1[[#This Row],[Region]],'Support - Tables'!$B$3:$B$10,'Support - Tables'!$C$3:$C$10, "Not Found",0)</f>
        <v>400</v>
      </c>
      <c r="P248" s="6">
        <f>_xlfn.XLOOKUP(Table1[[#This Row],[Diet]],'Support - Tables'!$B$14:$B$16,'Support - Tables'!$C$14:$C$16, "Not Found", 0)</f>
        <v>400</v>
      </c>
      <c r="Q248" s="6">
        <f>Table1[[#This Row],[Revenue]]-Table1[[#This Row],[Cost]]</f>
        <v>0</v>
      </c>
      <c r="R248" s="6">
        <f>COUNTBLANK(Table1[[#This Row],[Diet]:[Region]])</f>
        <v>0</v>
      </c>
      <c r="S248" s="6"/>
      <c r="T248" s="6"/>
    </row>
    <row r="249" spans="1:20" x14ac:dyDescent="0.25">
      <c r="A249" s="2" t="s">
        <v>303</v>
      </c>
      <c r="B249" s="1" t="s">
        <v>13</v>
      </c>
      <c r="C249" s="1">
        <v>15</v>
      </c>
      <c r="D249" s="1" t="s">
        <v>706</v>
      </c>
      <c r="E249" s="1">
        <f>IF(Table1[[#This Row],[Lifespan Unit]]="months", Table1[[#This Row],[Lifespan]]/12,Table1[[#This Row],[Lifespan]])</f>
        <v>15</v>
      </c>
      <c r="F249" s="1" t="s">
        <v>84</v>
      </c>
      <c r="G249" s="1" t="str">
        <f t="shared" si="6"/>
        <v>12</v>
      </c>
      <c r="H249" s="1" t="str">
        <f t="shared" si="7"/>
        <v>lbs</v>
      </c>
      <c r="I249" s="1" t="str">
        <f>IF(Table1[[#This Row],[Lifespan (Years)]]&lt;25, "&lt;25", IF(Table1[[#This Row],[Lifespan (Years)]]&lt;50, "25-49", IF(Table1[[#This Row],[Lifespan (Years)]]&lt;75, "50-74", IF(Table1[[#This Row],[Lifespan (Years)]]&lt;100, "75-99", "&gt;=100"))))</f>
        <v>&lt;25</v>
      </c>
      <c r="J249" s="14">
        <f>IF(Table1[[#This Row],[Weight Unit]]="oz",Table1[[#This Row],[Weight (Digits)]]/16, Table1[[#This Row],[Weight (Digits)]]/1)</f>
        <v>12</v>
      </c>
      <c r="K24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49" s="1" t="s">
        <v>6</v>
      </c>
      <c r="M249" s="1" t="str">
        <f>IF(COUNTIF(Table2[Animal],Table1[[#This Row],[Animal]]) = 1, "Previous Participant", "New Participant")</f>
        <v>Previous Participant</v>
      </c>
      <c r="N249" s="1" t="str">
        <f>_xlfn.XLOOKUP(Table1[[#This Row],[Region]],'Support - Tables'!$B$3:$B$10,'Support - Tables'!$D$3:$D$10,"Not Found",0)</f>
        <v>Air</v>
      </c>
      <c r="O249" s="6">
        <f>_xlfn.XLOOKUP(Table1[[#This Row],[Region]],'Support - Tables'!$B$3:$B$10,'Support - Tables'!$C$3:$C$10, "Not Found",0)</f>
        <v>450</v>
      </c>
      <c r="P249" s="6">
        <f>_xlfn.XLOOKUP(Table1[[#This Row],[Diet]],'Support - Tables'!$B$14:$B$16,'Support - Tables'!$C$14:$C$16, "Not Found", 0)</f>
        <v>400</v>
      </c>
      <c r="Q249" s="6">
        <f>Table1[[#This Row],[Revenue]]-Table1[[#This Row],[Cost]]</f>
        <v>50</v>
      </c>
      <c r="R249" s="6">
        <f>COUNTBLANK(Table1[[#This Row],[Diet]:[Region]])</f>
        <v>0</v>
      </c>
      <c r="S249" s="6"/>
      <c r="T249" s="6"/>
    </row>
    <row r="250" spans="1:20" x14ac:dyDescent="0.25">
      <c r="A250" s="2" t="s">
        <v>304</v>
      </c>
      <c r="B250" s="1" t="s">
        <v>13</v>
      </c>
      <c r="C250" s="1">
        <v>6</v>
      </c>
      <c r="D250" s="1" t="s">
        <v>706</v>
      </c>
      <c r="E250" s="1">
        <f>IF(Table1[[#This Row],[Lifespan Unit]]="months", Table1[[#This Row],[Lifespan]]/12,Table1[[#This Row],[Lifespan]])</f>
        <v>6</v>
      </c>
      <c r="F250" s="1" t="s">
        <v>599</v>
      </c>
      <c r="G250" s="1" t="str">
        <f t="shared" si="6"/>
        <v>2.2</v>
      </c>
      <c r="H250" s="1" t="str">
        <f t="shared" si="7"/>
        <v>lbs</v>
      </c>
      <c r="I250" s="1" t="str">
        <f>IF(Table1[[#This Row],[Lifespan (Years)]]&lt;25, "&lt;25", IF(Table1[[#This Row],[Lifespan (Years)]]&lt;50, "25-49", IF(Table1[[#This Row],[Lifespan (Years)]]&lt;75, "50-74", IF(Table1[[#This Row],[Lifespan (Years)]]&lt;100, "75-99", "&gt;=100"))))</f>
        <v>&lt;25</v>
      </c>
      <c r="J250" s="14">
        <f>IF(Table1[[#This Row],[Weight Unit]]="oz",Table1[[#This Row],[Weight (Digits)]]/16, Table1[[#This Row],[Weight (Digits)]]/1)</f>
        <v>2.2000000000000002</v>
      </c>
      <c r="K25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50" s="1" t="s">
        <v>1</v>
      </c>
      <c r="M250" s="1" t="str">
        <f>IF(COUNTIF(Table2[Animal],Table1[[#This Row],[Animal]]) = 1, "Previous Participant", "New Participant")</f>
        <v>Previous Participant</v>
      </c>
      <c r="N250" s="1" t="str">
        <f>_xlfn.XLOOKUP(Table1[[#This Row],[Region]],'Support - Tables'!$B$3:$B$10,'Support - Tables'!$D$3:$D$10,"Not Found",0)</f>
        <v>Air</v>
      </c>
      <c r="O250" s="6">
        <f>_xlfn.XLOOKUP(Table1[[#This Row],[Region]],'Support - Tables'!$B$3:$B$10,'Support - Tables'!$C$3:$C$10, "Not Found",0)</f>
        <v>700</v>
      </c>
      <c r="P250" s="6">
        <f>_xlfn.XLOOKUP(Table1[[#This Row],[Diet]],'Support - Tables'!$B$14:$B$16,'Support - Tables'!$C$14:$C$16, "Not Found", 0)</f>
        <v>400</v>
      </c>
      <c r="Q250" s="6">
        <f>Table1[[#This Row],[Revenue]]-Table1[[#This Row],[Cost]]</f>
        <v>300</v>
      </c>
      <c r="R250" s="6">
        <f>COUNTBLANK(Table1[[#This Row],[Diet]:[Region]])</f>
        <v>0</v>
      </c>
      <c r="S250" s="6"/>
      <c r="T250" s="6"/>
    </row>
    <row r="251" spans="1:20" x14ac:dyDescent="0.25">
      <c r="A251" s="2" t="s">
        <v>305</v>
      </c>
      <c r="B251" s="1" t="s">
        <v>13</v>
      </c>
      <c r="C251" s="1">
        <v>5</v>
      </c>
      <c r="D251" s="1" t="s">
        <v>707</v>
      </c>
      <c r="E251" s="1">
        <f>IF(Table1[[#This Row],[Lifespan Unit]]="months", Table1[[#This Row],[Lifespan]]/12,Table1[[#This Row],[Lifespan]])</f>
        <v>0.41666666666666669</v>
      </c>
      <c r="F251" s="1" t="s">
        <v>573</v>
      </c>
      <c r="G251" s="1" t="str">
        <f t="shared" si="6"/>
        <v/>
      </c>
      <c r="H251" s="1" t="str">
        <f t="shared" si="7"/>
        <v/>
      </c>
      <c r="I251" s="1" t="str">
        <f>IF(Table1[[#This Row],[Lifespan (Years)]]&lt;25, "&lt;25", IF(Table1[[#This Row],[Lifespan (Years)]]&lt;50, "25-49", IF(Table1[[#This Row],[Lifespan (Years)]]&lt;75, "50-74", IF(Table1[[#This Row],[Lifespan (Years)]]&lt;100, "75-99", "&gt;=100"))))</f>
        <v>&lt;25</v>
      </c>
      <c r="J251" s="14">
        <v>0</v>
      </c>
      <c r="K25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251" s="1" t="s">
        <v>5</v>
      </c>
      <c r="M251" s="1" t="str">
        <f>IF(COUNTIF(Table2[Animal],Table1[[#This Row],[Animal]]) = 1, "Previous Participant", "New Participant")</f>
        <v>Previous Participant</v>
      </c>
      <c r="N251" s="1" t="str">
        <f>_xlfn.XLOOKUP(Table1[[#This Row],[Region]],'Support - Tables'!$B$3:$B$10,'Support - Tables'!$D$3:$D$10,"Not Found",0)</f>
        <v>Boat</v>
      </c>
      <c r="O251" s="6">
        <f>_xlfn.XLOOKUP(Table1[[#This Row],[Region]],'Support - Tables'!$B$3:$B$10,'Support - Tables'!$C$3:$C$10, "Not Found",0)</f>
        <v>400</v>
      </c>
      <c r="P251" s="6">
        <f>_xlfn.XLOOKUP(Table1[[#This Row],[Diet]],'Support - Tables'!$B$14:$B$16,'Support - Tables'!$C$14:$C$16, "Not Found", 0)</f>
        <v>400</v>
      </c>
      <c r="Q251" s="6">
        <f>Table1[[#This Row],[Revenue]]-Table1[[#This Row],[Cost]]</f>
        <v>0</v>
      </c>
      <c r="R251" s="6">
        <f>COUNTBLANK(Table1[[#This Row],[Diet]:[Region]])</f>
        <v>3</v>
      </c>
      <c r="S251" s="6"/>
      <c r="T251" s="6"/>
    </row>
    <row r="252" spans="1:20" x14ac:dyDescent="0.25">
      <c r="A252" s="2" t="s">
        <v>306</v>
      </c>
      <c r="B252" s="1" t="s">
        <v>13</v>
      </c>
      <c r="C252" s="1">
        <v>10</v>
      </c>
      <c r="D252" s="1" t="s">
        <v>706</v>
      </c>
      <c r="E252" s="1">
        <f>IF(Table1[[#This Row],[Lifespan Unit]]="months", Table1[[#This Row],[Lifespan]]/12,Table1[[#This Row],[Lifespan]])</f>
        <v>10</v>
      </c>
      <c r="F252" s="1" t="s">
        <v>633</v>
      </c>
      <c r="G252" s="1" t="str">
        <f t="shared" si="6"/>
        <v>7</v>
      </c>
      <c r="H252" s="1" t="str">
        <f t="shared" si="7"/>
        <v>oz</v>
      </c>
      <c r="I252" s="1" t="str">
        <f>IF(Table1[[#This Row],[Lifespan (Years)]]&lt;25, "&lt;25", IF(Table1[[#This Row],[Lifespan (Years)]]&lt;50, "25-49", IF(Table1[[#This Row],[Lifespan (Years)]]&lt;75, "50-74", IF(Table1[[#This Row],[Lifespan (Years)]]&lt;100, "75-99", "&gt;=100"))))</f>
        <v>&lt;25</v>
      </c>
      <c r="J252" s="14">
        <f>IF(Table1[[#This Row],[Weight Unit]]="oz",Table1[[#This Row],[Weight (Digits)]]/16, Table1[[#This Row],[Weight (Digits)]]/1)</f>
        <v>0.4375</v>
      </c>
      <c r="K25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52" s="1" t="s">
        <v>5</v>
      </c>
      <c r="M252" s="1" t="str">
        <f>IF(COUNTIF(Table2[Animal],Table1[[#This Row],[Animal]]) = 1, "Previous Participant", "New Participant")</f>
        <v>New Participant</v>
      </c>
      <c r="N252" s="1" t="str">
        <f>_xlfn.XLOOKUP(Table1[[#This Row],[Region]],'Support - Tables'!$B$3:$B$10,'Support - Tables'!$D$3:$D$10,"Not Found",0)</f>
        <v>Boat</v>
      </c>
      <c r="O252" s="6">
        <f>_xlfn.XLOOKUP(Table1[[#This Row],[Region]],'Support - Tables'!$B$3:$B$10,'Support - Tables'!$C$3:$C$10, "Not Found",0)</f>
        <v>400</v>
      </c>
      <c r="P252" s="6">
        <f>_xlfn.XLOOKUP(Table1[[#This Row],[Diet]],'Support - Tables'!$B$14:$B$16,'Support - Tables'!$C$14:$C$16, "Not Found", 0)</f>
        <v>400</v>
      </c>
      <c r="Q252" s="6">
        <f>Table1[[#This Row],[Revenue]]-Table1[[#This Row],[Cost]]</f>
        <v>0</v>
      </c>
      <c r="R252" s="6">
        <f>COUNTBLANK(Table1[[#This Row],[Diet]:[Region]])</f>
        <v>0</v>
      </c>
      <c r="S252" s="6"/>
      <c r="T252" s="6"/>
    </row>
    <row r="253" spans="1:20" x14ac:dyDescent="0.25">
      <c r="A253" s="2" t="s">
        <v>307</v>
      </c>
      <c r="B253" s="1" t="s">
        <v>15</v>
      </c>
      <c r="C253" s="1">
        <v>20</v>
      </c>
      <c r="D253" s="1" t="s">
        <v>706</v>
      </c>
      <c r="E253" s="1">
        <f>IF(Table1[[#This Row],[Lifespan Unit]]="months", Table1[[#This Row],[Lifespan]]/12,Table1[[#This Row],[Lifespan]])</f>
        <v>20</v>
      </c>
      <c r="F253" s="1" t="s">
        <v>626</v>
      </c>
      <c r="G253" s="1" t="str">
        <f t="shared" si="6"/>
        <v>3.3</v>
      </c>
      <c r="H253" s="1" t="str">
        <f t="shared" si="7"/>
        <v>lbs</v>
      </c>
      <c r="I253" s="1" t="str">
        <f>IF(Table1[[#This Row],[Lifespan (Years)]]&lt;25, "&lt;25", IF(Table1[[#This Row],[Lifespan (Years)]]&lt;50, "25-49", IF(Table1[[#This Row],[Lifespan (Years)]]&lt;75, "50-74", IF(Table1[[#This Row],[Lifespan (Years)]]&lt;100, "75-99", "&gt;=100"))))</f>
        <v>&lt;25</v>
      </c>
      <c r="J253" s="14">
        <f>IF(Table1[[#This Row],[Weight Unit]]="oz",Table1[[#This Row],[Weight (Digits)]]/16, Table1[[#This Row],[Weight (Digits)]]/1)</f>
        <v>3.3</v>
      </c>
      <c r="K25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53" s="1" t="s">
        <v>5</v>
      </c>
      <c r="M253" s="1" t="str">
        <f>IF(COUNTIF(Table2[Animal],Table1[[#This Row],[Animal]]) = 1, "Previous Participant", "New Participant")</f>
        <v>Previous Participant</v>
      </c>
      <c r="N253" s="1" t="str">
        <f>_xlfn.XLOOKUP(Table1[[#This Row],[Region]],'Support - Tables'!$B$3:$B$10,'Support - Tables'!$D$3:$D$10,"Not Found",0)</f>
        <v>Boat</v>
      </c>
      <c r="O253" s="6">
        <f>_xlfn.XLOOKUP(Table1[[#This Row],[Region]],'Support - Tables'!$B$3:$B$10,'Support - Tables'!$C$3:$C$10, "Not Found",0)</f>
        <v>400</v>
      </c>
      <c r="P253" s="6">
        <f>_xlfn.XLOOKUP(Table1[[#This Row],[Diet]],'Support - Tables'!$B$14:$B$16,'Support - Tables'!$C$14:$C$16, "Not Found", 0)</f>
        <v>500</v>
      </c>
      <c r="Q253" s="6">
        <f>Table1[[#This Row],[Revenue]]-Table1[[#This Row],[Cost]]</f>
        <v>-100</v>
      </c>
      <c r="R253" s="6">
        <f>COUNTBLANK(Table1[[#This Row],[Diet]:[Region]])</f>
        <v>0</v>
      </c>
      <c r="S253" s="6"/>
      <c r="T253" s="6"/>
    </row>
    <row r="254" spans="1:20" x14ac:dyDescent="0.25">
      <c r="A254" s="2" t="s">
        <v>308</v>
      </c>
      <c r="B254" s="1" t="s">
        <v>23</v>
      </c>
      <c r="C254" s="1">
        <v>22</v>
      </c>
      <c r="D254" s="1" t="s">
        <v>706</v>
      </c>
      <c r="E254" s="1">
        <f>IF(Table1[[#This Row],[Lifespan Unit]]="months", Table1[[#This Row],[Lifespan]]/12,Table1[[#This Row],[Lifespan]])</f>
        <v>22</v>
      </c>
      <c r="F254" s="1" t="s">
        <v>634</v>
      </c>
      <c r="G254" s="1" t="str">
        <f t="shared" si="6"/>
        <v>882</v>
      </c>
      <c r="H254" s="1" t="str">
        <f t="shared" si="7"/>
        <v>lbs</v>
      </c>
      <c r="I254" s="1" t="str">
        <f>IF(Table1[[#This Row],[Lifespan (Years)]]&lt;25, "&lt;25", IF(Table1[[#This Row],[Lifespan (Years)]]&lt;50, "25-49", IF(Table1[[#This Row],[Lifespan (Years)]]&lt;75, "50-74", IF(Table1[[#This Row],[Lifespan (Years)]]&lt;100, "75-99", "&gt;=100"))))</f>
        <v>&lt;25</v>
      </c>
      <c r="J254" s="14">
        <f>IF(Table1[[#This Row],[Weight Unit]]="oz",Table1[[#This Row],[Weight (Digits)]]/16, Table1[[#This Row],[Weight (Digits)]]/1)</f>
        <v>882</v>
      </c>
      <c r="K25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254" s="1" t="s">
        <v>5</v>
      </c>
      <c r="M254" s="1" t="str">
        <f>IF(COUNTIF(Table2[Animal],Table1[[#This Row],[Animal]]) = 1, "Previous Participant", "New Participant")</f>
        <v>Previous Participant</v>
      </c>
      <c r="N254" s="1" t="str">
        <f>_xlfn.XLOOKUP(Table1[[#This Row],[Region]],'Support - Tables'!$B$3:$B$10,'Support - Tables'!$D$3:$D$10,"Not Found",0)</f>
        <v>Boat</v>
      </c>
      <c r="O254" s="6">
        <f>_xlfn.XLOOKUP(Table1[[#This Row],[Region]],'Support - Tables'!$B$3:$B$10,'Support - Tables'!$C$3:$C$10, "Not Found",0)</f>
        <v>400</v>
      </c>
      <c r="P254" s="6">
        <f>_xlfn.XLOOKUP(Table1[[#This Row],[Diet]],'Support - Tables'!$B$14:$B$16,'Support - Tables'!$C$14:$C$16, "Not Found", 0)</f>
        <v>300</v>
      </c>
      <c r="Q254" s="6">
        <f>Table1[[#This Row],[Revenue]]-Table1[[#This Row],[Cost]]</f>
        <v>100</v>
      </c>
      <c r="R254" s="6">
        <f>COUNTBLANK(Table1[[#This Row],[Diet]:[Region]])</f>
        <v>0</v>
      </c>
      <c r="S254" s="6"/>
      <c r="T254" s="6"/>
    </row>
    <row r="255" spans="1:20" x14ac:dyDescent="0.25">
      <c r="A255" s="2" t="s">
        <v>309</v>
      </c>
      <c r="B255" s="1" t="s">
        <v>15</v>
      </c>
      <c r="C255" s="1">
        <v>14</v>
      </c>
      <c r="D255" s="1" t="s">
        <v>706</v>
      </c>
      <c r="E255" s="1">
        <f>IF(Table1[[#This Row],[Lifespan Unit]]="months", Table1[[#This Row],[Lifespan]]/12,Table1[[#This Row],[Lifespan]])</f>
        <v>14</v>
      </c>
      <c r="F255" s="1" t="s">
        <v>16</v>
      </c>
      <c r="G255" s="1" t="str">
        <f t="shared" si="6"/>
        <v>10</v>
      </c>
      <c r="H255" s="1" t="str">
        <f t="shared" si="7"/>
        <v>lbs</v>
      </c>
      <c r="I255" s="1" t="str">
        <f>IF(Table1[[#This Row],[Lifespan (Years)]]&lt;25, "&lt;25", IF(Table1[[#This Row],[Lifespan (Years)]]&lt;50, "25-49", IF(Table1[[#This Row],[Lifespan (Years)]]&lt;75, "50-74", IF(Table1[[#This Row],[Lifespan (Years)]]&lt;100, "75-99", "&gt;=100"))))</f>
        <v>&lt;25</v>
      </c>
      <c r="J255" s="14">
        <f>IF(Table1[[#This Row],[Weight Unit]]="oz",Table1[[#This Row],[Weight (Digits)]]/16, Table1[[#This Row],[Weight (Digits)]]/1)</f>
        <v>10</v>
      </c>
      <c r="K25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55" s="1" t="s">
        <v>724</v>
      </c>
      <c r="M255" s="1" t="str">
        <f>IF(COUNTIF(Table2[Animal],Table1[[#This Row],[Animal]]) = 1, "Previous Participant", "New Participant")</f>
        <v>Previous Participant</v>
      </c>
      <c r="N255" s="1" t="str">
        <f>_xlfn.XLOOKUP(Table1[[#This Row],[Region]],'Support - Tables'!$B$3:$B$10,'Support - Tables'!$D$3:$D$10,"Not Found",0)</f>
        <v>Road</v>
      </c>
      <c r="O255" s="6">
        <f>_xlfn.XLOOKUP(Table1[[#This Row],[Region]],'Support - Tables'!$B$3:$B$10,'Support - Tables'!$C$3:$C$10, "Not Found",0)</f>
        <v>450</v>
      </c>
      <c r="P255" s="6">
        <f>_xlfn.XLOOKUP(Table1[[#This Row],[Diet]],'Support - Tables'!$B$14:$B$16,'Support - Tables'!$C$14:$C$16, "Not Found", 0)</f>
        <v>500</v>
      </c>
      <c r="Q255" s="6">
        <f>Table1[[#This Row],[Revenue]]-Table1[[#This Row],[Cost]]</f>
        <v>-50</v>
      </c>
      <c r="R255" s="6">
        <f>COUNTBLANK(Table1[[#This Row],[Diet]:[Region]])</f>
        <v>0</v>
      </c>
      <c r="S255" s="6"/>
      <c r="T255" s="6"/>
    </row>
    <row r="256" spans="1:20" x14ac:dyDescent="0.25">
      <c r="A256" s="2" t="s">
        <v>310</v>
      </c>
      <c r="B256" s="1" t="s">
        <v>23</v>
      </c>
      <c r="C256" s="1">
        <v>50</v>
      </c>
      <c r="D256" s="1" t="s">
        <v>706</v>
      </c>
      <c r="E256" s="1">
        <f>IF(Table1[[#This Row],[Lifespan Unit]]="months", Table1[[#This Row],[Lifespan]]/12,Table1[[#This Row],[Lifespan]])</f>
        <v>50</v>
      </c>
      <c r="F256" s="1" t="s">
        <v>586</v>
      </c>
      <c r="G256" s="1" t="str">
        <f t="shared" si="6"/>
        <v>2,200</v>
      </c>
      <c r="H256" s="1" t="str">
        <f t="shared" si="7"/>
        <v>lbs</v>
      </c>
      <c r="I256" s="1" t="str">
        <f>IF(Table1[[#This Row],[Lifespan (Years)]]&lt;25, "&lt;25", IF(Table1[[#This Row],[Lifespan (Years)]]&lt;50, "25-49", IF(Table1[[#This Row],[Lifespan (Years)]]&lt;75, "50-74", IF(Table1[[#This Row],[Lifespan (Years)]]&lt;100, "75-99", "&gt;=100"))))</f>
        <v>50-74</v>
      </c>
      <c r="J256" s="14">
        <f>IF(Table1[[#This Row],[Weight Unit]]="oz",Table1[[#This Row],[Weight (Digits)]]/16, Table1[[#This Row],[Weight (Digits)]]/1)</f>
        <v>2200</v>
      </c>
      <c r="K25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256" s="1" t="s">
        <v>725</v>
      </c>
      <c r="M256" s="1" t="str">
        <f>IF(COUNTIF(Table2[Animal],Table1[[#This Row],[Animal]]) = 1, "Previous Participant", "New Participant")</f>
        <v>Previous Participant</v>
      </c>
      <c r="N256" s="1" t="str">
        <f>_xlfn.XLOOKUP(Table1[[#This Row],[Region]],'Support - Tables'!$B$3:$B$10,'Support - Tables'!$D$3:$D$10,"Not Found",0)</f>
        <v>Air</v>
      </c>
      <c r="O256" s="6">
        <f>_xlfn.XLOOKUP(Table1[[#This Row],[Region]],'Support - Tables'!$B$3:$B$10,'Support - Tables'!$C$3:$C$10, "Not Found",0)</f>
        <v>600</v>
      </c>
      <c r="P256" s="6">
        <f>_xlfn.XLOOKUP(Table1[[#This Row],[Diet]],'Support - Tables'!$B$14:$B$16,'Support - Tables'!$C$14:$C$16, "Not Found", 0)</f>
        <v>300</v>
      </c>
      <c r="Q256" s="6">
        <f>Table1[[#This Row],[Revenue]]-Table1[[#This Row],[Cost]]</f>
        <v>300</v>
      </c>
      <c r="R256" s="6">
        <f>COUNTBLANK(Table1[[#This Row],[Diet]:[Region]])</f>
        <v>0</v>
      </c>
      <c r="S256" s="6"/>
      <c r="T256" s="6"/>
    </row>
    <row r="257" spans="1:20" x14ac:dyDescent="0.25">
      <c r="A257" s="2" t="s">
        <v>311</v>
      </c>
      <c r="B257" s="1" t="s">
        <v>23</v>
      </c>
      <c r="C257" s="1">
        <v>6</v>
      </c>
      <c r="D257" s="1" t="s">
        <v>710</v>
      </c>
      <c r="E257" s="1">
        <f>IF(Table1[[#This Row],[Lifespan Unit]]="months", Table1[[#This Row],[Lifespan]]/12,Table1[[#This Row],[Lifespan]])</f>
        <v>6</v>
      </c>
      <c r="F257" s="1" t="s">
        <v>573</v>
      </c>
      <c r="G257" s="1" t="str">
        <f t="shared" si="6"/>
        <v/>
      </c>
      <c r="H257" s="1" t="str">
        <f t="shared" si="7"/>
        <v/>
      </c>
      <c r="I257" s="1" t="str">
        <f>IF(Table1[[#This Row],[Lifespan (Years)]]&lt;25, "&lt;25", IF(Table1[[#This Row],[Lifespan (Years)]]&lt;50, "25-49", IF(Table1[[#This Row],[Lifespan (Years)]]&lt;75, "50-74", IF(Table1[[#This Row],[Lifespan (Years)]]&lt;100, "75-99", "&gt;=100"))))</f>
        <v>&lt;25</v>
      </c>
      <c r="J257" s="14">
        <v>0</v>
      </c>
      <c r="K25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257" s="1" t="s">
        <v>5</v>
      </c>
      <c r="M257" s="1" t="str">
        <f>IF(COUNTIF(Table2[Animal],Table1[[#This Row],[Animal]]) = 1, "Previous Participant", "New Participant")</f>
        <v>Previous Participant</v>
      </c>
      <c r="N257" s="1" t="str">
        <f>_xlfn.XLOOKUP(Table1[[#This Row],[Region]],'Support - Tables'!$B$3:$B$10,'Support - Tables'!$D$3:$D$10,"Not Found",0)</f>
        <v>Boat</v>
      </c>
      <c r="O257" s="6">
        <f>_xlfn.XLOOKUP(Table1[[#This Row],[Region]],'Support - Tables'!$B$3:$B$10,'Support - Tables'!$C$3:$C$10, "Not Found",0)</f>
        <v>400</v>
      </c>
      <c r="P257" s="6">
        <f>_xlfn.XLOOKUP(Table1[[#This Row],[Diet]],'Support - Tables'!$B$14:$B$16,'Support - Tables'!$C$14:$C$16, "Not Found", 0)</f>
        <v>300</v>
      </c>
      <c r="Q257" s="6">
        <f>Table1[[#This Row],[Revenue]]-Table1[[#This Row],[Cost]]</f>
        <v>100</v>
      </c>
      <c r="R257" s="6">
        <f>COUNTBLANK(Table1[[#This Row],[Diet]:[Region]])</f>
        <v>3</v>
      </c>
      <c r="S257" s="6"/>
      <c r="T257" s="6"/>
    </row>
    <row r="258" spans="1:20" x14ac:dyDescent="0.25">
      <c r="A258" s="2" t="s">
        <v>312</v>
      </c>
      <c r="B258" s="1" t="s">
        <v>15</v>
      </c>
      <c r="C258" s="1">
        <v>25</v>
      </c>
      <c r="D258" s="1" t="s">
        <v>706</v>
      </c>
      <c r="E258" s="1">
        <f>IF(Table1[[#This Row],[Lifespan Unit]]="months", Table1[[#This Row],[Lifespan]]/12,Table1[[#This Row],[Lifespan]])</f>
        <v>25</v>
      </c>
      <c r="F258" s="1" t="s">
        <v>573</v>
      </c>
      <c r="G258" s="1" t="str">
        <f t="shared" ref="G258:G321" si="8">SUBSTITUTE(F258,IF(ISNUMBER(SEARCH("lbs", F258)),RIGHT(F258, 3), RIGHT(F258, 2)),"")</f>
        <v/>
      </c>
      <c r="H258" s="1" t="str">
        <f t="shared" ref="H258:H321" si="9">IF(ISNUMBER(SEARCH("lbs", F258)),RIGHT(F258, 3), RIGHT(F258, 2))</f>
        <v/>
      </c>
      <c r="I258" s="1" t="str">
        <f>IF(Table1[[#This Row],[Lifespan (Years)]]&lt;25, "&lt;25", IF(Table1[[#This Row],[Lifespan (Years)]]&lt;50, "25-49", IF(Table1[[#This Row],[Lifespan (Years)]]&lt;75, "50-74", IF(Table1[[#This Row],[Lifespan (Years)]]&lt;100, "75-99", "&gt;=100"))))</f>
        <v>25-49</v>
      </c>
      <c r="J258" s="14">
        <v>0</v>
      </c>
      <c r="K25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258" s="1" t="s">
        <v>724</v>
      </c>
      <c r="M258" s="1" t="str">
        <f>IF(COUNTIF(Table2[Animal],Table1[[#This Row],[Animal]]) = 1, "Previous Participant", "New Participant")</f>
        <v>Previous Participant</v>
      </c>
      <c r="N258" s="1" t="str">
        <f>_xlfn.XLOOKUP(Table1[[#This Row],[Region]],'Support - Tables'!$B$3:$B$10,'Support - Tables'!$D$3:$D$10,"Not Found",0)</f>
        <v>Road</v>
      </c>
      <c r="O258" s="6">
        <f>_xlfn.XLOOKUP(Table1[[#This Row],[Region]],'Support - Tables'!$B$3:$B$10,'Support - Tables'!$C$3:$C$10, "Not Found",0)</f>
        <v>450</v>
      </c>
      <c r="P258" s="6">
        <f>_xlfn.XLOOKUP(Table1[[#This Row],[Diet]],'Support - Tables'!$B$14:$B$16,'Support - Tables'!$C$14:$C$16, "Not Found", 0)</f>
        <v>500</v>
      </c>
      <c r="Q258" s="6">
        <f>Table1[[#This Row],[Revenue]]-Table1[[#This Row],[Cost]]</f>
        <v>-50</v>
      </c>
      <c r="R258" s="6">
        <f>COUNTBLANK(Table1[[#This Row],[Diet]:[Region]])</f>
        <v>3</v>
      </c>
      <c r="S258" s="6"/>
      <c r="T258" s="6"/>
    </row>
    <row r="259" spans="1:20" x14ac:dyDescent="0.25">
      <c r="A259" s="2" t="s">
        <v>313</v>
      </c>
      <c r="B259" s="1" t="s">
        <v>15</v>
      </c>
      <c r="C259" s="1">
        <v>8</v>
      </c>
      <c r="D259" s="1" t="s">
        <v>706</v>
      </c>
      <c r="E259" s="1">
        <f>IF(Table1[[#This Row],[Lifespan Unit]]="months", Table1[[#This Row],[Lifespan]]/12,Table1[[#This Row],[Lifespan]])</f>
        <v>8</v>
      </c>
      <c r="F259" s="1" t="s">
        <v>635</v>
      </c>
      <c r="G259" s="1" t="str">
        <f t="shared" si="8"/>
        <v>11.2</v>
      </c>
      <c r="H259" s="1" t="str">
        <f t="shared" si="9"/>
        <v>oz</v>
      </c>
      <c r="I259" s="1" t="str">
        <f>IF(Table1[[#This Row],[Lifespan (Years)]]&lt;25, "&lt;25", IF(Table1[[#This Row],[Lifespan (Years)]]&lt;50, "25-49", IF(Table1[[#This Row],[Lifespan (Years)]]&lt;75, "50-74", IF(Table1[[#This Row],[Lifespan (Years)]]&lt;100, "75-99", "&gt;=100"))))</f>
        <v>&lt;25</v>
      </c>
      <c r="J259" s="14">
        <f>IF(Table1[[#This Row],[Weight Unit]]="oz",Table1[[#This Row],[Weight (Digits)]]/16, Table1[[#This Row],[Weight (Digits)]]/1)</f>
        <v>0.7</v>
      </c>
      <c r="K25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59" s="1" t="s">
        <v>724</v>
      </c>
      <c r="M259" s="1" t="str">
        <f>IF(COUNTIF(Table2[Animal],Table1[[#This Row],[Animal]]) = 1, "Previous Participant", "New Participant")</f>
        <v>Previous Participant</v>
      </c>
      <c r="N259" s="1" t="str">
        <f>_xlfn.XLOOKUP(Table1[[#This Row],[Region]],'Support - Tables'!$B$3:$B$10,'Support - Tables'!$D$3:$D$10,"Not Found",0)</f>
        <v>Road</v>
      </c>
      <c r="O259" s="6">
        <f>_xlfn.XLOOKUP(Table1[[#This Row],[Region]],'Support - Tables'!$B$3:$B$10,'Support - Tables'!$C$3:$C$10, "Not Found",0)</f>
        <v>450</v>
      </c>
      <c r="P259" s="6">
        <f>_xlfn.XLOOKUP(Table1[[#This Row],[Diet]],'Support - Tables'!$B$14:$B$16,'Support - Tables'!$C$14:$C$16, "Not Found", 0)</f>
        <v>500</v>
      </c>
      <c r="Q259" s="6">
        <f>Table1[[#This Row],[Revenue]]-Table1[[#This Row],[Cost]]</f>
        <v>-50</v>
      </c>
      <c r="R259" s="6">
        <f>COUNTBLANK(Table1[[#This Row],[Diet]:[Region]])</f>
        <v>0</v>
      </c>
      <c r="S259" s="6"/>
      <c r="T259" s="6"/>
    </row>
    <row r="260" spans="1:20" x14ac:dyDescent="0.25">
      <c r="A260" s="2" t="s">
        <v>314</v>
      </c>
      <c r="B260" s="1" t="s">
        <v>23</v>
      </c>
      <c r="C260" s="1">
        <v>30</v>
      </c>
      <c r="D260" s="1" t="s">
        <v>706</v>
      </c>
      <c r="E260" s="1">
        <f>IF(Table1[[#This Row],[Lifespan Unit]]="months", Table1[[#This Row],[Lifespan]]/12,Table1[[#This Row],[Lifespan]])</f>
        <v>30</v>
      </c>
      <c r="F260" s="1" t="s">
        <v>636</v>
      </c>
      <c r="G260" s="1" t="str">
        <f t="shared" si="8"/>
        <v>840</v>
      </c>
      <c r="H260" s="1" t="str">
        <f t="shared" si="9"/>
        <v>lbs</v>
      </c>
      <c r="I260" s="1" t="str">
        <f>IF(Table1[[#This Row],[Lifespan (Years)]]&lt;25, "&lt;25", IF(Table1[[#This Row],[Lifespan (Years)]]&lt;50, "25-49", IF(Table1[[#This Row],[Lifespan (Years)]]&lt;75, "50-74", IF(Table1[[#This Row],[Lifespan (Years)]]&lt;100, "75-99", "&gt;=100"))))</f>
        <v>25-49</v>
      </c>
      <c r="J260" s="14">
        <f>IF(Table1[[#This Row],[Weight Unit]]="oz",Table1[[#This Row],[Weight (Digits)]]/16, Table1[[#This Row],[Weight (Digits)]]/1)</f>
        <v>840</v>
      </c>
      <c r="K26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260" s="1" t="s">
        <v>5</v>
      </c>
      <c r="M260" s="1" t="str">
        <f>IF(COUNTIF(Table2[Animal],Table1[[#This Row],[Animal]]) = 1, "Previous Participant", "New Participant")</f>
        <v>Previous Participant</v>
      </c>
      <c r="N260" s="1" t="str">
        <f>_xlfn.XLOOKUP(Table1[[#This Row],[Region]],'Support - Tables'!$B$3:$B$10,'Support - Tables'!$D$3:$D$10,"Not Found",0)</f>
        <v>Boat</v>
      </c>
      <c r="O260" s="6">
        <f>_xlfn.XLOOKUP(Table1[[#This Row],[Region]],'Support - Tables'!$B$3:$B$10,'Support - Tables'!$C$3:$C$10, "Not Found",0)</f>
        <v>400</v>
      </c>
      <c r="P260" s="6">
        <f>_xlfn.XLOOKUP(Table1[[#This Row],[Diet]],'Support - Tables'!$B$14:$B$16,'Support - Tables'!$C$14:$C$16, "Not Found", 0)</f>
        <v>300</v>
      </c>
      <c r="Q260" s="6">
        <f>Table1[[#This Row],[Revenue]]-Table1[[#This Row],[Cost]]</f>
        <v>100</v>
      </c>
      <c r="R260" s="6">
        <f>COUNTBLANK(Table1[[#This Row],[Diet]:[Region]])</f>
        <v>0</v>
      </c>
      <c r="S260" s="6"/>
      <c r="T260" s="6"/>
    </row>
    <row r="261" spans="1:20" x14ac:dyDescent="0.25">
      <c r="A261" s="2" t="s">
        <v>315</v>
      </c>
      <c r="B261" s="1" t="s">
        <v>13</v>
      </c>
      <c r="C261" s="1">
        <v>40</v>
      </c>
      <c r="D261" s="1" t="s">
        <v>706</v>
      </c>
      <c r="E261" s="1">
        <f>IF(Table1[[#This Row],[Lifespan Unit]]="months", Table1[[#This Row],[Lifespan]]/12,Table1[[#This Row],[Lifespan]])</f>
        <v>40</v>
      </c>
      <c r="F261" s="1" t="s">
        <v>599</v>
      </c>
      <c r="G261" s="1" t="str">
        <f t="shared" si="8"/>
        <v>2.2</v>
      </c>
      <c r="H261" s="1" t="str">
        <f t="shared" si="9"/>
        <v>lbs</v>
      </c>
      <c r="I261" s="1" t="str">
        <f>IF(Table1[[#This Row],[Lifespan (Years)]]&lt;25, "&lt;25", IF(Table1[[#This Row],[Lifespan (Years)]]&lt;50, "25-49", IF(Table1[[#This Row],[Lifespan (Years)]]&lt;75, "50-74", IF(Table1[[#This Row],[Lifespan (Years)]]&lt;100, "75-99", "&gt;=100"))))</f>
        <v>25-49</v>
      </c>
      <c r="J261" s="14">
        <f>IF(Table1[[#This Row],[Weight Unit]]="oz",Table1[[#This Row],[Weight (Digits)]]/16, Table1[[#This Row],[Weight (Digits)]]/1)</f>
        <v>2.2000000000000002</v>
      </c>
      <c r="K26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61" s="1" t="s">
        <v>5</v>
      </c>
      <c r="M261" s="1" t="str">
        <f>IF(COUNTIF(Table2[Animal],Table1[[#This Row],[Animal]]) = 1, "Previous Participant", "New Participant")</f>
        <v>Previous Participant</v>
      </c>
      <c r="N261" s="1" t="str">
        <f>_xlfn.XLOOKUP(Table1[[#This Row],[Region]],'Support - Tables'!$B$3:$B$10,'Support - Tables'!$D$3:$D$10,"Not Found",0)</f>
        <v>Boat</v>
      </c>
      <c r="O261" s="6">
        <f>_xlfn.XLOOKUP(Table1[[#This Row],[Region]],'Support - Tables'!$B$3:$B$10,'Support - Tables'!$C$3:$C$10, "Not Found",0)</f>
        <v>400</v>
      </c>
      <c r="P261" s="6">
        <f>_xlfn.XLOOKUP(Table1[[#This Row],[Diet]],'Support - Tables'!$B$14:$B$16,'Support - Tables'!$C$14:$C$16, "Not Found", 0)</f>
        <v>400</v>
      </c>
      <c r="Q261" s="6">
        <f>Table1[[#This Row],[Revenue]]-Table1[[#This Row],[Cost]]</f>
        <v>0</v>
      </c>
      <c r="R261" s="6">
        <f>COUNTBLANK(Table1[[#This Row],[Diet]:[Region]])</f>
        <v>0</v>
      </c>
      <c r="S261" s="6"/>
      <c r="T261" s="6"/>
    </row>
    <row r="262" spans="1:20" x14ac:dyDescent="0.25">
      <c r="A262" s="2" t="s">
        <v>316</v>
      </c>
      <c r="B262" s="1" t="s">
        <v>13</v>
      </c>
      <c r="C262" s="1">
        <v>20</v>
      </c>
      <c r="D262" s="1" t="s">
        <v>706</v>
      </c>
      <c r="E262" s="1">
        <f>IF(Table1[[#This Row],[Lifespan Unit]]="months", Table1[[#This Row],[Lifespan]]/12,Table1[[#This Row],[Lifespan]])</f>
        <v>20</v>
      </c>
      <c r="F262" s="1" t="s">
        <v>602</v>
      </c>
      <c r="G262" s="1" t="str">
        <f t="shared" si="8"/>
        <v>6.6</v>
      </c>
      <c r="H262" s="1" t="str">
        <f t="shared" si="9"/>
        <v>lbs</v>
      </c>
      <c r="I262" s="1" t="str">
        <f>IF(Table1[[#This Row],[Lifespan (Years)]]&lt;25, "&lt;25", IF(Table1[[#This Row],[Lifespan (Years)]]&lt;50, "25-49", IF(Table1[[#This Row],[Lifespan (Years)]]&lt;75, "50-74", IF(Table1[[#This Row],[Lifespan (Years)]]&lt;100, "75-99", "&gt;=100"))))</f>
        <v>&lt;25</v>
      </c>
      <c r="J262" s="14">
        <f>IF(Table1[[#This Row],[Weight Unit]]="oz",Table1[[#This Row],[Weight (Digits)]]/16, Table1[[#This Row],[Weight (Digits)]]/1)</f>
        <v>6.6</v>
      </c>
      <c r="K26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62" s="1" t="s">
        <v>5</v>
      </c>
      <c r="M262" s="1" t="str">
        <f>IF(COUNTIF(Table2[Animal],Table1[[#This Row],[Animal]]) = 1, "Previous Participant", "New Participant")</f>
        <v>New Participant</v>
      </c>
      <c r="N262" s="1" t="str">
        <f>_xlfn.XLOOKUP(Table1[[#This Row],[Region]],'Support - Tables'!$B$3:$B$10,'Support - Tables'!$D$3:$D$10,"Not Found",0)</f>
        <v>Boat</v>
      </c>
      <c r="O262" s="6">
        <f>_xlfn.XLOOKUP(Table1[[#This Row],[Region]],'Support - Tables'!$B$3:$B$10,'Support - Tables'!$C$3:$C$10, "Not Found",0)</f>
        <v>400</v>
      </c>
      <c r="P262" s="6">
        <f>_xlfn.XLOOKUP(Table1[[#This Row],[Diet]],'Support - Tables'!$B$14:$B$16,'Support - Tables'!$C$14:$C$16, "Not Found", 0)</f>
        <v>400</v>
      </c>
      <c r="Q262" s="6">
        <f>Table1[[#This Row],[Revenue]]-Table1[[#This Row],[Cost]]</f>
        <v>0</v>
      </c>
      <c r="R262" s="6">
        <f>COUNTBLANK(Table1[[#This Row],[Diet]:[Region]])</f>
        <v>0</v>
      </c>
      <c r="S262" s="6"/>
      <c r="T262" s="6"/>
    </row>
    <row r="263" spans="1:20" x14ac:dyDescent="0.25">
      <c r="A263" s="2" t="s">
        <v>317</v>
      </c>
      <c r="B263" s="1" t="s">
        <v>15</v>
      </c>
      <c r="C263" s="1">
        <v>20</v>
      </c>
      <c r="D263" s="1" t="s">
        <v>706</v>
      </c>
      <c r="E263" s="1">
        <f>IF(Table1[[#This Row],[Lifespan Unit]]="months", Table1[[#This Row],[Lifespan]]/12,Table1[[#This Row],[Lifespan]])</f>
        <v>20</v>
      </c>
      <c r="F263" s="1" t="s">
        <v>569</v>
      </c>
      <c r="G263" s="1" t="str">
        <f t="shared" si="8"/>
        <v>4.4</v>
      </c>
      <c r="H263" s="1" t="str">
        <f t="shared" si="9"/>
        <v>lbs</v>
      </c>
      <c r="I263" s="1" t="str">
        <f>IF(Table1[[#This Row],[Lifespan (Years)]]&lt;25, "&lt;25", IF(Table1[[#This Row],[Lifespan (Years)]]&lt;50, "25-49", IF(Table1[[#This Row],[Lifespan (Years)]]&lt;75, "50-74", IF(Table1[[#This Row],[Lifespan (Years)]]&lt;100, "75-99", "&gt;=100"))))</f>
        <v>&lt;25</v>
      </c>
      <c r="J263" s="14">
        <f>IF(Table1[[#This Row],[Weight Unit]]="oz",Table1[[#This Row],[Weight (Digits)]]/16, Table1[[#This Row],[Weight (Digits)]]/1)</f>
        <v>4.4000000000000004</v>
      </c>
      <c r="K26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63" s="1" t="s">
        <v>724</v>
      </c>
      <c r="M263" s="1" t="str">
        <f>IF(COUNTIF(Table2[Animal],Table1[[#This Row],[Animal]]) = 1, "Previous Participant", "New Participant")</f>
        <v>Previous Participant</v>
      </c>
      <c r="N263" s="1" t="str">
        <f>_xlfn.XLOOKUP(Table1[[#This Row],[Region]],'Support - Tables'!$B$3:$B$10,'Support - Tables'!$D$3:$D$10,"Not Found",0)</f>
        <v>Road</v>
      </c>
      <c r="O263" s="6">
        <f>_xlfn.XLOOKUP(Table1[[#This Row],[Region]],'Support - Tables'!$B$3:$B$10,'Support - Tables'!$C$3:$C$10, "Not Found",0)</f>
        <v>450</v>
      </c>
      <c r="P263" s="6">
        <f>_xlfn.XLOOKUP(Table1[[#This Row],[Diet]],'Support - Tables'!$B$14:$B$16,'Support - Tables'!$C$14:$C$16, "Not Found", 0)</f>
        <v>500</v>
      </c>
      <c r="Q263" s="6">
        <f>Table1[[#This Row],[Revenue]]-Table1[[#This Row],[Cost]]</f>
        <v>-50</v>
      </c>
      <c r="R263" s="6">
        <f>COUNTBLANK(Table1[[#This Row],[Diet]:[Region]])</f>
        <v>0</v>
      </c>
      <c r="S263" s="6"/>
      <c r="T263" s="6"/>
    </row>
    <row r="264" spans="1:20" x14ac:dyDescent="0.25">
      <c r="A264" s="2" t="s">
        <v>318</v>
      </c>
      <c r="B264" s="1" t="s">
        <v>13</v>
      </c>
      <c r="C264" s="1">
        <v>5</v>
      </c>
      <c r="D264" s="1" t="s">
        <v>706</v>
      </c>
      <c r="E264" s="1">
        <f>IF(Table1[[#This Row],[Lifespan Unit]]="months", Table1[[#This Row],[Lifespan]]/12,Table1[[#This Row],[Lifespan]])</f>
        <v>5</v>
      </c>
      <c r="F264" s="1" t="s">
        <v>583</v>
      </c>
      <c r="G264" s="1" t="str">
        <f t="shared" si="8"/>
        <v>0.07</v>
      </c>
      <c r="H264" s="1" t="str">
        <f t="shared" si="9"/>
        <v>oz</v>
      </c>
      <c r="I264" s="1" t="str">
        <f>IF(Table1[[#This Row],[Lifespan (Years)]]&lt;25, "&lt;25", IF(Table1[[#This Row],[Lifespan (Years)]]&lt;50, "25-49", IF(Table1[[#This Row],[Lifespan (Years)]]&lt;75, "50-74", IF(Table1[[#This Row],[Lifespan (Years)]]&lt;100, "75-99", "&gt;=100"))))</f>
        <v>&lt;25</v>
      </c>
      <c r="J264" s="14">
        <f>IF(Table1[[#This Row],[Weight Unit]]="oz",Table1[[#This Row],[Weight (Digits)]]/16, Table1[[#This Row],[Weight (Digits)]]/1)</f>
        <v>4.3750000000000004E-3</v>
      </c>
      <c r="K26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64" s="1" t="s">
        <v>724</v>
      </c>
      <c r="M264" s="1" t="str">
        <f>IF(COUNTIF(Table2[Animal],Table1[[#This Row],[Animal]]) = 1, "Previous Participant", "New Participant")</f>
        <v>Previous Participant</v>
      </c>
      <c r="N264" s="1" t="str">
        <f>_xlfn.XLOOKUP(Table1[[#This Row],[Region]],'Support - Tables'!$B$3:$B$10,'Support - Tables'!$D$3:$D$10,"Not Found",0)</f>
        <v>Road</v>
      </c>
      <c r="O264" s="6">
        <f>_xlfn.XLOOKUP(Table1[[#This Row],[Region]],'Support - Tables'!$B$3:$B$10,'Support - Tables'!$C$3:$C$10, "Not Found",0)</f>
        <v>450</v>
      </c>
      <c r="P264" s="6">
        <f>_xlfn.XLOOKUP(Table1[[#This Row],[Diet]],'Support - Tables'!$B$14:$B$16,'Support - Tables'!$C$14:$C$16, "Not Found", 0)</f>
        <v>400</v>
      </c>
      <c r="Q264" s="6">
        <f>Table1[[#This Row],[Revenue]]-Table1[[#This Row],[Cost]]</f>
        <v>50</v>
      </c>
      <c r="R264" s="6">
        <f>COUNTBLANK(Table1[[#This Row],[Diet]:[Region]])</f>
        <v>0</v>
      </c>
      <c r="S264" s="6"/>
      <c r="T264" s="6"/>
    </row>
    <row r="265" spans="1:20" x14ac:dyDescent="0.25">
      <c r="A265" s="2" t="s">
        <v>319</v>
      </c>
      <c r="B265" s="1" t="s">
        <v>13</v>
      </c>
      <c r="C265" s="1">
        <v>60</v>
      </c>
      <c r="D265" s="1" t="s">
        <v>706</v>
      </c>
      <c r="E265" s="1">
        <f>IF(Table1[[#This Row],[Lifespan Unit]]="months", Table1[[#This Row],[Lifespan]]/12,Table1[[#This Row],[Lifespan]])</f>
        <v>60</v>
      </c>
      <c r="F265" s="1" t="s">
        <v>692</v>
      </c>
      <c r="G265" s="1" t="str">
        <f t="shared" si="8"/>
        <v>50000</v>
      </c>
      <c r="H265" s="1" t="str">
        <f t="shared" si="9"/>
        <v>lbs</v>
      </c>
      <c r="I265" s="1" t="str">
        <f>IF(Table1[[#This Row],[Lifespan (Years)]]&lt;25, "&lt;25", IF(Table1[[#This Row],[Lifespan (Years)]]&lt;50, "25-49", IF(Table1[[#This Row],[Lifespan (Years)]]&lt;75, "50-74", IF(Table1[[#This Row],[Lifespan (Years)]]&lt;100, "75-99", "&gt;=100"))))</f>
        <v>50-74</v>
      </c>
      <c r="J265" s="14">
        <f>IF(Table1[[#This Row],[Weight Unit]]="oz",Table1[[#This Row],[Weight (Digits)]]/16, Table1[[#This Row],[Weight (Digits)]]/1)</f>
        <v>50000</v>
      </c>
      <c r="K26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265" s="1" t="s">
        <v>5</v>
      </c>
      <c r="M265" s="1" t="str">
        <f>IF(COUNTIF(Table2[Animal],Table1[[#This Row],[Animal]]) = 1, "Previous Participant", "New Participant")</f>
        <v>Previous Participant</v>
      </c>
      <c r="N265" s="1" t="str">
        <f>_xlfn.XLOOKUP(Table1[[#This Row],[Region]],'Support - Tables'!$B$3:$B$10,'Support - Tables'!$D$3:$D$10,"Not Found",0)</f>
        <v>Boat</v>
      </c>
      <c r="O265" s="6">
        <f>_xlfn.XLOOKUP(Table1[[#This Row],[Region]],'Support - Tables'!$B$3:$B$10,'Support - Tables'!$C$3:$C$10, "Not Found",0)</f>
        <v>400</v>
      </c>
      <c r="P265" s="6">
        <f>_xlfn.XLOOKUP(Table1[[#This Row],[Diet]],'Support - Tables'!$B$14:$B$16,'Support - Tables'!$C$14:$C$16, "Not Found", 0)</f>
        <v>400</v>
      </c>
      <c r="Q265" s="6">
        <f>Table1[[#This Row],[Revenue]]-Table1[[#This Row],[Cost]]</f>
        <v>0</v>
      </c>
      <c r="R265" s="6">
        <f>COUNTBLANK(Table1[[#This Row],[Diet]:[Region]])</f>
        <v>0</v>
      </c>
      <c r="S265" s="6"/>
      <c r="T265" s="6"/>
    </row>
    <row r="266" spans="1:20" x14ac:dyDescent="0.25">
      <c r="A266" s="2" t="s">
        <v>320</v>
      </c>
      <c r="B266" s="1" t="s">
        <v>15</v>
      </c>
      <c r="C266" s="1">
        <v>25</v>
      </c>
      <c r="D266" s="1" t="s">
        <v>706</v>
      </c>
      <c r="E266" s="1">
        <f>IF(Table1[[#This Row],[Lifespan Unit]]="months", Table1[[#This Row],[Lifespan]]/12,Table1[[#This Row],[Lifespan]])</f>
        <v>25</v>
      </c>
      <c r="F266" s="1" t="s">
        <v>637</v>
      </c>
      <c r="G266" s="1" t="str">
        <f t="shared" si="8"/>
        <v>90</v>
      </c>
      <c r="H266" s="1" t="str">
        <f t="shared" si="9"/>
        <v>lbs</v>
      </c>
      <c r="I266" s="1" t="str">
        <f>IF(Table1[[#This Row],[Lifespan (Years)]]&lt;25, "&lt;25", IF(Table1[[#This Row],[Lifespan (Years)]]&lt;50, "25-49", IF(Table1[[#This Row],[Lifespan (Years)]]&lt;75, "50-74", IF(Table1[[#This Row],[Lifespan (Years)]]&lt;100, "75-99", "&gt;=100"))))</f>
        <v>25-49</v>
      </c>
      <c r="J266" s="14">
        <f>IF(Table1[[#This Row],[Weight Unit]]="oz",Table1[[#This Row],[Weight (Digits)]]/16, Table1[[#This Row],[Weight (Digits)]]/1)</f>
        <v>90</v>
      </c>
      <c r="K26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66" s="1" t="s">
        <v>724</v>
      </c>
      <c r="M266" s="1" t="str">
        <f>IF(COUNTIF(Table2[Animal],Table1[[#This Row],[Animal]]) = 1, "Previous Participant", "New Participant")</f>
        <v>Previous Participant</v>
      </c>
      <c r="N266" s="1" t="str">
        <f>_xlfn.XLOOKUP(Table1[[#This Row],[Region]],'Support - Tables'!$B$3:$B$10,'Support - Tables'!$D$3:$D$10,"Not Found",0)</f>
        <v>Road</v>
      </c>
      <c r="O266" s="6">
        <f>_xlfn.XLOOKUP(Table1[[#This Row],[Region]],'Support - Tables'!$B$3:$B$10,'Support - Tables'!$C$3:$C$10, "Not Found",0)</f>
        <v>450</v>
      </c>
      <c r="P266" s="6">
        <f>_xlfn.XLOOKUP(Table1[[#This Row],[Diet]],'Support - Tables'!$B$14:$B$16,'Support - Tables'!$C$14:$C$16, "Not Found", 0)</f>
        <v>500</v>
      </c>
      <c r="Q266" s="6">
        <f>Table1[[#This Row],[Revenue]]-Table1[[#This Row],[Cost]]</f>
        <v>-50</v>
      </c>
      <c r="R266" s="6">
        <f>COUNTBLANK(Table1[[#This Row],[Diet]:[Region]])</f>
        <v>0</v>
      </c>
      <c r="S266" s="6"/>
      <c r="T266" s="6"/>
    </row>
    <row r="267" spans="1:20" x14ac:dyDescent="0.25">
      <c r="A267" s="2" t="s">
        <v>321</v>
      </c>
      <c r="B267" s="1" t="s">
        <v>13</v>
      </c>
      <c r="C267" s="1">
        <v>15</v>
      </c>
      <c r="D267" s="1" t="s">
        <v>706</v>
      </c>
      <c r="E267" s="1">
        <f>IF(Table1[[#This Row],[Lifespan Unit]]="months", Table1[[#This Row],[Lifespan]]/12,Table1[[#This Row],[Lifespan]])</f>
        <v>15</v>
      </c>
      <c r="F267" s="1" t="s">
        <v>630</v>
      </c>
      <c r="G267" s="1" t="str">
        <f t="shared" si="8"/>
        <v>0.6</v>
      </c>
      <c r="H267" s="1" t="str">
        <f t="shared" si="9"/>
        <v>lbs</v>
      </c>
      <c r="I267" s="1" t="str">
        <f>IF(Table1[[#This Row],[Lifespan (Years)]]&lt;25, "&lt;25", IF(Table1[[#This Row],[Lifespan (Years)]]&lt;50, "25-49", IF(Table1[[#This Row],[Lifespan (Years)]]&lt;75, "50-74", IF(Table1[[#This Row],[Lifespan (Years)]]&lt;100, "75-99", "&gt;=100"))))</f>
        <v>&lt;25</v>
      </c>
      <c r="J267" s="14">
        <f>IF(Table1[[#This Row],[Weight Unit]]="oz",Table1[[#This Row],[Weight (Digits)]]/16, Table1[[#This Row],[Weight (Digits)]]/1)</f>
        <v>0.6</v>
      </c>
      <c r="K26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67" s="1" t="s">
        <v>5</v>
      </c>
      <c r="M267" s="1" t="str">
        <f>IF(COUNTIF(Table2[Animal],Table1[[#This Row],[Animal]]) = 1, "Previous Participant", "New Participant")</f>
        <v>Previous Participant</v>
      </c>
      <c r="N267" s="1" t="str">
        <f>_xlfn.XLOOKUP(Table1[[#This Row],[Region]],'Support - Tables'!$B$3:$B$10,'Support - Tables'!$D$3:$D$10,"Not Found",0)</f>
        <v>Boat</v>
      </c>
      <c r="O267" s="6">
        <f>_xlfn.XLOOKUP(Table1[[#This Row],[Region]],'Support - Tables'!$B$3:$B$10,'Support - Tables'!$C$3:$C$10, "Not Found",0)</f>
        <v>400</v>
      </c>
      <c r="P267" s="6">
        <f>_xlfn.XLOOKUP(Table1[[#This Row],[Diet]],'Support - Tables'!$B$14:$B$16,'Support - Tables'!$C$14:$C$16, "Not Found", 0)</f>
        <v>400</v>
      </c>
      <c r="Q267" s="6">
        <f>Table1[[#This Row],[Revenue]]-Table1[[#This Row],[Cost]]</f>
        <v>0</v>
      </c>
      <c r="R267" s="6">
        <f>COUNTBLANK(Table1[[#This Row],[Diet]:[Region]])</f>
        <v>0</v>
      </c>
      <c r="S267" s="6"/>
      <c r="T267" s="6"/>
    </row>
    <row r="268" spans="1:20" x14ac:dyDescent="0.25">
      <c r="A268" s="2" t="s">
        <v>322</v>
      </c>
      <c r="B268" s="1" t="s">
        <v>13</v>
      </c>
      <c r="C268" s="1">
        <v>14</v>
      </c>
      <c r="D268" s="1" t="s">
        <v>706</v>
      </c>
      <c r="E268" s="1">
        <f>IF(Table1[[#This Row],[Lifespan Unit]]="months", Table1[[#This Row],[Lifespan]]/12,Table1[[#This Row],[Lifespan]])</f>
        <v>14</v>
      </c>
      <c r="F268" s="1" t="s">
        <v>62</v>
      </c>
      <c r="G268" s="1" t="str">
        <f t="shared" si="8"/>
        <v>55</v>
      </c>
      <c r="H268" s="1" t="str">
        <f t="shared" si="9"/>
        <v>lbs</v>
      </c>
      <c r="I268" s="1" t="str">
        <f>IF(Table1[[#This Row],[Lifespan (Years)]]&lt;25, "&lt;25", IF(Table1[[#This Row],[Lifespan (Years)]]&lt;50, "25-49", IF(Table1[[#This Row],[Lifespan (Years)]]&lt;75, "50-74", IF(Table1[[#This Row],[Lifespan (Years)]]&lt;100, "75-99", "&gt;=100"))))</f>
        <v>&lt;25</v>
      </c>
      <c r="J268" s="14">
        <f>IF(Table1[[#This Row],[Weight Unit]]="oz",Table1[[#This Row],[Weight (Digits)]]/16, Table1[[#This Row],[Weight (Digits)]]/1)</f>
        <v>55</v>
      </c>
      <c r="K26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68" s="1" t="s">
        <v>724</v>
      </c>
      <c r="M268" s="1" t="str">
        <f>IF(COUNTIF(Table2[Animal],Table1[[#This Row],[Animal]]) = 1, "Previous Participant", "New Participant")</f>
        <v>Previous Participant</v>
      </c>
      <c r="N268" s="1" t="str">
        <f>_xlfn.XLOOKUP(Table1[[#This Row],[Region]],'Support - Tables'!$B$3:$B$10,'Support - Tables'!$D$3:$D$10,"Not Found",0)</f>
        <v>Road</v>
      </c>
      <c r="O268" s="6">
        <f>_xlfn.XLOOKUP(Table1[[#This Row],[Region]],'Support - Tables'!$B$3:$B$10,'Support - Tables'!$C$3:$C$10, "Not Found",0)</f>
        <v>450</v>
      </c>
      <c r="P268" s="6">
        <f>_xlfn.XLOOKUP(Table1[[#This Row],[Diet]],'Support - Tables'!$B$14:$B$16,'Support - Tables'!$C$14:$C$16, "Not Found", 0)</f>
        <v>400</v>
      </c>
      <c r="Q268" s="6">
        <f>Table1[[#This Row],[Revenue]]-Table1[[#This Row],[Cost]]</f>
        <v>50</v>
      </c>
      <c r="R268" s="6">
        <f>COUNTBLANK(Table1[[#This Row],[Diet]:[Region]])</f>
        <v>0</v>
      </c>
      <c r="S268" s="6"/>
      <c r="T268" s="6"/>
    </row>
    <row r="269" spans="1:20" x14ac:dyDescent="0.25">
      <c r="A269" s="2" t="s">
        <v>323</v>
      </c>
      <c r="B269" s="1" t="s">
        <v>13</v>
      </c>
      <c r="C269" s="1">
        <v>20</v>
      </c>
      <c r="D269" s="1" t="s">
        <v>706</v>
      </c>
      <c r="E269" s="1">
        <f>IF(Table1[[#This Row],[Lifespan Unit]]="months", Table1[[#This Row],[Lifespan]]/12,Table1[[#This Row],[Lifespan]])</f>
        <v>20</v>
      </c>
      <c r="F269" s="1" t="s">
        <v>619</v>
      </c>
      <c r="G269" s="1" t="str">
        <f t="shared" si="8"/>
        <v>8.8</v>
      </c>
      <c r="H269" s="1" t="str">
        <f t="shared" si="9"/>
        <v>lbs</v>
      </c>
      <c r="I269" s="1" t="str">
        <f>IF(Table1[[#This Row],[Lifespan (Years)]]&lt;25, "&lt;25", IF(Table1[[#This Row],[Lifespan (Years)]]&lt;50, "25-49", IF(Table1[[#This Row],[Lifespan (Years)]]&lt;75, "50-74", IF(Table1[[#This Row],[Lifespan (Years)]]&lt;100, "75-99", "&gt;=100"))))</f>
        <v>&lt;25</v>
      </c>
      <c r="J269" s="14">
        <f>IF(Table1[[#This Row],[Weight Unit]]="oz",Table1[[#This Row],[Weight (Digits)]]/16, Table1[[#This Row],[Weight (Digits)]]/1)</f>
        <v>8.8000000000000007</v>
      </c>
      <c r="K26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69" s="1" t="s">
        <v>724</v>
      </c>
      <c r="M269" s="1" t="str">
        <f>IF(COUNTIF(Table2[Animal],Table1[[#This Row],[Animal]]) = 1, "Previous Participant", "New Participant")</f>
        <v>New Participant</v>
      </c>
      <c r="N269" s="1" t="str">
        <f>_xlfn.XLOOKUP(Table1[[#This Row],[Region]],'Support - Tables'!$B$3:$B$10,'Support - Tables'!$D$3:$D$10,"Not Found",0)</f>
        <v>Road</v>
      </c>
      <c r="O269" s="6">
        <f>_xlfn.XLOOKUP(Table1[[#This Row],[Region]],'Support - Tables'!$B$3:$B$10,'Support - Tables'!$C$3:$C$10, "Not Found",0)</f>
        <v>450</v>
      </c>
      <c r="P269" s="6">
        <f>_xlfn.XLOOKUP(Table1[[#This Row],[Diet]],'Support - Tables'!$B$14:$B$16,'Support - Tables'!$C$14:$C$16, "Not Found", 0)</f>
        <v>400</v>
      </c>
      <c r="Q269" s="6">
        <f>Table1[[#This Row],[Revenue]]-Table1[[#This Row],[Cost]]</f>
        <v>50</v>
      </c>
      <c r="R269" s="6">
        <f>COUNTBLANK(Table1[[#This Row],[Diet]:[Region]])</f>
        <v>0</v>
      </c>
      <c r="S269" s="6"/>
      <c r="T269" s="6"/>
    </row>
    <row r="270" spans="1:20" x14ac:dyDescent="0.25">
      <c r="A270" s="2" t="s">
        <v>324</v>
      </c>
      <c r="B270" s="1" t="s">
        <v>23</v>
      </c>
      <c r="C270" s="1">
        <v>15</v>
      </c>
      <c r="D270" s="1" t="s">
        <v>706</v>
      </c>
      <c r="E270" s="1">
        <f>IF(Table1[[#This Row],[Lifespan Unit]]="months", Table1[[#This Row],[Lifespan]]/12,Table1[[#This Row],[Lifespan]])</f>
        <v>15</v>
      </c>
      <c r="F270" s="1" t="s">
        <v>638</v>
      </c>
      <c r="G270" s="1" t="str">
        <f t="shared" si="8"/>
        <v>81.6</v>
      </c>
      <c r="H270" s="1" t="str">
        <f t="shared" si="9"/>
        <v>lbs</v>
      </c>
      <c r="I270" s="1" t="str">
        <f>IF(Table1[[#This Row],[Lifespan (Years)]]&lt;25, "&lt;25", IF(Table1[[#This Row],[Lifespan (Years)]]&lt;50, "25-49", IF(Table1[[#This Row],[Lifespan (Years)]]&lt;75, "50-74", IF(Table1[[#This Row],[Lifespan (Years)]]&lt;100, "75-99", "&gt;=100"))))</f>
        <v>&lt;25</v>
      </c>
      <c r="J270" s="14">
        <f>IF(Table1[[#This Row],[Weight Unit]]="oz",Table1[[#This Row],[Weight (Digits)]]/16, Table1[[#This Row],[Weight (Digits)]]/1)</f>
        <v>81.599999999999994</v>
      </c>
      <c r="K27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70" s="1" t="s">
        <v>6</v>
      </c>
      <c r="M270" s="1" t="str">
        <f>IF(COUNTIF(Table2[Animal],Table1[[#This Row],[Animal]]) = 1, "Previous Participant", "New Participant")</f>
        <v>Previous Participant</v>
      </c>
      <c r="N270" s="1" t="str">
        <f>_xlfn.XLOOKUP(Table1[[#This Row],[Region]],'Support - Tables'!$B$3:$B$10,'Support - Tables'!$D$3:$D$10,"Not Found",0)</f>
        <v>Air</v>
      </c>
      <c r="O270" s="6">
        <f>_xlfn.XLOOKUP(Table1[[#This Row],[Region]],'Support - Tables'!$B$3:$B$10,'Support - Tables'!$C$3:$C$10, "Not Found",0)</f>
        <v>450</v>
      </c>
      <c r="P270" s="6">
        <f>_xlfn.XLOOKUP(Table1[[#This Row],[Diet]],'Support - Tables'!$B$14:$B$16,'Support - Tables'!$C$14:$C$16, "Not Found", 0)</f>
        <v>300</v>
      </c>
      <c r="Q270" s="6">
        <f>Table1[[#This Row],[Revenue]]-Table1[[#This Row],[Cost]]</f>
        <v>150</v>
      </c>
      <c r="R270" s="6">
        <f>COUNTBLANK(Table1[[#This Row],[Diet]:[Region]])</f>
        <v>0</v>
      </c>
      <c r="S270" s="6"/>
      <c r="T270" s="6"/>
    </row>
    <row r="271" spans="1:20" x14ac:dyDescent="0.25">
      <c r="A271" s="2" t="s">
        <v>325</v>
      </c>
      <c r="B271" s="1" t="s">
        <v>23</v>
      </c>
      <c r="C271" s="1">
        <v>70</v>
      </c>
      <c r="D271" s="1" t="s">
        <v>706</v>
      </c>
      <c r="E271" s="1">
        <f>IF(Table1[[#This Row],[Lifespan Unit]]="months", Table1[[#This Row],[Lifespan]]/12,Table1[[#This Row],[Lifespan]])</f>
        <v>70</v>
      </c>
      <c r="F271" s="1" t="s">
        <v>576</v>
      </c>
      <c r="G271" s="1" t="str">
        <f t="shared" si="8"/>
        <v>6,500</v>
      </c>
      <c r="H271" s="1" t="str">
        <f t="shared" si="9"/>
        <v>lbs</v>
      </c>
      <c r="I271" s="1" t="str">
        <f>IF(Table1[[#This Row],[Lifespan (Years)]]&lt;25, "&lt;25", IF(Table1[[#This Row],[Lifespan (Years)]]&lt;50, "25-49", IF(Table1[[#This Row],[Lifespan (Years)]]&lt;75, "50-74", IF(Table1[[#This Row],[Lifespan (Years)]]&lt;100, "75-99", "&gt;=100"))))</f>
        <v>50-74</v>
      </c>
      <c r="J271" s="14">
        <f>IF(Table1[[#This Row],[Weight Unit]]="oz",Table1[[#This Row],[Weight (Digits)]]/16, Table1[[#This Row],[Weight (Digits)]]/1)</f>
        <v>6500</v>
      </c>
      <c r="K27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271" s="1" t="s">
        <v>4</v>
      </c>
      <c r="M271" s="1" t="str">
        <f>IF(COUNTIF(Table2[Animal],Table1[[#This Row],[Animal]]) = 1, "Previous Participant", "New Participant")</f>
        <v>Previous Participant</v>
      </c>
      <c r="N271" s="1" t="str">
        <f>_xlfn.XLOOKUP(Table1[[#This Row],[Region]],'Support - Tables'!$B$3:$B$10,'Support - Tables'!$D$3:$D$10,"Not Found",0)</f>
        <v>Boat</v>
      </c>
      <c r="O271" s="6">
        <f>_xlfn.XLOOKUP(Table1[[#This Row],[Region]],'Support - Tables'!$B$3:$B$10,'Support - Tables'!$C$3:$C$10, "Not Found",0)</f>
        <v>200</v>
      </c>
      <c r="P271" s="6">
        <f>_xlfn.XLOOKUP(Table1[[#This Row],[Diet]],'Support - Tables'!$B$14:$B$16,'Support - Tables'!$C$14:$C$16, "Not Found", 0)</f>
        <v>300</v>
      </c>
      <c r="Q271" s="6">
        <f>Table1[[#This Row],[Revenue]]-Table1[[#This Row],[Cost]]</f>
        <v>-100</v>
      </c>
      <c r="R271" s="6">
        <f>COUNTBLANK(Table1[[#This Row],[Diet]:[Region]])</f>
        <v>0</v>
      </c>
      <c r="S271" s="6"/>
      <c r="T271" s="6"/>
    </row>
    <row r="272" spans="1:20" x14ac:dyDescent="0.25">
      <c r="A272" s="2" t="s">
        <v>326</v>
      </c>
      <c r="B272" s="1" t="s">
        <v>13</v>
      </c>
      <c r="C272" s="1">
        <v>4</v>
      </c>
      <c r="D272" s="1" t="s">
        <v>706</v>
      </c>
      <c r="E272" s="1">
        <f>IF(Table1[[#This Row],[Lifespan Unit]]="months", Table1[[#This Row],[Lifespan]]/12,Table1[[#This Row],[Lifespan]])</f>
        <v>4</v>
      </c>
      <c r="F272" s="1" t="s">
        <v>607</v>
      </c>
      <c r="G272" s="1" t="str">
        <f t="shared" si="8"/>
        <v>3.5</v>
      </c>
      <c r="H272" s="1" t="str">
        <f t="shared" si="9"/>
        <v>oz</v>
      </c>
      <c r="I272" s="1" t="str">
        <f>IF(Table1[[#This Row],[Lifespan (Years)]]&lt;25, "&lt;25", IF(Table1[[#This Row],[Lifespan (Years)]]&lt;50, "25-49", IF(Table1[[#This Row],[Lifespan (Years)]]&lt;75, "50-74", IF(Table1[[#This Row],[Lifespan (Years)]]&lt;100, "75-99", "&gt;=100"))))</f>
        <v>&lt;25</v>
      </c>
      <c r="J272" s="14">
        <f>IF(Table1[[#This Row],[Weight Unit]]="oz",Table1[[#This Row],[Weight (Digits)]]/16, Table1[[#This Row],[Weight (Digits)]]/1)</f>
        <v>0.21875</v>
      </c>
      <c r="K27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72" s="1" t="s">
        <v>724</v>
      </c>
      <c r="M272" s="1" t="str">
        <f>IF(COUNTIF(Table2[Animal],Table1[[#This Row],[Animal]]) = 1, "Previous Participant", "New Participant")</f>
        <v>Previous Participant</v>
      </c>
      <c r="N272" s="1" t="str">
        <f>_xlfn.XLOOKUP(Table1[[#This Row],[Region]],'Support - Tables'!$B$3:$B$10,'Support - Tables'!$D$3:$D$10,"Not Found",0)</f>
        <v>Road</v>
      </c>
      <c r="O272" s="6">
        <f>_xlfn.XLOOKUP(Table1[[#This Row],[Region]],'Support - Tables'!$B$3:$B$10,'Support - Tables'!$C$3:$C$10, "Not Found",0)</f>
        <v>450</v>
      </c>
      <c r="P272" s="6">
        <f>_xlfn.XLOOKUP(Table1[[#This Row],[Diet]],'Support - Tables'!$B$14:$B$16,'Support - Tables'!$C$14:$C$16, "Not Found", 0)</f>
        <v>400</v>
      </c>
      <c r="Q272" s="6">
        <f>Table1[[#This Row],[Revenue]]-Table1[[#This Row],[Cost]]</f>
        <v>50</v>
      </c>
      <c r="R272" s="6">
        <f>COUNTBLANK(Table1[[#This Row],[Diet]:[Region]])</f>
        <v>0</v>
      </c>
      <c r="S272" s="6"/>
      <c r="T272" s="6"/>
    </row>
    <row r="273" spans="1:20" x14ac:dyDescent="0.25">
      <c r="A273" s="2" t="s">
        <v>327</v>
      </c>
      <c r="B273" s="1" t="s">
        <v>23</v>
      </c>
      <c r="C273" s="1">
        <v>50</v>
      </c>
      <c r="D273" s="1" t="s">
        <v>706</v>
      </c>
      <c r="E273" s="1">
        <f>IF(Table1[[#This Row],[Lifespan Unit]]="months", Table1[[#This Row],[Lifespan]]/12,Table1[[#This Row],[Lifespan]])</f>
        <v>50</v>
      </c>
      <c r="F273" s="1" t="s">
        <v>639</v>
      </c>
      <c r="G273" s="1" t="str">
        <f t="shared" si="8"/>
        <v>4,900</v>
      </c>
      <c r="H273" s="1" t="str">
        <f t="shared" si="9"/>
        <v>lbs</v>
      </c>
      <c r="I273" s="1" t="str">
        <f>IF(Table1[[#This Row],[Lifespan (Years)]]&lt;25, "&lt;25", IF(Table1[[#This Row],[Lifespan (Years)]]&lt;50, "25-49", IF(Table1[[#This Row],[Lifespan (Years)]]&lt;75, "50-74", IF(Table1[[#This Row],[Lifespan (Years)]]&lt;100, "75-99", "&gt;=100"))))</f>
        <v>50-74</v>
      </c>
      <c r="J273" s="14">
        <f>IF(Table1[[#This Row],[Weight Unit]]="oz",Table1[[#This Row],[Weight (Digits)]]/16, Table1[[#This Row],[Weight (Digits)]]/1)</f>
        <v>4900</v>
      </c>
      <c r="K27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273" s="1" t="s">
        <v>4</v>
      </c>
      <c r="M273" s="1" t="str">
        <f>IF(COUNTIF(Table2[Animal],Table1[[#This Row],[Animal]]) = 1, "Previous Participant", "New Participant")</f>
        <v>Previous Participant</v>
      </c>
      <c r="N273" s="1" t="str">
        <f>_xlfn.XLOOKUP(Table1[[#This Row],[Region]],'Support - Tables'!$B$3:$B$10,'Support - Tables'!$D$3:$D$10,"Not Found",0)</f>
        <v>Boat</v>
      </c>
      <c r="O273" s="6">
        <f>_xlfn.XLOOKUP(Table1[[#This Row],[Region]],'Support - Tables'!$B$3:$B$10,'Support - Tables'!$C$3:$C$10, "Not Found",0)</f>
        <v>200</v>
      </c>
      <c r="P273" s="6">
        <f>_xlfn.XLOOKUP(Table1[[#This Row],[Diet]],'Support - Tables'!$B$14:$B$16,'Support - Tables'!$C$14:$C$16, "Not Found", 0)</f>
        <v>300</v>
      </c>
      <c r="Q273" s="6">
        <f>Table1[[#This Row],[Revenue]]-Table1[[#This Row],[Cost]]</f>
        <v>-100</v>
      </c>
      <c r="R273" s="6">
        <f>COUNTBLANK(Table1[[#This Row],[Diet]:[Region]])</f>
        <v>0</v>
      </c>
      <c r="S273" s="6"/>
      <c r="T273" s="6"/>
    </row>
    <row r="274" spans="1:20" x14ac:dyDescent="0.25">
      <c r="A274" s="2" t="s">
        <v>328</v>
      </c>
      <c r="B274" s="1" t="s">
        <v>23</v>
      </c>
      <c r="C274" s="1">
        <v>22</v>
      </c>
      <c r="D274" s="1" t="s">
        <v>706</v>
      </c>
      <c r="E274" s="1">
        <f>IF(Table1[[#This Row],[Lifespan Unit]]="months", Table1[[#This Row],[Lifespan]]/12,Table1[[#This Row],[Lifespan]])</f>
        <v>22</v>
      </c>
      <c r="F274" s="1" t="s">
        <v>596</v>
      </c>
      <c r="G274" s="1" t="str">
        <f t="shared" si="8"/>
        <v>13</v>
      </c>
      <c r="H274" s="1" t="str">
        <f t="shared" si="9"/>
        <v>lbs</v>
      </c>
      <c r="I274" s="1" t="str">
        <f>IF(Table1[[#This Row],[Lifespan (Years)]]&lt;25, "&lt;25", IF(Table1[[#This Row],[Lifespan (Years)]]&lt;50, "25-49", IF(Table1[[#This Row],[Lifespan (Years)]]&lt;75, "50-74", IF(Table1[[#This Row],[Lifespan (Years)]]&lt;100, "75-99", "&gt;=100"))))</f>
        <v>&lt;25</v>
      </c>
      <c r="J274" s="14">
        <f>IF(Table1[[#This Row],[Weight Unit]]="oz",Table1[[#This Row],[Weight (Digits)]]/16, Table1[[#This Row],[Weight (Digits)]]/1)</f>
        <v>13</v>
      </c>
      <c r="K27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74" s="1" t="s">
        <v>4</v>
      </c>
      <c r="M274" s="1" t="str">
        <f>IF(COUNTIF(Table2[Animal],Table1[[#This Row],[Animal]]) = 1, "Previous Participant", "New Participant")</f>
        <v>New Participant</v>
      </c>
      <c r="N274" s="1" t="str">
        <f>_xlfn.XLOOKUP(Table1[[#This Row],[Region]],'Support - Tables'!$B$3:$B$10,'Support - Tables'!$D$3:$D$10,"Not Found",0)</f>
        <v>Boat</v>
      </c>
      <c r="O274" s="6">
        <f>_xlfn.XLOOKUP(Table1[[#This Row],[Region]],'Support - Tables'!$B$3:$B$10,'Support - Tables'!$C$3:$C$10, "Not Found",0)</f>
        <v>200</v>
      </c>
      <c r="P274" s="6">
        <f>_xlfn.XLOOKUP(Table1[[#This Row],[Diet]],'Support - Tables'!$B$14:$B$16,'Support - Tables'!$C$14:$C$16, "Not Found", 0)</f>
        <v>300</v>
      </c>
      <c r="Q274" s="6">
        <f>Table1[[#This Row],[Revenue]]-Table1[[#This Row],[Cost]]</f>
        <v>-100</v>
      </c>
      <c r="R274" s="6">
        <f>COUNTBLANK(Table1[[#This Row],[Diet]:[Region]])</f>
        <v>0</v>
      </c>
      <c r="S274" s="6"/>
      <c r="T274" s="6"/>
    </row>
    <row r="275" spans="1:20" x14ac:dyDescent="0.25">
      <c r="A275" s="2" t="s">
        <v>329</v>
      </c>
      <c r="B275" s="1" t="s">
        <v>13</v>
      </c>
      <c r="C275" s="1">
        <v>16</v>
      </c>
      <c r="D275" s="1" t="s">
        <v>706</v>
      </c>
      <c r="E275" s="1">
        <f>IF(Table1[[#This Row],[Lifespan Unit]]="months", Table1[[#This Row],[Lifespan]]/12,Table1[[#This Row],[Lifespan]])</f>
        <v>16</v>
      </c>
      <c r="F275" s="1" t="s">
        <v>74</v>
      </c>
      <c r="G275" s="1" t="str">
        <f t="shared" si="8"/>
        <v>70</v>
      </c>
      <c r="H275" s="1" t="str">
        <f t="shared" si="9"/>
        <v>lbs</v>
      </c>
      <c r="I275" s="1" t="str">
        <f>IF(Table1[[#This Row],[Lifespan (Years)]]&lt;25, "&lt;25", IF(Table1[[#This Row],[Lifespan (Years)]]&lt;50, "25-49", IF(Table1[[#This Row],[Lifespan (Years)]]&lt;75, "50-74", IF(Table1[[#This Row],[Lifespan (Years)]]&lt;100, "75-99", "&gt;=100"))))</f>
        <v>&lt;25</v>
      </c>
      <c r="J275" s="14">
        <f>IF(Table1[[#This Row],[Weight Unit]]="oz",Table1[[#This Row],[Weight (Digits)]]/16, Table1[[#This Row],[Weight (Digits)]]/1)</f>
        <v>70</v>
      </c>
      <c r="K27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75" s="1" t="s">
        <v>724</v>
      </c>
      <c r="M275" s="1" t="str">
        <f>IF(COUNTIF(Table2[Animal],Table1[[#This Row],[Animal]]) = 1, "Previous Participant", "New Participant")</f>
        <v>New Participant</v>
      </c>
      <c r="N275" s="1" t="str">
        <f>_xlfn.XLOOKUP(Table1[[#This Row],[Region]],'Support - Tables'!$B$3:$B$10,'Support - Tables'!$D$3:$D$10,"Not Found",0)</f>
        <v>Road</v>
      </c>
      <c r="O275" s="6">
        <f>_xlfn.XLOOKUP(Table1[[#This Row],[Region]],'Support - Tables'!$B$3:$B$10,'Support - Tables'!$C$3:$C$10, "Not Found",0)</f>
        <v>450</v>
      </c>
      <c r="P275" s="6">
        <f>_xlfn.XLOOKUP(Table1[[#This Row],[Diet]],'Support - Tables'!$B$14:$B$16,'Support - Tables'!$C$14:$C$16, "Not Found", 0)</f>
        <v>400</v>
      </c>
      <c r="Q275" s="6">
        <f>Table1[[#This Row],[Revenue]]-Table1[[#This Row],[Cost]]</f>
        <v>50</v>
      </c>
      <c r="R275" s="6">
        <f>COUNTBLANK(Table1[[#This Row],[Diet]:[Region]])</f>
        <v>0</v>
      </c>
      <c r="S275" s="6"/>
      <c r="T275" s="6"/>
    </row>
    <row r="276" spans="1:20" x14ac:dyDescent="0.25">
      <c r="A276" s="2" t="s">
        <v>330</v>
      </c>
      <c r="B276" s="1" t="s">
        <v>13</v>
      </c>
      <c r="C276" s="1">
        <v>9</v>
      </c>
      <c r="D276" s="1" t="s">
        <v>706</v>
      </c>
      <c r="E276" s="1">
        <f>IF(Table1[[#This Row],[Lifespan Unit]]="months", Table1[[#This Row],[Lifespan]]/12,Table1[[#This Row],[Lifespan]])</f>
        <v>9</v>
      </c>
      <c r="F276" s="1" t="s">
        <v>331</v>
      </c>
      <c r="G276" s="1" t="str">
        <f t="shared" si="8"/>
        <v>120</v>
      </c>
      <c r="H276" s="1" t="str">
        <f t="shared" si="9"/>
        <v>lbs</v>
      </c>
      <c r="I276" s="1" t="str">
        <f>IF(Table1[[#This Row],[Lifespan (Years)]]&lt;25, "&lt;25", IF(Table1[[#This Row],[Lifespan (Years)]]&lt;50, "25-49", IF(Table1[[#This Row],[Lifespan (Years)]]&lt;75, "50-74", IF(Table1[[#This Row],[Lifespan (Years)]]&lt;100, "75-99", "&gt;=100"))))</f>
        <v>&lt;25</v>
      </c>
      <c r="J276" s="14">
        <f>IF(Table1[[#This Row],[Weight Unit]]="oz",Table1[[#This Row],[Weight (Digits)]]/16, Table1[[#This Row],[Weight (Digits)]]/1)</f>
        <v>120</v>
      </c>
      <c r="K27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276" s="1" t="s">
        <v>5</v>
      </c>
      <c r="M276" s="1" t="str">
        <f>IF(COUNTIF(Table2[Animal],Table1[[#This Row],[Animal]]) = 1, "Previous Participant", "New Participant")</f>
        <v>Previous Participant</v>
      </c>
      <c r="N276" s="1" t="str">
        <f>_xlfn.XLOOKUP(Table1[[#This Row],[Region]],'Support - Tables'!$B$3:$B$10,'Support - Tables'!$D$3:$D$10,"Not Found",0)</f>
        <v>Boat</v>
      </c>
      <c r="O276" s="6">
        <f>_xlfn.XLOOKUP(Table1[[#This Row],[Region]],'Support - Tables'!$B$3:$B$10,'Support - Tables'!$C$3:$C$10, "Not Found",0)</f>
        <v>400</v>
      </c>
      <c r="P276" s="6">
        <f>_xlfn.XLOOKUP(Table1[[#This Row],[Diet]],'Support - Tables'!$B$14:$B$16,'Support - Tables'!$C$14:$C$16, "Not Found", 0)</f>
        <v>400</v>
      </c>
      <c r="Q276" s="6">
        <f>Table1[[#This Row],[Revenue]]-Table1[[#This Row],[Cost]]</f>
        <v>0</v>
      </c>
      <c r="R276" s="6">
        <f>COUNTBLANK(Table1[[#This Row],[Diet]:[Region]])</f>
        <v>0</v>
      </c>
      <c r="S276" s="6"/>
      <c r="T276" s="6"/>
    </row>
    <row r="277" spans="1:20" x14ac:dyDescent="0.25">
      <c r="A277" s="2" t="s">
        <v>332</v>
      </c>
      <c r="B277" s="1" t="s">
        <v>13</v>
      </c>
      <c r="C277" s="1">
        <v>16</v>
      </c>
      <c r="D277" s="1" t="s">
        <v>706</v>
      </c>
      <c r="E277" s="1">
        <f>IF(Table1[[#This Row],[Lifespan Unit]]="months", Table1[[#This Row],[Lifespan]]/12,Table1[[#This Row],[Lifespan]])</f>
        <v>16</v>
      </c>
      <c r="F277" s="1" t="s">
        <v>19</v>
      </c>
      <c r="G277" s="1" t="str">
        <f t="shared" si="8"/>
        <v>8</v>
      </c>
      <c r="H277" s="1" t="str">
        <f t="shared" si="9"/>
        <v>lbs</v>
      </c>
      <c r="I277" s="1" t="str">
        <f>IF(Table1[[#This Row],[Lifespan (Years)]]&lt;25, "&lt;25", IF(Table1[[#This Row],[Lifespan (Years)]]&lt;50, "25-49", IF(Table1[[#This Row],[Lifespan (Years)]]&lt;75, "50-74", IF(Table1[[#This Row],[Lifespan (Years)]]&lt;100, "75-99", "&gt;=100"))))</f>
        <v>&lt;25</v>
      </c>
      <c r="J277" s="14">
        <f>IF(Table1[[#This Row],[Weight Unit]]="oz",Table1[[#This Row],[Weight (Digits)]]/16, Table1[[#This Row],[Weight (Digits)]]/1)</f>
        <v>8</v>
      </c>
      <c r="K27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77" s="1" t="s">
        <v>724</v>
      </c>
      <c r="M277" s="1" t="str">
        <f>IF(COUNTIF(Table2[Animal],Table1[[#This Row],[Animal]]) = 1, "Previous Participant", "New Participant")</f>
        <v>Previous Participant</v>
      </c>
      <c r="N277" s="1" t="str">
        <f>_xlfn.XLOOKUP(Table1[[#This Row],[Region]],'Support - Tables'!$B$3:$B$10,'Support - Tables'!$D$3:$D$10,"Not Found",0)</f>
        <v>Road</v>
      </c>
      <c r="O277" s="6">
        <f>_xlfn.XLOOKUP(Table1[[#This Row],[Region]],'Support - Tables'!$B$3:$B$10,'Support - Tables'!$C$3:$C$10, "Not Found",0)</f>
        <v>450</v>
      </c>
      <c r="P277" s="6">
        <f>_xlfn.XLOOKUP(Table1[[#This Row],[Diet]],'Support - Tables'!$B$14:$B$16,'Support - Tables'!$C$14:$C$16, "Not Found", 0)</f>
        <v>400</v>
      </c>
      <c r="Q277" s="6">
        <f>Table1[[#This Row],[Revenue]]-Table1[[#This Row],[Cost]]</f>
        <v>50</v>
      </c>
      <c r="R277" s="6">
        <f>COUNTBLANK(Table1[[#This Row],[Diet]:[Region]])</f>
        <v>0</v>
      </c>
      <c r="S277" s="6"/>
      <c r="T277" s="6"/>
    </row>
    <row r="278" spans="1:20" x14ac:dyDescent="0.25">
      <c r="A278" s="2" t="s">
        <v>333</v>
      </c>
      <c r="B278" s="1" t="s">
        <v>15</v>
      </c>
      <c r="C278" s="1">
        <v>15</v>
      </c>
      <c r="D278" s="1" t="s">
        <v>706</v>
      </c>
      <c r="E278" s="1">
        <f>IF(Table1[[#This Row],[Lifespan Unit]]="months", Table1[[#This Row],[Lifespan]]/12,Table1[[#This Row],[Lifespan]])</f>
        <v>15</v>
      </c>
      <c r="F278" s="1" t="s">
        <v>606</v>
      </c>
      <c r="G278" s="1" t="str">
        <f t="shared" si="8"/>
        <v>15</v>
      </c>
      <c r="H278" s="1" t="str">
        <f t="shared" si="9"/>
        <v>lbs</v>
      </c>
      <c r="I278" s="1" t="str">
        <f>IF(Table1[[#This Row],[Lifespan (Years)]]&lt;25, "&lt;25", IF(Table1[[#This Row],[Lifespan (Years)]]&lt;50, "25-49", IF(Table1[[#This Row],[Lifespan (Years)]]&lt;75, "50-74", IF(Table1[[#This Row],[Lifespan (Years)]]&lt;100, "75-99", "&gt;=100"))))</f>
        <v>&lt;25</v>
      </c>
      <c r="J278" s="14">
        <f>IF(Table1[[#This Row],[Weight Unit]]="oz",Table1[[#This Row],[Weight (Digits)]]/16, Table1[[#This Row],[Weight (Digits)]]/1)</f>
        <v>15</v>
      </c>
      <c r="K27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78" s="1" t="s">
        <v>724</v>
      </c>
      <c r="M278" s="1" t="str">
        <f>IF(COUNTIF(Table2[Animal],Table1[[#This Row],[Animal]]) = 1, "Previous Participant", "New Participant")</f>
        <v>Previous Participant</v>
      </c>
      <c r="N278" s="1" t="str">
        <f>_xlfn.XLOOKUP(Table1[[#This Row],[Region]],'Support - Tables'!$B$3:$B$10,'Support - Tables'!$D$3:$D$10,"Not Found",0)</f>
        <v>Road</v>
      </c>
      <c r="O278" s="6">
        <f>_xlfn.XLOOKUP(Table1[[#This Row],[Region]],'Support - Tables'!$B$3:$B$10,'Support - Tables'!$C$3:$C$10, "Not Found",0)</f>
        <v>450</v>
      </c>
      <c r="P278" s="6">
        <f>_xlfn.XLOOKUP(Table1[[#This Row],[Diet]],'Support - Tables'!$B$14:$B$16,'Support - Tables'!$C$14:$C$16, "Not Found", 0)</f>
        <v>500</v>
      </c>
      <c r="Q278" s="6">
        <f>Table1[[#This Row],[Revenue]]-Table1[[#This Row],[Cost]]</f>
        <v>-50</v>
      </c>
      <c r="R278" s="6">
        <f>COUNTBLANK(Table1[[#This Row],[Diet]:[Region]])</f>
        <v>0</v>
      </c>
      <c r="S278" s="6"/>
      <c r="T278" s="6"/>
    </row>
    <row r="279" spans="1:20" x14ac:dyDescent="0.25">
      <c r="A279" s="2" t="s">
        <v>334</v>
      </c>
      <c r="B279" s="1" t="s">
        <v>15</v>
      </c>
      <c r="C279" s="1">
        <v>15</v>
      </c>
      <c r="D279" s="1" t="s">
        <v>706</v>
      </c>
      <c r="E279" s="1">
        <f>IF(Table1[[#This Row],[Lifespan Unit]]="months", Table1[[#This Row],[Lifespan]]/12,Table1[[#This Row],[Lifespan]])</f>
        <v>15</v>
      </c>
      <c r="F279" s="1" t="s">
        <v>640</v>
      </c>
      <c r="G279" s="1" t="str">
        <f t="shared" si="8"/>
        <v>79</v>
      </c>
      <c r="H279" s="1" t="str">
        <f t="shared" si="9"/>
        <v>lbs</v>
      </c>
      <c r="I279" s="1" t="str">
        <f>IF(Table1[[#This Row],[Lifespan (Years)]]&lt;25, "&lt;25", IF(Table1[[#This Row],[Lifespan (Years)]]&lt;50, "25-49", IF(Table1[[#This Row],[Lifespan (Years)]]&lt;75, "50-74", IF(Table1[[#This Row],[Lifespan (Years)]]&lt;100, "75-99", "&gt;=100"))))</f>
        <v>&lt;25</v>
      </c>
      <c r="J279" s="14">
        <f>IF(Table1[[#This Row],[Weight Unit]]="oz",Table1[[#This Row],[Weight (Digits)]]/16, Table1[[#This Row],[Weight (Digits)]]/1)</f>
        <v>79</v>
      </c>
      <c r="K27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79" s="1" t="s">
        <v>724</v>
      </c>
      <c r="M279" s="1" t="str">
        <f>IF(COUNTIF(Table2[Animal],Table1[[#This Row],[Animal]]) = 1, "Previous Participant", "New Participant")</f>
        <v>Previous Participant</v>
      </c>
      <c r="N279" s="1" t="str">
        <f>_xlfn.XLOOKUP(Table1[[#This Row],[Region]],'Support - Tables'!$B$3:$B$10,'Support - Tables'!$D$3:$D$10,"Not Found",0)</f>
        <v>Road</v>
      </c>
      <c r="O279" s="6">
        <f>_xlfn.XLOOKUP(Table1[[#This Row],[Region]],'Support - Tables'!$B$3:$B$10,'Support - Tables'!$C$3:$C$10, "Not Found",0)</f>
        <v>450</v>
      </c>
      <c r="P279" s="6">
        <f>_xlfn.XLOOKUP(Table1[[#This Row],[Diet]],'Support - Tables'!$B$14:$B$16,'Support - Tables'!$C$14:$C$16, "Not Found", 0)</f>
        <v>500</v>
      </c>
      <c r="Q279" s="6">
        <f>Table1[[#This Row],[Revenue]]-Table1[[#This Row],[Cost]]</f>
        <v>-50</v>
      </c>
      <c r="R279" s="6">
        <f>COUNTBLANK(Table1[[#This Row],[Diet]:[Region]])</f>
        <v>0</v>
      </c>
      <c r="S279" s="6"/>
      <c r="T279" s="6"/>
    </row>
    <row r="280" spans="1:20" x14ac:dyDescent="0.25">
      <c r="A280" s="2" t="s">
        <v>335</v>
      </c>
      <c r="B280" s="1" t="s">
        <v>13</v>
      </c>
      <c r="C280" s="1">
        <v>14</v>
      </c>
      <c r="D280" s="1" t="s">
        <v>706</v>
      </c>
      <c r="E280" s="1">
        <f>IF(Table1[[#This Row],[Lifespan Unit]]="months", Table1[[#This Row],[Lifespan]]/12,Table1[[#This Row],[Lifespan]])</f>
        <v>14</v>
      </c>
      <c r="F280" s="1" t="s">
        <v>19</v>
      </c>
      <c r="G280" s="1" t="str">
        <f t="shared" si="8"/>
        <v>8</v>
      </c>
      <c r="H280" s="1" t="str">
        <f t="shared" si="9"/>
        <v>lbs</v>
      </c>
      <c r="I280" s="1" t="str">
        <f>IF(Table1[[#This Row],[Lifespan (Years)]]&lt;25, "&lt;25", IF(Table1[[#This Row],[Lifespan (Years)]]&lt;50, "25-49", IF(Table1[[#This Row],[Lifespan (Years)]]&lt;75, "50-74", IF(Table1[[#This Row],[Lifespan (Years)]]&lt;100, "75-99", "&gt;=100"))))</f>
        <v>&lt;25</v>
      </c>
      <c r="J280" s="14">
        <f>IF(Table1[[#This Row],[Weight Unit]]="oz",Table1[[#This Row],[Weight (Digits)]]/16, Table1[[#This Row],[Weight (Digits)]]/1)</f>
        <v>8</v>
      </c>
      <c r="K28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80" s="1" t="s">
        <v>5</v>
      </c>
      <c r="M280" s="1" t="str">
        <f>IF(COUNTIF(Table2[Animal],Table1[[#This Row],[Animal]]) = 1, "Previous Participant", "New Participant")</f>
        <v>Previous Participant</v>
      </c>
      <c r="N280" s="1" t="str">
        <f>_xlfn.XLOOKUP(Table1[[#This Row],[Region]],'Support - Tables'!$B$3:$B$10,'Support - Tables'!$D$3:$D$10,"Not Found",0)</f>
        <v>Boat</v>
      </c>
      <c r="O280" s="6">
        <f>_xlfn.XLOOKUP(Table1[[#This Row],[Region]],'Support - Tables'!$B$3:$B$10,'Support - Tables'!$C$3:$C$10, "Not Found",0)</f>
        <v>400</v>
      </c>
      <c r="P280" s="6">
        <f>_xlfn.XLOOKUP(Table1[[#This Row],[Diet]],'Support - Tables'!$B$14:$B$16,'Support - Tables'!$C$14:$C$16, "Not Found", 0)</f>
        <v>400</v>
      </c>
      <c r="Q280" s="6">
        <f>Table1[[#This Row],[Revenue]]-Table1[[#This Row],[Cost]]</f>
        <v>0</v>
      </c>
      <c r="R280" s="6">
        <f>COUNTBLANK(Table1[[#This Row],[Diet]:[Region]])</f>
        <v>0</v>
      </c>
      <c r="S280" s="6"/>
      <c r="T280" s="6"/>
    </row>
    <row r="281" spans="1:20" x14ac:dyDescent="0.25">
      <c r="A281" s="2" t="s">
        <v>336</v>
      </c>
      <c r="B281" s="1" t="s">
        <v>13</v>
      </c>
      <c r="C281" s="1">
        <v>32</v>
      </c>
      <c r="D281" s="1" t="s">
        <v>706</v>
      </c>
      <c r="E281" s="1">
        <f>IF(Table1[[#This Row],[Lifespan Unit]]="months", Table1[[#This Row],[Lifespan]]/12,Table1[[#This Row],[Lifespan]])</f>
        <v>32</v>
      </c>
      <c r="F281" s="1" t="s">
        <v>616</v>
      </c>
      <c r="G281" s="1" t="str">
        <f t="shared" si="8"/>
        <v>11</v>
      </c>
      <c r="H281" s="1" t="str">
        <f t="shared" si="9"/>
        <v>lbs</v>
      </c>
      <c r="I281" s="1" t="str">
        <f>IF(Table1[[#This Row],[Lifespan (Years)]]&lt;25, "&lt;25", IF(Table1[[#This Row],[Lifespan (Years)]]&lt;50, "25-49", IF(Table1[[#This Row],[Lifespan (Years)]]&lt;75, "50-74", IF(Table1[[#This Row],[Lifespan (Years)]]&lt;100, "75-99", "&gt;=100"))))</f>
        <v>25-49</v>
      </c>
      <c r="J281" s="14">
        <f>IF(Table1[[#This Row],[Weight Unit]]="oz",Table1[[#This Row],[Weight (Digits)]]/16, Table1[[#This Row],[Weight (Digits)]]/1)</f>
        <v>11</v>
      </c>
      <c r="K28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81" s="1" t="s">
        <v>5</v>
      </c>
      <c r="M281" s="1" t="str">
        <f>IF(COUNTIF(Table2[Animal],Table1[[#This Row],[Animal]]) = 1, "Previous Participant", "New Participant")</f>
        <v>Previous Participant</v>
      </c>
      <c r="N281" s="1" t="str">
        <f>_xlfn.XLOOKUP(Table1[[#This Row],[Region]],'Support - Tables'!$B$3:$B$10,'Support - Tables'!$D$3:$D$10,"Not Found",0)</f>
        <v>Boat</v>
      </c>
      <c r="O281" s="6">
        <f>_xlfn.XLOOKUP(Table1[[#This Row],[Region]],'Support - Tables'!$B$3:$B$10,'Support - Tables'!$C$3:$C$10, "Not Found",0)</f>
        <v>400</v>
      </c>
      <c r="P281" s="6">
        <f>_xlfn.XLOOKUP(Table1[[#This Row],[Diet]],'Support - Tables'!$B$14:$B$16,'Support - Tables'!$C$14:$C$16, "Not Found", 0)</f>
        <v>400</v>
      </c>
      <c r="Q281" s="6">
        <f>Table1[[#This Row],[Revenue]]-Table1[[#This Row],[Cost]]</f>
        <v>0</v>
      </c>
      <c r="R281" s="6">
        <f>COUNTBLANK(Table1[[#This Row],[Diet]:[Region]])</f>
        <v>0</v>
      </c>
      <c r="S281" s="6"/>
      <c r="T281" s="6"/>
    </row>
    <row r="282" spans="1:20" x14ac:dyDescent="0.25">
      <c r="A282" s="2" t="s">
        <v>337</v>
      </c>
      <c r="B282" s="1" t="s">
        <v>15</v>
      </c>
      <c r="C282" s="1">
        <v>5</v>
      </c>
      <c r="D282" s="1" t="s">
        <v>706</v>
      </c>
      <c r="E282" s="1">
        <f>IF(Table1[[#This Row],[Lifespan Unit]]="months", Table1[[#This Row],[Lifespan]]/12,Table1[[#This Row],[Lifespan]])</f>
        <v>5</v>
      </c>
      <c r="F282" s="1" t="s">
        <v>595</v>
      </c>
      <c r="G282" s="1" t="str">
        <f t="shared" si="8"/>
        <v>0.7</v>
      </c>
      <c r="H282" s="1" t="str">
        <f t="shared" si="9"/>
        <v>oz</v>
      </c>
      <c r="I282" s="1" t="str">
        <f>IF(Table1[[#This Row],[Lifespan (Years)]]&lt;25, "&lt;25", IF(Table1[[#This Row],[Lifespan (Years)]]&lt;50, "25-49", IF(Table1[[#This Row],[Lifespan (Years)]]&lt;75, "50-74", IF(Table1[[#This Row],[Lifespan (Years)]]&lt;100, "75-99", "&gt;=100"))))</f>
        <v>&lt;25</v>
      </c>
      <c r="J282" s="14">
        <f>IF(Table1[[#This Row],[Weight Unit]]="oz",Table1[[#This Row],[Weight (Digits)]]/16, Table1[[#This Row],[Weight (Digits)]]/1)</f>
        <v>4.3749999999999997E-2</v>
      </c>
      <c r="K28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82" s="1" t="s">
        <v>1</v>
      </c>
      <c r="M282" s="1" t="str">
        <f>IF(COUNTIF(Table2[Animal],Table1[[#This Row],[Animal]]) = 1, "Previous Participant", "New Participant")</f>
        <v>Previous Participant</v>
      </c>
      <c r="N282" s="1" t="str">
        <f>_xlfn.XLOOKUP(Table1[[#This Row],[Region]],'Support - Tables'!$B$3:$B$10,'Support - Tables'!$D$3:$D$10,"Not Found",0)</f>
        <v>Air</v>
      </c>
      <c r="O282" s="6">
        <f>_xlfn.XLOOKUP(Table1[[#This Row],[Region]],'Support - Tables'!$B$3:$B$10,'Support - Tables'!$C$3:$C$10, "Not Found",0)</f>
        <v>700</v>
      </c>
      <c r="P282" s="6">
        <f>_xlfn.XLOOKUP(Table1[[#This Row],[Diet]],'Support - Tables'!$B$14:$B$16,'Support - Tables'!$C$14:$C$16, "Not Found", 0)</f>
        <v>500</v>
      </c>
      <c r="Q282" s="6">
        <f>Table1[[#This Row],[Revenue]]-Table1[[#This Row],[Cost]]</f>
        <v>200</v>
      </c>
      <c r="R282" s="6">
        <f>COUNTBLANK(Table1[[#This Row],[Diet]:[Region]])</f>
        <v>0</v>
      </c>
      <c r="S282" s="6"/>
      <c r="T282" s="6"/>
    </row>
    <row r="283" spans="1:20" x14ac:dyDescent="0.25">
      <c r="A283" s="2" t="s">
        <v>338</v>
      </c>
      <c r="B283" s="1" t="s">
        <v>13</v>
      </c>
      <c r="C283" s="1">
        <v>10</v>
      </c>
      <c r="D283" s="1" t="s">
        <v>706</v>
      </c>
      <c r="E283" s="1">
        <f>IF(Table1[[#This Row],[Lifespan Unit]]="months", Table1[[#This Row],[Lifespan]]/12,Table1[[#This Row],[Lifespan]])</f>
        <v>10</v>
      </c>
      <c r="F283" s="1" t="s">
        <v>43</v>
      </c>
      <c r="G283" s="1" t="str">
        <f t="shared" si="8"/>
        <v>40</v>
      </c>
      <c r="H283" s="1" t="str">
        <f t="shared" si="9"/>
        <v>lbs</v>
      </c>
      <c r="I283" s="1" t="str">
        <f>IF(Table1[[#This Row],[Lifespan (Years)]]&lt;25, "&lt;25", IF(Table1[[#This Row],[Lifespan (Years)]]&lt;50, "25-49", IF(Table1[[#This Row],[Lifespan (Years)]]&lt;75, "50-74", IF(Table1[[#This Row],[Lifespan (Years)]]&lt;100, "75-99", "&gt;=100"))))</f>
        <v>&lt;25</v>
      </c>
      <c r="J283" s="14">
        <f>IF(Table1[[#This Row],[Weight Unit]]="oz",Table1[[#This Row],[Weight (Digits)]]/16, Table1[[#This Row],[Weight (Digits)]]/1)</f>
        <v>40</v>
      </c>
      <c r="K28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83" s="1" t="s">
        <v>5</v>
      </c>
      <c r="M283" s="1" t="str">
        <f>IF(COUNTIF(Table2[Animal],Table1[[#This Row],[Animal]]) = 1, "Previous Participant", "New Participant")</f>
        <v>New Participant</v>
      </c>
      <c r="N283" s="1" t="str">
        <f>_xlfn.XLOOKUP(Table1[[#This Row],[Region]],'Support - Tables'!$B$3:$B$10,'Support - Tables'!$D$3:$D$10,"Not Found",0)</f>
        <v>Boat</v>
      </c>
      <c r="O283" s="6">
        <f>_xlfn.XLOOKUP(Table1[[#This Row],[Region]],'Support - Tables'!$B$3:$B$10,'Support - Tables'!$C$3:$C$10, "Not Found",0)</f>
        <v>400</v>
      </c>
      <c r="P283" s="6">
        <f>_xlfn.XLOOKUP(Table1[[#This Row],[Diet]],'Support - Tables'!$B$14:$B$16,'Support - Tables'!$C$14:$C$16, "Not Found", 0)</f>
        <v>400</v>
      </c>
      <c r="Q283" s="6">
        <f>Table1[[#This Row],[Revenue]]-Table1[[#This Row],[Cost]]</f>
        <v>0</v>
      </c>
      <c r="R283" s="6">
        <f>COUNTBLANK(Table1[[#This Row],[Diet]:[Region]])</f>
        <v>0</v>
      </c>
      <c r="S283" s="6"/>
      <c r="T283" s="6"/>
    </row>
    <row r="284" spans="1:20" x14ac:dyDescent="0.25">
      <c r="A284" s="2" t="s">
        <v>339</v>
      </c>
      <c r="B284" s="1" t="s">
        <v>13</v>
      </c>
      <c r="C284" s="1">
        <v>20</v>
      </c>
      <c r="D284" s="1" t="s">
        <v>706</v>
      </c>
      <c r="E284" s="1">
        <f>IF(Table1[[#This Row],[Lifespan Unit]]="months", Table1[[#This Row],[Lifespan]]/12,Table1[[#This Row],[Lifespan]])</f>
        <v>20</v>
      </c>
      <c r="F284" s="1" t="s">
        <v>641</v>
      </c>
      <c r="G284" s="1" t="str">
        <f t="shared" si="8"/>
        <v>4.7</v>
      </c>
      <c r="H284" s="1" t="str">
        <f t="shared" si="9"/>
        <v>lbs</v>
      </c>
      <c r="I284" s="1" t="str">
        <f>IF(Table1[[#This Row],[Lifespan (Years)]]&lt;25, "&lt;25", IF(Table1[[#This Row],[Lifespan (Years)]]&lt;50, "25-49", IF(Table1[[#This Row],[Lifespan (Years)]]&lt;75, "50-74", IF(Table1[[#This Row],[Lifespan (Years)]]&lt;100, "75-99", "&gt;=100"))))</f>
        <v>&lt;25</v>
      </c>
      <c r="J284" s="14">
        <f>IF(Table1[[#This Row],[Weight Unit]]="oz",Table1[[#This Row],[Weight (Digits)]]/16, Table1[[#This Row],[Weight (Digits)]]/1)</f>
        <v>4.7</v>
      </c>
      <c r="K28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84" s="1" t="s">
        <v>2</v>
      </c>
      <c r="M284" s="1" t="str">
        <f>IF(COUNTIF(Table2[Animal],Table1[[#This Row],[Animal]]) = 1, "Previous Participant", "New Participant")</f>
        <v>Previous Participant</v>
      </c>
      <c r="N284" s="1" t="str">
        <f>_xlfn.XLOOKUP(Table1[[#This Row],[Region]],'Support - Tables'!$B$3:$B$10,'Support - Tables'!$D$3:$D$10,"Not Found",0)</f>
        <v>Air</v>
      </c>
      <c r="O284" s="6">
        <f>_xlfn.XLOOKUP(Table1[[#This Row],[Region]],'Support - Tables'!$B$3:$B$10,'Support - Tables'!$C$3:$C$10, "Not Found",0)</f>
        <v>600</v>
      </c>
      <c r="P284" s="6">
        <f>_xlfn.XLOOKUP(Table1[[#This Row],[Diet]],'Support - Tables'!$B$14:$B$16,'Support - Tables'!$C$14:$C$16, "Not Found", 0)</f>
        <v>400</v>
      </c>
      <c r="Q284" s="6">
        <f>Table1[[#This Row],[Revenue]]-Table1[[#This Row],[Cost]]</f>
        <v>200</v>
      </c>
      <c r="R284" s="6">
        <f>COUNTBLANK(Table1[[#This Row],[Diet]:[Region]])</f>
        <v>0</v>
      </c>
      <c r="S284" s="6"/>
      <c r="T284" s="6"/>
    </row>
    <row r="285" spans="1:20" x14ac:dyDescent="0.25">
      <c r="A285" s="2" t="s">
        <v>340</v>
      </c>
      <c r="B285" s="1" t="s">
        <v>15</v>
      </c>
      <c r="C285" s="1">
        <v>60</v>
      </c>
      <c r="D285" s="1" t="s">
        <v>706</v>
      </c>
      <c r="E285" s="1">
        <f>IF(Table1[[#This Row],[Lifespan Unit]]="months", Table1[[#This Row],[Lifespan]]/12,Table1[[#This Row],[Lifespan]])</f>
        <v>60</v>
      </c>
      <c r="F285" s="1" t="s">
        <v>642</v>
      </c>
      <c r="G285" s="1" t="str">
        <f t="shared" si="8"/>
        <v>15,000</v>
      </c>
      <c r="H285" s="1" t="str">
        <f t="shared" si="9"/>
        <v>lbs</v>
      </c>
      <c r="I285" s="1" t="str">
        <f>IF(Table1[[#This Row],[Lifespan (Years)]]&lt;25, "&lt;25", IF(Table1[[#This Row],[Lifespan (Years)]]&lt;50, "25-49", IF(Table1[[#This Row],[Lifespan (Years)]]&lt;75, "50-74", IF(Table1[[#This Row],[Lifespan (Years)]]&lt;100, "75-99", "&gt;=100"))))</f>
        <v>50-74</v>
      </c>
      <c r="J285" s="14">
        <f>IF(Table1[[#This Row],[Weight Unit]]="oz",Table1[[#This Row],[Weight (Digits)]]/16, Table1[[#This Row],[Weight (Digits)]]/1)</f>
        <v>15000</v>
      </c>
      <c r="K28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285" s="1" t="s">
        <v>1</v>
      </c>
      <c r="M285" s="1" t="str">
        <f>IF(COUNTIF(Table2[Animal],Table1[[#This Row],[Animal]]) = 1, "Previous Participant", "New Participant")</f>
        <v>Previous Participant</v>
      </c>
      <c r="N285" s="1" t="str">
        <f>_xlfn.XLOOKUP(Table1[[#This Row],[Region]],'Support - Tables'!$B$3:$B$10,'Support - Tables'!$D$3:$D$10,"Not Found",0)</f>
        <v>Air</v>
      </c>
      <c r="O285" s="6">
        <f>_xlfn.XLOOKUP(Table1[[#This Row],[Region]],'Support - Tables'!$B$3:$B$10,'Support - Tables'!$C$3:$C$10, "Not Found",0)</f>
        <v>700</v>
      </c>
      <c r="P285" s="6">
        <f>_xlfn.XLOOKUP(Table1[[#This Row],[Diet]],'Support - Tables'!$B$14:$B$16,'Support - Tables'!$C$14:$C$16, "Not Found", 0)</f>
        <v>500</v>
      </c>
      <c r="Q285" s="6">
        <f>Table1[[#This Row],[Revenue]]-Table1[[#This Row],[Cost]]</f>
        <v>200</v>
      </c>
      <c r="R285" s="6">
        <f>COUNTBLANK(Table1[[#This Row],[Diet]:[Region]])</f>
        <v>0</v>
      </c>
      <c r="S285" s="6"/>
      <c r="T285" s="6"/>
    </row>
    <row r="286" spans="1:20" x14ac:dyDescent="0.25">
      <c r="A286" s="2" t="s">
        <v>341</v>
      </c>
      <c r="B286" s="1" t="s">
        <v>15</v>
      </c>
      <c r="C286" s="1">
        <v>30</v>
      </c>
      <c r="D286" s="1" t="s">
        <v>706</v>
      </c>
      <c r="E286" s="1">
        <f>IF(Table1[[#This Row],[Lifespan Unit]]="months", Table1[[#This Row],[Lifespan]]/12,Table1[[#This Row],[Lifespan]])</f>
        <v>30</v>
      </c>
      <c r="F286" s="1" t="s">
        <v>569</v>
      </c>
      <c r="G286" s="1" t="str">
        <f t="shared" si="8"/>
        <v>4.4</v>
      </c>
      <c r="H286" s="1" t="str">
        <f t="shared" si="9"/>
        <v>lbs</v>
      </c>
      <c r="I286" s="1" t="str">
        <f>IF(Table1[[#This Row],[Lifespan (Years)]]&lt;25, "&lt;25", IF(Table1[[#This Row],[Lifespan (Years)]]&lt;50, "25-49", IF(Table1[[#This Row],[Lifespan (Years)]]&lt;75, "50-74", IF(Table1[[#This Row],[Lifespan (Years)]]&lt;100, "75-99", "&gt;=100"))))</f>
        <v>25-49</v>
      </c>
      <c r="J286" s="14">
        <f>IF(Table1[[#This Row],[Weight Unit]]="oz",Table1[[#This Row],[Weight (Digits)]]/16, Table1[[#This Row],[Weight (Digits)]]/1)</f>
        <v>4.4000000000000004</v>
      </c>
      <c r="K28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86" s="1" t="s">
        <v>725</v>
      </c>
      <c r="M286" s="1" t="str">
        <f>IF(COUNTIF(Table2[Animal],Table1[[#This Row],[Animal]]) = 1, "Previous Participant", "New Participant")</f>
        <v>Previous Participant</v>
      </c>
      <c r="N286" s="1" t="str">
        <f>_xlfn.XLOOKUP(Table1[[#This Row],[Region]],'Support - Tables'!$B$3:$B$10,'Support - Tables'!$D$3:$D$10,"Not Found",0)</f>
        <v>Air</v>
      </c>
      <c r="O286" s="6">
        <f>_xlfn.XLOOKUP(Table1[[#This Row],[Region]],'Support - Tables'!$B$3:$B$10,'Support - Tables'!$C$3:$C$10, "Not Found",0)</f>
        <v>600</v>
      </c>
      <c r="P286" s="6">
        <f>_xlfn.XLOOKUP(Table1[[#This Row],[Diet]],'Support - Tables'!$B$14:$B$16,'Support - Tables'!$C$14:$C$16, "Not Found", 0)</f>
        <v>500</v>
      </c>
      <c r="Q286" s="6">
        <f>Table1[[#This Row],[Revenue]]-Table1[[#This Row],[Cost]]</f>
        <v>100</v>
      </c>
      <c r="R286" s="6">
        <f>COUNTBLANK(Table1[[#This Row],[Diet]:[Region]])</f>
        <v>0</v>
      </c>
      <c r="S286" s="6"/>
      <c r="T286" s="6"/>
    </row>
    <row r="287" spans="1:20" x14ac:dyDescent="0.25">
      <c r="A287" s="2" t="s">
        <v>342</v>
      </c>
      <c r="B287" s="1" t="s">
        <v>15</v>
      </c>
      <c r="C287" s="1">
        <v>20</v>
      </c>
      <c r="D287" s="1" t="s">
        <v>706</v>
      </c>
      <c r="E287" s="1">
        <f>IF(Table1[[#This Row],[Lifespan Unit]]="months", Table1[[#This Row],[Lifespan]]/12,Table1[[#This Row],[Lifespan]])</f>
        <v>20</v>
      </c>
      <c r="F287" s="1" t="s">
        <v>91</v>
      </c>
      <c r="G287" s="1" t="str">
        <f t="shared" si="8"/>
        <v>24</v>
      </c>
      <c r="H287" s="1" t="str">
        <f t="shared" si="9"/>
        <v>lbs</v>
      </c>
      <c r="I287" s="1" t="str">
        <f>IF(Table1[[#This Row],[Lifespan (Years)]]&lt;25, "&lt;25", IF(Table1[[#This Row],[Lifespan (Years)]]&lt;50, "25-49", IF(Table1[[#This Row],[Lifespan (Years)]]&lt;75, "50-74", IF(Table1[[#This Row],[Lifespan (Years)]]&lt;100, "75-99", "&gt;=100"))))</f>
        <v>&lt;25</v>
      </c>
      <c r="J287" s="14">
        <f>IF(Table1[[#This Row],[Weight Unit]]="oz",Table1[[#This Row],[Weight (Digits)]]/16, Table1[[#This Row],[Weight (Digits)]]/1)</f>
        <v>24</v>
      </c>
      <c r="K28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87" s="1" t="s">
        <v>5</v>
      </c>
      <c r="M287" s="1" t="str">
        <f>IF(COUNTIF(Table2[Animal],Table1[[#This Row],[Animal]]) = 1, "Previous Participant", "New Participant")</f>
        <v>Previous Participant</v>
      </c>
      <c r="N287" s="1" t="str">
        <f>_xlfn.XLOOKUP(Table1[[#This Row],[Region]],'Support - Tables'!$B$3:$B$10,'Support - Tables'!$D$3:$D$10,"Not Found",0)</f>
        <v>Boat</v>
      </c>
      <c r="O287" s="6">
        <f>_xlfn.XLOOKUP(Table1[[#This Row],[Region]],'Support - Tables'!$B$3:$B$10,'Support - Tables'!$C$3:$C$10, "Not Found",0)</f>
        <v>400</v>
      </c>
      <c r="P287" s="6">
        <f>_xlfn.XLOOKUP(Table1[[#This Row],[Diet]],'Support - Tables'!$B$14:$B$16,'Support - Tables'!$C$14:$C$16, "Not Found", 0)</f>
        <v>500</v>
      </c>
      <c r="Q287" s="6">
        <f>Table1[[#This Row],[Revenue]]-Table1[[#This Row],[Cost]]</f>
        <v>-100</v>
      </c>
      <c r="R287" s="6">
        <f>COUNTBLANK(Table1[[#This Row],[Diet]:[Region]])</f>
        <v>0</v>
      </c>
      <c r="S287" s="6"/>
      <c r="T287" s="6"/>
    </row>
    <row r="288" spans="1:20" x14ac:dyDescent="0.25">
      <c r="A288" s="2" t="s">
        <v>343</v>
      </c>
      <c r="B288" s="1" t="s">
        <v>13</v>
      </c>
      <c r="C288" s="1">
        <v>10</v>
      </c>
      <c r="D288" s="1" t="s">
        <v>706</v>
      </c>
      <c r="E288" s="1">
        <f>IF(Table1[[#This Row],[Lifespan Unit]]="months", Table1[[#This Row],[Lifespan]]/12,Table1[[#This Row],[Lifespan]])</f>
        <v>10</v>
      </c>
      <c r="F288" s="1" t="s">
        <v>643</v>
      </c>
      <c r="G288" s="1" t="str">
        <f t="shared" si="8"/>
        <v>0.4</v>
      </c>
      <c r="H288" s="1" t="str">
        <f t="shared" si="9"/>
        <v>oz</v>
      </c>
      <c r="I288" s="1" t="str">
        <f>IF(Table1[[#This Row],[Lifespan (Years)]]&lt;25, "&lt;25", IF(Table1[[#This Row],[Lifespan (Years)]]&lt;50, "25-49", IF(Table1[[#This Row],[Lifespan (Years)]]&lt;75, "50-74", IF(Table1[[#This Row],[Lifespan (Years)]]&lt;100, "75-99", "&gt;=100"))))</f>
        <v>&lt;25</v>
      </c>
      <c r="J288" s="14">
        <f>IF(Table1[[#This Row],[Weight Unit]]="oz",Table1[[#This Row],[Weight (Digits)]]/16, Table1[[#This Row],[Weight (Digits)]]/1)</f>
        <v>2.5000000000000001E-2</v>
      </c>
      <c r="K28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88" s="1" t="s">
        <v>5</v>
      </c>
      <c r="M288" s="1" t="str">
        <f>IF(COUNTIF(Table2[Animal],Table1[[#This Row],[Animal]]) = 1, "Previous Participant", "New Participant")</f>
        <v>Previous Participant</v>
      </c>
      <c r="N288" s="1" t="str">
        <f>_xlfn.XLOOKUP(Table1[[#This Row],[Region]],'Support - Tables'!$B$3:$B$10,'Support - Tables'!$D$3:$D$10,"Not Found",0)</f>
        <v>Boat</v>
      </c>
      <c r="O288" s="6">
        <f>_xlfn.XLOOKUP(Table1[[#This Row],[Region]],'Support - Tables'!$B$3:$B$10,'Support - Tables'!$C$3:$C$10, "Not Found",0)</f>
        <v>400</v>
      </c>
      <c r="P288" s="6">
        <f>_xlfn.XLOOKUP(Table1[[#This Row],[Diet]],'Support - Tables'!$B$14:$B$16,'Support - Tables'!$C$14:$C$16, "Not Found", 0)</f>
        <v>400</v>
      </c>
      <c r="Q288" s="6">
        <f>Table1[[#This Row],[Revenue]]-Table1[[#This Row],[Cost]]</f>
        <v>0</v>
      </c>
      <c r="R288" s="6">
        <f>COUNTBLANK(Table1[[#This Row],[Diet]:[Region]])</f>
        <v>0</v>
      </c>
      <c r="S288" s="6"/>
      <c r="T288" s="6"/>
    </row>
    <row r="289" spans="1:20" x14ac:dyDescent="0.25">
      <c r="A289" s="2" t="s">
        <v>344</v>
      </c>
      <c r="B289" s="1" t="s">
        <v>13</v>
      </c>
      <c r="C289" s="1">
        <v>12</v>
      </c>
      <c r="D289" s="1" t="s">
        <v>706</v>
      </c>
      <c r="E289" s="1">
        <f>IF(Table1[[#This Row],[Lifespan Unit]]="months", Table1[[#This Row],[Lifespan]]/12,Table1[[#This Row],[Lifespan]])</f>
        <v>12</v>
      </c>
      <c r="F289" s="1" t="s">
        <v>644</v>
      </c>
      <c r="G289" s="1" t="str">
        <f t="shared" si="8"/>
        <v>2.6</v>
      </c>
      <c r="H289" s="1" t="str">
        <f t="shared" si="9"/>
        <v>lbs</v>
      </c>
      <c r="I289" s="1" t="str">
        <f>IF(Table1[[#This Row],[Lifespan (Years)]]&lt;25, "&lt;25", IF(Table1[[#This Row],[Lifespan (Years)]]&lt;50, "25-49", IF(Table1[[#This Row],[Lifespan (Years)]]&lt;75, "50-74", IF(Table1[[#This Row],[Lifespan (Years)]]&lt;100, "75-99", "&gt;=100"))))</f>
        <v>&lt;25</v>
      </c>
      <c r="J289" s="14">
        <f>IF(Table1[[#This Row],[Weight Unit]]="oz",Table1[[#This Row],[Weight (Digits)]]/16, Table1[[#This Row],[Weight (Digits)]]/1)</f>
        <v>2.6</v>
      </c>
      <c r="K28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89" s="1" t="s">
        <v>2</v>
      </c>
      <c r="M289" s="1" t="str">
        <f>IF(COUNTIF(Table2[Animal],Table1[[#This Row],[Animal]]) = 1, "Previous Participant", "New Participant")</f>
        <v>Previous Participant</v>
      </c>
      <c r="N289" s="1" t="str">
        <f>_xlfn.XLOOKUP(Table1[[#This Row],[Region]],'Support - Tables'!$B$3:$B$10,'Support - Tables'!$D$3:$D$10,"Not Found",0)</f>
        <v>Air</v>
      </c>
      <c r="O289" s="6">
        <f>_xlfn.XLOOKUP(Table1[[#This Row],[Region]],'Support - Tables'!$B$3:$B$10,'Support - Tables'!$C$3:$C$10, "Not Found",0)</f>
        <v>600</v>
      </c>
      <c r="P289" s="6">
        <f>_xlfn.XLOOKUP(Table1[[#This Row],[Diet]],'Support - Tables'!$B$14:$B$16,'Support - Tables'!$C$14:$C$16, "Not Found", 0)</f>
        <v>400</v>
      </c>
      <c r="Q289" s="6">
        <f>Table1[[#This Row],[Revenue]]-Table1[[#This Row],[Cost]]</f>
        <v>200</v>
      </c>
      <c r="R289" s="6">
        <f>COUNTBLANK(Table1[[#This Row],[Diet]:[Region]])</f>
        <v>0</v>
      </c>
      <c r="S289" s="6"/>
      <c r="T289" s="6"/>
    </row>
    <row r="290" spans="1:20" x14ac:dyDescent="0.25">
      <c r="A290" s="2" t="s">
        <v>345</v>
      </c>
      <c r="B290" s="1" t="s">
        <v>23</v>
      </c>
      <c r="C290" s="1">
        <v>20</v>
      </c>
      <c r="D290" s="1" t="s">
        <v>706</v>
      </c>
      <c r="E290" s="1">
        <f>IF(Table1[[#This Row],[Lifespan Unit]]="months", Table1[[#This Row],[Lifespan]]/12,Table1[[#This Row],[Lifespan]])</f>
        <v>20</v>
      </c>
      <c r="F290" s="1" t="s">
        <v>619</v>
      </c>
      <c r="G290" s="1" t="str">
        <f t="shared" si="8"/>
        <v>8.8</v>
      </c>
      <c r="H290" s="1" t="str">
        <f t="shared" si="9"/>
        <v>lbs</v>
      </c>
      <c r="I290" s="1" t="str">
        <f>IF(Table1[[#This Row],[Lifespan (Years)]]&lt;25, "&lt;25", IF(Table1[[#This Row],[Lifespan (Years)]]&lt;50, "25-49", IF(Table1[[#This Row],[Lifespan (Years)]]&lt;75, "50-74", IF(Table1[[#This Row],[Lifespan (Years)]]&lt;100, "75-99", "&gt;=100"))))</f>
        <v>&lt;25</v>
      </c>
      <c r="J290" s="14">
        <f>IF(Table1[[#This Row],[Weight Unit]]="oz",Table1[[#This Row],[Weight (Digits)]]/16, Table1[[#This Row],[Weight (Digits)]]/1)</f>
        <v>8.8000000000000007</v>
      </c>
      <c r="K29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90" s="1" t="s">
        <v>725</v>
      </c>
      <c r="M290" s="1" t="str">
        <f>IF(COUNTIF(Table2[Animal],Table1[[#This Row],[Animal]]) = 1, "Previous Participant", "New Participant")</f>
        <v>Previous Participant</v>
      </c>
      <c r="N290" s="1" t="str">
        <f>_xlfn.XLOOKUP(Table1[[#This Row],[Region]],'Support - Tables'!$B$3:$B$10,'Support - Tables'!$D$3:$D$10,"Not Found",0)</f>
        <v>Air</v>
      </c>
      <c r="O290" s="6">
        <f>_xlfn.XLOOKUP(Table1[[#This Row],[Region]],'Support - Tables'!$B$3:$B$10,'Support - Tables'!$C$3:$C$10, "Not Found",0)</f>
        <v>600</v>
      </c>
      <c r="P290" s="6">
        <f>_xlfn.XLOOKUP(Table1[[#This Row],[Diet]],'Support - Tables'!$B$14:$B$16,'Support - Tables'!$C$14:$C$16, "Not Found", 0)</f>
        <v>300</v>
      </c>
      <c r="Q290" s="6">
        <f>Table1[[#This Row],[Revenue]]-Table1[[#This Row],[Cost]]</f>
        <v>300</v>
      </c>
      <c r="R290" s="6">
        <f>COUNTBLANK(Table1[[#This Row],[Diet]:[Region]])</f>
        <v>0</v>
      </c>
      <c r="S290" s="6"/>
      <c r="T290" s="6"/>
    </row>
    <row r="291" spans="1:20" x14ac:dyDescent="0.25">
      <c r="A291" s="2" t="s">
        <v>346</v>
      </c>
      <c r="B291" s="1" t="s">
        <v>15</v>
      </c>
      <c r="C291" s="1">
        <v>40</v>
      </c>
      <c r="D291" s="1" t="s">
        <v>706</v>
      </c>
      <c r="E291" s="1">
        <f>IF(Table1[[#This Row],[Lifespan Unit]]="months", Table1[[#This Row],[Lifespan]]/12,Table1[[#This Row],[Lifespan]])</f>
        <v>40</v>
      </c>
      <c r="F291" s="1" t="s">
        <v>56</v>
      </c>
      <c r="G291" s="1" t="str">
        <f t="shared" si="8"/>
        <v>150</v>
      </c>
      <c r="H291" s="1" t="str">
        <f t="shared" si="9"/>
        <v>lbs</v>
      </c>
      <c r="I291" s="1" t="str">
        <f>IF(Table1[[#This Row],[Lifespan (Years)]]&lt;25, "&lt;25", IF(Table1[[#This Row],[Lifespan (Years)]]&lt;50, "25-49", IF(Table1[[#This Row],[Lifespan (Years)]]&lt;75, "50-74", IF(Table1[[#This Row],[Lifespan (Years)]]&lt;100, "75-99", "&gt;=100"))))</f>
        <v>25-49</v>
      </c>
      <c r="J291" s="14">
        <f>IF(Table1[[#This Row],[Weight Unit]]="oz",Table1[[#This Row],[Weight (Digits)]]/16, Table1[[#This Row],[Weight (Digits)]]/1)</f>
        <v>150</v>
      </c>
      <c r="K29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291" s="1" t="s">
        <v>5</v>
      </c>
      <c r="M291" s="1" t="str">
        <f>IF(COUNTIF(Table2[Animal],Table1[[#This Row],[Animal]]) = 1, "Previous Participant", "New Participant")</f>
        <v>Previous Participant</v>
      </c>
      <c r="N291" s="1" t="str">
        <f>_xlfn.XLOOKUP(Table1[[#This Row],[Region]],'Support - Tables'!$B$3:$B$10,'Support - Tables'!$D$3:$D$10,"Not Found",0)</f>
        <v>Boat</v>
      </c>
      <c r="O291" s="6">
        <f>_xlfn.XLOOKUP(Table1[[#This Row],[Region]],'Support - Tables'!$B$3:$B$10,'Support - Tables'!$C$3:$C$10, "Not Found",0)</f>
        <v>400</v>
      </c>
      <c r="P291" s="6">
        <f>_xlfn.XLOOKUP(Table1[[#This Row],[Diet]],'Support - Tables'!$B$14:$B$16,'Support - Tables'!$C$14:$C$16, "Not Found", 0)</f>
        <v>500</v>
      </c>
      <c r="Q291" s="6">
        <f>Table1[[#This Row],[Revenue]]-Table1[[#This Row],[Cost]]</f>
        <v>-100</v>
      </c>
      <c r="R291" s="6">
        <f>COUNTBLANK(Table1[[#This Row],[Diet]:[Region]])</f>
        <v>0</v>
      </c>
      <c r="S291" s="6"/>
      <c r="T291" s="6"/>
    </row>
    <row r="292" spans="1:20" x14ac:dyDescent="0.25">
      <c r="A292" s="2" t="s">
        <v>347</v>
      </c>
      <c r="B292" s="1" t="s">
        <v>23</v>
      </c>
      <c r="C292" s="1">
        <v>14</v>
      </c>
      <c r="D292" s="1" t="s">
        <v>706</v>
      </c>
      <c r="E292" s="1">
        <f>IF(Table1[[#This Row],[Lifespan Unit]]="months", Table1[[#This Row],[Lifespan]]/12,Table1[[#This Row],[Lifespan]])</f>
        <v>14</v>
      </c>
      <c r="F292" s="1" t="s">
        <v>645</v>
      </c>
      <c r="G292" s="1" t="str">
        <f t="shared" si="8"/>
        <v>265</v>
      </c>
      <c r="H292" s="1" t="str">
        <f t="shared" si="9"/>
        <v>lbs</v>
      </c>
      <c r="I292" s="1" t="str">
        <f>IF(Table1[[#This Row],[Lifespan (Years)]]&lt;25, "&lt;25", IF(Table1[[#This Row],[Lifespan (Years)]]&lt;50, "25-49", IF(Table1[[#This Row],[Lifespan (Years)]]&lt;75, "50-74", IF(Table1[[#This Row],[Lifespan (Years)]]&lt;100, "75-99", "&gt;=100"))))</f>
        <v>&lt;25</v>
      </c>
      <c r="J292" s="14">
        <f>IF(Table1[[#This Row],[Weight Unit]]="oz",Table1[[#This Row],[Weight (Digits)]]/16, Table1[[#This Row],[Weight (Digits)]]/1)</f>
        <v>265</v>
      </c>
      <c r="K29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200-299</v>
      </c>
      <c r="L292" s="1" t="s">
        <v>2</v>
      </c>
      <c r="M292" s="1" t="str">
        <f>IF(COUNTIF(Table2[Animal],Table1[[#This Row],[Animal]]) = 1, "Previous Participant", "New Participant")</f>
        <v>Previous Participant</v>
      </c>
      <c r="N292" s="1" t="str">
        <f>_xlfn.XLOOKUP(Table1[[#This Row],[Region]],'Support - Tables'!$B$3:$B$10,'Support - Tables'!$D$3:$D$10,"Not Found",0)</f>
        <v>Air</v>
      </c>
      <c r="O292" s="6">
        <f>_xlfn.XLOOKUP(Table1[[#This Row],[Region]],'Support - Tables'!$B$3:$B$10,'Support - Tables'!$C$3:$C$10, "Not Found",0)</f>
        <v>600</v>
      </c>
      <c r="P292" s="6">
        <f>_xlfn.XLOOKUP(Table1[[#This Row],[Diet]],'Support - Tables'!$B$14:$B$16,'Support - Tables'!$C$14:$C$16, "Not Found", 0)</f>
        <v>300</v>
      </c>
      <c r="Q292" s="6">
        <f>Table1[[#This Row],[Revenue]]-Table1[[#This Row],[Cost]]</f>
        <v>300</v>
      </c>
      <c r="R292" s="6">
        <f>COUNTBLANK(Table1[[#This Row],[Diet]:[Region]])</f>
        <v>0</v>
      </c>
      <c r="S292" s="6"/>
      <c r="T292" s="6"/>
    </row>
    <row r="293" spans="1:20" x14ac:dyDescent="0.25">
      <c r="A293" s="2" t="s">
        <v>348</v>
      </c>
      <c r="B293" s="1" t="s">
        <v>13</v>
      </c>
      <c r="C293" s="1">
        <v>12</v>
      </c>
      <c r="D293" s="1" t="s">
        <v>706</v>
      </c>
      <c r="E293" s="1">
        <f>IF(Table1[[#This Row],[Lifespan Unit]]="months", Table1[[#This Row],[Lifespan]]/12,Table1[[#This Row],[Lifespan]])</f>
        <v>12</v>
      </c>
      <c r="F293" s="1" t="s">
        <v>96</v>
      </c>
      <c r="G293" s="1" t="str">
        <f t="shared" si="8"/>
        <v>75</v>
      </c>
      <c r="H293" s="1" t="str">
        <f t="shared" si="9"/>
        <v>lbs</v>
      </c>
      <c r="I293" s="1" t="str">
        <f>IF(Table1[[#This Row],[Lifespan (Years)]]&lt;25, "&lt;25", IF(Table1[[#This Row],[Lifespan (Years)]]&lt;50, "25-49", IF(Table1[[#This Row],[Lifespan (Years)]]&lt;75, "50-74", IF(Table1[[#This Row],[Lifespan (Years)]]&lt;100, "75-99", "&gt;=100"))))</f>
        <v>&lt;25</v>
      </c>
      <c r="J293" s="14">
        <f>IF(Table1[[#This Row],[Weight Unit]]="oz",Table1[[#This Row],[Weight (Digits)]]/16, Table1[[#This Row],[Weight (Digits)]]/1)</f>
        <v>75</v>
      </c>
      <c r="K29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93" s="1" t="s">
        <v>2</v>
      </c>
      <c r="M293" s="1" t="str">
        <f>IF(COUNTIF(Table2[Animal],Table1[[#This Row],[Animal]]) = 1, "Previous Participant", "New Participant")</f>
        <v>Previous Participant</v>
      </c>
      <c r="N293" s="1" t="str">
        <f>_xlfn.XLOOKUP(Table1[[#This Row],[Region]],'Support - Tables'!$B$3:$B$10,'Support - Tables'!$D$3:$D$10,"Not Found",0)</f>
        <v>Air</v>
      </c>
      <c r="O293" s="6">
        <f>_xlfn.XLOOKUP(Table1[[#This Row],[Region]],'Support - Tables'!$B$3:$B$10,'Support - Tables'!$C$3:$C$10, "Not Found",0)</f>
        <v>600</v>
      </c>
      <c r="P293" s="6">
        <f>_xlfn.XLOOKUP(Table1[[#This Row],[Diet]],'Support - Tables'!$B$14:$B$16,'Support - Tables'!$C$14:$C$16, "Not Found", 0)</f>
        <v>400</v>
      </c>
      <c r="Q293" s="6">
        <f>Table1[[#This Row],[Revenue]]-Table1[[#This Row],[Cost]]</f>
        <v>200</v>
      </c>
      <c r="R293" s="6">
        <f>COUNTBLANK(Table1[[#This Row],[Diet]:[Region]])</f>
        <v>0</v>
      </c>
      <c r="S293" s="6"/>
      <c r="T293" s="6"/>
    </row>
    <row r="294" spans="1:20" x14ac:dyDescent="0.25">
      <c r="A294" s="2" t="s">
        <v>349</v>
      </c>
      <c r="B294" s="1" t="s">
        <v>13</v>
      </c>
      <c r="C294" s="1">
        <v>15</v>
      </c>
      <c r="D294" s="1" t="s">
        <v>706</v>
      </c>
      <c r="E294" s="1">
        <f>IF(Table1[[#This Row],[Lifespan Unit]]="months", Table1[[#This Row],[Lifespan]]/12,Table1[[#This Row],[Lifespan]])</f>
        <v>15</v>
      </c>
      <c r="F294" s="1" t="s">
        <v>96</v>
      </c>
      <c r="G294" s="1" t="str">
        <f t="shared" si="8"/>
        <v>75</v>
      </c>
      <c r="H294" s="1" t="str">
        <f t="shared" si="9"/>
        <v>lbs</v>
      </c>
      <c r="I294" s="1" t="str">
        <f>IF(Table1[[#This Row],[Lifespan (Years)]]&lt;25, "&lt;25", IF(Table1[[#This Row],[Lifespan (Years)]]&lt;50, "25-49", IF(Table1[[#This Row],[Lifespan (Years)]]&lt;75, "50-74", IF(Table1[[#This Row],[Lifespan (Years)]]&lt;100, "75-99", "&gt;=100"))))</f>
        <v>&lt;25</v>
      </c>
      <c r="J294" s="14">
        <f>IF(Table1[[#This Row],[Weight Unit]]="oz",Table1[[#This Row],[Weight (Digits)]]/16, Table1[[#This Row],[Weight (Digits)]]/1)</f>
        <v>75</v>
      </c>
      <c r="K29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94" s="1" t="s">
        <v>2</v>
      </c>
      <c r="M294" s="1" t="str">
        <f>IF(COUNTIF(Table2[Animal],Table1[[#This Row],[Animal]]) = 1, "Previous Participant", "New Participant")</f>
        <v>Previous Participant</v>
      </c>
      <c r="N294" s="1" t="str">
        <f>_xlfn.XLOOKUP(Table1[[#This Row],[Region]],'Support - Tables'!$B$3:$B$10,'Support - Tables'!$D$3:$D$10,"Not Found",0)</f>
        <v>Air</v>
      </c>
      <c r="O294" s="6">
        <f>_xlfn.XLOOKUP(Table1[[#This Row],[Region]],'Support - Tables'!$B$3:$B$10,'Support - Tables'!$C$3:$C$10, "Not Found",0)</f>
        <v>600</v>
      </c>
      <c r="P294" s="6">
        <f>_xlfn.XLOOKUP(Table1[[#This Row],[Diet]],'Support - Tables'!$B$14:$B$16,'Support - Tables'!$C$14:$C$16, "Not Found", 0)</f>
        <v>400</v>
      </c>
      <c r="Q294" s="6">
        <f>Table1[[#This Row],[Revenue]]-Table1[[#This Row],[Cost]]</f>
        <v>200</v>
      </c>
      <c r="R294" s="6">
        <f>COUNTBLANK(Table1[[#This Row],[Diet]:[Region]])</f>
        <v>0</v>
      </c>
      <c r="S294" s="6"/>
      <c r="T294" s="6"/>
    </row>
    <row r="295" spans="1:20" x14ac:dyDescent="0.25">
      <c r="A295" s="2" t="s">
        <v>350</v>
      </c>
      <c r="B295" s="1" t="s">
        <v>15</v>
      </c>
      <c r="C295" s="1">
        <v>2</v>
      </c>
      <c r="D295" s="1" t="s">
        <v>706</v>
      </c>
      <c r="E295" s="1">
        <f>IF(Table1[[#This Row],[Lifespan Unit]]="months", Table1[[#This Row],[Lifespan]]/12,Table1[[#This Row],[Lifespan]])</f>
        <v>2</v>
      </c>
      <c r="F295" s="1" t="s">
        <v>573</v>
      </c>
      <c r="G295" s="1" t="str">
        <f t="shared" si="8"/>
        <v/>
      </c>
      <c r="H295" s="1" t="str">
        <f t="shared" si="9"/>
        <v/>
      </c>
      <c r="I295" s="1" t="str">
        <f>IF(Table1[[#This Row],[Lifespan (Years)]]&lt;25, "&lt;25", IF(Table1[[#This Row],[Lifespan (Years)]]&lt;50, "25-49", IF(Table1[[#This Row],[Lifespan (Years)]]&lt;75, "50-74", IF(Table1[[#This Row],[Lifespan (Years)]]&lt;100, "75-99", "&gt;=100"))))</f>
        <v>&lt;25</v>
      </c>
      <c r="J295" s="14">
        <v>0</v>
      </c>
      <c r="K29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295" s="1" t="s">
        <v>2</v>
      </c>
      <c r="M295" s="1" t="str">
        <f>IF(COUNTIF(Table2[Animal],Table1[[#This Row],[Animal]]) = 1, "Previous Participant", "New Participant")</f>
        <v>Previous Participant</v>
      </c>
      <c r="N295" s="1" t="str">
        <f>_xlfn.XLOOKUP(Table1[[#This Row],[Region]],'Support - Tables'!$B$3:$B$10,'Support - Tables'!$D$3:$D$10,"Not Found",0)</f>
        <v>Air</v>
      </c>
      <c r="O295" s="6">
        <f>_xlfn.XLOOKUP(Table1[[#This Row],[Region]],'Support - Tables'!$B$3:$B$10,'Support - Tables'!$C$3:$C$10, "Not Found",0)</f>
        <v>600</v>
      </c>
      <c r="P295" s="6">
        <f>_xlfn.XLOOKUP(Table1[[#This Row],[Diet]],'Support - Tables'!$B$14:$B$16,'Support - Tables'!$C$14:$C$16, "Not Found", 0)</f>
        <v>500</v>
      </c>
      <c r="Q295" s="6">
        <f>Table1[[#This Row],[Revenue]]-Table1[[#This Row],[Cost]]</f>
        <v>100</v>
      </c>
      <c r="R295" s="6">
        <f>COUNTBLANK(Table1[[#This Row],[Diet]:[Region]])</f>
        <v>3</v>
      </c>
      <c r="S295" s="6"/>
      <c r="T295" s="6"/>
    </row>
    <row r="296" spans="1:20" x14ac:dyDescent="0.25">
      <c r="A296" s="2" t="s">
        <v>351</v>
      </c>
      <c r="B296" s="1" t="s">
        <v>15</v>
      </c>
      <c r="C296" s="1">
        <v>9</v>
      </c>
      <c r="D296" s="1" t="s">
        <v>706</v>
      </c>
      <c r="E296" s="1">
        <f>IF(Table1[[#This Row],[Lifespan Unit]]="months", Table1[[#This Row],[Lifespan]]/12,Table1[[#This Row],[Lifespan]])</f>
        <v>9</v>
      </c>
      <c r="F296" s="1" t="s">
        <v>646</v>
      </c>
      <c r="G296" s="1" t="str">
        <f t="shared" si="8"/>
        <v>0.35</v>
      </c>
      <c r="H296" s="1" t="str">
        <f t="shared" si="9"/>
        <v>oz</v>
      </c>
      <c r="I296" s="1" t="str">
        <f>IF(Table1[[#This Row],[Lifespan (Years)]]&lt;25, "&lt;25", IF(Table1[[#This Row],[Lifespan (Years)]]&lt;50, "25-49", IF(Table1[[#This Row],[Lifespan (Years)]]&lt;75, "50-74", IF(Table1[[#This Row],[Lifespan (Years)]]&lt;100, "75-99", "&gt;=100"))))</f>
        <v>&lt;25</v>
      </c>
      <c r="J296" s="14">
        <f>IF(Table1[[#This Row],[Weight Unit]]="oz",Table1[[#This Row],[Weight (Digits)]]/16, Table1[[#This Row],[Weight (Digits)]]/1)</f>
        <v>2.1874999999999999E-2</v>
      </c>
      <c r="K29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96" s="1" t="s">
        <v>2</v>
      </c>
      <c r="M296" s="1" t="str">
        <f>IF(COUNTIF(Table2[Animal],Table1[[#This Row],[Animal]]) = 1, "Previous Participant", "New Participant")</f>
        <v>New Participant</v>
      </c>
      <c r="N296" s="1" t="str">
        <f>_xlfn.XLOOKUP(Table1[[#This Row],[Region]],'Support - Tables'!$B$3:$B$10,'Support - Tables'!$D$3:$D$10,"Not Found",0)</f>
        <v>Air</v>
      </c>
      <c r="O296" s="6">
        <f>_xlfn.XLOOKUP(Table1[[#This Row],[Region]],'Support - Tables'!$B$3:$B$10,'Support - Tables'!$C$3:$C$10, "Not Found",0)</f>
        <v>600</v>
      </c>
      <c r="P296" s="6">
        <f>_xlfn.XLOOKUP(Table1[[#This Row],[Diet]],'Support - Tables'!$B$14:$B$16,'Support - Tables'!$C$14:$C$16, "Not Found", 0)</f>
        <v>500</v>
      </c>
      <c r="Q296" s="6">
        <f>Table1[[#This Row],[Revenue]]-Table1[[#This Row],[Cost]]</f>
        <v>100</v>
      </c>
      <c r="R296" s="6">
        <f>COUNTBLANK(Table1[[#This Row],[Diet]:[Region]])</f>
        <v>0</v>
      </c>
      <c r="S296" s="6"/>
      <c r="T296" s="6"/>
    </row>
    <row r="297" spans="1:20" x14ac:dyDescent="0.25">
      <c r="A297" s="2" t="s">
        <v>352</v>
      </c>
      <c r="B297" s="1" t="s">
        <v>23</v>
      </c>
      <c r="C297" s="1">
        <v>3</v>
      </c>
      <c r="D297" s="1" t="s">
        <v>706</v>
      </c>
      <c r="E297" s="1">
        <f>IF(Table1[[#This Row],[Lifespan Unit]]="months", Table1[[#This Row],[Lifespan]]/12,Table1[[#This Row],[Lifespan]])</f>
        <v>3</v>
      </c>
      <c r="F297" s="1" t="s">
        <v>647</v>
      </c>
      <c r="G297" s="1" t="str">
        <f t="shared" si="8"/>
        <v>1.1</v>
      </c>
      <c r="H297" s="1" t="str">
        <f t="shared" si="9"/>
        <v>oz</v>
      </c>
      <c r="I297" s="1" t="str">
        <f>IF(Table1[[#This Row],[Lifespan (Years)]]&lt;25, "&lt;25", IF(Table1[[#This Row],[Lifespan (Years)]]&lt;50, "25-49", IF(Table1[[#This Row],[Lifespan (Years)]]&lt;75, "50-74", IF(Table1[[#This Row],[Lifespan (Years)]]&lt;100, "75-99", "&gt;=100"))))</f>
        <v>&lt;25</v>
      </c>
      <c r="J297" s="14">
        <f>IF(Table1[[#This Row],[Weight Unit]]="oz",Table1[[#This Row],[Weight (Digits)]]/16, Table1[[#This Row],[Weight (Digits)]]/1)</f>
        <v>6.8750000000000006E-2</v>
      </c>
      <c r="K29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97" s="1" t="s">
        <v>2</v>
      </c>
      <c r="M297" s="1" t="str">
        <f>IF(COUNTIF(Table2[Animal],Table1[[#This Row],[Animal]]) = 1, "Previous Participant", "New Participant")</f>
        <v>Previous Participant</v>
      </c>
      <c r="N297" s="1" t="str">
        <f>_xlfn.XLOOKUP(Table1[[#This Row],[Region]],'Support - Tables'!$B$3:$B$10,'Support - Tables'!$D$3:$D$10,"Not Found",0)</f>
        <v>Air</v>
      </c>
      <c r="O297" s="6">
        <f>_xlfn.XLOOKUP(Table1[[#This Row],[Region]],'Support - Tables'!$B$3:$B$10,'Support - Tables'!$C$3:$C$10, "Not Found",0)</f>
        <v>600</v>
      </c>
      <c r="P297" s="6">
        <f>_xlfn.XLOOKUP(Table1[[#This Row],[Diet]],'Support - Tables'!$B$14:$B$16,'Support - Tables'!$C$14:$C$16, "Not Found", 0)</f>
        <v>300</v>
      </c>
      <c r="Q297" s="6">
        <f>Table1[[#This Row],[Revenue]]-Table1[[#This Row],[Cost]]</f>
        <v>300</v>
      </c>
      <c r="R297" s="6">
        <f>COUNTBLANK(Table1[[#This Row],[Diet]:[Region]])</f>
        <v>0</v>
      </c>
      <c r="S297" s="6"/>
      <c r="T297" s="6"/>
    </row>
    <row r="298" spans="1:20" x14ac:dyDescent="0.25">
      <c r="A298" s="2" t="s">
        <v>353</v>
      </c>
      <c r="B298" s="1" t="s">
        <v>13</v>
      </c>
      <c r="C298" s="1">
        <v>14</v>
      </c>
      <c r="D298" s="1" t="s">
        <v>706</v>
      </c>
      <c r="E298" s="1">
        <f>IF(Table1[[#This Row],[Lifespan Unit]]="months", Table1[[#This Row],[Lifespan]]/12,Table1[[#This Row],[Lifespan]])</f>
        <v>14</v>
      </c>
      <c r="F298" s="1" t="s">
        <v>16</v>
      </c>
      <c r="G298" s="1" t="str">
        <f t="shared" si="8"/>
        <v>10</v>
      </c>
      <c r="H298" s="1" t="str">
        <f t="shared" si="9"/>
        <v>lbs</v>
      </c>
      <c r="I298" s="1" t="str">
        <f>IF(Table1[[#This Row],[Lifespan (Years)]]&lt;25, "&lt;25", IF(Table1[[#This Row],[Lifespan (Years)]]&lt;50, "25-49", IF(Table1[[#This Row],[Lifespan (Years)]]&lt;75, "50-74", IF(Table1[[#This Row],[Lifespan (Years)]]&lt;100, "75-99", "&gt;=100"))))</f>
        <v>&lt;25</v>
      </c>
      <c r="J298" s="14">
        <f>IF(Table1[[#This Row],[Weight Unit]]="oz",Table1[[#This Row],[Weight (Digits)]]/16, Table1[[#This Row],[Weight (Digits)]]/1)</f>
        <v>10</v>
      </c>
      <c r="K29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98" s="1" t="s">
        <v>2</v>
      </c>
      <c r="M298" s="1" t="str">
        <f>IF(COUNTIF(Table2[Animal],Table1[[#This Row],[Animal]]) = 1, "Previous Participant", "New Participant")</f>
        <v>Previous Participant</v>
      </c>
      <c r="N298" s="1" t="str">
        <f>_xlfn.XLOOKUP(Table1[[#This Row],[Region]],'Support - Tables'!$B$3:$B$10,'Support - Tables'!$D$3:$D$10,"Not Found",0)</f>
        <v>Air</v>
      </c>
      <c r="O298" s="6">
        <f>_xlfn.XLOOKUP(Table1[[#This Row],[Region]],'Support - Tables'!$B$3:$B$10,'Support - Tables'!$C$3:$C$10, "Not Found",0)</f>
        <v>600</v>
      </c>
      <c r="P298" s="6">
        <f>_xlfn.XLOOKUP(Table1[[#This Row],[Diet]],'Support - Tables'!$B$14:$B$16,'Support - Tables'!$C$14:$C$16, "Not Found", 0)</f>
        <v>400</v>
      </c>
      <c r="Q298" s="6">
        <f>Table1[[#This Row],[Revenue]]-Table1[[#This Row],[Cost]]</f>
        <v>200</v>
      </c>
      <c r="R298" s="6">
        <f>COUNTBLANK(Table1[[#This Row],[Diet]:[Region]])</f>
        <v>0</v>
      </c>
      <c r="S298" s="6"/>
      <c r="T298" s="6"/>
    </row>
    <row r="299" spans="1:20" x14ac:dyDescent="0.25">
      <c r="A299" s="2" t="s">
        <v>354</v>
      </c>
      <c r="B299" s="1" t="s">
        <v>15</v>
      </c>
      <c r="C299" s="1">
        <v>15</v>
      </c>
      <c r="D299" s="1" t="s">
        <v>706</v>
      </c>
      <c r="E299" s="1">
        <f>IF(Table1[[#This Row],[Lifespan Unit]]="months", Table1[[#This Row],[Lifespan]]/12,Table1[[#This Row],[Lifespan]])</f>
        <v>15</v>
      </c>
      <c r="F299" s="1" t="s">
        <v>289</v>
      </c>
      <c r="G299" s="1" t="str">
        <f t="shared" si="8"/>
        <v>66</v>
      </c>
      <c r="H299" s="1" t="str">
        <f t="shared" si="9"/>
        <v>lbs</v>
      </c>
      <c r="I299" s="1" t="str">
        <f>IF(Table1[[#This Row],[Lifespan (Years)]]&lt;25, "&lt;25", IF(Table1[[#This Row],[Lifespan (Years)]]&lt;50, "25-49", IF(Table1[[#This Row],[Lifespan (Years)]]&lt;75, "50-74", IF(Table1[[#This Row],[Lifespan (Years)]]&lt;100, "75-99", "&gt;=100"))))</f>
        <v>&lt;25</v>
      </c>
      <c r="J299" s="14">
        <f>IF(Table1[[#This Row],[Weight Unit]]="oz",Table1[[#This Row],[Weight (Digits)]]/16, Table1[[#This Row],[Weight (Digits)]]/1)</f>
        <v>66</v>
      </c>
      <c r="K29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99" s="1" t="s">
        <v>2</v>
      </c>
      <c r="M299" s="1" t="str">
        <f>IF(COUNTIF(Table2[Animal],Table1[[#This Row],[Animal]]) = 1, "Previous Participant", "New Participant")</f>
        <v>Previous Participant</v>
      </c>
      <c r="N299" s="1" t="str">
        <f>_xlfn.XLOOKUP(Table1[[#This Row],[Region]],'Support - Tables'!$B$3:$B$10,'Support - Tables'!$D$3:$D$10,"Not Found",0)</f>
        <v>Air</v>
      </c>
      <c r="O299" s="6">
        <f>_xlfn.XLOOKUP(Table1[[#This Row],[Region]],'Support - Tables'!$B$3:$B$10,'Support - Tables'!$C$3:$C$10, "Not Found",0)</f>
        <v>600</v>
      </c>
      <c r="P299" s="6">
        <f>_xlfn.XLOOKUP(Table1[[#This Row],[Diet]],'Support - Tables'!$B$14:$B$16,'Support - Tables'!$C$14:$C$16, "Not Found", 0)</f>
        <v>500</v>
      </c>
      <c r="Q299" s="6">
        <f>Table1[[#This Row],[Revenue]]-Table1[[#This Row],[Cost]]</f>
        <v>100</v>
      </c>
      <c r="R299" s="6">
        <f>COUNTBLANK(Table1[[#This Row],[Diet]:[Region]])</f>
        <v>0</v>
      </c>
      <c r="S299" s="6"/>
      <c r="T299" s="6"/>
    </row>
    <row r="300" spans="1:20" x14ac:dyDescent="0.25">
      <c r="A300" s="2" t="s">
        <v>355</v>
      </c>
      <c r="B300" s="1" t="s">
        <v>15</v>
      </c>
      <c r="C300" s="1">
        <v>24</v>
      </c>
      <c r="D300" s="1" t="s">
        <v>706</v>
      </c>
      <c r="E300" s="1">
        <f>IF(Table1[[#This Row],[Lifespan Unit]]="months", Table1[[#This Row],[Lifespan]]/12,Table1[[#This Row],[Lifespan]])</f>
        <v>24</v>
      </c>
      <c r="F300" s="1" t="s">
        <v>591</v>
      </c>
      <c r="G300" s="1" t="str">
        <f t="shared" si="8"/>
        <v>440</v>
      </c>
      <c r="H300" s="1" t="str">
        <f t="shared" si="9"/>
        <v>lbs</v>
      </c>
      <c r="I300" s="1" t="str">
        <f>IF(Table1[[#This Row],[Lifespan (Years)]]&lt;25, "&lt;25", IF(Table1[[#This Row],[Lifespan (Years)]]&lt;50, "25-49", IF(Table1[[#This Row],[Lifespan (Years)]]&lt;75, "50-74", IF(Table1[[#This Row],[Lifespan (Years)]]&lt;100, "75-99", "&gt;=100"))))</f>
        <v>&lt;25</v>
      </c>
      <c r="J300" s="14">
        <f>IF(Table1[[#This Row],[Weight Unit]]="oz",Table1[[#This Row],[Weight (Digits)]]/16, Table1[[#This Row],[Weight (Digits)]]/1)</f>
        <v>440</v>
      </c>
      <c r="K30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400-499</v>
      </c>
      <c r="L300" s="1" t="s">
        <v>1</v>
      </c>
      <c r="M300" s="1" t="str">
        <f>IF(COUNTIF(Table2[Animal],Table1[[#This Row],[Animal]]) = 1, "Previous Participant", "New Participant")</f>
        <v>Previous Participant</v>
      </c>
      <c r="N300" s="1" t="str">
        <f>_xlfn.XLOOKUP(Table1[[#This Row],[Region]],'Support - Tables'!$B$3:$B$10,'Support - Tables'!$D$3:$D$10,"Not Found",0)</f>
        <v>Air</v>
      </c>
      <c r="O300" s="6">
        <f>_xlfn.XLOOKUP(Table1[[#This Row],[Region]],'Support - Tables'!$B$3:$B$10,'Support - Tables'!$C$3:$C$10, "Not Found",0)</f>
        <v>700</v>
      </c>
      <c r="P300" s="6">
        <f>_xlfn.XLOOKUP(Table1[[#This Row],[Diet]],'Support - Tables'!$B$14:$B$16,'Support - Tables'!$C$14:$C$16, "Not Found", 0)</f>
        <v>500</v>
      </c>
      <c r="Q300" s="6">
        <f>Table1[[#This Row],[Revenue]]-Table1[[#This Row],[Cost]]</f>
        <v>200</v>
      </c>
      <c r="R300" s="6">
        <f>COUNTBLANK(Table1[[#This Row],[Diet]:[Region]])</f>
        <v>0</v>
      </c>
      <c r="S300" s="6"/>
      <c r="T300" s="6"/>
    </row>
    <row r="301" spans="1:20" x14ac:dyDescent="0.25">
      <c r="A301" s="2" t="s">
        <v>356</v>
      </c>
      <c r="B301" s="1" t="s">
        <v>23</v>
      </c>
      <c r="C301" s="1">
        <v>100</v>
      </c>
      <c r="D301" s="1" t="s">
        <v>706</v>
      </c>
      <c r="E301" s="1">
        <f>IF(Table1[[#This Row],[Lifespan Unit]]="months", Table1[[#This Row],[Lifespan]]/12,Table1[[#This Row],[Lifespan]])</f>
        <v>100</v>
      </c>
      <c r="F301" s="1" t="s">
        <v>43</v>
      </c>
      <c r="G301" s="1" t="str">
        <f t="shared" si="8"/>
        <v>40</v>
      </c>
      <c r="H301" s="1" t="str">
        <f t="shared" si="9"/>
        <v>lbs</v>
      </c>
      <c r="I301" s="1" t="str">
        <f>IF(Table1[[#This Row],[Lifespan (Years)]]&lt;25, "&lt;25", IF(Table1[[#This Row],[Lifespan (Years)]]&lt;50, "25-49", IF(Table1[[#This Row],[Lifespan (Years)]]&lt;75, "50-74", IF(Table1[[#This Row],[Lifespan (Years)]]&lt;100, "75-99", "&gt;=100"))))</f>
        <v>&gt;=100</v>
      </c>
      <c r="J301" s="14">
        <f>IF(Table1[[#This Row],[Weight Unit]]="oz",Table1[[#This Row],[Weight (Digits)]]/16, Table1[[#This Row],[Weight (Digits)]]/1)</f>
        <v>40</v>
      </c>
      <c r="K30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01" s="1" t="s">
        <v>3</v>
      </c>
      <c r="M301" s="1" t="str">
        <f>IF(COUNTIF(Table2[Animal],Table1[[#This Row],[Animal]]) = 1, "Previous Participant", "New Participant")</f>
        <v>Previous Participant</v>
      </c>
      <c r="N301" s="1" t="str">
        <f>_xlfn.XLOOKUP(Table1[[#This Row],[Region]],'Support - Tables'!$B$3:$B$10,'Support - Tables'!$D$3:$D$10,"Not Found",0)</f>
        <v>Air</v>
      </c>
      <c r="O301" s="6">
        <f>_xlfn.XLOOKUP(Table1[[#This Row],[Region]],'Support - Tables'!$B$3:$B$10,'Support - Tables'!$C$3:$C$10, "Not Found",0)</f>
        <v>350</v>
      </c>
      <c r="P301" s="6">
        <f>_xlfn.XLOOKUP(Table1[[#This Row],[Diet]],'Support - Tables'!$B$14:$B$16,'Support - Tables'!$C$14:$C$16, "Not Found", 0)</f>
        <v>300</v>
      </c>
      <c r="Q301" s="6">
        <f>Table1[[#This Row],[Revenue]]-Table1[[#This Row],[Cost]]</f>
        <v>50</v>
      </c>
      <c r="R301" s="6">
        <f>COUNTBLANK(Table1[[#This Row],[Diet]:[Region]])</f>
        <v>0</v>
      </c>
      <c r="S301" s="6"/>
      <c r="T301" s="6"/>
    </row>
    <row r="302" spans="1:20" x14ac:dyDescent="0.25">
      <c r="A302" s="2" t="s">
        <v>357</v>
      </c>
      <c r="B302" s="1" t="s">
        <v>15</v>
      </c>
      <c r="C302" s="1">
        <v>22</v>
      </c>
      <c r="D302" s="1" t="s">
        <v>706</v>
      </c>
      <c r="E302" s="1">
        <f>IF(Table1[[#This Row],[Lifespan Unit]]="months", Table1[[#This Row],[Lifespan]]/12,Table1[[#This Row],[Lifespan]])</f>
        <v>22</v>
      </c>
      <c r="F302" s="1" t="s">
        <v>634</v>
      </c>
      <c r="G302" s="1" t="str">
        <f t="shared" si="8"/>
        <v>882</v>
      </c>
      <c r="H302" s="1" t="str">
        <f t="shared" si="9"/>
        <v>lbs</v>
      </c>
      <c r="I302" s="1" t="str">
        <f>IF(Table1[[#This Row],[Lifespan (Years)]]&lt;25, "&lt;25", IF(Table1[[#This Row],[Lifespan (Years)]]&lt;50, "25-49", IF(Table1[[#This Row],[Lifespan (Years)]]&lt;75, "50-74", IF(Table1[[#This Row],[Lifespan (Years)]]&lt;100, "75-99", "&gt;=100"))))</f>
        <v>&lt;25</v>
      </c>
      <c r="J302" s="14">
        <f>IF(Table1[[#This Row],[Weight Unit]]="oz",Table1[[#This Row],[Weight (Digits)]]/16, Table1[[#This Row],[Weight (Digits)]]/1)</f>
        <v>882</v>
      </c>
      <c r="K30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302" s="1" t="s">
        <v>5</v>
      </c>
      <c r="M302" s="1" t="str">
        <f>IF(COUNTIF(Table2[Animal],Table1[[#This Row],[Animal]]) = 1, "Previous Participant", "New Participant")</f>
        <v>New Participant</v>
      </c>
      <c r="N302" s="1" t="str">
        <f>_xlfn.XLOOKUP(Table1[[#This Row],[Region]],'Support - Tables'!$B$3:$B$10,'Support - Tables'!$D$3:$D$10,"Not Found",0)</f>
        <v>Boat</v>
      </c>
      <c r="O302" s="6">
        <f>_xlfn.XLOOKUP(Table1[[#This Row],[Region]],'Support - Tables'!$B$3:$B$10,'Support - Tables'!$C$3:$C$10, "Not Found",0)</f>
        <v>400</v>
      </c>
      <c r="P302" s="6">
        <f>_xlfn.XLOOKUP(Table1[[#This Row],[Diet]],'Support - Tables'!$B$14:$B$16,'Support - Tables'!$C$14:$C$16, "Not Found", 0)</f>
        <v>500</v>
      </c>
      <c r="Q302" s="6">
        <f>Table1[[#This Row],[Revenue]]-Table1[[#This Row],[Cost]]</f>
        <v>-100</v>
      </c>
      <c r="R302" s="6">
        <f>COUNTBLANK(Table1[[#This Row],[Diet]:[Region]])</f>
        <v>0</v>
      </c>
      <c r="S302" s="6"/>
      <c r="T302" s="6"/>
    </row>
    <row r="303" spans="1:20" x14ac:dyDescent="0.25">
      <c r="A303" s="2" t="s">
        <v>358</v>
      </c>
      <c r="B303" s="1" t="s">
        <v>15</v>
      </c>
      <c r="C303" s="1">
        <v>15</v>
      </c>
      <c r="D303" s="1" t="s">
        <v>706</v>
      </c>
      <c r="E303" s="1">
        <f>IF(Table1[[#This Row],[Lifespan Unit]]="months", Table1[[#This Row],[Lifespan]]/12,Table1[[#This Row],[Lifespan]])</f>
        <v>15</v>
      </c>
      <c r="F303" s="1" t="s">
        <v>648</v>
      </c>
      <c r="G303" s="1" t="str">
        <f t="shared" si="8"/>
        <v>264</v>
      </c>
      <c r="H303" s="1" t="str">
        <f t="shared" si="9"/>
        <v>lbs</v>
      </c>
      <c r="I303" s="1" t="str">
        <f>IF(Table1[[#This Row],[Lifespan (Years)]]&lt;25, "&lt;25", IF(Table1[[#This Row],[Lifespan (Years)]]&lt;50, "25-49", IF(Table1[[#This Row],[Lifespan (Years)]]&lt;75, "50-74", IF(Table1[[#This Row],[Lifespan (Years)]]&lt;100, "75-99", "&gt;=100"))))</f>
        <v>&lt;25</v>
      </c>
      <c r="J303" s="14">
        <f>IF(Table1[[#This Row],[Weight Unit]]="oz",Table1[[#This Row],[Weight (Digits)]]/16, Table1[[#This Row],[Weight (Digits)]]/1)</f>
        <v>264</v>
      </c>
      <c r="K30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200-299</v>
      </c>
      <c r="L303" s="1" t="s">
        <v>724</v>
      </c>
      <c r="M303" s="1" t="str">
        <f>IF(COUNTIF(Table2[Animal],Table1[[#This Row],[Animal]]) = 1, "Previous Participant", "New Participant")</f>
        <v>Previous Participant</v>
      </c>
      <c r="N303" s="1" t="str">
        <f>_xlfn.XLOOKUP(Table1[[#This Row],[Region]],'Support - Tables'!$B$3:$B$10,'Support - Tables'!$D$3:$D$10,"Not Found",0)</f>
        <v>Road</v>
      </c>
      <c r="O303" s="6">
        <f>_xlfn.XLOOKUP(Table1[[#This Row],[Region]],'Support - Tables'!$B$3:$B$10,'Support - Tables'!$C$3:$C$10, "Not Found",0)</f>
        <v>450</v>
      </c>
      <c r="P303" s="6">
        <f>_xlfn.XLOOKUP(Table1[[#This Row],[Diet]],'Support - Tables'!$B$14:$B$16,'Support - Tables'!$C$14:$C$16, "Not Found", 0)</f>
        <v>500</v>
      </c>
      <c r="Q303" s="6">
        <f>Table1[[#This Row],[Revenue]]-Table1[[#This Row],[Cost]]</f>
        <v>-50</v>
      </c>
      <c r="R303" s="6">
        <f>COUNTBLANK(Table1[[#This Row],[Diet]:[Region]])</f>
        <v>0</v>
      </c>
      <c r="S303" s="6"/>
      <c r="T303" s="6"/>
    </row>
    <row r="304" spans="1:20" x14ac:dyDescent="0.25">
      <c r="A304" s="2" t="s">
        <v>359</v>
      </c>
      <c r="B304" s="1" t="s">
        <v>15</v>
      </c>
      <c r="C304" s="1">
        <v>18</v>
      </c>
      <c r="D304" s="1" t="s">
        <v>706</v>
      </c>
      <c r="E304" s="1">
        <f>IF(Table1[[#This Row],[Lifespan Unit]]="months", Table1[[#This Row],[Lifespan]]/12,Table1[[#This Row],[Lifespan]])</f>
        <v>18</v>
      </c>
      <c r="F304" s="1" t="s">
        <v>573</v>
      </c>
      <c r="G304" s="1" t="str">
        <f t="shared" si="8"/>
        <v/>
      </c>
      <c r="H304" s="1" t="str">
        <f t="shared" si="9"/>
        <v/>
      </c>
      <c r="I304" s="1" t="str">
        <f>IF(Table1[[#This Row],[Lifespan (Years)]]&lt;25, "&lt;25", IF(Table1[[#This Row],[Lifespan (Years)]]&lt;50, "25-49", IF(Table1[[#This Row],[Lifespan (Years)]]&lt;75, "50-74", IF(Table1[[#This Row],[Lifespan (Years)]]&lt;100, "75-99", "&gt;=100"))))</f>
        <v>&lt;25</v>
      </c>
      <c r="J304" s="14">
        <v>0</v>
      </c>
      <c r="K30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304" s="1" t="s">
        <v>5</v>
      </c>
      <c r="M304" s="1" t="str">
        <f>IF(COUNTIF(Table2[Animal],Table1[[#This Row],[Animal]]) = 1, "Previous Participant", "New Participant")</f>
        <v>New Participant</v>
      </c>
      <c r="N304" s="1" t="str">
        <f>_xlfn.XLOOKUP(Table1[[#This Row],[Region]],'Support - Tables'!$B$3:$B$10,'Support - Tables'!$D$3:$D$10,"Not Found",0)</f>
        <v>Boat</v>
      </c>
      <c r="O304" s="6">
        <f>_xlfn.XLOOKUP(Table1[[#This Row],[Region]],'Support - Tables'!$B$3:$B$10,'Support - Tables'!$C$3:$C$10, "Not Found",0)</f>
        <v>400</v>
      </c>
      <c r="P304" s="6">
        <f>_xlfn.XLOOKUP(Table1[[#This Row],[Diet]],'Support - Tables'!$B$14:$B$16,'Support - Tables'!$C$14:$C$16, "Not Found", 0)</f>
        <v>500</v>
      </c>
      <c r="Q304" s="6">
        <f>Table1[[#This Row],[Revenue]]-Table1[[#This Row],[Cost]]</f>
        <v>-100</v>
      </c>
      <c r="R304" s="6">
        <f>COUNTBLANK(Table1[[#This Row],[Diet]:[Region]])</f>
        <v>3</v>
      </c>
      <c r="S304" s="6"/>
      <c r="T304" s="6"/>
    </row>
    <row r="305" spans="1:20" x14ac:dyDescent="0.25">
      <c r="A305" s="2" t="s">
        <v>360</v>
      </c>
      <c r="B305" s="1" t="s">
        <v>15</v>
      </c>
      <c r="C305" s="1">
        <v>20</v>
      </c>
      <c r="D305" s="1" t="s">
        <v>706</v>
      </c>
      <c r="E305" s="1">
        <f>IF(Table1[[#This Row],[Lifespan Unit]]="months", Table1[[#This Row],[Lifespan]]/12,Table1[[#This Row],[Lifespan]])</f>
        <v>20</v>
      </c>
      <c r="F305" s="1" t="s">
        <v>599</v>
      </c>
      <c r="G305" s="1" t="str">
        <f t="shared" si="8"/>
        <v>2.2</v>
      </c>
      <c r="H305" s="1" t="str">
        <f t="shared" si="9"/>
        <v>lbs</v>
      </c>
      <c r="I305" s="1" t="str">
        <f>IF(Table1[[#This Row],[Lifespan (Years)]]&lt;25, "&lt;25", IF(Table1[[#This Row],[Lifespan (Years)]]&lt;50, "25-49", IF(Table1[[#This Row],[Lifespan (Years)]]&lt;75, "50-74", IF(Table1[[#This Row],[Lifespan (Years)]]&lt;100, "75-99", "&gt;=100"))))</f>
        <v>&lt;25</v>
      </c>
      <c r="J305" s="14">
        <f>IF(Table1[[#This Row],[Weight Unit]]="oz",Table1[[#This Row],[Weight (Digits)]]/16, Table1[[#This Row],[Weight (Digits)]]/1)</f>
        <v>2.2000000000000002</v>
      </c>
      <c r="K30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05" s="1" t="s">
        <v>5</v>
      </c>
      <c r="M305" s="1" t="str">
        <f>IF(COUNTIF(Table2[Animal],Table1[[#This Row],[Animal]]) = 1, "Previous Participant", "New Participant")</f>
        <v>Previous Participant</v>
      </c>
      <c r="N305" s="1" t="str">
        <f>_xlfn.XLOOKUP(Table1[[#This Row],[Region]],'Support - Tables'!$B$3:$B$10,'Support - Tables'!$D$3:$D$10,"Not Found",0)</f>
        <v>Boat</v>
      </c>
      <c r="O305" s="6">
        <f>_xlfn.XLOOKUP(Table1[[#This Row],[Region]],'Support - Tables'!$B$3:$B$10,'Support - Tables'!$C$3:$C$10, "Not Found",0)</f>
        <v>400</v>
      </c>
      <c r="P305" s="6">
        <f>_xlfn.XLOOKUP(Table1[[#This Row],[Diet]],'Support - Tables'!$B$14:$B$16,'Support - Tables'!$C$14:$C$16, "Not Found", 0)</f>
        <v>500</v>
      </c>
      <c r="Q305" s="6">
        <f>Table1[[#This Row],[Revenue]]-Table1[[#This Row],[Cost]]</f>
        <v>-100</v>
      </c>
      <c r="R305" s="6">
        <f>COUNTBLANK(Table1[[#This Row],[Diet]:[Region]])</f>
        <v>0</v>
      </c>
      <c r="S305" s="6"/>
      <c r="T305" s="6"/>
    </row>
    <row r="306" spans="1:20" x14ac:dyDescent="0.25">
      <c r="A306" s="2" t="s">
        <v>361</v>
      </c>
      <c r="B306" s="1" t="s">
        <v>13</v>
      </c>
      <c r="C306" s="1">
        <v>30</v>
      </c>
      <c r="D306" s="1" t="s">
        <v>706</v>
      </c>
      <c r="E306" s="1">
        <f>IF(Table1[[#This Row],[Lifespan Unit]]="months", Table1[[#This Row],[Lifespan]]/12,Table1[[#This Row],[Lifespan]])</f>
        <v>30</v>
      </c>
      <c r="F306" s="1" t="s">
        <v>208</v>
      </c>
      <c r="G306" s="1" t="str">
        <f t="shared" si="8"/>
        <v>100</v>
      </c>
      <c r="H306" s="1" t="str">
        <f t="shared" si="9"/>
        <v>lbs</v>
      </c>
      <c r="I306" s="1" t="str">
        <f>IF(Table1[[#This Row],[Lifespan (Years)]]&lt;25, "&lt;25", IF(Table1[[#This Row],[Lifespan (Years)]]&lt;50, "25-49", IF(Table1[[#This Row],[Lifespan (Years)]]&lt;75, "50-74", IF(Table1[[#This Row],[Lifespan (Years)]]&lt;100, "75-99", "&gt;=100"))))</f>
        <v>25-49</v>
      </c>
      <c r="J306" s="14">
        <f>IF(Table1[[#This Row],[Weight Unit]]="oz",Table1[[#This Row],[Weight (Digits)]]/16, Table1[[#This Row],[Weight (Digits)]]/1)</f>
        <v>100</v>
      </c>
      <c r="K30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306" s="1" t="s">
        <v>724</v>
      </c>
      <c r="M306" s="1" t="str">
        <f>IF(COUNTIF(Table2[Animal],Table1[[#This Row],[Animal]]) = 1, "Previous Participant", "New Participant")</f>
        <v>Previous Participant</v>
      </c>
      <c r="N306" s="1" t="str">
        <f>_xlfn.XLOOKUP(Table1[[#This Row],[Region]],'Support - Tables'!$B$3:$B$10,'Support - Tables'!$D$3:$D$10,"Not Found",0)</f>
        <v>Road</v>
      </c>
      <c r="O306" s="6">
        <f>_xlfn.XLOOKUP(Table1[[#This Row],[Region]],'Support - Tables'!$B$3:$B$10,'Support - Tables'!$C$3:$C$10, "Not Found",0)</f>
        <v>450</v>
      </c>
      <c r="P306" s="6">
        <f>_xlfn.XLOOKUP(Table1[[#This Row],[Diet]],'Support - Tables'!$B$14:$B$16,'Support - Tables'!$C$14:$C$16, "Not Found", 0)</f>
        <v>400</v>
      </c>
      <c r="Q306" s="6">
        <f>Table1[[#This Row],[Revenue]]-Table1[[#This Row],[Cost]]</f>
        <v>50</v>
      </c>
      <c r="R306" s="6">
        <f>COUNTBLANK(Table1[[#This Row],[Diet]:[Region]])</f>
        <v>0</v>
      </c>
      <c r="S306" s="6"/>
      <c r="T306" s="6"/>
    </row>
    <row r="307" spans="1:20" x14ac:dyDescent="0.25">
      <c r="A307" s="2" t="s">
        <v>362</v>
      </c>
      <c r="B307" s="1" t="s">
        <v>23</v>
      </c>
      <c r="C307" s="1">
        <v>20</v>
      </c>
      <c r="D307" s="1" t="s">
        <v>706</v>
      </c>
      <c r="E307" s="1">
        <f>IF(Table1[[#This Row],[Lifespan Unit]]="months", Table1[[#This Row],[Lifespan]]/12,Table1[[#This Row],[Lifespan]])</f>
        <v>20</v>
      </c>
      <c r="F307" s="1" t="s">
        <v>649</v>
      </c>
      <c r="G307" s="1" t="str">
        <f t="shared" si="8"/>
        <v>280</v>
      </c>
      <c r="H307" s="1" t="str">
        <f t="shared" si="9"/>
        <v>lbs</v>
      </c>
      <c r="I307" s="1" t="str">
        <f>IF(Table1[[#This Row],[Lifespan (Years)]]&lt;25, "&lt;25", IF(Table1[[#This Row],[Lifespan (Years)]]&lt;50, "25-49", IF(Table1[[#This Row],[Lifespan (Years)]]&lt;75, "50-74", IF(Table1[[#This Row],[Lifespan (Years)]]&lt;100, "75-99", "&gt;=100"))))</f>
        <v>&lt;25</v>
      </c>
      <c r="J307" s="14">
        <f>IF(Table1[[#This Row],[Weight Unit]]="oz",Table1[[#This Row],[Weight (Digits)]]/16, Table1[[#This Row],[Weight (Digits)]]/1)</f>
        <v>280</v>
      </c>
      <c r="K30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200-299</v>
      </c>
      <c r="L307" s="1" t="s">
        <v>2</v>
      </c>
      <c r="M307" s="1" t="str">
        <f>IF(COUNTIF(Table2[Animal],Table1[[#This Row],[Animal]]) = 1, "Previous Participant", "New Participant")</f>
        <v>Previous Participant</v>
      </c>
      <c r="N307" s="1" t="str">
        <f>_xlfn.XLOOKUP(Table1[[#This Row],[Region]],'Support - Tables'!$B$3:$B$10,'Support - Tables'!$D$3:$D$10,"Not Found",0)</f>
        <v>Air</v>
      </c>
      <c r="O307" s="6">
        <f>_xlfn.XLOOKUP(Table1[[#This Row],[Region]],'Support - Tables'!$B$3:$B$10,'Support - Tables'!$C$3:$C$10, "Not Found",0)</f>
        <v>600</v>
      </c>
      <c r="P307" s="6">
        <f>_xlfn.XLOOKUP(Table1[[#This Row],[Diet]],'Support - Tables'!$B$14:$B$16,'Support - Tables'!$C$14:$C$16, "Not Found", 0)</f>
        <v>300</v>
      </c>
      <c r="Q307" s="6">
        <f>Table1[[#This Row],[Revenue]]-Table1[[#This Row],[Cost]]</f>
        <v>300</v>
      </c>
      <c r="R307" s="6">
        <f>COUNTBLANK(Table1[[#This Row],[Diet]:[Region]])</f>
        <v>0</v>
      </c>
      <c r="S307" s="6"/>
      <c r="T307" s="6"/>
    </row>
    <row r="308" spans="1:20" x14ac:dyDescent="0.25">
      <c r="A308" s="2" t="s">
        <v>363</v>
      </c>
      <c r="B308" s="1" t="s">
        <v>15</v>
      </c>
      <c r="C308" s="1">
        <v>80</v>
      </c>
      <c r="D308" s="1" t="s">
        <v>706</v>
      </c>
      <c r="E308" s="1">
        <f>IF(Table1[[#This Row],[Lifespan Unit]]="months", Table1[[#This Row],[Lifespan]]/12,Table1[[#This Row],[Lifespan]])</f>
        <v>80</v>
      </c>
      <c r="F308" s="1" t="s">
        <v>599</v>
      </c>
      <c r="G308" s="1" t="str">
        <f t="shared" si="8"/>
        <v>2.2</v>
      </c>
      <c r="H308" s="1" t="str">
        <f t="shared" si="9"/>
        <v>lbs</v>
      </c>
      <c r="I308" s="1" t="str">
        <f>IF(Table1[[#This Row],[Lifespan (Years)]]&lt;25, "&lt;25", IF(Table1[[#This Row],[Lifespan (Years)]]&lt;50, "25-49", IF(Table1[[#This Row],[Lifespan (Years)]]&lt;75, "50-74", IF(Table1[[#This Row],[Lifespan (Years)]]&lt;100, "75-99", "&gt;=100"))))</f>
        <v>75-99</v>
      </c>
      <c r="J308" s="14">
        <f>IF(Table1[[#This Row],[Weight Unit]]="oz",Table1[[#This Row],[Weight (Digits)]]/16, Table1[[#This Row],[Weight (Digits)]]/1)</f>
        <v>2.2000000000000002</v>
      </c>
      <c r="K30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08" s="1" t="s">
        <v>2</v>
      </c>
      <c r="M308" s="1" t="str">
        <f>IF(COUNTIF(Table2[Animal],Table1[[#This Row],[Animal]]) = 1, "Previous Participant", "New Participant")</f>
        <v>Previous Participant</v>
      </c>
      <c r="N308" s="1" t="str">
        <f>_xlfn.XLOOKUP(Table1[[#This Row],[Region]],'Support - Tables'!$B$3:$B$10,'Support - Tables'!$D$3:$D$10,"Not Found",0)</f>
        <v>Air</v>
      </c>
      <c r="O308" s="6">
        <f>_xlfn.XLOOKUP(Table1[[#This Row],[Region]],'Support - Tables'!$B$3:$B$10,'Support - Tables'!$C$3:$C$10, "Not Found",0)</f>
        <v>600</v>
      </c>
      <c r="P308" s="6">
        <f>_xlfn.XLOOKUP(Table1[[#This Row],[Diet]],'Support - Tables'!$B$14:$B$16,'Support - Tables'!$C$14:$C$16, "Not Found", 0)</f>
        <v>500</v>
      </c>
      <c r="Q308" s="6">
        <f>Table1[[#This Row],[Revenue]]-Table1[[#This Row],[Cost]]</f>
        <v>100</v>
      </c>
      <c r="R308" s="6">
        <f>COUNTBLANK(Table1[[#This Row],[Diet]:[Region]])</f>
        <v>0</v>
      </c>
      <c r="S308" s="6"/>
      <c r="T308" s="6"/>
    </row>
    <row r="309" spans="1:20" x14ac:dyDescent="0.25">
      <c r="A309" s="2" t="s">
        <v>364</v>
      </c>
      <c r="B309" s="1" t="s">
        <v>15</v>
      </c>
      <c r="C309" s="1">
        <v>60</v>
      </c>
      <c r="D309" s="1" t="s">
        <v>706</v>
      </c>
      <c r="E309" s="1">
        <f>IF(Table1[[#This Row],[Lifespan Unit]]="months", Table1[[#This Row],[Lifespan]]/12,Table1[[#This Row],[Lifespan]])</f>
        <v>60</v>
      </c>
      <c r="F309" s="1" t="s">
        <v>607</v>
      </c>
      <c r="G309" s="1" t="str">
        <f t="shared" si="8"/>
        <v>3.5</v>
      </c>
      <c r="H309" s="1" t="str">
        <f t="shared" si="9"/>
        <v>oz</v>
      </c>
      <c r="I309" s="1" t="str">
        <f>IF(Table1[[#This Row],[Lifespan (Years)]]&lt;25, "&lt;25", IF(Table1[[#This Row],[Lifespan (Years)]]&lt;50, "25-49", IF(Table1[[#This Row],[Lifespan (Years)]]&lt;75, "50-74", IF(Table1[[#This Row],[Lifespan (Years)]]&lt;100, "75-99", "&gt;=100"))))</f>
        <v>50-74</v>
      </c>
      <c r="J309" s="14">
        <f>IF(Table1[[#This Row],[Weight Unit]]="oz",Table1[[#This Row],[Weight (Digits)]]/16, Table1[[#This Row],[Weight (Digits)]]/1)</f>
        <v>0.21875</v>
      </c>
      <c r="K30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09" s="1" t="s">
        <v>1</v>
      </c>
      <c r="M309" s="1" t="str">
        <f>IF(COUNTIF(Table2[Animal],Table1[[#This Row],[Animal]]) = 1, "Previous Participant", "New Participant")</f>
        <v>Previous Participant</v>
      </c>
      <c r="N309" s="1" t="str">
        <f>_xlfn.XLOOKUP(Table1[[#This Row],[Region]],'Support - Tables'!$B$3:$B$10,'Support - Tables'!$D$3:$D$10,"Not Found",0)</f>
        <v>Air</v>
      </c>
      <c r="O309" s="6">
        <f>_xlfn.XLOOKUP(Table1[[#This Row],[Region]],'Support - Tables'!$B$3:$B$10,'Support - Tables'!$C$3:$C$10, "Not Found",0)</f>
        <v>700</v>
      </c>
      <c r="P309" s="6">
        <f>_xlfn.XLOOKUP(Table1[[#This Row],[Diet]],'Support - Tables'!$B$14:$B$16,'Support - Tables'!$C$14:$C$16, "Not Found", 0)</f>
        <v>500</v>
      </c>
      <c r="Q309" s="6">
        <f>Table1[[#This Row],[Revenue]]-Table1[[#This Row],[Cost]]</f>
        <v>200</v>
      </c>
      <c r="R309" s="6">
        <f>COUNTBLANK(Table1[[#This Row],[Diet]:[Region]])</f>
        <v>0</v>
      </c>
      <c r="S309" s="6"/>
      <c r="T309" s="6"/>
    </row>
    <row r="310" spans="1:20" x14ac:dyDescent="0.25">
      <c r="A310" s="2" t="s">
        <v>365</v>
      </c>
      <c r="B310" s="1" t="s">
        <v>15</v>
      </c>
      <c r="C310" s="1">
        <v>20</v>
      </c>
      <c r="D310" s="1" t="s">
        <v>706</v>
      </c>
      <c r="E310" s="1">
        <f>IF(Table1[[#This Row],[Lifespan Unit]]="months", Table1[[#This Row],[Lifespan]]/12,Table1[[#This Row],[Lifespan]])</f>
        <v>20</v>
      </c>
      <c r="F310" s="1" t="s">
        <v>249</v>
      </c>
      <c r="G310" s="1" t="str">
        <f t="shared" si="8"/>
        <v>22</v>
      </c>
      <c r="H310" s="1" t="str">
        <f t="shared" si="9"/>
        <v>lbs</v>
      </c>
      <c r="I310" s="1" t="str">
        <f>IF(Table1[[#This Row],[Lifespan (Years)]]&lt;25, "&lt;25", IF(Table1[[#This Row],[Lifespan (Years)]]&lt;50, "25-49", IF(Table1[[#This Row],[Lifespan (Years)]]&lt;75, "50-74", IF(Table1[[#This Row],[Lifespan (Years)]]&lt;100, "75-99", "&gt;=100"))))</f>
        <v>&lt;25</v>
      </c>
      <c r="J310" s="14">
        <f>IF(Table1[[#This Row],[Weight Unit]]="oz",Table1[[#This Row],[Weight (Digits)]]/16, Table1[[#This Row],[Weight (Digits)]]/1)</f>
        <v>22</v>
      </c>
      <c r="K31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10" s="1" t="s">
        <v>1</v>
      </c>
      <c r="M310" s="1" t="str">
        <f>IF(COUNTIF(Table2[Animal],Table1[[#This Row],[Animal]]) = 1, "Previous Participant", "New Participant")</f>
        <v>Previous Participant</v>
      </c>
      <c r="N310" s="1" t="str">
        <f>_xlfn.XLOOKUP(Table1[[#This Row],[Region]],'Support - Tables'!$B$3:$B$10,'Support - Tables'!$D$3:$D$10,"Not Found",0)</f>
        <v>Air</v>
      </c>
      <c r="O310" s="6">
        <f>_xlfn.XLOOKUP(Table1[[#This Row],[Region]],'Support - Tables'!$B$3:$B$10,'Support - Tables'!$C$3:$C$10, "Not Found",0)</f>
        <v>700</v>
      </c>
      <c r="P310" s="6">
        <f>_xlfn.XLOOKUP(Table1[[#This Row],[Diet]],'Support - Tables'!$B$14:$B$16,'Support - Tables'!$C$14:$C$16, "Not Found", 0)</f>
        <v>500</v>
      </c>
      <c r="Q310" s="6">
        <f>Table1[[#This Row],[Revenue]]-Table1[[#This Row],[Cost]]</f>
        <v>200</v>
      </c>
      <c r="R310" s="6">
        <f>COUNTBLANK(Table1[[#This Row],[Diet]:[Region]])</f>
        <v>0</v>
      </c>
      <c r="S310" s="6"/>
      <c r="T310" s="6"/>
    </row>
    <row r="311" spans="1:20" x14ac:dyDescent="0.25">
      <c r="A311" s="2" t="s">
        <v>366</v>
      </c>
      <c r="B311" s="1" t="s">
        <v>15</v>
      </c>
      <c r="C311" s="1">
        <v>20</v>
      </c>
      <c r="D311" s="1" t="s">
        <v>706</v>
      </c>
      <c r="E311" s="1">
        <f>IF(Table1[[#This Row],[Lifespan Unit]]="months", Table1[[#This Row],[Lifespan]]/12,Table1[[#This Row],[Lifespan]])</f>
        <v>20</v>
      </c>
      <c r="F311" s="1" t="s">
        <v>373</v>
      </c>
      <c r="G311" s="1" t="str">
        <f t="shared" si="8"/>
        <v>7</v>
      </c>
      <c r="H311" s="1" t="str">
        <f t="shared" si="9"/>
        <v>lbs</v>
      </c>
      <c r="I311" s="1" t="str">
        <f>IF(Table1[[#This Row],[Lifespan (Years)]]&lt;25, "&lt;25", IF(Table1[[#This Row],[Lifespan (Years)]]&lt;50, "25-49", IF(Table1[[#This Row],[Lifespan (Years)]]&lt;75, "50-74", IF(Table1[[#This Row],[Lifespan (Years)]]&lt;100, "75-99", "&gt;=100"))))</f>
        <v>&lt;25</v>
      </c>
      <c r="J311" s="14">
        <f>IF(Table1[[#This Row],[Weight Unit]]="oz",Table1[[#This Row],[Weight (Digits)]]/16, Table1[[#This Row],[Weight (Digits)]]/1)</f>
        <v>7</v>
      </c>
      <c r="K31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11" s="1" t="s">
        <v>724</v>
      </c>
      <c r="M311" s="1" t="str">
        <f>IF(COUNTIF(Table2[Animal],Table1[[#This Row],[Animal]]) = 1, "Previous Participant", "New Participant")</f>
        <v>Previous Participant</v>
      </c>
      <c r="N311" s="1" t="str">
        <f>_xlfn.XLOOKUP(Table1[[#This Row],[Region]],'Support - Tables'!$B$3:$B$10,'Support - Tables'!$D$3:$D$10,"Not Found",0)</f>
        <v>Road</v>
      </c>
      <c r="O311" s="6">
        <f>_xlfn.XLOOKUP(Table1[[#This Row],[Region]],'Support - Tables'!$B$3:$B$10,'Support - Tables'!$C$3:$C$10, "Not Found",0)</f>
        <v>450</v>
      </c>
      <c r="P311" s="6">
        <f>_xlfn.XLOOKUP(Table1[[#This Row],[Diet]],'Support - Tables'!$B$14:$B$16,'Support - Tables'!$C$14:$C$16, "Not Found", 0)</f>
        <v>500</v>
      </c>
      <c r="Q311" s="6">
        <f>Table1[[#This Row],[Revenue]]-Table1[[#This Row],[Cost]]</f>
        <v>-50</v>
      </c>
      <c r="R311" s="6">
        <f>COUNTBLANK(Table1[[#This Row],[Diet]:[Region]])</f>
        <v>0</v>
      </c>
      <c r="S311" s="6"/>
      <c r="T311" s="6"/>
    </row>
    <row r="312" spans="1:20" x14ac:dyDescent="0.25">
      <c r="A312" s="2" t="s">
        <v>367</v>
      </c>
      <c r="B312" s="1" t="s">
        <v>13</v>
      </c>
      <c r="C312" s="1">
        <v>60</v>
      </c>
      <c r="D312" s="1" t="s">
        <v>706</v>
      </c>
      <c r="E312" s="1">
        <f>IF(Table1[[#This Row],[Lifespan Unit]]="months", Table1[[#This Row],[Lifespan]]/12,Table1[[#This Row],[Lifespan]])</f>
        <v>60</v>
      </c>
      <c r="F312" s="1" t="s">
        <v>590</v>
      </c>
      <c r="G312" s="1" t="str">
        <f t="shared" si="8"/>
        <v>2</v>
      </c>
      <c r="H312" s="1" t="str">
        <f t="shared" si="9"/>
        <v>lbs</v>
      </c>
      <c r="I312" s="1" t="str">
        <f>IF(Table1[[#This Row],[Lifespan (Years)]]&lt;25, "&lt;25", IF(Table1[[#This Row],[Lifespan (Years)]]&lt;50, "25-49", IF(Table1[[#This Row],[Lifespan (Years)]]&lt;75, "50-74", IF(Table1[[#This Row],[Lifespan (Years)]]&lt;100, "75-99", "&gt;=100"))))</f>
        <v>50-74</v>
      </c>
      <c r="J312" s="14">
        <f>IF(Table1[[#This Row],[Weight Unit]]="oz",Table1[[#This Row],[Weight (Digits)]]/16, Table1[[#This Row],[Weight (Digits)]]/1)</f>
        <v>2</v>
      </c>
      <c r="K31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12" s="1" t="s">
        <v>725</v>
      </c>
      <c r="M312" s="1" t="str">
        <f>IF(COUNTIF(Table2[Animal],Table1[[#This Row],[Animal]]) = 1, "Previous Participant", "New Participant")</f>
        <v>New Participant</v>
      </c>
      <c r="N312" s="1" t="str">
        <f>_xlfn.XLOOKUP(Table1[[#This Row],[Region]],'Support - Tables'!$B$3:$B$10,'Support - Tables'!$D$3:$D$10,"Not Found",0)</f>
        <v>Air</v>
      </c>
      <c r="O312" s="6">
        <f>_xlfn.XLOOKUP(Table1[[#This Row],[Region]],'Support - Tables'!$B$3:$B$10,'Support - Tables'!$C$3:$C$10, "Not Found",0)</f>
        <v>600</v>
      </c>
      <c r="P312" s="6">
        <f>_xlfn.XLOOKUP(Table1[[#This Row],[Diet]],'Support - Tables'!$B$14:$B$16,'Support - Tables'!$C$14:$C$16, "Not Found", 0)</f>
        <v>400</v>
      </c>
      <c r="Q312" s="6">
        <f>Table1[[#This Row],[Revenue]]-Table1[[#This Row],[Cost]]</f>
        <v>200</v>
      </c>
      <c r="R312" s="6">
        <f>COUNTBLANK(Table1[[#This Row],[Diet]:[Region]])</f>
        <v>0</v>
      </c>
      <c r="S312" s="6"/>
      <c r="T312" s="6"/>
    </row>
    <row r="313" spans="1:20" x14ac:dyDescent="0.25">
      <c r="A313" s="2" t="s">
        <v>368</v>
      </c>
      <c r="B313" s="1" t="s">
        <v>15</v>
      </c>
      <c r="C313" s="1">
        <v>20</v>
      </c>
      <c r="D313" s="1" t="s">
        <v>706</v>
      </c>
      <c r="E313" s="1">
        <f>IF(Table1[[#This Row],[Lifespan Unit]]="months", Table1[[#This Row],[Lifespan]]/12,Table1[[#This Row],[Lifespan]])</f>
        <v>20</v>
      </c>
      <c r="F313" s="1" t="s">
        <v>650</v>
      </c>
      <c r="G313" s="1" t="str">
        <f t="shared" si="8"/>
        <v>5.9</v>
      </c>
      <c r="H313" s="1" t="str">
        <f t="shared" si="9"/>
        <v>lbs</v>
      </c>
      <c r="I313" s="1" t="str">
        <f>IF(Table1[[#This Row],[Lifespan (Years)]]&lt;25, "&lt;25", IF(Table1[[#This Row],[Lifespan (Years)]]&lt;50, "25-49", IF(Table1[[#This Row],[Lifespan (Years)]]&lt;75, "50-74", IF(Table1[[#This Row],[Lifespan (Years)]]&lt;100, "75-99", "&gt;=100"))))</f>
        <v>&lt;25</v>
      </c>
      <c r="J313" s="14">
        <f>IF(Table1[[#This Row],[Weight Unit]]="oz",Table1[[#This Row],[Weight (Digits)]]/16, Table1[[#This Row],[Weight (Digits)]]/1)</f>
        <v>5.9</v>
      </c>
      <c r="K31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13" s="1" t="s">
        <v>5</v>
      </c>
      <c r="M313" s="1" t="str">
        <f>IF(COUNTIF(Table2[Animal],Table1[[#This Row],[Animal]]) = 1, "Previous Participant", "New Participant")</f>
        <v>Previous Participant</v>
      </c>
      <c r="N313" s="1" t="str">
        <f>_xlfn.XLOOKUP(Table1[[#This Row],[Region]],'Support - Tables'!$B$3:$B$10,'Support - Tables'!$D$3:$D$10,"Not Found",0)</f>
        <v>Boat</v>
      </c>
      <c r="O313" s="6">
        <f>_xlfn.XLOOKUP(Table1[[#This Row],[Region]],'Support - Tables'!$B$3:$B$10,'Support - Tables'!$C$3:$C$10, "Not Found",0)</f>
        <v>400</v>
      </c>
      <c r="P313" s="6">
        <f>_xlfn.XLOOKUP(Table1[[#This Row],[Diet]],'Support - Tables'!$B$14:$B$16,'Support - Tables'!$C$14:$C$16, "Not Found", 0)</f>
        <v>500</v>
      </c>
      <c r="Q313" s="6">
        <f>Table1[[#This Row],[Revenue]]-Table1[[#This Row],[Cost]]</f>
        <v>-100</v>
      </c>
      <c r="R313" s="6">
        <f>COUNTBLANK(Table1[[#This Row],[Diet]:[Region]])</f>
        <v>0</v>
      </c>
      <c r="S313" s="6"/>
      <c r="T313" s="6"/>
    </row>
    <row r="314" spans="1:20" x14ac:dyDescent="0.25">
      <c r="A314" s="2" t="s">
        <v>369</v>
      </c>
      <c r="B314" s="1" t="s">
        <v>13</v>
      </c>
      <c r="C314" s="1">
        <v>15</v>
      </c>
      <c r="D314" s="1" t="s">
        <v>706</v>
      </c>
      <c r="E314" s="1">
        <f>IF(Table1[[#This Row],[Lifespan Unit]]="months", Table1[[#This Row],[Lifespan]]/12,Table1[[#This Row],[Lifespan]])</f>
        <v>15</v>
      </c>
      <c r="F314" s="1" t="s">
        <v>633</v>
      </c>
      <c r="G314" s="1" t="str">
        <f t="shared" si="8"/>
        <v>7</v>
      </c>
      <c r="H314" s="1" t="str">
        <f t="shared" si="9"/>
        <v>oz</v>
      </c>
      <c r="I314" s="1" t="str">
        <f>IF(Table1[[#This Row],[Lifespan (Years)]]&lt;25, "&lt;25", IF(Table1[[#This Row],[Lifespan (Years)]]&lt;50, "25-49", IF(Table1[[#This Row],[Lifespan (Years)]]&lt;75, "50-74", IF(Table1[[#This Row],[Lifespan (Years)]]&lt;100, "75-99", "&gt;=100"))))</f>
        <v>&lt;25</v>
      </c>
      <c r="J314" s="14">
        <f>IF(Table1[[#This Row],[Weight Unit]]="oz",Table1[[#This Row],[Weight (Digits)]]/16, Table1[[#This Row],[Weight (Digits)]]/1)</f>
        <v>0.4375</v>
      </c>
      <c r="K31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14" s="1" t="s">
        <v>5</v>
      </c>
      <c r="M314" s="1" t="str">
        <f>IF(COUNTIF(Table2[Animal],Table1[[#This Row],[Animal]]) = 1, "Previous Participant", "New Participant")</f>
        <v>New Participant</v>
      </c>
      <c r="N314" s="1" t="str">
        <f>_xlfn.XLOOKUP(Table1[[#This Row],[Region]],'Support - Tables'!$B$3:$B$10,'Support - Tables'!$D$3:$D$10,"Not Found",0)</f>
        <v>Boat</v>
      </c>
      <c r="O314" s="6">
        <f>_xlfn.XLOOKUP(Table1[[#This Row],[Region]],'Support - Tables'!$B$3:$B$10,'Support - Tables'!$C$3:$C$10, "Not Found",0)</f>
        <v>400</v>
      </c>
      <c r="P314" s="6">
        <f>_xlfn.XLOOKUP(Table1[[#This Row],[Diet]],'Support - Tables'!$B$14:$B$16,'Support - Tables'!$C$14:$C$16, "Not Found", 0)</f>
        <v>400</v>
      </c>
      <c r="Q314" s="6">
        <f>Table1[[#This Row],[Revenue]]-Table1[[#This Row],[Cost]]</f>
        <v>0</v>
      </c>
      <c r="R314" s="6">
        <f>COUNTBLANK(Table1[[#This Row],[Diet]:[Region]])</f>
        <v>0</v>
      </c>
      <c r="S314" s="6"/>
      <c r="T314" s="6"/>
    </row>
    <row r="315" spans="1:20" x14ac:dyDescent="0.25">
      <c r="A315" s="2" t="s">
        <v>370</v>
      </c>
      <c r="B315" s="1" t="s">
        <v>15</v>
      </c>
      <c r="C315" s="1">
        <v>12</v>
      </c>
      <c r="D315" s="1" t="s">
        <v>706</v>
      </c>
      <c r="E315" s="1">
        <f>IF(Table1[[#This Row],[Lifespan Unit]]="months", Table1[[#This Row],[Lifespan]]/12,Table1[[#This Row],[Lifespan]])</f>
        <v>12</v>
      </c>
      <c r="F315" s="1" t="s">
        <v>131</v>
      </c>
      <c r="G315" s="1" t="str">
        <f t="shared" si="8"/>
        <v>25</v>
      </c>
      <c r="H315" s="1" t="str">
        <f t="shared" si="9"/>
        <v>lbs</v>
      </c>
      <c r="I315" s="1" t="str">
        <f>IF(Table1[[#This Row],[Lifespan (Years)]]&lt;25, "&lt;25", IF(Table1[[#This Row],[Lifespan (Years)]]&lt;50, "25-49", IF(Table1[[#This Row],[Lifespan (Years)]]&lt;75, "50-74", IF(Table1[[#This Row],[Lifespan (Years)]]&lt;100, "75-99", "&gt;=100"))))</f>
        <v>&lt;25</v>
      </c>
      <c r="J315" s="14">
        <f>IF(Table1[[#This Row],[Weight Unit]]="oz",Table1[[#This Row],[Weight (Digits)]]/16, Table1[[#This Row],[Weight (Digits)]]/1)</f>
        <v>25</v>
      </c>
      <c r="K31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15" s="1" t="s">
        <v>5</v>
      </c>
      <c r="M315" s="1" t="str">
        <f>IF(COUNTIF(Table2[Animal],Table1[[#This Row],[Animal]]) = 1, "Previous Participant", "New Participant")</f>
        <v>New Participant</v>
      </c>
      <c r="N315" s="1" t="str">
        <f>_xlfn.XLOOKUP(Table1[[#This Row],[Region]],'Support - Tables'!$B$3:$B$10,'Support - Tables'!$D$3:$D$10,"Not Found",0)</f>
        <v>Boat</v>
      </c>
      <c r="O315" s="6">
        <f>_xlfn.XLOOKUP(Table1[[#This Row],[Region]],'Support - Tables'!$B$3:$B$10,'Support - Tables'!$C$3:$C$10, "Not Found",0)</f>
        <v>400</v>
      </c>
      <c r="P315" s="6">
        <f>_xlfn.XLOOKUP(Table1[[#This Row],[Diet]],'Support - Tables'!$B$14:$B$16,'Support - Tables'!$C$14:$C$16, "Not Found", 0)</f>
        <v>500</v>
      </c>
      <c r="Q315" s="6">
        <f>Table1[[#This Row],[Revenue]]-Table1[[#This Row],[Cost]]</f>
        <v>-100</v>
      </c>
      <c r="R315" s="6">
        <f>COUNTBLANK(Table1[[#This Row],[Diet]:[Region]])</f>
        <v>0</v>
      </c>
      <c r="S315" s="6"/>
      <c r="T315" s="6"/>
    </row>
    <row r="316" spans="1:20" x14ac:dyDescent="0.25">
      <c r="A316" s="2" t="s">
        <v>371</v>
      </c>
      <c r="B316" s="1" t="s">
        <v>15</v>
      </c>
      <c r="C316" s="1">
        <v>25</v>
      </c>
      <c r="D316" s="1" t="s">
        <v>706</v>
      </c>
      <c r="E316" s="1">
        <f>IF(Table1[[#This Row],[Lifespan Unit]]="months", Table1[[#This Row],[Lifespan]]/12,Table1[[#This Row],[Lifespan]])</f>
        <v>25</v>
      </c>
      <c r="F316" s="1" t="s">
        <v>611</v>
      </c>
      <c r="G316" s="1" t="str">
        <f t="shared" si="8"/>
        <v>176</v>
      </c>
      <c r="H316" s="1" t="str">
        <f t="shared" si="9"/>
        <v>lbs</v>
      </c>
      <c r="I316" s="1" t="str">
        <f>IF(Table1[[#This Row],[Lifespan (Years)]]&lt;25, "&lt;25", IF(Table1[[#This Row],[Lifespan (Years)]]&lt;50, "25-49", IF(Table1[[#This Row],[Lifespan (Years)]]&lt;75, "50-74", IF(Table1[[#This Row],[Lifespan (Years)]]&lt;100, "75-99", "&gt;=100"))))</f>
        <v>25-49</v>
      </c>
      <c r="J316" s="14">
        <f>IF(Table1[[#This Row],[Weight Unit]]="oz",Table1[[#This Row],[Weight (Digits)]]/16, Table1[[#This Row],[Weight (Digits)]]/1)</f>
        <v>176</v>
      </c>
      <c r="K31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316" s="1" t="s">
        <v>5</v>
      </c>
      <c r="M316" s="1" t="str">
        <f>IF(COUNTIF(Table2[Animal],Table1[[#This Row],[Animal]]) = 1, "Previous Participant", "New Participant")</f>
        <v>Previous Participant</v>
      </c>
      <c r="N316" s="1" t="str">
        <f>_xlfn.XLOOKUP(Table1[[#This Row],[Region]],'Support - Tables'!$B$3:$B$10,'Support - Tables'!$D$3:$D$10,"Not Found",0)</f>
        <v>Boat</v>
      </c>
      <c r="O316" s="6">
        <f>_xlfn.XLOOKUP(Table1[[#This Row],[Region]],'Support - Tables'!$B$3:$B$10,'Support - Tables'!$C$3:$C$10, "Not Found",0)</f>
        <v>400</v>
      </c>
      <c r="P316" s="6">
        <f>_xlfn.XLOOKUP(Table1[[#This Row],[Diet]],'Support - Tables'!$B$14:$B$16,'Support - Tables'!$C$14:$C$16, "Not Found", 0)</f>
        <v>500</v>
      </c>
      <c r="Q316" s="6">
        <f>Table1[[#This Row],[Revenue]]-Table1[[#This Row],[Cost]]</f>
        <v>-100</v>
      </c>
      <c r="R316" s="6">
        <f>COUNTBLANK(Table1[[#This Row],[Diet]:[Region]])</f>
        <v>0</v>
      </c>
      <c r="S316" s="6"/>
      <c r="T316" s="6"/>
    </row>
    <row r="317" spans="1:20" x14ac:dyDescent="0.25">
      <c r="A317" s="2" t="s">
        <v>372</v>
      </c>
      <c r="B317" s="1" t="s">
        <v>15</v>
      </c>
      <c r="C317" s="1">
        <v>17</v>
      </c>
      <c r="D317" s="1" t="s">
        <v>706</v>
      </c>
      <c r="E317" s="1">
        <f>IF(Table1[[#This Row],[Lifespan Unit]]="months", Table1[[#This Row],[Lifespan]]/12,Table1[[#This Row],[Lifespan]])</f>
        <v>17</v>
      </c>
      <c r="F317" s="1" t="s">
        <v>373</v>
      </c>
      <c r="G317" s="1" t="str">
        <f t="shared" si="8"/>
        <v>7</v>
      </c>
      <c r="H317" s="1" t="str">
        <f t="shared" si="9"/>
        <v>lbs</v>
      </c>
      <c r="I317" s="1" t="str">
        <f>IF(Table1[[#This Row],[Lifespan (Years)]]&lt;25, "&lt;25", IF(Table1[[#This Row],[Lifespan (Years)]]&lt;50, "25-49", IF(Table1[[#This Row],[Lifespan (Years)]]&lt;75, "50-74", IF(Table1[[#This Row],[Lifespan (Years)]]&lt;100, "75-99", "&gt;=100"))))</f>
        <v>&lt;25</v>
      </c>
      <c r="J317" s="14">
        <f>IF(Table1[[#This Row],[Weight Unit]]="oz",Table1[[#This Row],[Weight (Digits)]]/16, Table1[[#This Row],[Weight (Digits)]]/1)</f>
        <v>7</v>
      </c>
      <c r="K31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17" s="1" t="s">
        <v>724</v>
      </c>
      <c r="M317" s="1" t="str">
        <f>IF(COUNTIF(Table2[Animal],Table1[[#This Row],[Animal]]) = 1, "Previous Participant", "New Participant")</f>
        <v>Previous Participant</v>
      </c>
      <c r="N317" s="1" t="str">
        <f>_xlfn.XLOOKUP(Table1[[#This Row],[Region]],'Support - Tables'!$B$3:$B$10,'Support - Tables'!$D$3:$D$10,"Not Found",0)</f>
        <v>Road</v>
      </c>
      <c r="O317" s="6">
        <f>_xlfn.XLOOKUP(Table1[[#This Row],[Region]],'Support - Tables'!$B$3:$B$10,'Support - Tables'!$C$3:$C$10, "Not Found",0)</f>
        <v>450</v>
      </c>
      <c r="P317" s="6">
        <f>_xlfn.XLOOKUP(Table1[[#This Row],[Diet]],'Support - Tables'!$B$14:$B$16,'Support - Tables'!$C$14:$C$16, "Not Found", 0)</f>
        <v>500</v>
      </c>
      <c r="Q317" s="6">
        <f>Table1[[#This Row],[Revenue]]-Table1[[#This Row],[Cost]]</f>
        <v>-50</v>
      </c>
      <c r="R317" s="6">
        <f>COUNTBLANK(Table1[[#This Row],[Diet]:[Region]])</f>
        <v>0</v>
      </c>
      <c r="S317" s="6"/>
      <c r="T317" s="6"/>
    </row>
    <row r="318" spans="1:20" x14ac:dyDescent="0.25">
      <c r="A318" s="2" t="s">
        <v>374</v>
      </c>
      <c r="B318" s="1" t="s">
        <v>23</v>
      </c>
      <c r="C318" s="1">
        <v>70</v>
      </c>
      <c r="D318" s="1" t="s">
        <v>706</v>
      </c>
      <c r="E318" s="1">
        <f>IF(Table1[[#This Row],[Lifespan Unit]]="months", Table1[[#This Row],[Lifespan]]/12,Table1[[#This Row],[Lifespan]])</f>
        <v>70</v>
      </c>
      <c r="F318" s="1" t="s">
        <v>651</v>
      </c>
      <c r="G318" s="1" t="str">
        <f t="shared" si="8"/>
        <v>800</v>
      </c>
      <c r="H318" s="1" t="str">
        <f t="shared" si="9"/>
        <v>lbs</v>
      </c>
      <c r="I318" s="1" t="str">
        <f>IF(Table1[[#This Row],[Lifespan (Years)]]&lt;25, "&lt;25", IF(Table1[[#This Row],[Lifespan (Years)]]&lt;50, "25-49", IF(Table1[[#This Row],[Lifespan (Years)]]&lt;75, "50-74", IF(Table1[[#This Row],[Lifespan (Years)]]&lt;100, "75-99", "&gt;=100"))))</f>
        <v>50-74</v>
      </c>
      <c r="J318" s="14">
        <f>IF(Table1[[#This Row],[Weight Unit]]="oz",Table1[[#This Row],[Weight (Digits)]]/16, Table1[[#This Row],[Weight (Digits)]]/1)</f>
        <v>800</v>
      </c>
      <c r="K31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318" s="1" t="s">
        <v>5</v>
      </c>
      <c r="M318" s="1" t="str">
        <f>IF(COUNTIF(Table2[Animal],Table1[[#This Row],[Animal]]) = 1, "Previous Participant", "New Participant")</f>
        <v>Previous Participant</v>
      </c>
      <c r="N318" s="1" t="str">
        <f>_xlfn.XLOOKUP(Table1[[#This Row],[Region]],'Support - Tables'!$B$3:$B$10,'Support - Tables'!$D$3:$D$10,"Not Found",0)</f>
        <v>Boat</v>
      </c>
      <c r="O318" s="6">
        <f>_xlfn.XLOOKUP(Table1[[#This Row],[Region]],'Support - Tables'!$B$3:$B$10,'Support - Tables'!$C$3:$C$10, "Not Found",0)</f>
        <v>400</v>
      </c>
      <c r="P318" s="6">
        <f>_xlfn.XLOOKUP(Table1[[#This Row],[Diet]],'Support - Tables'!$B$14:$B$16,'Support - Tables'!$C$14:$C$16, "Not Found", 0)</f>
        <v>300</v>
      </c>
      <c r="Q318" s="6">
        <f>Table1[[#This Row],[Revenue]]-Table1[[#This Row],[Cost]]</f>
        <v>100</v>
      </c>
      <c r="R318" s="6">
        <f>COUNTBLANK(Table1[[#This Row],[Diet]:[Region]])</f>
        <v>0</v>
      </c>
      <c r="S318" s="6"/>
      <c r="T318" s="6"/>
    </row>
    <row r="319" spans="1:20" x14ac:dyDescent="0.25">
      <c r="A319" s="2" t="s">
        <v>375</v>
      </c>
      <c r="B319" s="1" t="s">
        <v>13</v>
      </c>
      <c r="C319" s="1">
        <v>28</v>
      </c>
      <c r="D319" s="1" t="s">
        <v>706</v>
      </c>
      <c r="E319" s="1">
        <f>IF(Table1[[#This Row],[Lifespan Unit]]="months", Table1[[#This Row],[Lifespan]]/12,Table1[[#This Row],[Lifespan]])</f>
        <v>28</v>
      </c>
      <c r="F319" s="1" t="s">
        <v>131</v>
      </c>
      <c r="G319" s="1" t="str">
        <f t="shared" si="8"/>
        <v>25</v>
      </c>
      <c r="H319" s="1" t="str">
        <f t="shared" si="9"/>
        <v>lbs</v>
      </c>
      <c r="I319" s="1" t="str">
        <f>IF(Table1[[#This Row],[Lifespan (Years)]]&lt;25, "&lt;25", IF(Table1[[#This Row],[Lifespan (Years)]]&lt;50, "25-49", IF(Table1[[#This Row],[Lifespan (Years)]]&lt;75, "50-74", IF(Table1[[#This Row],[Lifespan (Years)]]&lt;100, "75-99", "&gt;=100"))))</f>
        <v>25-49</v>
      </c>
      <c r="J319" s="14">
        <f>IF(Table1[[#This Row],[Weight Unit]]="oz",Table1[[#This Row],[Weight (Digits)]]/16, Table1[[#This Row],[Weight (Digits)]]/1)</f>
        <v>25</v>
      </c>
      <c r="K31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19" s="1" t="s">
        <v>724</v>
      </c>
      <c r="M319" s="1" t="str">
        <f>IF(COUNTIF(Table2[Animal],Table1[[#This Row],[Animal]]) = 1, "Previous Participant", "New Participant")</f>
        <v>Previous Participant</v>
      </c>
      <c r="N319" s="1" t="str">
        <f>_xlfn.XLOOKUP(Table1[[#This Row],[Region]],'Support - Tables'!$B$3:$B$10,'Support - Tables'!$D$3:$D$10,"Not Found",0)</f>
        <v>Road</v>
      </c>
      <c r="O319" s="6">
        <f>_xlfn.XLOOKUP(Table1[[#This Row],[Region]],'Support - Tables'!$B$3:$B$10,'Support - Tables'!$C$3:$C$10, "Not Found",0)</f>
        <v>450</v>
      </c>
      <c r="P319" s="6">
        <f>_xlfn.XLOOKUP(Table1[[#This Row],[Diet]],'Support - Tables'!$B$14:$B$16,'Support - Tables'!$C$14:$C$16, "Not Found", 0)</f>
        <v>400</v>
      </c>
      <c r="Q319" s="6">
        <f>Table1[[#This Row],[Revenue]]-Table1[[#This Row],[Cost]]</f>
        <v>50</v>
      </c>
      <c r="R319" s="6">
        <f>COUNTBLANK(Table1[[#This Row],[Diet]:[Region]])</f>
        <v>0</v>
      </c>
      <c r="S319" s="6"/>
      <c r="T319" s="6"/>
    </row>
    <row r="320" spans="1:20" x14ac:dyDescent="0.25">
      <c r="A320" s="2" t="s">
        <v>376</v>
      </c>
      <c r="B320" s="1" t="s">
        <v>15</v>
      </c>
      <c r="C320" s="1">
        <v>20</v>
      </c>
      <c r="D320" s="1" t="s">
        <v>706</v>
      </c>
      <c r="E320" s="1">
        <f>IF(Table1[[#This Row],[Lifespan Unit]]="months", Table1[[#This Row],[Lifespan]]/12,Table1[[#This Row],[Lifespan]])</f>
        <v>20</v>
      </c>
      <c r="F320" s="1" t="s">
        <v>573</v>
      </c>
      <c r="G320" s="1" t="str">
        <f t="shared" si="8"/>
        <v/>
      </c>
      <c r="H320" s="1" t="str">
        <f t="shared" si="9"/>
        <v/>
      </c>
      <c r="I320" s="1" t="str">
        <f>IF(Table1[[#This Row],[Lifespan (Years)]]&lt;25, "&lt;25", IF(Table1[[#This Row],[Lifespan (Years)]]&lt;50, "25-49", IF(Table1[[#This Row],[Lifespan (Years)]]&lt;75, "50-74", IF(Table1[[#This Row],[Lifespan (Years)]]&lt;100, "75-99", "&gt;=100"))))</f>
        <v>&lt;25</v>
      </c>
      <c r="J320" s="14">
        <v>0</v>
      </c>
      <c r="K32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320" s="1" t="s">
        <v>5</v>
      </c>
      <c r="M320" s="1" t="str">
        <f>IF(COUNTIF(Table2[Animal],Table1[[#This Row],[Animal]]) = 1, "Previous Participant", "New Participant")</f>
        <v>New Participant</v>
      </c>
      <c r="N320" s="1" t="str">
        <f>_xlfn.XLOOKUP(Table1[[#This Row],[Region]],'Support - Tables'!$B$3:$B$10,'Support - Tables'!$D$3:$D$10,"Not Found",0)</f>
        <v>Boat</v>
      </c>
      <c r="O320" s="6">
        <f>_xlfn.XLOOKUP(Table1[[#This Row],[Region]],'Support - Tables'!$B$3:$B$10,'Support - Tables'!$C$3:$C$10, "Not Found",0)</f>
        <v>400</v>
      </c>
      <c r="P320" s="6">
        <f>_xlfn.XLOOKUP(Table1[[#This Row],[Diet]],'Support - Tables'!$B$14:$B$16,'Support - Tables'!$C$14:$C$16, "Not Found", 0)</f>
        <v>500</v>
      </c>
      <c r="Q320" s="6">
        <f>Table1[[#This Row],[Revenue]]-Table1[[#This Row],[Cost]]</f>
        <v>-100</v>
      </c>
      <c r="R320" s="6">
        <f>COUNTBLANK(Table1[[#This Row],[Diet]:[Region]])</f>
        <v>3</v>
      </c>
      <c r="S320" s="6"/>
      <c r="T320" s="6"/>
    </row>
    <row r="321" spans="1:20" x14ac:dyDescent="0.25">
      <c r="A321" s="2" t="s">
        <v>377</v>
      </c>
      <c r="B321" s="1" t="s">
        <v>15</v>
      </c>
      <c r="C321" s="1">
        <v>15</v>
      </c>
      <c r="D321" s="1" t="s">
        <v>706</v>
      </c>
      <c r="E321" s="1">
        <f>IF(Table1[[#This Row],[Lifespan Unit]]="months", Table1[[#This Row],[Lifespan]]/12,Table1[[#This Row],[Lifespan]])</f>
        <v>15</v>
      </c>
      <c r="F321" s="1" t="s">
        <v>633</v>
      </c>
      <c r="G321" s="1" t="str">
        <f t="shared" si="8"/>
        <v>7</v>
      </c>
      <c r="H321" s="1" t="str">
        <f t="shared" si="9"/>
        <v>oz</v>
      </c>
      <c r="I321" s="1" t="str">
        <f>IF(Table1[[#This Row],[Lifespan (Years)]]&lt;25, "&lt;25", IF(Table1[[#This Row],[Lifespan (Years)]]&lt;50, "25-49", IF(Table1[[#This Row],[Lifespan (Years)]]&lt;75, "50-74", IF(Table1[[#This Row],[Lifespan (Years)]]&lt;100, "75-99", "&gt;=100"))))</f>
        <v>&lt;25</v>
      </c>
      <c r="J321" s="14">
        <f>IF(Table1[[#This Row],[Weight Unit]]="oz",Table1[[#This Row],[Weight (Digits)]]/16, Table1[[#This Row],[Weight (Digits)]]/1)</f>
        <v>0.4375</v>
      </c>
      <c r="K32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21" s="1" t="s">
        <v>5</v>
      </c>
      <c r="M321" s="1" t="str">
        <f>IF(COUNTIF(Table2[Animal],Table1[[#This Row],[Animal]]) = 1, "Previous Participant", "New Participant")</f>
        <v>Previous Participant</v>
      </c>
      <c r="N321" s="1" t="str">
        <f>_xlfn.XLOOKUP(Table1[[#This Row],[Region]],'Support - Tables'!$B$3:$B$10,'Support - Tables'!$D$3:$D$10,"Not Found",0)</f>
        <v>Boat</v>
      </c>
      <c r="O321" s="6">
        <f>_xlfn.XLOOKUP(Table1[[#This Row],[Region]],'Support - Tables'!$B$3:$B$10,'Support - Tables'!$C$3:$C$10, "Not Found",0)</f>
        <v>400</v>
      </c>
      <c r="P321" s="6">
        <f>_xlfn.XLOOKUP(Table1[[#This Row],[Diet]],'Support - Tables'!$B$14:$B$16,'Support - Tables'!$C$14:$C$16, "Not Found", 0)</f>
        <v>500</v>
      </c>
      <c r="Q321" s="6">
        <f>Table1[[#This Row],[Revenue]]-Table1[[#This Row],[Cost]]</f>
        <v>-100</v>
      </c>
      <c r="R321" s="6">
        <f>COUNTBLANK(Table1[[#This Row],[Diet]:[Region]])</f>
        <v>0</v>
      </c>
      <c r="S321" s="6"/>
      <c r="T321" s="6"/>
    </row>
    <row r="322" spans="1:20" x14ac:dyDescent="0.25">
      <c r="A322" s="2" t="s">
        <v>378</v>
      </c>
      <c r="B322" s="1" t="s">
        <v>23</v>
      </c>
      <c r="C322" s="1">
        <v>13</v>
      </c>
      <c r="D322" s="1" t="s">
        <v>706</v>
      </c>
      <c r="E322" s="1">
        <f>IF(Table1[[#This Row],[Lifespan Unit]]="months", Table1[[#This Row],[Lifespan]]/12,Table1[[#This Row],[Lifespan]])</f>
        <v>13</v>
      </c>
      <c r="F322" s="1" t="s">
        <v>652</v>
      </c>
      <c r="G322" s="1" t="str">
        <f t="shared" ref="G322:G385" si="10">SUBSTITUTE(F322,IF(ISNUMBER(SEARCH("lbs", F322)),RIGHT(F322, 3), RIGHT(F322, 2)),"")</f>
        <v>71</v>
      </c>
      <c r="H322" s="1" t="str">
        <f t="shared" ref="H322:H385" si="11">IF(ISNUMBER(SEARCH("lbs", F322)),RIGHT(F322, 3), RIGHT(F322, 2))</f>
        <v>lbs</v>
      </c>
      <c r="I322" s="1" t="str">
        <f>IF(Table1[[#This Row],[Lifespan (Years)]]&lt;25, "&lt;25", IF(Table1[[#This Row],[Lifespan (Years)]]&lt;50, "25-49", IF(Table1[[#This Row],[Lifespan (Years)]]&lt;75, "50-74", IF(Table1[[#This Row],[Lifespan (Years)]]&lt;100, "75-99", "&gt;=100"))))</f>
        <v>&lt;25</v>
      </c>
      <c r="J322" s="14">
        <f>IF(Table1[[#This Row],[Weight Unit]]="oz",Table1[[#This Row],[Weight (Digits)]]/16, Table1[[#This Row],[Weight (Digits)]]/1)</f>
        <v>71</v>
      </c>
      <c r="K32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22" s="1" t="s">
        <v>5</v>
      </c>
      <c r="M322" s="1" t="str">
        <f>IF(COUNTIF(Table2[Animal],Table1[[#This Row],[Animal]]) = 1, "Previous Participant", "New Participant")</f>
        <v>Previous Participant</v>
      </c>
      <c r="N322" s="1" t="str">
        <f>_xlfn.XLOOKUP(Table1[[#This Row],[Region]],'Support - Tables'!$B$3:$B$10,'Support - Tables'!$D$3:$D$10,"Not Found",0)</f>
        <v>Boat</v>
      </c>
      <c r="O322" s="6">
        <f>_xlfn.XLOOKUP(Table1[[#This Row],[Region]],'Support - Tables'!$B$3:$B$10,'Support - Tables'!$C$3:$C$10, "Not Found",0)</f>
        <v>400</v>
      </c>
      <c r="P322" s="6">
        <f>_xlfn.XLOOKUP(Table1[[#This Row],[Diet]],'Support - Tables'!$B$14:$B$16,'Support - Tables'!$C$14:$C$16, "Not Found", 0)</f>
        <v>300</v>
      </c>
      <c r="Q322" s="6">
        <f>Table1[[#This Row],[Revenue]]-Table1[[#This Row],[Cost]]</f>
        <v>100</v>
      </c>
      <c r="R322" s="6">
        <f>COUNTBLANK(Table1[[#This Row],[Diet]:[Region]])</f>
        <v>0</v>
      </c>
      <c r="S322" s="6"/>
      <c r="T322" s="6"/>
    </row>
    <row r="323" spans="1:20" x14ac:dyDescent="0.25">
      <c r="A323" s="2" t="s">
        <v>379</v>
      </c>
      <c r="B323" s="1" t="s">
        <v>15</v>
      </c>
      <c r="C323" s="1">
        <v>10</v>
      </c>
      <c r="D323" s="1" t="s">
        <v>706</v>
      </c>
      <c r="E323" s="1">
        <f>IF(Table1[[#This Row],[Lifespan Unit]]="months", Table1[[#This Row],[Lifespan]]/12,Table1[[#This Row],[Lifespan]])</f>
        <v>10</v>
      </c>
      <c r="F323" s="1" t="s">
        <v>643</v>
      </c>
      <c r="G323" s="1" t="str">
        <f t="shared" si="10"/>
        <v>0.4</v>
      </c>
      <c r="H323" s="1" t="str">
        <f t="shared" si="11"/>
        <v>oz</v>
      </c>
      <c r="I323" s="1" t="str">
        <f>IF(Table1[[#This Row],[Lifespan (Years)]]&lt;25, "&lt;25", IF(Table1[[#This Row],[Lifespan (Years)]]&lt;50, "25-49", IF(Table1[[#This Row],[Lifespan (Years)]]&lt;75, "50-74", IF(Table1[[#This Row],[Lifespan (Years)]]&lt;100, "75-99", "&gt;=100"))))</f>
        <v>&lt;25</v>
      </c>
      <c r="J323" s="14">
        <f>IF(Table1[[#This Row],[Weight Unit]]="oz",Table1[[#This Row],[Weight (Digits)]]/16, Table1[[#This Row],[Weight (Digits)]]/1)</f>
        <v>2.5000000000000001E-2</v>
      </c>
      <c r="K32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23" s="1" t="s">
        <v>724</v>
      </c>
      <c r="M323" s="1" t="str">
        <f>IF(COUNTIF(Table2[Animal],Table1[[#This Row],[Animal]]) = 1, "Previous Participant", "New Participant")</f>
        <v>Previous Participant</v>
      </c>
      <c r="N323" s="1" t="str">
        <f>_xlfn.XLOOKUP(Table1[[#This Row],[Region]],'Support - Tables'!$B$3:$B$10,'Support - Tables'!$D$3:$D$10,"Not Found",0)</f>
        <v>Road</v>
      </c>
      <c r="O323" s="6">
        <f>_xlfn.XLOOKUP(Table1[[#This Row],[Region]],'Support - Tables'!$B$3:$B$10,'Support - Tables'!$C$3:$C$10, "Not Found",0)</f>
        <v>450</v>
      </c>
      <c r="P323" s="6">
        <f>_xlfn.XLOOKUP(Table1[[#This Row],[Diet]],'Support - Tables'!$B$14:$B$16,'Support - Tables'!$C$14:$C$16, "Not Found", 0)</f>
        <v>500</v>
      </c>
      <c r="Q323" s="6">
        <f>Table1[[#This Row],[Revenue]]-Table1[[#This Row],[Cost]]</f>
        <v>-50</v>
      </c>
      <c r="R323" s="6">
        <f>COUNTBLANK(Table1[[#This Row],[Diet]:[Region]])</f>
        <v>0</v>
      </c>
      <c r="S323" s="6"/>
      <c r="T323" s="6"/>
    </row>
    <row r="324" spans="1:20" x14ac:dyDescent="0.25">
      <c r="A324" s="2" t="s">
        <v>380</v>
      </c>
      <c r="B324" s="1" t="s">
        <v>13</v>
      </c>
      <c r="C324" s="1">
        <v>12</v>
      </c>
      <c r="D324" s="1" t="s">
        <v>706</v>
      </c>
      <c r="E324" s="1">
        <f>IF(Table1[[#This Row],[Lifespan Unit]]="months", Table1[[#This Row],[Lifespan]]/12,Table1[[#This Row],[Lifespan]])</f>
        <v>12</v>
      </c>
      <c r="F324" s="1" t="s">
        <v>381</v>
      </c>
      <c r="G324" s="1" t="str">
        <f t="shared" si="10"/>
        <v>190</v>
      </c>
      <c r="H324" s="1" t="str">
        <f t="shared" si="11"/>
        <v>lbs</v>
      </c>
      <c r="I324" s="1" t="str">
        <f>IF(Table1[[#This Row],[Lifespan (Years)]]&lt;25, "&lt;25", IF(Table1[[#This Row],[Lifespan (Years)]]&lt;50, "25-49", IF(Table1[[#This Row],[Lifespan (Years)]]&lt;75, "50-74", IF(Table1[[#This Row],[Lifespan (Years)]]&lt;100, "75-99", "&gt;=100"))))</f>
        <v>&lt;25</v>
      </c>
      <c r="J324" s="14">
        <f>IF(Table1[[#This Row],[Weight Unit]]="oz",Table1[[#This Row],[Weight (Digits)]]/16, Table1[[#This Row],[Weight (Digits)]]/1)</f>
        <v>190</v>
      </c>
      <c r="K32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324" s="1" t="s">
        <v>5</v>
      </c>
      <c r="M324" s="1" t="str">
        <f>IF(COUNTIF(Table2[Animal],Table1[[#This Row],[Animal]]) = 1, "Previous Participant", "New Participant")</f>
        <v>Previous Participant</v>
      </c>
      <c r="N324" s="1" t="str">
        <f>_xlfn.XLOOKUP(Table1[[#This Row],[Region]],'Support - Tables'!$B$3:$B$10,'Support - Tables'!$D$3:$D$10,"Not Found",0)</f>
        <v>Boat</v>
      </c>
      <c r="O324" s="6">
        <f>_xlfn.XLOOKUP(Table1[[#This Row],[Region]],'Support - Tables'!$B$3:$B$10,'Support - Tables'!$C$3:$C$10, "Not Found",0)</f>
        <v>400</v>
      </c>
      <c r="P324" s="6">
        <f>_xlfn.XLOOKUP(Table1[[#This Row],[Diet]],'Support - Tables'!$B$14:$B$16,'Support - Tables'!$C$14:$C$16, "Not Found", 0)</f>
        <v>400</v>
      </c>
      <c r="Q324" s="6">
        <f>Table1[[#This Row],[Revenue]]-Table1[[#This Row],[Cost]]</f>
        <v>0</v>
      </c>
      <c r="R324" s="6">
        <f>COUNTBLANK(Table1[[#This Row],[Diet]:[Region]])</f>
        <v>0</v>
      </c>
      <c r="S324" s="6"/>
      <c r="T324" s="6"/>
    </row>
    <row r="325" spans="1:20" x14ac:dyDescent="0.25">
      <c r="A325" s="2" t="s">
        <v>382</v>
      </c>
      <c r="B325" s="1" t="s">
        <v>13</v>
      </c>
      <c r="C325" s="1">
        <v>2</v>
      </c>
      <c r="D325" s="1" t="s">
        <v>707</v>
      </c>
      <c r="E325" s="1">
        <f>IF(Table1[[#This Row],[Lifespan Unit]]="months", Table1[[#This Row],[Lifespan]]/12,Table1[[#This Row],[Lifespan]])</f>
        <v>0.16666666666666666</v>
      </c>
      <c r="F325" s="1" t="s">
        <v>573</v>
      </c>
      <c r="G325" s="1" t="str">
        <f t="shared" si="10"/>
        <v/>
      </c>
      <c r="H325" s="1" t="str">
        <f t="shared" si="11"/>
        <v/>
      </c>
      <c r="I325" s="1" t="str">
        <f>IF(Table1[[#This Row],[Lifespan (Years)]]&lt;25, "&lt;25", IF(Table1[[#This Row],[Lifespan (Years)]]&lt;50, "25-49", IF(Table1[[#This Row],[Lifespan (Years)]]&lt;75, "50-74", IF(Table1[[#This Row],[Lifespan (Years)]]&lt;100, "75-99", "&gt;=100"))))</f>
        <v>&lt;25</v>
      </c>
      <c r="J325" s="14">
        <v>0</v>
      </c>
      <c r="K32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325" s="1" t="s">
        <v>5</v>
      </c>
      <c r="M325" s="1" t="str">
        <f>IF(COUNTIF(Table2[Animal],Table1[[#This Row],[Animal]]) = 1, "Previous Participant", "New Participant")</f>
        <v>New Participant</v>
      </c>
      <c r="N325" s="1" t="str">
        <f>_xlfn.XLOOKUP(Table1[[#This Row],[Region]],'Support - Tables'!$B$3:$B$10,'Support - Tables'!$D$3:$D$10,"Not Found",0)</f>
        <v>Boat</v>
      </c>
      <c r="O325" s="6">
        <f>_xlfn.XLOOKUP(Table1[[#This Row],[Region]],'Support - Tables'!$B$3:$B$10,'Support - Tables'!$C$3:$C$10, "Not Found",0)</f>
        <v>400</v>
      </c>
      <c r="P325" s="6">
        <f>_xlfn.XLOOKUP(Table1[[#This Row],[Diet]],'Support - Tables'!$B$14:$B$16,'Support - Tables'!$C$14:$C$16, "Not Found", 0)</f>
        <v>400</v>
      </c>
      <c r="Q325" s="6">
        <f>Table1[[#This Row],[Revenue]]-Table1[[#This Row],[Cost]]</f>
        <v>0</v>
      </c>
      <c r="R325" s="6">
        <f>COUNTBLANK(Table1[[#This Row],[Diet]:[Region]])</f>
        <v>3</v>
      </c>
      <c r="S325" s="6"/>
      <c r="T325" s="6"/>
    </row>
    <row r="326" spans="1:20" x14ac:dyDescent="0.25">
      <c r="A326" s="2" t="s">
        <v>383</v>
      </c>
      <c r="B326" s="1" t="s">
        <v>15</v>
      </c>
      <c r="C326" s="1">
        <v>14</v>
      </c>
      <c r="D326" s="1" t="s">
        <v>706</v>
      </c>
      <c r="E326" s="1">
        <f>IF(Table1[[#This Row],[Lifespan Unit]]="months", Table1[[#This Row],[Lifespan]]/12,Table1[[#This Row],[Lifespan]])</f>
        <v>14</v>
      </c>
      <c r="F326" s="1" t="s">
        <v>653</v>
      </c>
      <c r="G326" s="1" t="str">
        <f t="shared" si="10"/>
        <v>1.3</v>
      </c>
      <c r="H326" s="1" t="str">
        <f t="shared" si="11"/>
        <v>lbs</v>
      </c>
      <c r="I326" s="1" t="str">
        <f>IF(Table1[[#This Row],[Lifespan (Years)]]&lt;25, "&lt;25", IF(Table1[[#This Row],[Lifespan (Years)]]&lt;50, "25-49", IF(Table1[[#This Row],[Lifespan (Years)]]&lt;75, "50-74", IF(Table1[[#This Row],[Lifespan (Years)]]&lt;100, "75-99", "&gt;=100"))))</f>
        <v>&lt;25</v>
      </c>
      <c r="J326" s="14">
        <f>IF(Table1[[#This Row],[Weight Unit]]="oz",Table1[[#This Row],[Weight (Digits)]]/16, Table1[[#This Row],[Weight (Digits)]]/1)</f>
        <v>1.3</v>
      </c>
      <c r="K32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26" s="1" t="s">
        <v>725</v>
      </c>
      <c r="M326" s="1" t="str">
        <f>IF(COUNTIF(Table2[Animal],Table1[[#This Row],[Animal]]) = 1, "Previous Participant", "New Participant")</f>
        <v>Previous Participant</v>
      </c>
      <c r="N326" s="1" t="str">
        <f>_xlfn.XLOOKUP(Table1[[#This Row],[Region]],'Support - Tables'!$B$3:$B$10,'Support - Tables'!$D$3:$D$10,"Not Found",0)</f>
        <v>Air</v>
      </c>
      <c r="O326" s="6">
        <f>_xlfn.XLOOKUP(Table1[[#This Row],[Region]],'Support - Tables'!$B$3:$B$10,'Support - Tables'!$C$3:$C$10, "Not Found",0)</f>
        <v>600</v>
      </c>
      <c r="P326" s="6">
        <f>_xlfn.XLOOKUP(Table1[[#This Row],[Diet]],'Support - Tables'!$B$14:$B$16,'Support - Tables'!$C$14:$C$16, "Not Found", 0)</f>
        <v>500</v>
      </c>
      <c r="Q326" s="6">
        <f>Table1[[#This Row],[Revenue]]-Table1[[#This Row],[Cost]]</f>
        <v>100</v>
      </c>
      <c r="R326" s="6">
        <f>COUNTBLANK(Table1[[#This Row],[Diet]:[Region]])</f>
        <v>0</v>
      </c>
      <c r="S326" s="6"/>
      <c r="T326" s="6"/>
    </row>
    <row r="327" spans="1:20" x14ac:dyDescent="0.25">
      <c r="A327" s="2" t="s">
        <v>384</v>
      </c>
      <c r="B327" s="1" t="s">
        <v>13</v>
      </c>
      <c r="C327" s="1">
        <v>7</v>
      </c>
      <c r="D327" s="1" t="s">
        <v>706</v>
      </c>
      <c r="E327" s="1">
        <f>IF(Table1[[#This Row],[Lifespan Unit]]="months", Table1[[#This Row],[Lifespan]]/12,Table1[[#This Row],[Lifespan]])</f>
        <v>7</v>
      </c>
      <c r="F327" s="1" t="s">
        <v>573</v>
      </c>
      <c r="G327" s="1" t="str">
        <f t="shared" si="10"/>
        <v/>
      </c>
      <c r="H327" s="1" t="str">
        <f t="shared" si="11"/>
        <v/>
      </c>
      <c r="I327" s="1" t="str">
        <f>IF(Table1[[#This Row],[Lifespan (Years)]]&lt;25, "&lt;25", IF(Table1[[#This Row],[Lifespan (Years)]]&lt;50, "25-49", IF(Table1[[#This Row],[Lifespan (Years)]]&lt;75, "50-74", IF(Table1[[#This Row],[Lifespan (Years)]]&lt;100, "75-99", "&gt;=100"))))</f>
        <v>&lt;25</v>
      </c>
      <c r="J327" s="14">
        <v>0</v>
      </c>
      <c r="K32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327" s="1" t="s">
        <v>724</v>
      </c>
      <c r="M327" s="1" t="str">
        <f>IF(COUNTIF(Table2[Animal],Table1[[#This Row],[Animal]]) = 1, "Previous Participant", "New Participant")</f>
        <v>Previous Participant</v>
      </c>
      <c r="N327" s="1" t="str">
        <f>_xlfn.XLOOKUP(Table1[[#This Row],[Region]],'Support - Tables'!$B$3:$B$10,'Support - Tables'!$D$3:$D$10,"Not Found",0)</f>
        <v>Road</v>
      </c>
      <c r="O327" s="6">
        <f>_xlfn.XLOOKUP(Table1[[#This Row],[Region]],'Support - Tables'!$B$3:$B$10,'Support - Tables'!$C$3:$C$10, "Not Found",0)</f>
        <v>450</v>
      </c>
      <c r="P327" s="6">
        <f>_xlfn.XLOOKUP(Table1[[#This Row],[Diet]],'Support - Tables'!$B$14:$B$16,'Support - Tables'!$C$14:$C$16, "Not Found", 0)</f>
        <v>400</v>
      </c>
      <c r="Q327" s="6">
        <f>Table1[[#This Row],[Revenue]]-Table1[[#This Row],[Cost]]</f>
        <v>50</v>
      </c>
      <c r="R327" s="6">
        <f>COUNTBLANK(Table1[[#This Row],[Diet]:[Region]])</f>
        <v>3</v>
      </c>
      <c r="S327" s="6"/>
      <c r="T327" s="6"/>
    </row>
    <row r="328" spans="1:20" x14ac:dyDescent="0.25">
      <c r="A328" s="2" t="s">
        <v>385</v>
      </c>
      <c r="B328" s="1" t="s">
        <v>15</v>
      </c>
      <c r="C328" s="1">
        <v>50</v>
      </c>
      <c r="D328" s="1" t="s">
        <v>706</v>
      </c>
      <c r="E328" s="1">
        <f>IF(Table1[[#This Row],[Lifespan Unit]]="months", Table1[[#This Row],[Lifespan]]/12,Table1[[#This Row],[Lifespan]])</f>
        <v>50</v>
      </c>
      <c r="F328" s="1" t="s">
        <v>654</v>
      </c>
      <c r="G328" s="1" t="str">
        <f t="shared" si="10"/>
        <v>5</v>
      </c>
      <c r="H328" s="1" t="str">
        <f t="shared" si="11"/>
        <v>lbs</v>
      </c>
      <c r="I328" s="1" t="str">
        <f>IF(Table1[[#This Row],[Lifespan (Years)]]&lt;25, "&lt;25", IF(Table1[[#This Row],[Lifespan (Years)]]&lt;50, "25-49", IF(Table1[[#This Row],[Lifespan (Years)]]&lt;75, "50-74", IF(Table1[[#This Row],[Lifespan (Years)]]&lt;100, "75-99", "&gt;=100"))))</f>
        <v>50-74</v>
      </c>
      <c r="J328" s="14">
        <f>IF(Table1[[#This Row],[Weight Unit]]="oz",Table1[[#This Row],[Weight (Digits)]]/16, Table1[[#This Row],[Weight (Digits)]]/1)</f>
        <v>5</v>
      </c>
      <c r="K32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28" s="1" t="s">
        <v>724</v>
      </c>
      <c r="M328" s="1" t="str">
        <f>IF(COUNTIF(Table2[Animal],Table1[[#This Row],[Animal]]) = 1, "Previous Participant", "New Participant")</f>
        <v>New Participant</v>
      </c>
      <c r="N328" s="1" t="str">
        <f>_xlfn.XLOOKUP(Table1[[#This Row],[Region]],'Support - Tables'!$B$3:$B$10,'Support - Tables'!$D$3:$D$10,"Not Found",0)</f>
        <v>Road</v>
      </c>
      <c r="O328" s="6">
        <f>_xlfn.XLOOKUP(Table1[[#This Row],[Region]],'Support - Tables'!$B$3:$B$10,'Support - Tables'!$C$3:$C$10, "Not Found",0)</f>
        <v>450</v>
      </c>
      <c r="P328" s="6">
        <f>_xlfn.XLOOKUP(Table1[[#This Row],[Diet]],'Support - Tables'!$B$14:$B$16,'Support - Tables'!$C$14:$C$16, "Not Found", 0)</f>
        <v>500</v>
      </c>
      <c r="Q328" s="6">
        <f>Table1[[#This Row],[Revenue]]-Table1[[#This Row],[Cost]]</f>
        <v>-50</v>
      </c>
      <c r="R328" s="6">
        <f>COUNTBLANK(Table1[[#This Row],[Diet]:[Region]])</f>
        <v>0</v>
      </c>
      <c r="S328" s="6"/>
      <c r="T328" s="6"/>
    </row>
    <row r="329" spans="1:20" x14ac:dyDescent="0.25">
      <c r="A329" s="2" t="s">
        <v>386</v>
      </c>
      <c r="B329" s="1" t="s">
        <v>13</v>
      </c>
      <c r="C329" s="1">
        <v>6</v>
      </c>
      <c r="D329" s="1" t="s">
        <v>706</v>
      </c>
      <c r="E329" s="1">
        <f>IF(Table1[[#This Row],[Lifespan Unit]]="months", Table1[[#This Row],[Lifespan]]/12,Table1[[#This Row],[Lifespan]])</f>
        <v>6</v>
      </c>
      <c r="F329" s="1" t="s">
        <v>619</v>
      </c>
      <c r="G329" s="1" t="str">
        <f t="shared" si="10"/>
        <v>8.8</v>
      </c>
      <c r="H329" s="1" t="str">
        <f t="shared" si="11"/>
        <v>lbs</v>
      </c>
      <c r="I329" s="1" t="str">
        <f>IF(Table1[[#This Row],[Lifespan (Years)]]&lt;25, "&lt;25", IF(Table1[[#This Row],[Lifespan (Years)]]&lt;50, "25-49", IF(Table1[[#This Row],[Lifespan (Years)]]&lt;75, "50-74", IF(Table1[[#This Row],[Lifespan (Years)]]&lt;100, "75-99", "&gt;=100"))))</f>
        <v>&lt;25</v>
      </c>
      <c r="J329" s="14">
        <f>IF(Table1[[#This Row],[Weight Unit]]="oz",Table1[[#This Row],[Weight (Digits)]]/16, Table1[[#This Row],[Weight (Digits)]]/1)</f>
        <v>8.8000000000000007</v>
      </c>
      <c r="K32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29" s="1" t="s">
        <v>724</v>
      </c>
      <c r="M329" s="1" t="str">
        <f>IF(COUNTIF(Table2[Animal],Table1[[#This Row],[Animal]]) = 1, "Previous Participant", "New Participant")</f>
        <v>Previous Participant</v>
      </c>
      <c r="N329" s="1" t="str">
        <f>_xlfn.XLOOKUP(Table1[[#This Row],[Region]],'Support - Tables'!$B$3:$B$10,'Support - Tables'!$D$3:$D$10,"Not Found",0)</f>
        <v>Road</v>
      </c>
      <c r="O329" s="6">
        <f>_xlfn.XLOOKUP(Table1[[#This Row],[Region]],'Support - Tables'!$B$3:$B$10,'Support - Tables'!$C$3:$C$10, "Not Found",0)</f>
        <v>450</v>
      </c>
      <c r="P329" s="6">
        <f>_xlfn.XLOOKUP(Table1[[#This Row],[Diet]],'Support - Tables'!$B$14:$B$16,'Support - Tables'!$C$14:$C$16, "Not Found", 0)</f>
        <v>400</v>
      </c>
      <c r="Q329" s="6">
        <f>Table1[[#This Row],[Revenue]]-Table1[[#This Row],[Cost]]</f>
        <v>50</v>
      </c>
      <c r="R329" s="6">
        <f>COUNTBLANK(Table1[[#This Row],[Diet]:[Region]])</f>
        <v>0</v>
      </c>
      <c r="S329" s="6"/>
      <c r="T329" s="6"/>
    </row>
    <row r="330" spans="1:20" x14ac:dyDescent="0.25">
      <c r="A330" s="2" t="s">
        <v>387</v>
      </c>
      <c r="B330" s="1" t="s">
        <v>13</v>
      </c>
      <c r="C330" s="1">
        <v>5</v>
      </c>
      <c r="D330" s="1" t="s">
        <v>706</v>
      </c>
      <c r="E330" s="1">
        <f>IF(Table1[[#This Row],[Lifespan Unit]]="months", Table1[[#This Row],[Lifespan]]/12,Table1[[#This Row],[Lifespan]])</f>
        <v>5</v>
      </c>
      <c r="F330" s="1" t="s">
        <v>573</v>
      </c>
      <c r="G330" s="1" t="str">
        <f t="shared" si="10"/>
        <v/>
      </c>
      <c r="H330" s="1" t="str">
        <f t="shared" si="11"/>
        <v/>
      </c>
      <c r="I330" s="1" t="str">
        <f>IF(Table1[[#This Row],[Lifespan (Years)]]&lt;25, "&lt;25", IF(Table1[[#This Row],[Lifespan (Years)]]&lt;50, "25-49", IF(Table1[[#This Row],[Lifespan (Years)]]&lt;75, "50-74", IF(Table1[[#This Row],[Lifespan (Years)]]&lt;100, "75-99", "&gt;=100"))))</f>
        <v>&lt;25</v>
      </c>
      <c r="J330" s="14">
        <v>0</v>
      </c>
      <c r="K33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330" s="1" t="s">
        <v>5</v>
      </c>
      <c r="M330" s="1" t="str">
        <f>IF(COUNTIF(Table2[Animal],Table1[[#This Row],[Animal]]) = 1, "Previous Participant", "New Participant")</f>
        <v>New Participant</v>
      </c>
      <c r="N330" s="1" t="str">
        <f>_xlfn.XLOOKUP(Table1[[#This Row],[Region]],'Support - Tables'!$B$3:$B$10,'Support - Tables'!$D$3:$D$10,"Not Found",0)</f>
        <v>Boat</v>
      </c>
      <c r="O330" s="6">
        <f>_xlfn.XLOOKUP(Table1[[#This Row],[Region]],'Support - Tables'!$B$3:$B$10,'Support - Tables'!$C$3:$C$10, "Not Found",0)</f>
        <v>400</v>
      </c>
      <c r="P330" s="6">
        <f>_xlfn.XLOOKUP(Table1[[#This Row],[Diet]],'Support - Tables'!$B$14:$B$16,'Support - Tables'!$C$14:$C$16, "Not Found", 0)</f>
        <v>400</v>
      </c>
      <c r="Q330" s="6">
        <f>Table1[[#This Row],[Revenue]]-Table1[[#This Row],[Cost]]</f>
        <v>0</v>
      </c>
      <c r="R330" s="6">
        <f>COUNTBLANK(Table1[[#This Row],[Diet]:[Region]])</f>
        <v>3</v>
      </c>
      <c r="S330" s="6"/>
      <c r="T330" s="6"/>
    </row>
    <row r="331" spans="1:20" x14ac:dyDescent="0.25">
      <c r="A331" s="2" t="s">
        <v>388</v>
      </c>
      <c r="B331" s="1" t="s">
        <v>13</v>
      </c>
      <c r="C331" s="1">
        <v>15</v>
      </c>
      <c r="D331" s="1" t="s">
        <v>706</v>
      </c>
      <c r="E331" s="1">
        <f>IF(Table1[[#This Row],[Lifespan Unit]]="months", Table1[[#This Row],[Lifespan]]/12,Table1[[#This Row],[Lifespan]])</f>
        <v>15</v>
      </c>
      <c r="F331" s="1" t="s">
        <v>655</v>
      </c>
      <c r="G331" s="1" t="str">
        <f t="shared" si="10"/>
        <v>0.7</v>
      </c>
      <c r="H331" s="1" t="str">
        <f t="shared" si="11"/>
        <v>lbs</v>
      </c>
      <c r="I331" s="1" t="str">
        <f>IF(Table1[[#This Row],[Lifespan (Years)]]&lt;25, "&lt;25", IF(Table1[[#This Row],[Lifespan (Years)]]&lt;50, "25-49", IF(Table1[[#This Row],[Lifespan (Years)]]&lt;75, "50-74", IF(Table1[[#This Row],[Lifespan (Years)]]&lt;100, "75-99", "&gt;=100"))))</f>
        <v>&lt;25</v>
      </c>
      <c r="J331" s="14">
        <f>IF(Table1[[#This Row],[Weight Unit]]="oz",Table1[[#This Row],[Weight (Digits)]]/16, Table1[[#This Row],[Weight (Digits)]]/1)</f>
        <v>0.7</v>
      </c>
      <c r="K33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31" s="1" t="s">
        <v>724</v>
      </c>
      <c r="M331" s="1" t="str">
        <f>IF(COUNTIF(Table2[Animal],Table1[[#This Row],[Animal]]) = 1, "Previous Participant", "New Participant")</f>
        <v>Previous Participant</v>
      </c>
      <c r="N331" s="1" t="str">
        <f>_xlfn.XLOOKUP(Table1[[#This Row],[Region]],'Support - Tables'!$B$3:$B$10,'Support - Tables'!$D$3:$D$10,"Not Found",0)</f>
        <v>Road</v>
      </c>
      <c r="O331" s="6">
        <f>_xlfn.XLOOKUP(Table1[[#This Row],[Region]],'Support - Tables'!$B$3:$B$10,'Support - Tables'!$C$3:$C$10, "Not Found",0)</f>
        <v>450</v>
      </c>
      <c r="P331" s="6">
        <f>_xlfn.XLOOKUP(Table1[[#This Row],[Diet]],'Support - Tables'!$B$14:$B$16,'Support - Tables'!$C$14:$C$16, "Not Found", 0)</f>
        <v>400</v>
      </c>
      <c r="Q331" s="6">
        <f>Table1[[#This Row],[Revenue]]-Table1[[#This Row],[Cost]]</f>
        <v>50</v>
      </c>
      <c r="R331" s="6">
        <f>COUNTBLANK(Table1[[#This Row],[Diet]:[Region]])</f>
        <v>0</v>
      </c>
      <c r="S331" s="6"/>
      <c r="T331" s="6"/>
    </row>
    <row r="332" spans="1:20" x14ac:dyDescent="0.25">
      <c r="A332" s="2" t="s">
        <v>389</v>
      </c>
      <c r="B332" s="1" t="s">
        <v>13</v>
      </c>
      <c r="C332" s="1">
        <v>30</v>
      </c>
      <c r="D332" s="1" t="s">
        <v>706</v>
      </c>
      <c r="E332" s="1">
        <f>IF(Table1[[#This Row],[Lifespan Unit]]="months", Table1[[#This Row],[Lifespan]]/12,Table1[[#This Row],[Lifespan]])</f>
        <v>30</v>
      </c>
      <c r="F332" s="1" t="s">
        <v>599</v>
      </c>
      <c r="G332" s="1" t="str">
        <f t="shared" si="10"/>
        <v>2.2</v>
      </c>
      <c r="H332" s="1" t="str">
        <f t="shared" si="11"/>
        <v>lbs</v>
      </c>
      <c r="I332" s="1" t="str">
        <f>IF(Table1[[#This Row],[Lifespan (Years)]]&lt;25, "&lt;25", IF(Table1[[#This Row],[Lifespan (Years)]]&lt;50, "25-49", IF(Table1[[#This Row],[Lifespan (Years)]]&lt;75, "50-74", IF(Table1[[#This Row],[Lifespan (Years)]]&lt;100, "75-99", "&gt;=100"))))</f>
        <v>25-49</v>
      </c>
      <c r="J332" s="14">
        <f>IF(Table1[[#This Row],[Weight Unit]]="oz",Table1[[#This Row],[Weight (Digits)]]/16, Table1[[#This Row],[Weight (Digits)]]/1)</f>
        <v>2.2000000000000002</v>
      </c>
      <c r="K33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32" s="1" t="s">
        <v>724</v>
      </c>
      <c r="M332" s="1" t="str">
        <f>IF(COUNTIF(Table2[Animal],Table1[[#This Row],[Animal]]) = 1, "Previous Participant", "New Participant")</f>
        <v>Previous Participant</v>
      </c>
      <c r="N332" s="1" t="str">
        <f>_xlfn.XLOOKUP(Table1[[#This Row],[Region]],'Support - Tables'!$B$3:$B$10,'Support - Tables'!$D$3:$D$10,"Not Found",0)</f>
        <v>Road</v>
      </c>
      <c r="O332" s="6">
        <f>_xlfn.XLOOKUP(Table1[[#This Row],[Region]],'Support - Tables'!$B$3:$B$10,'Support - Tables'!$C$3:$C$10, "Not Found",0)</f>
        <v>450</v>
      </c>
      <c r="P332" s="6">
        <f>_xlfn.XLOOKUP(Table1[[#This Row],[Diet]],'Support - Tables'!$B$14:$B$16,'Support - Tables'!$C$14:$C$16, "Not Found", 0)</f>
        <v>400</v>
      </c>
      <c r="Q332" s="6">
        <f>Table1[[#This Row],[Revenue]]-Table1[[#This Row],[Cost]]</f>
        <v>50</v>
      </c>
      <c r="R332" s="6">
        <f>COUNTBLANK(Table1[[#This Row],[Diet]:[Region]])</f>
        <v>0</v>
      </c>
      <c r="S332" s="6"/>
      <c r="T332" s="6"/>
    </row>
    <row r="333" spans="1:20" x14ac:dyDescent="0.25">
      <c r="A333" s="2" t="s">
        <v>390</v>
      </c>
      <c r="B333" s="1" t="s">
        <v>13</v>
      </c>
      <c r="C333" s="1">
        <v>30</v>
      </c>
      <c r="D333" s="1" t="s">
        <v>706</v>
      </c>
      <c r="E333" s="1">
        <f>IF(Table1[[#This Row],[Lifespan Unit]]="months", Table1[[#This Row],[Lifespan]]/12,Table1[[#This Row],[Lifespan]])</f>
        <v>30</v>
      </c>
      <c r="F333" s="1" t="s">
        <v>21</v>
      </c>
      <c r="G333" s="1" t="str">
        <f t="shared" si="10"/>
        <v>60</v>
      </c>
      <c r="H333" s="1" t="str">
        <f t="shared" si="11"/>
        <v>lbs</v>
      </c>
      <c r="I333" s="1" t="str">
        <f>IF(Table1[[#This Row],[Lifespan (Years)]]&lt;25, "&lt;25", IF(Table1[[#This Row],[Lifespan (Years)]]&lt;50, "25-49", IF(Table1[[#This Row],[Lifespan (Years)]]&lt;75, "50-74", IF(Table1[[#This Row],[Lifespan (Years)]]&lt;100, "75-99", "&gt;=100"))))</f>
        <v>25-49</v>
      </c>
      <c r="J333" s="14">
        <f>IF(Table1[[#This Row],[Weight Unit]]="oz",Table1[[#This Row],[Weight (Digits)]]/16, Table1[[#This Row],[Weight (Digits)]]/1)</f>
        <v>60</v>
      </c>
      <c r="K33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33" s="1" t="s">
        <v>2</v>
      </c>
      <c r="M333" s="1" t="str">
        <f>IF(COUNTIF(Table2[Animal],Table1[[#This Row],[Animal]]) = 1, "Previous Participant", "New Participant")</f>
        <v>New Participant</v>
      </c>
      <c r="N333" s="1" t="str">
        <f>_xlfn.XLOOKUP(Table1[[#This Row],[Region]],'Support - Tables'!$B$3:$B$10,'Support - Tables'!$D$3:$D$10,"Not Found",0)</f>
        <v>Air</v>
      </c>
      <c r="O333" s="6">
        <f>_xlfn.XLOOKUP(Table1[[#This Row],[Region]],'Support - Tables'!$B$3:$B$10,'Support - Tables'!$C$3:$C$10, "Not Found",0)</f>
        <v>600</v>
      </c>
      <c r="P333" s="6">
        <f>_xlfn.XLOOKUP(Table1[[#This Row],[Diet]],'Support - Tables'!$B$14:$B$16,'Support - Tables'!$C$14:$C$16, "Not Found", 0)</f>
        <v>400</v>
      </c>
      <c r="Q333" s="6">
        <f>Table1[[#This Row],[Revenue]]-Table1[[#This Row],[Cost]]</f>
        <v>200</v>
      </c>
      <c r="R333" s="6">
        <f>COUNTBLANK(Table1[[#This Row],[Diet]:[Region]])</f>
        <v>0</v>
      </c>
      <c r="S333" s="6"/>
      <c r="T333" s="6"/>
    </row>
    <row r="334" spans="1:20" x14ac:dyDescent="0.25">
      <c r="A334" s="2" t="s">
        <v>391</v>
      </c>
      <c r="B334" s="1" t="s">
        <v>13</v>
      </c>
      <c r="C334" s="1">
        <v>3</v>
      </c>
      <c r="D334" s="1" t="s">
        <v>706</v>
      </c>
      <c r="E334" s="1">
        <f>IF(Table1[[#This Row],[Lifespan Unit]]="months", Table1[[#This Row],[Lifespan]]/12,Table1[[#This Row],[Lifespan]])</f>
        <v>3</v>
      </c>
      <c r="F334" s="1" t="s">
        <v>656</v>
      </c>
      <c r="G334" s="1" t="str">
        <f t="shared" si="10"/>
        <v>2.5</v>
      </c>
      <c r="H334" s="1" t="str">
        <f t="shared" si="11"/>
        <v>oz</v>
      </c>
      <c r="I334" s="1" t="str">
        <f>IF(Table1[[#This Row],[Lifespan (Years)]]&lt;25, "&lt;25", IF(Table1[[#This Row],[Lifespan (Years)]]&lt;50, "25-49", IF(Table1[[#This Row],[Lifespan (Years)]]&lt;75, "50-74", IF(Table1[[#This Row],[Lifespan (Years)]]&lt;100, "75-99", "&gt;=100"))))</f>
        <v>&lt;25</v>
      </c>
      <c r="J334" s="14">
        <f>IF(Table1[[#This Row],[Weight Unit]]="oz",Table1[[#This Row],[Weight (Digits)]]/16, Table1[[#This Row],[Weight (Digits)]]/1)</f>
        <v>0.15625</v>
      </c>
      <c r="K33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34" s="1" t="s">
        <v>1</v>
      </c>
      <c r="M334" s="1" t="str">
        <f>IF(COUNTIF(Table2[Animal],Table1[[#This Row],[Animal]]) = 1, "Previous Participant", "New Participant")</f>
        <v>Previous Participant</v>
      </c>
      <c r="N334" s="1" t="str">
        <f>_xlfn.XLOOKUP(Table1[[#This Row],[Region]],'Support - Tables'!$B$3:$B$10,'Support - Tables'!$D$3:$D$10,"Not Found",0)</f>
        <v>Air</v>
      </c>
      <c r="O334" s="6">
        <f>_xlfn.XLOOKUP(Table1[[#This Row],[Region]],'Support - Tables'!$B$3:$B$10,'Support - Tables'!$C$3:$C$10, "Not Found",0)</f>
        <v>700</v>
      </c>
      <c r="P334" s="6">
        <f>_xlfn.XLOOKUP(Table1[[#This Row],[Diet]],'Support - Tables'!$B$14:$B$16,'Support - Tables'!$C$14:$C$16, "Not Found", 0)</f>
        <v>400</v>
      </c>
      <c r="Q334" s="6">
        <f>Table1[[#This Row],[Revenue]]-Table1[[#This Row],[Cost]]</f>
        <v>300</v>
      </c>
      <c r="R334" s="6">
        <f>COUNTBLANK(Table1[[#This Row],[Diet]:[Region]])</f>
        <v>0</v>
      </c>
      <c r="S334" s="6"/>
      <c r="T334" s="6"/>
    </row>
    <row r="335" spans="1:20" x14ac:dyDescent="0.25">
      <c r="A335" s="2" t="s">
        <v>392</v>
      </c>
      <c r="B335" s="1" t="s">
        <v>23</v>
      </c>
      <c r="C335" s="1">
        <v>16</v>
      </c>
      <c r="D335" s="1" t="s">
        <v>706</v>
      </c>
      <c r="E335" s="1">
        <f>IF(Table1[[#This Row],[Lifespan Unit]]="months", Table1[[#This Row],[Lifespan]]/12,Table1[[#This Row],[Lifespan]])</f>
        <v>16</v>
      </c>
      <c r="F335" s="1" t="s">
        <v>657</v>
      </c>
      <c r="G335" s="1" t="str">
        <f t="shared" si="10"/>
        <v>600</v>
      </c>
      <c r="H335" s="1" t="str">
        <f t="shared" si="11"/>
        <v>lbs</v>
      </c>
      <c r="I335" s="1" t="str">
        <f>IF(Table1[[#This Row],[Lifespan (Years)]]&lt;25, "&lt;25", IF(Table1[[#This Row],[Lifespan (Years)]]&lt;50, "25-49", IF(Table1[[#This Row],[Lifespan (Years)]]&lt;75, "50-74", IF(Table1[[#This Row],[Lifespan (Years)]]&lt;100, "75-99", "&gt;=100"))))</f>
        <v>&lt;25</v>
      </c>
      <c r="J335" s="14">
        <f>IF(Table1[[#This Row],[Weight Unit]]="oz",Table1[[#This Row],[Weight (Digits)]]/16, Table1[[#This Row],[Weight (Digits)]]/1)</f>
        <v>600</v>
      </c>
      <c r="K33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335" s="1" t="s">
        <v>724</v>
      </c>
      <c r="M335" s="1" t="str">
        <f>IF(COUNTIF(Table2[Animal],Table1[[#This Row],[Animal]]) = 1, "Previous Participant", "New Participant")</f>
        <v>Previous Participant</v>
      </c>
      <c r="N335" s="1" t="str">
        <f>_xlfn.XLOOKUP(Table1[[#This Row],[Region]],'Support - Tables'!$B$3:$B$10,'Support - Tables'!$D$3:$D$10,"Not Found",0)</f>
        <v>Road</v>
      </c>
      <c r="O335" s="6">
        <f>_xlfn.XLOOKUP(Table1[[#This Row],[Region]],'Support - Tables'!$B$3:$B$10,'Support - Tables'!$C$3:$C$10, "Not Found",0)</f>
        <v>450</v>
      </c>
      <c r="P335" s="6">
        <f>_xlfn.XLOOKUP(Table1[[#This Row],[Diet]],'Support - Tables'!$B$14:$B$16,'Support - Tables'!$C$14:$C$16, "Not Found", 0)</f>
        <v>300</v>
      </c>
      <c r="Q335" s="6">
        <f>Table1[[#This Row],[Revenue]]-Table1[[#This Row],[Cost]]</f>
        <v>150</v>
      </c>
      <c r="R335" s="6">
        <f>COUNTBLANK(Table1[[#This Row],[Diet]:[Region]])</f>
        <v>0</v>
      </c>
      <c r="S335" s="6"/>
      <c r="T335" s="6"/>
    </row>
    <row r="336" spans="1:20" x14ac:dyDescent="0.25">
      <c r="A336" s="2" t="s">
        <v>393</v>
      </c>
      <c r="B336" s="1" t="s">
        <v>15</v>
      </c>
      <c r="C336" s="1">
        <v>30</v>
      </c>
      <c r="D336" s="1" t="s">
        <v>706</v>
      </c>
      <c r="E336" s="1">
        <f>IF(Table1[[#This Row],[Lifespan Unit]]="months", Table1[[#This Row],[Lifespan]]/12,Table1[[#This Row],[Lifespan]])</f>
        <v>30</v>
      </c>
      <c r="F336" s="1" t="s">
        <v>573</v>
      </c>
      <c r="G336" s="1" t="str">
        <f t="shared" si="10"/>
        <v/>
      </c>
      <c r="H336" s="1" t="str">
        <f t="shared" si="11"/>
        <v/>
      </c>
      <c r="I336" s="1" t="str">
        <f>IF(Table1[[#This Row],[Lifespan (Years)]]&lt;25, "&lt;25", IF(Table1[[#This Row],[Lifespan (Years)]]&lt;50, "25-49", IF(Table1[[#This Row],[Lifespan (Years)]]&lt;75, "50-74", IF(Table1[[#This Row],[Lifespan (Years)]]&lt;100, "75-99", "&gt;=100"))))</f>
        <v>25-49</v>
      </c>
      <c r="J336" s="14">
        <v>0</v>
      </c>
      <c r="K33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336" s="1" t="s">
        <v>5</v>
      </c>
      <c r="M336" s="1" t="str">
        <f>IF(COUNTIF(Table2[Animal],Table1[[#This Row],[Animal]]) = 1, "Previous Participant", "New Participant")</f>
        <v>New Participant</v>
      </c>
      <c r="N336" s="1" t="str">
        <f>_xlfn.XLOOKUP(Table1[[#This Row],[Region]],'Support - Tables'!$B$3:$B$10,'Support - Tables'!$D$3:$D$10,"Not Found",0)</f>
        <v>Boat</v>
      </c>
      <c r="O336" s="6">
        <f>_xlfn.XLOOKUP(Table1[[#This Row],[Region]],'Support - Tables'!$B$3:$B$10,'Support - Tables'!$C$3:$C$10, "Not Found",0)</f>
        <v>400</v>
      </c>
      <c r="P336" s="6">
        <f>_xlfn.XLOOKUP(Table1[[#This Row],[Diet]],'Support - Tables'!$B$14:$B$16,'Support - Tables'!$C$14:$C$16, "Not Found", 0)</f>
        <v>500</v>
      </c>
      <c r="Q336" s="6">
        <f>Table1[[#This Row],[Revenue]]-Table1[[#This Row],[Cost]]</f>
        <v>-100</v>
      </c>
      <c r="R336" s="6">
        <f>COUNTBLANK(Table1[[#This Row],[Diet]:[Region]])</f>
        <v>3</v>
      </c>
      <c r="S336" s="6"/>
      <c r="T336" s="6"/>
    </row>
    <row r="337" spans="1:20" x14ac:dyDescent="0.25">
      <c r="A337" s="2" t="s">
        <v>394</v>
      </c>
      <c r="B337" s="1" t="s">
        <v>23</v>
      </c>
      <c r="C337" s="1">
        <v>40</v>
      </c>
      <c r="D337" s="1" t="s">
        <v>709</v>
      </c>
      <c r="E337" s="1">
        <f>IF(Table1[[#This Row],[Lifespan Unit]]="months", Table1[[#This Row],[Lifespan]]/12,Table1[[#This Row],[Lifespan]])</f>
        <v>40</v>
      </c>
      <c r="F337" s="1" t="s">
        <v>573</v>
      </c>
      <c r="G337" s="1" t="str">
        <f t="shared" si="10"/>
        <v/>
      </c>
      <c r="H337" s="1" t="str">
        <f t="shared" si="11"/>
        <v/>
      </c>
      <c r="I337" s="1" t="str">
        <f>IF(Table1[[#This Row],[Lifespan (Years)]]&lt;25, "&lt;25", IF(Table1[[#This Row],[Lifespan (Years)]]&lt;50, "25-49", IF(Table1[[#This Row],[Lifespan (Years)]]&lt;75, "50-74", IF(Table1[[#This Row],[Lifespan (Years)]]&lt;100, "75-99", "&gt;=100"))))</f>
        <v>25-49</v>
      </c>
      <c r="J337" s="14">
        <v>0</v>
      </c>
      <c r="K33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337" s="1" t="s">
        <v>4</v>
      </c>
      <c r="M337" s="1" t="str">
        <f>IF(COUNTIF(Table2[Animal],Table1[[#This Row],[Animal]]) = 1, "Previous Participant", "New Participant")</f>
        <v>Previous Participant</v>
      </c>
      <c r="N337" s="1" t="str">
        <f>_xlfn.XLOOKUP(Table1[[#This Row],[Region]],'Support - Tables'!$B$3:$B$10,'Support - Tables'!$D$3:$D$10,"Not Found",0)</f>
        <v>Boat</v>
      </c>
      <c r="O337" s="6">
        <f>_xlfn.XLOOKUP(Table1[[#This Row],[Region]],'Support - Tables'!$B$3:$B$10,'Support - Tables'!$C$3:$C$10, "Not Found",0)</f>
        <v>200</v>
      </c>
      <c r="P337" s="6">
        <f>_xlfn.XLOOKUP(Table1[[#This Row],[Diet]],'Support - Tables'!$B$14:$B$16,'Support - Tables'!$C$14:$C$16, "Not Found", 0)</f>
        <v>300</v>
      </c>
      <c r="Q337" s="6">
        <f>Table1[[#This Row],[Revenue]]-Table1[[#This Row],[Cost]]</f>
        <v>-100</v>
      </c>
      <c r="R337" s="6">
        <f>COUNTBLANK(Table1[[#This Row],[Diet]:[Region]])</f>
        <v>3</v>
      </c>
      <c r="S337" s="6"/>
      <c r="T337" s="6"/>
    </row>
    <row r="338" spans="1:20" x14ac:dyDescent="0.25">
      <c r="A338" s="2" t="s">
        <v>395</v>
      </c>
      <c r="B338" s="1" t="s">
        <v>13</v>
      </c>
      <c r="C338" s="1">
        <v>50</v>
      </c>
      <c r="D338" s="1" t="s">
        <v>706</v>
      </c>
      <c r="E338" s="1">
        <f>IF(Table1[[#This Row],[Lifespan Unit]]="months", Table1[[#This Row],[Lifespan]]/12,Table1[[#This Row],[Lifespan]])</f>
        <v>50</v>
      </c>
      <c r="F338" s="1" t="s">
        <v>658</v>
      </c>
      <c r="G338" s="1" t="str">
        <f t="shared" si="10"/>
        <v>450</v>
      </c>
      <c r="H338" s="1" t="str">
        <f t="shared" si="11"/>
        <v>lbs</v>
      </c>
      <c r="I338" s="1" t="str">
        <f>IF(Table1[[#This Row],[Lifespan (Years)]]&lt;25, "&lt;25", IF(Table1[[#This Row],[Lifespan (Years)]]&lt;50, "25-49", IF(Table1[[#This Row],[Lifespan (Years)]]&lt;75, "50-74", IF(Table1[[#This Row],[Lifespan (Years)]]&lt;100, "75-99", "&gt;=100"))))</f>
        <v>50-74</v>
      </c>
      <c r="J338" s="14">
        <f>IF(Table1[[#This Row],[Weight Unit]]="oz",Table1[[#This Row],[Weight (Digits)]]/16, Table1[[#This Row],[Weight (Digits)]]/1)</f>
        <v>450</v>
      </c>
      <c r="K33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400-499</v>
      </c>
      <c r="L338" s="1" t="s">
        <v>724</v>
      </c>
      <c r="M338" s="1" t="str">
        <f>IF(COUNTIF(Table2[Animal],Table1[[#This Row],[Animal]]) = 1, "Previous Participant", "New Participant")</f>
        <v>Previous Participant</v>
      </c>
      <c r="N338" s="1" t="str">
        <f>_xlfn.XLOOKUP(Table1[[#This Row],[Region]],'Support - Tables'!$B$3:$B$10,'Support - Tables'!$D$3:$D$10,"Not Found",0)</f>
        <v>Road</v>
      </c>
      <c r="O338" s="6">
        <f>_xlfn.XLOOKUP(Table1[[#This Row],[Region]],'Support - Tables'!$B$3:$B$10,'Support - Tables'!$C$3:$C$10, "Not Found",0)</f>
        <v>450</v>
      </c>
      <c r="P338" s="6">
        <f>_xlfn.XLOOKUP(Table1[[#This Row],[Diet]],'Support - Tables'!$B$14:$B$16,'Support - Tables'!$C$14:$C$16, "Not Found", 0)</f>
        <v>400</v>
      </c>
      <c r="Q338" s="6">
        <f>Table1[[#This Row],[Revenue]]-Table1[[#This Row],[Cost]]</f>
        <v>50</v>
      </c>
      <c r="R338" s="6">
        <f>COUNTBLANK(Table1[[#This Row],[Diet]:[Region]])</f>
        <v>0</v>
      </c>
      <c r="S338" s="6"/>
      <c r="T338" s="6"/>
    </row>
    <row r="339" spans="1:20" x14ac:dyDescent="0.25">
      <c r="A339" s="2" t="s">
        <v>396</v>
      </c>
      <c r="B339" s="1" t="s">
        <v>15</v>
      </c>
      <c r="C339" s="1">
        <v>20</v>
      </c>
      <c r="D339" s="1" t="s">
        <v>706</v>
      </c>
      <c r="E339" s="1">
        <f>IF(Table1[[#This Row],[Lifespan Unit]]="months", Table1[[#This Row],[Lifespan]]/12,Table1[[#This Row],[Lifespan]])</f>
        <v>20</v>
      </c>
      <c r="F339" s="1" t="s">
        <v>604</v>
      </c>
      <c r="G339" s="1" t="str">
        <f t="shared" si="10"/>
        <v>64</v>
      </c>
      <c r="H339" s="1" t="str">
        <f t="shared" si="11"/>
        <v>lbs</v>
      </c>
      <c r="I339" s="1" t="str">
        <f>IF(Table1[[#This Row],[Lifespan (Years)]]&lt;25, "&lt;25", IF(Table1[[#This Row],[Lifespan (Years)]]&lt;50, "25-49", IF(Table1[[#This Row],[Lifespan (Years)]]&lt;75, "50-74", IF(Table1[[#This Row],[Lifespan (Years)]]&lt;100, "75-99", "&gt;=100"))))</f>
        <v>&lt;25</v>
      </c>
      <c r="J339" s="14">
        <f>IF(Table1[[#This Row],[Weight Unit]]="oz",Table1[[#This Row],[Weight (Digits)]]/16, Table1[[#This Row],[Weight (Digits)]]/1)</f>
        <v>64</v>
      </c>
      <c r="K33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39" s="1" t="s">
        <v>4</v>
      </c>
      <c r="M339" s="1" t="str">
        <f>IF(COUNTIF(Table2[Animal],Table1[[#This Row],[Animal]]) = 1, "Previous Participant", "New Participant")</f>
        <v>Previous Participant</v>
      </c>
      <c r="N339" s="1" t="str">
        <f>_xlfn.XLOOKUP(Table1[[#This Row],[Region]],'Support - Tables'!$B$3:$B$10,'Support - Tables'!$D$3:$D$10,"Not Found",0)</f>
        <v>Boat</v>
      </c>
      <c r="O339" s="6">
        <f>_xlfn.XLOOKUP(Table1[[#This Row],[Region]],'Support - Tables'!$B$3:$B$10,'Support - Tables'!$C$3:$C$10, "Not Found",0)</f>
        <v>200</v>
      </c>
      <c r="P339" s="6">
        <f>_xlfn.XLOOKUP(Table1[[#This Row],[Diet]],'Support - Tables'!$B$14:$B$16,'Support - Tables'!$C$14:$C$16, "Not Found", 0)</f>
        <v>500</v>
      </c>
      <c r="Q339" s="6">
        <f>Table1[[#This Row],[Revenue]]-Table1[[#This Row],[Cost]]</f>
        <v>-300</v>
      </c>
      <c r="R339" s="6">
        <f>COUNTBLANK(Table1[[#This Row],[Diet]:[Region]])</f>
        <v>0</v>
      </c>
      <c r="S339" s="6"/>
      <c r="T339" s="6"/>
    </row>
    <row r="340" spans="1:20" x14ac:dyDescent="0.25">
      <c r="A340" s="2" t="s">
        <v>397</v>
      </c>
      <c r="B340" s="1" t="s">
        <v>23</v>
      </c>
      <c r="C340" s="1">
        <v>5</v>
      </c>
      <c r="D340" s="1" t="s">
        <v>706</v>
      </c>
      <c r="E340" s="1">
        <f>IF(Table1[[#This Row],[Lifespan Unit]]="months", Table1[[#This Row],[Lifespan]]/12,Table1[[#This Row],[Lifespan]])</f>
        <v>5</v>
      </c>
      <c r="F340" s="1" t="s">
        <v>659</v>
      </c>
      <c r="G340" s="1" t="str">
        <f t="shared" si="10"/>
        <v>0.2</v>
      </c>
      <c r="H340" s="1" t="str">
        <f t="shared" si="11"/>
        <v>lbs</v>
      </c>
      <c r="I340" s="1" t="str">
        <f>IF(Table1[[#This Row],[Lifespan (Years)]]&lt;25, "&lt;25", IF(Table1[[#This Row],[Lifespan (Years)]]&lt;50, "25-49", IF(Table1[[#This Row],[Lifespan (Years)]]&lt;75, "50-74", IF(Table1[[#This Row],[Lifespan (Years)]]&lt;100, "75-99", "&gt;=100"))))</f>
        <v>&lt;25</v>
      </c>
      <c r="J340" s="14">
        <f>IF(Table1[[#This Row],[Weight Unit]]="oz",Table1[[#This Row],[Weight (Digits)]]/16, Table1[[#This Row],[Weight (Digits)]]/1)</f>
        <v>0.2</v>
      </c>
      <c r="K34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40" s="1" t="s">
        <v>4</v>
      </c>
      <c r="M340" s="1" t="str">
        <f>IF(COUNTIF(Table2[Animal],Table1[[#This Row],[Animal]]) = 1, "Previous Participant", "New Participant")</f>
        <v>New Participant</v>
      </c>
      <c r="N340" s="1" t="str">
        <f>_xlfn.XLOOKUP(Table1[[#This Row],[Region]],'Support - Tables'!$B$3:$B$10,'Support - Tables'!$D$3:$D$10,"Not Found",0)</f>
        <v>Boat</v>
      </c>
      <c r="O340" s="6">
        <f>_xlfn.XLOOKUP(Table1[[#This Row],[Region]],'Support - Tables'!$B$3:$B$10,'Support - Tables'!$C$3:$C$10, "Not Found",0)</f>
        <v>200</v>
      </c>
      <c r="P340" s="6">
        <f>_xlfn.XLOOKUP(Table1[[#This Row],[Diet]],'Support - Tables'!$B$14:$B$16,'Support - Tables'!$C$14:$C$16, "Not Found", 0)</f>
        <v>300</v>
      </c>
      <c r="Q340" s="6">
        <f>Table1[[#This Row],[Revenue]]-Table1[[#This Row],[Cost]]</f>
        <v>-100</v>
      </c>
      <c r="R340" s="6">
        <f>COUNTBLANK(Table1[[#This Row],[Diet]:[Region]])</f>
        <v>0</v>
      </c>
      <c r="S340" s="6"/>
      <c r="T340" s="6"/>
    </row>
    <row r="341" spans="1:20" x14ac:dyDescent="0.25">
      <c r="A341" s="2" t="s">
        <v>398</v>
      </c>
      <c r="B341" s="1" t="s">
        <v>23</v>
      </c>
      <c r="C341" s="1">
        <v>20</v>
      </c>
      <c r="D341" s="1" t="s">
        <v>706</v>
      </c>
      <c r="E341" s="1">
        <f>IF(Table1[[#This Row],[Lifespan Unit]]="months", Table1[[#This Row],[Lifespan]]/12,Table1[[#This Row],[Lifespan]])</f>
        <v>20</v>
      </c>
      <c r="F341" s="1" t="s">
        <v>660</v>
      </c>
      <c r="G341" s="1" t="str">
        <f t="shared" si="10"/>
        <v>771</v>
      </c>
      <c r="H341" s="1" t="str">
        <f t="shared" si="11"/>
        <v>lbs</v>
      </c>
      <c r="I341" s="1" t="str">
        <f>IF(Table1[[#This Row],[Lifespan (Years)]]&lt;25, "&lt;25", IF(Table1[[#This Row],[Lifespan (Years)]]&lt;50, "25-49", IF(Table1[[#This Row],[Lifespan (Years)]]&lt;75, "50-74", IF(Table1[[#This Row],[Lifespan (Years)]]&lt;100, "75-99", "&gt;=100"))))</f>
        <v>&lt;25</v>
      </c>
      <c r="J341" s="14">
        <f>IF(Table1[[#This Row],[Weight Unit]]="oz",Table1[[#This Row],[Weight (Digits)]]/16, Table1[[#This Row],[Weight (Digits)]]/1)</f>
        <v>771</v>
      </c>
      <c r="K34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341" s="1" t="s">
        <v>5</v>
      </c>
      <c r="M341" s="1" t="str">
        <f>IF(COUNTIF(Table2[Animal],Table1[[#This Row],[Animal]]) = 1, "Previous Participant", "New Participant")</f>
        <v>Previous Participant</v>
      </c>
      <c r="N341" s="1" t="str">
        <f>_xlfn.XLOOKUP(Table1[[#This Row],[Region]],'Support - Tables'!$B$3:$B$10,'Support - Tables'!$D$3:$D$10,"Not Found",0)</f>
        <v>Boat</v>
      </c>
      <c r="O341" s="6">
        <f>_xlfn.XLOOKUP(Table1[[#This Row],[Region]],'Support - Tables'!$B$3:$B$10,'Support - Tables'!$C$3:$C$10, "Not Found",0)</f>
        <v>400</v>
      </c>
      <c r="P341" s="6">
        <f>_xlfn.XLOOKUP(Table1[[#This Row],[Diet]],'Support - Tables'!$B$14:$B$16,'Support - Tables'!$C$14:$C$16, "Not Found", 0)</f>
        <v>300</v>
      </c>
      <c r="Q341" s="6">
        <f>Table1[[#This Row],[Revenue]]-Table1[[#This Row],[Cost]]</f>
        <v>100</v>
      </c>
      <c r="R341" s="6">
        <f>COUNTBLANK(Table1[[#This Row],[Diet]:[Region]])</f>
        <v>0</v>
      </c>
      <c r="S341" s="6"/>
      <c r="T341" s="6"/>
    </row>
    <row r="342" spans="1:20" x14ac:dyDescent="0.25">
      <c r="A342" s="2" t="s">
        <v>399</v>
      </c>
      <c r="B342" s="1" t="s">
        <v>13</v>
      </c>
      <c r="C342" s="1">
        <v>10</v>
      </c>
      <c r="D342" s="1" t="s">
        <v>706</v>
      </c>
      <c r="E342" s="1">
        <f>IF(Table1[[#This Row],[Lifespan Unit]]="months", Table1[[#This Row],[Lifespan]]/12,Table1[[#This Row],[Lifespan]])</f>
        <v>10</v>
      </c>
      <c r="F342" s="1" t="s">
        <v>400</v>
      </c>
      <c r="G342" s="1" t="str">
        <f t="shared" si="10"/>
        <v>165</v>
      </c>
      <c r="H342" s="1" t="str">
        <f t="shared" si="11"/>
        <v>lbs</v>
      </c>
      <c r="I342" s="1" t="str">
        <f>IF(Table1[[#This Row],[Lifespan (Years)]]&lt;25, "&lt;25", IF(Table1[[#This Row],[Lifespan (Years)]]&lt;50, "25-49", IF(Table1[[#This Row],[Lifespan (Years)]]&lt;75, "50-74", IF(Table1[[#This Row],[Lifespan (Years)]]&lt;100, "75-99", "&gt;=100"))))</f>
        <v>&lt;25</v>
      </c>
      <c r="J342" s="14">
        <f>IF(Table1[[#This Row],[Weight Unit]]="oz",Table1[[#This Row],[Weight (Digits)]]/16, Table1[[#This Row],[Weight (Digits)]]/1)</f>
        <v>165</v>
      </c>
      <c r="K34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342" s="1" t="s">
        <v>724</v>
      </c>
      <c r="M342" s="1" t="str">
        <f>IF(COUNTIF(Table2[Animal],Table1[[#This Row],[Animal]]) = 1, "Previous Participant", "New Participant")</f>
        <v>New Participant</v>
      </c>
      <c r="N342" s="1" t="str">
        <f>_xlfn.XLOOKUP(Table1[[#This Row],[Region]],'Support - Tables'!$B$3:$B$10,'Support - Tables'!$D$3:$D$10,"Not Found",0)</f>
        <v>Road</v>
      </c>
      <c r="O342" s="6">
        <f>_xlfn.XLOOKUP(Table1[[#This Row],[Region]],'Support - Tables'!$B$3:$B$10,'Support - Tables'!$C$3:$C$10, "Not Found",0)</f>
        <v>450</v>
      </c>
      <c r="P342" s="6">
        <f>_xlfn.XLOOKUP(Table1[[#This Row],[Diet]],'Support - Tables'!$B$14:$B$16,'Support - Tables'!$C$14:$C$16, "Not Found", 0)</f>
        <v>400</v>
      </c>
      <c r="Q342" s="6">
        <f>Table1[[#This Row],[Revenue]]-Table1[[#This Row],[Cost]]</f>
        <v>50</v>
      </c>
      <c r="R342" s="6">
        <f>COUNTBLANK(Table1[[#This Row],[Diet]:[Region]])</f>
        <v>0</v>
      </c>
      <c r="S342" s="6"/>
      <c r="T342" s="6"/>
    </row>
    <row r="343" spans="1:20" x14ac:dyDescent="0.25">
      <c r="A343" s="2" t="s">
        <v>401</v>
      </c>
      <c r="B343" s="1" t="s">
        <v>13</v>
      </c>
      <c r="C343" s="1">
        <v>10</v>
      </c>
      <c r="D343" s="1" t="s">
        <v>706</v>
      </c>
      <c r="E343" s="1">
        <f>IF(Table1[[#This Row],[Lifespan Unit]]="months", Table1[[#This Row],[Lifespan]]/12,Table1[[#This Row],[Lifespan]])</f>
        <v>10</v>
      </c>
      <c r="F343" s="1" t="s">
        <v>141</v>
      </c>
      <c r="G343" s="1" t="str">
        <f t="shared" si="10"/>
        <v>130</v>
      </c>
      <c r="H343" s="1" t="str">
        <f t="shared" si="11"/>
        <v>lbs</v>
      </c>
      <c r="I343" s="1" t="str">
        <f>IF(Table1[[#This Row],[Lifespan (Years)]]&lt;25, "&lt;25", IF(Table1[[#This Row],[Lifespan (Years)]]&lt;50, "25-49", IF(Table1[[#This Row],[Lifespan (Years)]]&lt;75, "50-74", IF(Table1[[#This Row],[Lifespan (Years)]]&lt;100, "75-99", "&gt;=100"))))</f>
        <v>&lt;25</v>
      </c>
      <c r="J343" s="14">
        <f>IF(Table1[[#This Row],[Weight Unit]]="oz",Table1[[#This Row],[Weight (Digits)]]/16, Table1[[#This Row],[Weight (Digits)]]/1)</f>
        <v>130</v>
      </c>
      <c r="K34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343" s="1" t="s">
        <v>5</v>
      </c>
      <c r="M343" s="1" t="str">
        <f>IF(COUNTIF(Table2[Animal],Table1[[#This Row],[Animal]]) = 1, "Previous Participant", "New Participant")</f>
        <v>Previous Participant</v>
      </c>
      <c r="N343" s="1" t="str">
        <f>_xlfn.XLOOKUP(Table1[[#This Row],[Region]],'Support - Tables'!$B$3:$B$10,'Support - Tables'!$D$3:$D$10,"Not Found",0)</f>
        <v>Boat</v>
      </c>
      <c r="O343" s="6">
        <f>_xlfn.XLOOKUP(Table1[[#This Row],[Region]],'Support - Tables'!$B$3:$B$10,'Support - Tables'!$C$3:$C$10, "Not Found",0)</f>
        <v>400</v>
      </c>
      <c r="P343" s="6">
        <f>_xlfn.XLOOKUP(Table1[[#This Row],[Diet]],'Support - Tables'!$B$14:$B$16,'Support - Tables'!$C$14:$C$16, "Not Found", 0)</f>
        <v>400</v>
      </c>
      <c r="Q343" s="6">
        <f>Table1[[#This Row],[Revenue]]-Table1[[#This Row],[Cost]]</f>
        <v>0</v>
      </c>
      <c r="R343" s="6">
        <f>COUNTBLANK(Table1[[#This Row],[Diet]:[Region]])</f>
        <v>0</v>
      </c>
      <c r="S343" s="6"/>
      <c r="T343" s="6"/>
    </row>
    <row r="344" spans="1:20" x14ac:dyDescent="0.25">
      <c r="A344" s="2" t="s">
        <v>402</v>
      </c>
      <c r="B344" s="1" t="s">
        <v>13</v>
      </c>
      <c r="C344" s="1">
        <v>15</v>
      </c>
      <c r="D344" s="1" t="s">
        <v>706</v>
      </c>
      <c r="E344" s="1">
        <f>IF(Table1[[#This Row],[Lifespan Unit]]="months", Table1[[#This Row],[Lifespan]]/12,Table1[[#This Row],[Lifespan]])</f>
        <v>15</v>
      </c>
      <c r="F344" s="1" t="s">
        <v>661</v>
      </c>
      <c r="G344" s="1" t="str">
        <f t="shared" si="10"/>
        <v>0.3</v>
      </c>
      <c r="H344" s="1" t="str">
        <f t="shared" si="11"/>
        <v>lbs</v>
      </c>
      <c r="I344" s="1" t="str">
        <f>IF(Table1[[#This Row],[Lifespan (Years)]]&lt;25, "&lt;25", IF(Table1[[#This Row],[Lifespan (Years)]]&lt;50, "25-49", IF(Table1[[#This Row],[Lifespan (Years)]]&lt;75, "50-74", IF(Table1[[#This Row],[Lifespan (Years)]]&lt;100, "75-99", "&gt;=100"))))</f>
        <v>&lt;25</v>
      </c>
      <c r="J344" s="14">
        <f>IF(Table1[[#This Row],[Weight Unit]]="oz",Table1[[#This Row],[Weight (Digits)]]/16, Table1[[#This Row],[Weight (Digits)]]/1)</f>
        <v>0.3</v>
      </c>
      <c r="K34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44" s="1" t="s">
        <v>5</v>
      </c>
      <c r="M344" s="1" t="str">
        <f>IF(COUNTIF(Table2[Animal],Table1[[#This Row],[Animal]]) = 1, "Previous Participant", "New Participant")</f>
        <v>Previous Participant</v>
      </c>
      <c r="N344" s="1" t="str">
        <f>_xlfn.XLOOKUP(Table1[[#This Row],[Region]],'Support - Tables'!$B$3:$B$10,'Support - Tables'!$D$3:$D$10,"Not Found",0)</f>
        <v>Boat</v>
      </c>
      <c r="O344" s="6">
        <f>_xlfn.XLOOKUP(Table1[[#This Row],[Region]],'Support - Tables'!$B$3:$B$10,'Support - Tables'!$C$3:$C$10, "Not Found",0)</f>
        <v>400</v>
      </c>
      <c r="P344" s="6">
        <f>_xlfn.XLOOKUP(Table1[[#This Row],[Diet]],'Support - Tables'!$B$14:$B$16,'Support - Tables'!$C$14:$C$16, "Not Found", 0)</f>
        <v>400</v>
      </c>
      <c r="Q344" s="6">
        <f>Table1[[#This Row],[Revenue]]-Table1[[#This Row],[Cost]]</f>
        <v>0</v>
      </c>
      <c r="R344" s="6">
        <f>COUNTBLANK(Table1[[#This Row],[Diet]:[Region]])</f>
        <v>0</v>
      </c>
      <c r="S344" s="6"/>
      <c r="T344" s="6"/>
    </row>
    <row r="345" spans="1:20" x14ac:dyDescent="0.25">
      <c r="A345" s="2" t="s">
        <v>403</v>
      </c>
      <c r="B345" s="1" t="s">
        <v>13</v>
      </c>
      <c r="C345" s="1">
        <v>3</v>
      </c>
      <c r="D345" s="1" t="s">
        <v>706</v>
      </c>
      <c r="E345" s="1">
        <f>IF(Table1[[#This Row],[Lifespan Unit]]="months", Table1[[#This Row],[Lifespan]]/12,Table1[[#This Row],[Lifespan]])</f>
        <v>3</v>
      </c>
      <c r="F345" s="1" t="s">
        <v>258</v>
      </c>
      <c r="G345" s="1" t="str">
        <f t="shared" si="10"/>
        <v>0.5</v>
      </c>
      <c r="H345" s="1" t="str">
        <f t="shared" si="11"/>
        <v>oz</v>
      </c>
      <c r="I345" s="1" t="str">
        <f>IF(Table1[[#This Row],[Lifespan (Years)]]&lt;25, "&lt;25", IF(Table1[[#This Row],[Lifespan (Years)]]&lt;50, "25-49", IF(Table1[[#This Row],[Lifespan (Years)]]&lt;75, "50-74", IF(Table1[[#This Row],[Lifespan (Years)]]&lt;100, "75-99", "&gt;=100"))))</f>
        <v>&lt;25</v>
      </c>
      <c r="J345" s="14">
        <f>IF(Table1[[#This Row],[Weight Unit]]="oz",Table1[[#This Row],[Weight (Digits)]]/16, Table1[[#This Row],[Weight (Digits)]]/1)</f>
        <v>3.125E-2</v>
      </c>
      <c r="K34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45" s="1" t="s">
        <v>2</v>
      </c>
      <c r="M345" s="1" t="str">
        <f>IF(COUNTIF(Table2[Animal],Table1[[#This Row],[Animal]]) = 1, "Previous Participant", "New Participant")</f>
        <v>Previous Participant</v>
      </c>
      <c r="N345" s="1" t="str">
        <f>_xlfn.XLOOKUP(Table1[[#This Row],[Region]],'Support - Tables'!$B$3:$B$10,'Support - Tables'!$D$3:$D$10,"Not Found",0)</f>
        <v>Air</v>
      </c>
      <c r="O345" s="6">
        <f>_xlfn.XLOOKUP(Table1[[#This Row],[Region]],'Support - Tables'!$B$3:$B$10,'Support - Tables'!$C$3:$C$10, "Not Found",0)</f>
        <v>600</v>
      </c>
      <c r="P345" s="6">
        <f>_xlfn.XLOOKUP(Table1[[#This Row],[Diet]],'Support - Tables'!$B$14:$B$16,'Support - Tables'!$C$14:$C$16, "Not Found", 0)</f>
        <v>400</v>
      </c>
      <c r="Q345" s="6">
        <f>Table1[[#This Row],[Revenue]]-Table1[[#This Row],[Cost]]</f>
        <v>200</v>
      </c>
      <c r="R345" s="6">
        <f>COUNTBLANK(Table1[[#This Row],[Diet]:[Region]])</f>
        <v>0</v>
      </c>
      <c r="S345" s="6"/>
      <c r="T345" s="6"/>
    </row>
    <row r="346" spans="1:20" x14ac:dyDescent="0.25">
      <c r="A346" s="2" t="s">
        <v>404</v>
      </c>
      <c r="B346" s="1" t="s">
        <v>13</v>
      </c>
      <c r="C346" s="1">
        <v>15</v>
      </c>
      <c r="D346" s="1" t="s">
        <v>706</v>
      </c>
      <c r="E346" s="1">
        <f>IF(Table1[[#This Row],[Lifespan Unit]]="months", Table1[[#This Row],[Lifespan]]/12,Table1[[#This Row],[Lifespan]])</f>
        <v>15</v>
      </c>
      <c r="F346" s="1" t="s">
        <v>84</v>
      </c>
      <c r="G346" s="1" t="str">
        <f t="shared" si="10"/>
        <v>12</v>
      </c>
      <c r="H346" s="1" t="str">
        <f t="shared" si="11"/>
        <v>lbs</v>
      </c>
      <c r="I346" s="1" t="str">
        <f>IF(Table1[[#This Row],[Lifespan (Years)]]&lt;25, "&lt;25", IF(Table1[[#This Row],[Lifespan (Years)]]&lt;50, "25-49", IF(Table1[[#This Row],[Lifespan (Years)]]&lt;75, "50-74", IF(Table1[[#This Row],[Lifespan (Years)]]&lt;100, "75-99", "&gt;=100"))))</f>
        <v>&lt;25</v>
      </c>
      <c r="J346" s="14">
        <f>IF(Table1[[#This Row],[Weight Unit]]="oz",Table1[[#This Row],[Weight (Digits)]]/16, Table1[[#This Row],[Weight (Digits)]]/1)</f>
        <v>12</v>
      </c>
      <c r="K34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46" s="1" t="s">
        <v>5</v>
      </c>
      <c r="M346" s="1" t="str">
        <f>IF(COUNTIF(Table2[Animal],Table1[[#This Row],[Animal]]) = 1, "Previous Participant", "New Participant")</f>
        <v>Previous Participant</v>
      </c>
      <c r="N346" s="1" t="str">
        <f>_xlfn.XLOOKUP(Table1[[#This Row],[Region]],'Support - Tables'!$B$3:$B$10,'Support - Tables'!$D$3:$D$10,"Not Found",0)</f>
        <v>Boat</v>
      </c>
      <c r="O346" s="6">
        <f>_xlfn.XLOOKUP(Table1[[#This Row],[Region]],'Support - Tables'!$B$3:$B$10,'Support - Tables'!$C$3:$C$10, "Not Found",0)</f>
        <v>400</v>
      </c>
      <c r="P346" s="6">
        <f>_xlfn.XLOOKUP(Table1[[#This Row],[Diet]],'Support - Tables'!$B$14:$B$16,'Support - Tables'!$C$14:$C$16, "Not Found", 0)</f>
        <v>400</v>
      </c>
      <c r="Q346" s="6">
        <f>Table1[[#This Row],[Revenue]]-Table1[[#This Row],[Cost]]</f>
        <v>0</v>
      </c>
      <c r="R346" s="6">
        <f>COUNTBLANK(Table1[[#This Row],[Diet]:[Region]])</f>
        <v>0</v>
      </c>
      <c r="S346" s="6"/>
      <c r="T346" s="6"/>
    </row>
    <row r="347" spans="1:20" x14ac:dyDescent="0.25">
      <c r="A347" s="2" t="s">
        <v>405</v>
      </c>
      <c r="B347" s="1" t="s">
        <v>15</v>
      </c>
      <c r="C347" s="1">
        <v>15</v>
      </c>
      <c r="D347" s="1" t="s">
        <v>706</v>
      </c>
      <c r="E347" s="1">
        <f>IF(Table1[[#This Row],[Lifespan Unit]]="months", Table1[[#This Row],[Lifespan]]/12,Table1[[#This Row],[Lifespan]])</f>
        <v>15</v>
      </c>
      <c r="F347" s="1" t="s">
        <v>249</v>
      </c>
      <c r="G347" s="1" t="str">
        <f t="shared" si="10"/>
        <v>22</v>
      </c>
      <c r="H347" s="1" t="str">
        <f t="shared" si="11"/>
        <v>lbs</v>
      </c>
      <c r="I347" s="1" t="str">
        <f>IF(Table1[[#This Row],[Lifespan (Years)]]&lt;25, "&lt;25", IF(Table1[[#This Row],[Lifespan (Years)]]&lt;50, "25-49", IF(Table1[[#This Row],[Lifespan (Years)]]&lt;75, "50-74", IF(Table1[[#This Row],[Lifespan (Years)]]&lt;100, "75-99", "&gt;=100"))))</f>
        <v>&lt;25</v>
      </c>
      <c r="J347" s="14">
        <f>IF(Table1[[#This Row],[Weight Unit]]="oz",Table1[[#This Row],[Weight (Digits)]]/16, Table1[[#This Row],[Weight (Digits)]]/1)</f>
        <v>22</v>
      </c>
      <c r="K34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47" s="1" t="s">
        <v>724</v>
      </c>
      <c r="M347" s="1" t="str">
        <f>IF(COUNTIF(Table2[Animal],Table1[[#This Row],[Animal]]) = 1, "Previous Participant", "New Participant")</f>
        <v>Previous Participant</v>
      </c>
      <c r="N347" s="1" t="str">
        <f>_xlfn.XLOOKUP(Table1[[#This Row],[Region]],'Support - Tables'!$B$3:$B$10,'Support - Tables'!$D$3:$D$10,"Not Found",0)</f>
        <v>Road</v>
      </c>
      <c r="O347" s="6">
        <f>_xlfn.XLOOKUP(Table1[[#This Row],[Region]],'Support - Tables'!$B$3:$B$10,'Support - Tables'!$C$3:$C$10, "Not Found",0)</f>
        <v>450</v>
      </c>
      <c r="P347" s="6">
        <f>_xlfn.XLOOKUP(Table1[[#This Row],[Diet]],'Support - Tables'!$B$14:$B$16,'Support - Tables'!$C$14:$C$16, "Not Found", 0)</f>
        <v>500</v>
      </c>
      <c r="Q347" s="6">
        <f>Table1[[#This Row],[Revenue]]-Table1[[#This Row],[Cost]]</f>
        <v>-50</v>
      </c>
      <c r="R347" s="6">
        <f>COUNTBLANK(Table1[[#This Row],[Diet]:[Region]])</f>
        <v>0</v>
      </c>
      <c r="S347" s="6"/>
      <c r="T347" s="6"/>
    </row>
    <row r="348" spans="1:20" x14ac:dyDescent="0.25">
      <c r="A348" s="2" t="s">
        <v>406</v>
      </c>
      <c r="B348" s="1" t="s">
        <v>13</v>
      </c>
      <c r="C348" s="1">
        <v>8</v>
      </c>
      <c r="D348" s="1" t="s">
        <v>706</v>
      </c>
      <c r="E348" s="1">
        <f>IF(Table1[[#This Row],[Lifespan Unit]]="months", Table1[[#This Row],[Lifespan]]/12,Table1[[#This Row],[Lifespan]])</f>
        <v>8</v>
      </c>
      <c r="F348" s="1" t="s">
        <v>662</v>
      </c>
      <c r="G348" s="1" t="str">
        <f t="shared" si="10"/>
        <v>9.9</v>
      </c>
      <c r="H348" s="1" t="str">
        <f t="shared" si="11"/>
        <v>lbs</v>
      </c>
      <c r="I348" s="1" t="str">
        <f>IF(Table1[[#This Row],[Lifespan (Years)]]&lt;25, "&lt;25", IF(Table1[[#This Row],[Lifespan (Years)]]&lt;50, "25-49", IF(Table1[[#This Row],[Lifespan (Years)]]&lt;75, "50-74", IF(Table1[[#This Row],[Lifespan (Years)]]&lt;100, "75-99", "&gt;=100"))))</f>
        <v>&lt;25</v>
      </c>
      <c r="J348" s="14">
        <f>IF(Table1[[#This Row],[Weight Unit]]="oz",Table1[[#This Row],[Weight (Digits)]]/16, Table1[[#This Row],[Weight (Digits)]]/1)</f>
        <v>9.9</v>
      </c>
      <c r="K34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48" s="1" t="s">
        <v>724</v>
      </c>
      <c r="M348" s="1" t="str">
        <f>IF(COUNTIF(Table2[Animal],Table1[[#This Row],[Animal]]) = 1, "Previous Participant", "New Participant")</f>
        <v>Previous Participant</v>
      </c>
      <c r="N348" s="1" t="str">
        <f>_xlfn.XLOOKUP(Table1[[#This Row],[Region]],'Support - Tables'!$B$3:$B$10,'Support - Tables'!$D$3:$D$10,"Not Found",0)</f>
        <v>Road</v>
      </c>
      <c r="O348" s="6">
        <f>_xlfn.XLOOKUP(Table1[[#This Row],[Region]],'Support - Tables'!$B$3:$B$10,'Support - Tables'!$C$3:$C$10, "Not Found",0)</f>
        <v>450</v>
      </c>
      <c r="P348" s="6">
        <f>_xlfn.XLOOKUP(Table1[[#This Row],[Diet]],'Support - Tables'!$B$14:$B$16,'Support - Tables'!$C$14:$C$16, "Not Found", 0)</f>
        <v>400</v>
      </c>
      <c r="Q348" s="6">
        <f>Table1[[#This Row],[Revenue]]-Table1[[#This Row],[Cost]]</f>
        <v>50</v>
      </c>
      <c r="R348" s="6">
        <f>COUNTBLANK(Table1[[#This Row],[Diet]:[Region]])</f>
        <v>0</v>
      </c>
      <c r="S348" s="6"/>
      <c r="T348" s="6"/>
    </row>
    <row r="349" spans="1:20" x14ac:dyDescent="0.25">
      <c r="A349" s="2" t="s">
        <v>407</v>
      </c>
      <c r="B349" s="1" t="s">
        <v>15</v>
      </c>
      <c r="C349" s="1">
        <v>25</v>
      </c>
      <c r="D349" s="1" t="s">
        <v>706</v>
      </c>
      <c r="E349" s="1">
        <f>IF(Table1[[#This Row],[Lifespan Unit]]="months", Table1[[#This Row],[Lifespan]]/12,Table1[[#This Row],[Lifespan]])</f>
        <v>25</v>
      </c>
      <c r="F349" s="1" t="s">
        <v>575</v>
      </c>
      <c r="G349" s="1" t="str">
        <f t="shared" si="10"/>
        <v>198</v>
      </c>
      <c r="H349" s="1" t="str">
        <f t="shared" si="11"/>
        <v>lbs</v>
      </c>
      <c r="I349" s="1" t="str">
        <f>IF(Table1[[#This Row],[Lifespan (Years)]]&lt;25, "&lt;25", IF(Table1[[#This Row],[Lifespan (Years)]]&lt;50, "25-49", IF(Table1[[#This Row],[Lifespan (Years)]]&lt;75, "50-74", IF(Table1[[#This Row],[Lifespan (Years)]]&lt;100, "75-99", "&gt;=100"))))</f>
        <v>25-49</v>
      </c>
      <c r="J349" s="14">
        <f>IF(Table1[[#This Row],[Weight Unit]]="oz",Table1[[#This Row],[Weight (Digits)]]/16, Table1[[#This Row],[Weight (Digits)]]/1)</f>
        <v>198</v>
      </c>
      <c r="K34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349" s="1" t="s">
        <v>724</v>
      </c>
      <c r="M349" s="1" t="str">
        <f>IF(COUNTIF(Table2[Animal],Table1[[#This Row],[Animal]]) = 1, "Previous Participant", "New Participant")</f>
        <v>New Participant</v>
      </c>
      <c r="N349" s="1" t="str">
        <f>_xlfn.XLOOKUP(Table1[[#This Row],[Region]],'Support - Tables'!$B$3:$B$10,'Support - Tables'!$D$3:$D$10,"Not Found",0)</f>
        <v>Road</v>
      </c>
      <c r="O349" s="6">
        <f>_xlfn.XLOOKUP(Table1[[#This Row],[Region]],'Support - Tables'!$B$3:$B$10,'Support - Tables'!$C$3:$C$10, "Not Found",0)</f>
        <v>450</v>
      </c>
      <c r="P349" s="6">
        <f>_xlfn.XLOOKUP(Table1[[#This Row],[Diet]],'Support - Tables'!$B$14:$B$16,'Support - Tables'!$C$14:$C$16, "Not Found", 0)</f>
        <v>500</v>
      </c>
      <c r="Q349" s="6">
        <f>Table1[[#This Row],[Revenue]]-Table1[[#This Row],[Cost]]</f>
        <v>-50</v>
      </c>
      <c r="R349" s="6">
        <f>COUNTBLANK(Table1[[#This Row],[Diet]:[Region]])</f>
        <v>0</v>
      </c>
      <c r="S349" s="6"/>
      <c r="T349" s="6"/>
    </row>
    <row r="350" spans="1:20" x14ac:dyDescent="0.25">
      <c r="A350" s="2" t="s">
        <v>408</v>
      </c>
      <c r="B350" s="1" t="s">
        <v>15</v>
      </c>
      <c r="C350" s="1">
        <v>12</v>
      </c>
      <c r="D350" s="1" t="s">
        <v>706</v>
      </c>
      <c r="E350" s="1">
        <f>IF(Table1[[#This Row],[Lifespan Unit]]="months", Table1[[#This Row],[Lifespan]]/12,Table1[[#This Row],[Lifespan]])</f>
        <v>12</v>
      </c>
      <c r="F350" s="1" t="s">
        <v>131</v>
      </c>
      <c r="G350" s="1" t="str">
        <f t="shared" si="10"/>
        <v>25</v>
      </c>
      <c r="H350" s="1" t="str">
        <f t="shared" si="11"/>
        <v>lbs</v>
      </c>
      <c r="I350" s="1" t="str">
        <f>IF(Table1[[#This Row],[Lifespan (Years)]]&lt;25, "&lt;25", IF(Table1[[#This Row],[Lifespan (Years)]]&lt;50, "25-49", IF(Table1[[#This Row],[Lifespan (Years)]]&lt;75, "50-74", IF(Table1[[#This Row],[Lifespan (Years)]]&lt;100, "75-99", "&gt;=100"))))</f>
        <v>&lt;25</v>
      </c>
      <c r="J350" s="14">
        <f>IF(Table1[[#This Row],[Weight Unit]]="oz",Table1[[#This Row],[Weight (Digits)]]/16, Table1[[#This Row],[Weight (Digits)]]/1)</f>
        <v>25</v>
      </c>
      <c r="K35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50" s="1" t="s">
        <v>5</v>
      </c>
      <c r="M350" s="1" t="str">
        <f>IF(COUNTIF(Table2[Animal],Table1[[#This Row],[Animal]]) = 1, "Previous Participant", "New Participant")</f>
        <v>New Participant</v>
      </c>
      <c r="N350" s="1" t="str">
        <f>_xlfn.XLOOKUP(Table1[[#This Row],[Region]],'Support - Tables'!$B$3:$B$10,'Support - Tables'!$D$3:$D$10,"Not Found",0)</f>
        <v>Boat</v>
      </c>
      <c r="O350" s="6">
        <f>_xlfn.XLOOKUP(Table1[[#This Row],[Region]],'Support - Tables'!$B$3:$B$10,'Support - Tables'!$C$3:$C$10, "Not Found",0)</f>
        <v>400</v>
      </c>
      <c r="P350" s="6">
        <f>_xlfn.XLOOKUP(Table1[[#This Row],[Diet]],'Support - Tables'!$B$14:$B$16,'Support - Tables'!$C$14:$C$16, "Not Found", 0)</f>
        <v>500</v>
      </c>
      <c r="Q350" s="6">
        <f>Table1[[#This Row],[Revenue]]-Table1[[#This Row],[Cost]]</f>
        <v>-100</v>
      </c>
      <c r="R350" s="6">
        <f>COUNTBLANK(Table1[[#This Row],[Diet]:[Region]])</f>
        <v>0</v>
      </c>
      <c r="S350" s="6"/>
      <c r="T350" s="6"/>
    </row>
    <row r="351" spans="1:20" x14ac:dyDescent="0.25">
      <c r="A351" s="2" t="s">
        <v>409</v>
      </c>
      <c r="B351" s="1" t="s">
        <v>13</v>
      </c>
      <c r="C351" s="1">
        <v>15</v>
      </c>
      <c r="D351" s="1" t="s">
        <v>706</v>
      </c>
      <c r="E351" s="1">
        <f>IF(Table1[[#This Row],[Lifespan Unit]]="months", Table1[[#This Row],[Lifespan]]/12,Table1[[#This Row],[Lifespan]])</f>
        <v>15</v>
      </c>
      <c r="F351" s="1" t="s">
        <v>616</v>
      </c>
      <c r="G351" s="1" t="str">
        <f t="shared" si="10"/>
        <v>11</v>
      </c>
      <c r="H351" s="1" t="str">
        <f t="shared" si="11"/>
        <v>lbs</v>
      </c>
      <c r="I351" s="1" t="str">
        <f>IF(Table1[[#This Row],[Lifespan (Years)]]&lt;25, "&lt;25", IF(Table1[[#This Row],[Lifespan (Years)]]&lt;50, "25-49", IF(Table1[[#This Row],[Lifespan (Years)]]&lt;75, "50-74", IF(Table1[[#This Row],[Lifespan (Years)]]&lt;100, "75-99", "&gt;=100"))))</f>
        <v>&lt;25</v>
      </c>
      <c r="J351" s="14">
        <f>IF(Table1[[#This Row],[Weight Unit]]="oz",Table1[[#This Row],[Weight (Digits)]]/16, Table1[[#This Row],[Weight (Digits)]]/1)</f>
        <v>11</v>
      </c>
      <c r="K35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51" s="1" t="s">
        <v>1</v>
      </c>
      <c r="M351" s="1" t="str">
        <f>IF(COUNTIF(Table2[Animal],Table1[[#This Row],[Animal]]) = 1, "Previous Participant", "New Participant")</f>
        <v>New Participant</v>
      </c>
      <c r="N351" s="1" t="str">
        <f>_xlfn.XLOOKUP(Table1[[#This Row],[Region]],'Support - Tables'!$B$3:$B$10,'Support - Tables'!$D$3:$D$10,"Not Found",0)</f>
        <v>Air</v>
      </c>
      <c r="O351" s="6">
        <f>_xlfn.XLOOKUP(Table1[[#This Row],[Region]],'Support - Tables'!$B$3:$B$10,'Support - Tables'!$C$3:$C$10, "Not Found",0)</f>
        <v>700</v>
      </c>
      <c r="P351" s="6">
        <f>_xlfn.XLOOKUP(Table1[[#This Row],[Diet]],'Support - Tables'!$B$14:$B$16,'Support - Tables'!$C$14:$C$16, "Not Found", 0)</f>
        <v>400</v>
      </c>
      <c r="Q351" s="6">
        <f>Table1[[#This Row],[Revenue]]-Table1[[#This Row],[Cost]]</f>
        <v>300</v>
      </c>
      <c r="R351" s="6">
        <f>COUNTBLANK(Table1[[#This Row],[Diet]:[Region]])</f>
        <v>0</v>
      </c>
      <c r="S351" s="6"/>
      <c r="T351" s="6"/>
    </row>
    <row r="352" spans="1:20" x14ac:dyDescent="0.25">
      <c r="A352" s="2" t="s">
        <v>410</v>
      </c>
      <c r="B352" s="1" t="s">
        <v>23</v>
      </c>
      <c r="C352" s="1">
        <v>30</v>
      </c>
      <c r="D352" s="1" t="s">
        <v>706</v>
      </c>
      <c r="E352" s="1">
        <f>IF(Table1[[#This Row],[Lifespan Unit]]="months", Table1[[#This Row],[Lifespan]]/12,Table1[[#This Row],[Lifespan]])</f>
        <v>30</v>
      </c>
      <c r="F352" s="1" t="s">
        <v>591</v>
      </c>
      <c r="G352" s="1" t="str">
        <f t="shared" si="10"/>
        <v>440</v>
      </c>
      <c r="H352" s="1" t="str">
        <f t="shared" si="11"/>
        <v>lbs</v>
      </c>
      <c r="I352" s="1" t="str">
        <f>IF(Table1[[#This Row],[Lifespan (Years)]]&lt;25, "&lt;25", IF(Table1[[#This Row],[Lifespan (Years)]]&lt;50, "25-49", IF(Table1[[#This Row],[Lifespan (Years)]]&lt;75, "50-74", IF(Table1[[#This Row],[Lifespan (Years)]]&lt;100, "75-99", "&gt;=100"))))</f>
        <v>25-49</v>
      </c>
      <c r="J352" s="14">
        <f>IF(Table1[[#This Row],[Weight Unit]]="oz",Table1[[#This Row],[Weight (Digits)]]/16, Table1[[#This Row],[Weight (Digits)]]/1)</f>
        <v>440</v>
      </c>
      <c r="K35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400-499</v>
      </c>
      <c r="L352" s="1" t="s">
        <v>725</v>
      </c>
      <c r="M352" s="1" t="str">
        <f>IF(COUNTIF(Table2[Animal],Table1[[#This Row],[Animal]]) = 1, "Previous Participant", "New Participant")</f>
        <v>New Participant</v>
      </c>
      <c r="N352" s="1" t="str">
        <f>_xlfn.XLOOKUP(Table1[[#This Row],[Region]],'Support - Tables'!$B$3:$B$10,'Support - Tables'!$D$3:$D$10,"Not Found",0)</f>
        <v>Air</v>
      </c>
      <c r="O352" s="6">
        <f>_xlfn.XLOOKUP(Table1[[#This Row],[Region]],'Support - Tables'!$B$3:$B$10,'Support - Tables'!$C$3:$C$10, "Not Found",0)</f>
        <v>600</v>
      </c>
      <c r="P352" s="6">
        <f>_xlfn.XLOOKUP(Table1[[#This Row],[Diet]],'Support - Tables'!$B$14:$B$16,'Support - Tables'!$C$14:$C$16, "Not Found", 0)</f>
        <v>300</v>
      </c>
      <c r="Q352" s="6">
        <f>Table1[[#This Row],[Revenue]]-Table1[[#This Row],[Cost]]</f>
        <v>300</v>
      </c>
      <c r="R352" s="6">
        <f>COUNTBLANK(Table1[[#This Row],[Diet]:[Region]])</f>
        <v>0</v>
      </c>
      <c r="S352" s="6"/>
      <c r="T352" s="6"/>
    </row>
    <row r="353" spans="1:20" x14ac:dyDescent="0.25">
      <c r="A353" s="2" t="s">
        <v>411</v>
      </c>
      <c r="B353" s="1" t="s">
        <v>13</v>
      </c>
      <c r="C353" s="1">
        <v>12</v>
      </c>
      <c r="D353" s="1" t="s">
        <v>706</v>
      </c>
      <c r="E353" s="1">
        <f>IF(Table1[[#This Row],[Lifespan Unit]]="months", Table1[[#This Row],[Lifespan]]/12,Table1[[#This Row],[Lifespan]])</f>
        <v>12</v>
      </c>
      <c r="F353" s="1" t="s">
        <v>289</v>
      </c>
      <c r="G353" s="1" t="str">
        <f t="shared" si="10"/>
        <v>66</v>
      </c>
      <c r="H353" s="1" t="str">
        <f t="shared" si="11"/>
        <v>lbs</v>
      </c>
      <c r="I353" s="1" t="str">
        <f>IF(Table1[[#This Row],[Lifespan (Years)]]&lt;25, "&lt;25", IF(Table1[[#This Row],[Lifespan (Years)]]&lt;50, "25-49", IF(Table1[[#This Row],[Lifespan (Years)]]&lt;75, "50-74", IF(Table1[[#This Row],[Lifespan (Years)]]&lt;100, "75-99", "&gt;=100"))))</f>
        <v>&lt;25</v>
      </c>
      <c r="J353" s="14">
        <f>IF(Table1[[#This Row],[Weight Unit]]="oz",Table1[[#This Row],[Weight (Digits)]]/16, Table1[[#This Row],[Weight (Digits)]]/1)</f>
        <v>66</v>
      </c>
      <c r="K35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53" s="1" t="s">
        <v>725</v>
      </c>
      <c r="M353" s="1" t="str">
        <f>IF(COUNTIF(Table2[Animal],Table1[[#This Row],[Animal]]) = 1, "Previous Participant", "New Participant")</f>
        <v>Previous Participant</v>
      </c>
      <c r="N353" s="1" t="str">
        <f>_xlfn.XLOOKUP(Table1[[#This Row],[Region]],'Support - Tables'!$B$3:$B$10,'Support - Tables'!$D$3:$D$10,"Not Found",0)</f>
        <v>Air</v>
      </c>
      <c r="O353" s="6">
        <f>_xlfn.XLOOKUP(Table1[[#This Row],[Region]],'Support - Tables'!$B$3:$B$10,'Support - Tables'!$C$3:$C$10, "Not Found",0)</f>
        <v>600</v>
      </c>
      <c r="P353" s="6">
        <f>_xlfn.XLOOKUP(Table1[[#This Row],[Diet]],'Support - Tables'!$B$14:$B$16,'Support - Tables'!$C$14:$C$16, "Not Found", 0)</f>
        <v>400</v>
      </c>
      <c r="Q353" s="6">
        <f>Table1[[#This Row],[Revenue]]-Table1[[#This Row],[Cost]]</f>
        <v>200</v>
      </c>
      <c r="R353" s="6">
        <f>COUNTBLANK(Table1[[#This Row],[Diet]:[Region]])</f>
        <v>0</v>
      </c>
      <c r="S353" s="6"/>
      <c r="T353" s="6"/>
    </row>
    <row r="354" spans="1:20" x14ac:dyDescent="0.25">
      <c r="A354" s="2" t="s">
        <v>412</v>
      </c>
      <c r="B354" s="1" t="s">
        <v>13</v>
      </c>
      <c r="C354" s="1">
        <v>7</v>
      </c>
      <c r="D354" s="1" t="s">
        <v>706</v>
      </c>
      <c r="E354" s="1">
        <f>IF(Table1[[#This Row],[Lifespan Unit]]="months", Table1[[#This Row],[Lifespan]]/12,Table1[[#This Row],[Lifespan]])</f>
        <v>7</v>
      </c>
      <c r="F354" s="1" t="s">
        <v>612</v>
      </c>
      <c r="G354" s="1" t="str">
        <f t="shared" si="10"/>
        <v>1.1</v>
      </c>
      <c r="H354" s="1" t="str">
        <f t="shared" si="11"/>
        <v>lbs</v>
      </c>
      <c r="I354" s="1" t="str">
        <f>IF(Table1[[#This Row],[Lifespan (Years)]]&lt;25, "&lt;25", IF(Table1[[#This Row],[Lifespan (Years)]]&lt;50, "25-49", IF(Table1[[#This Row],[Lifespan (Years)]]&lt;75, "50-74", IF(Table1[[#This Row],[Lifespan (Years)]]&lt;100, "75-99", "&gt;=100"))))</f>
        <v>&lt;25</v>
      </c>
      <c r="J354" s="14">
        <f>IF(Table1[[#This Row],[Weight Unit]]="oz",Table1[[#This Row],[Weight (Digits)]]/16, Table1[[#This Row],[Weight (Digits)]]/1)</f>
        <v>1.1000000000000001</v>
      </c>
      <c r="K35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54" s="1" t="s">
        <v>724</v>
      </c>
      <c r="M354" s="1" t="str">
        <f>IF(COUNTIF(Table2[Animal],Table1[[#This Row],[Animal]]) = 1, "Previous Participant", "New Participant")</f>
        <v>Previous Participant</v>
      </c>
      <c r="N354" s="1" t="str">
        <f>_xlfn.XLOOKUP(Table1[[#This Row],[Region]],'Support - Tables'!$B$3:$B$10,'Support - Tables'!$D$3:$D$10,"Not Found",0)</f>
        <v>Road</v>
      </c>
      <c r="O354" s="6">
        <f>_xlfn.XLOOKUP(Table1[[#This Row],[Region]],'Support - Tables'!$B$3:$B$10,'Support - Tables'!$C$3:$C$10, "Not Found",0)</f>
        <v>450</v>
      </c>
      <c r="P354" s="6">
        <f>_xlfn.XLOOKUP(Table1[[#This Row],[Diet]],'Support - Tables'!$B$14:$B$16,'Support - Tables'!$C$14:$C$16, "Not Found", 0)</f>
        <v>400</v>
      </c>
      <c r="Q354" s="6">
        <f>Table1[[#This Row],[Revenue]]-Table1[[#This Row],[Cost]]</f>
        <v>50</v>
      </c>
      <c r="R354" s="6">
        <f>COUNTBLANK(Table1[[#This Row],[Diet]:[Region]])</f>
        <v>0</v>
      </c>
      <c r="S354" s="6"/>
      <c r="T354" s="6"/>
    </row>
    <row r="355" spans="1:20" x14ac:dyDescent="0.25">
      <c r="A355" s="2" t="s">
        <v>413</v>
      </c>
      <c r="B355" s="1" t="s">
        <v>13</v>
      </c>
      <c r="C355" s="1">
        <v>40</v>
      </c>
      <c r="D355" s="1" t="s">
        <v>706</v>
      </c>
      <c r="E355" s="1">
        <f>IF(Table1[[#This Row],[Lifespan Unit]]="months", Table1[[#This Row],[Lifespan]]/12,Table1[[#This Row],[Lifespan]])</f>
        <v>40</v>
      </c>
      <c r="F355" s="1" t="s">
        <v>289</v>
      </c>
      <c r="G355" s="1" t="str">
        <f t="shared" si="10"/>
        <v>66</v>
      </c>
      <c r="H355" s="1" t="str">
        <f t="shared" si="11"/>
        <v>lbs</v>
      </c>
      <c r="I355" s="1" t="str">
        <f>IF(Table1[[#This Row],[Lifespan (Years)]]&lt;25, "&lt;25", IF(Table1[[#This Row],[Lifespan (Years)]]&lt;50, "25-49", IF(Table1[[#This Row],[Lifespan (Years)]]&lt;75, "50-74", IF(Table1[[#This Row],[Lifespan (Years)]]&lt;100, "75-99", "&gt;=100"))))</f>
        <v>25-49</v>
      </c>
      <c r="J355" s="14">
        <f>IF(Table1[[#This Row],[Weight Unit]]="oz",Table1[[#This Row],[Weight (Digits)]]/16, Table1[[#This Row],[Weight (Digits)]]/1)</f>
        <v>66</v>
      </c>
      <c r="K35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55" s="1" t="s">
        <v>725</v>
      </c>
      <c r="M355" s="1" t="str">
        <f>IF(COUNTIF(Table2[Animal],Table1[[#This Row],[Animal]]) = 1, "Previous Participant", "New Participant")</f>
        <v>Previous Participant</v>
      </c>
      <c r="N355" s="1" t="str">
        <f>_xlfn.XLOOKUP(Table1[[#This Row],[Region]],'Support - Tables'!$B$3:$B$10,'Support - Tables'!$D$3:$D$10,"Not Found",0)</f>
        <v>Air</v>
      </c>
      <c r="O355" s="6">
        <f>_xlfn.XLOOKUP(Table1[[#This Row],[Region]],'Support - Tables'!$B$3:$B$10,'Support - Tables'!$C$3:$C$10, "Not Found",0)</f>
        <v>600</v>
      </c>
      <c r="P355" s="6">
        <f>_xlfn.XLOOKUP(Table1[[#This Row],[Diet]],'Support - Tables'!$B$14:$B$16,'Support - Tables'!$C$14:$C$16, "Not Found", 0)</f>
        <v>400</v>
      </c>
      <c r="Q355" s="6">
        <f>Table1[[#This Row],[Revenue]]-Table1[[#This Row],[Cost]]</f>
        <v>200</v>
      </c>
      <c r="R355" s="6">
        <f>COUNTBLANK(Table1[[#This Row],[Diet]:[Region]])</f>
        <v>0</v>
      </c>
      <c r="S355" s="6"/>
      <c r="T355" s="6"/>
    </row>
    <row r="356" spans="1:20" x14ac:dyDescent="0.25">
      <c r="A356" s="2" t="s">
        <v>414</v>
      </c>
      <c r="B356" s="1" t="s">
        <v>13</v>
      </c>
      <c r="C356" s="1">
        <v>70</v>
      </c>
      <c r="D356" s="1" t="s">
        <v>706</v>
      </c>
      <c r="E356" s="1">
        <f>IF(Table1[[#This Row],[Lifespan Unit]]="months", Table1[[#This Row],[Lifespan]]/12,Table1[[#This Row],[Lifespan]])</f>
        <v>70</v>
      </c>
      <c r="F356" s="1" t="s">
        <v>34</v>
      </c>
      <c r="G356" s="1" t="str">
        <f t="shared" si="10"/>
        <v>140</v>
      </c>
      <c r="H356" s="1" t="str">
        <f t="shared" si="11"/>
        <v>lbs</v>
      </c>
      <c r="I356" s="1" t="str">
        <f>IF(Table1[[#This Row],[Lifespan (Years)]]&lt;25, "&lt;25", IF(Table1[[#This Row],[Lifespan (Years)]]&lt;50, "25-49", IF(Table1[[#This Row],[Lifespan (Years)]]&lt;75, "50-74", IF(Table1[[#This Row],[Lifespan (Years)]]&lt;100, "75-99", "&gt;=100"))))</f>
        <v>50-74</v>
      </c>
      <c r="J356" s="14">
        <f>IF(Table1[[#This Row],[Weight Unit]]="oz",Table1[[#This Row],[Weight (Digits)]]/16, Table1[[#This Row],[Weight (Digits)]]/1)</f>
        <v>140</v>
      </c>
      <c r="K35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356" s="1" t="s">
        <v>5</v>
      </c>
      <c r="M356" s="1" t="str">
        <f>IF(COUNTIF(Table2[Animal],Table1[[#This Row],[Animal]]) = 1, "Previous Participant", "New Participant")</f>
        <v>Previous Participant</v>
      </c>
      <c r="N356" s="1" t="str">
        <f>_xlfn.XLOOKUP(Table1[[#This Row],[Region]],'Support - Tables'!$B$3:$B$10,'Support - Tables'!$D$3:$D$10,"Not Found",0)</f>
        <v>Boat</v>
      </c>
      <c r="O356" s="6">
        <f>_xlfn.XLOOKUP(Table1[[#This Row],[Region]],'Support - Tables'!$B$3:$B$10,'Support - Tables'!$C$3:$C$10, "Not Found",0)</f>
        <v>400</v>
      </c>
      <c r="P356" s="6">
        <f>_xlfn.XLOOKUP(Table1[[#This Row],[Diet]],'Support - Tables'!$B$14:$B$16,'Support - Tables'!$C$14:$C$16, "Not Found", 0)</f>
        <v>400</v>
      </c>
      <c r="Q356" s="6">
        <f>Table1[[#This Row],[Revenue]]-Table1[[#This Row],[Cost]]</f>
        <v>0</v>
      </c>
      <c r="R356" s="6">
        <f>COUNTBLANK(Table1[[#This Row],[Diet]:[Region]])</f>
        <v>0</v>
      </c>
      <c r="S356" s="6"/>
      <c r="T356" s="6"/>
    </row>
    <row r="357" spans="1:20" x14ac:dyDescent="0.25">
      <c r="A357" s="2" t="s">
        <v>415</v>
      </c>
      <c r="B357" s="1" t="s">
        <v>15</v>
      </c>
      <c r="C357" s="1">
        <v>25</v>
      </c>
      <c r="D357" s="1" t="s">
        <v>706</v>
      </c>
      <c r="E357" s="1">
        <f>IF(Table1[[#This Row],[Lifespan Unit]]="months", Table1[[#This Row],[Lifespan]]/12,Table1[[#This Row],[Lifespan]])</f>
        <v>25</v>
      </c>
      <c r="F357" s="1" t="s">
        <v>16</v>
      </c>
      <c r="G357" s="1" t="str">
        <f t="shared" si="10"/>
        <v>10</v>
      </c>
      <c r="H357" s="1" t="str">
        <f t="shared" si="11"/>
        <v>lbs</v>
      </c>
      <c r="I357" s="1" t="str">
        <f>IF(Table1[[#This Row],[Lifespan (Years)]]&lt;25, "&lt;25", IF(Table1[[#This Row],[Lifespan (Years)]]&lt;50, "25-49", IF(Table1[[#This Row],[Lifespan (Years)]]&lt;75, "50-74", IF(Table1[[#This Row],[Lifespan (Years)]]&lt;100, "75-99", "&gt;=100"))))</f>
        <v>25-49</v>
      </c>
      <c r="J357" s="14">
        <f>IF(Table1[[#This Row],[Weight Unit]]="oz",Table1[[#This Row],[Weight (Digits)]]/16, Table1[[#This Row],[Weight (Digits)]]/1)</f>
        <v>10</v>
      </c>
      <c r="K35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57" s="1" t="s">
        <v>5</v>
      </c>
      <c r="M357" s="1" t="str">
        <f>IF(COUNTIF(Table2[Animal],Table1[[#This Row],[Animal]]) = 1, "Previous Participant", "New Participant")</f>
        <v>Previous Participant</v>
      </c>
      <c r="N357" s="1" t="str">
        <f>_xlfn.XLOOKUP(Table1[[#This Row],[Region]],'Support - Tables'!$B$3:$B$10,'Support - Tables'!$D$3:$D$10,"Not Found",0)</f>
        <v>Boat</v>
      </c>
      <c r="O357" s="6">
        <f>_xlfn.XLOOKUP(Table1[[#This Row],[Region]],'Support - Tables'!$B$3:$B$10,'Support - Tables'!$C$3:$C$10, "Not Found",0)</f>
        <v>400</v>
      </c>
      <c r="P357" s="6">
        <f>_xlfn.XLOOKUP(Table1[[#This Row],[Diet]],'Support - Tables'!$B$14:$B$16,'Support - Tables'!$C$14:$C$16, "Not Found", 0)</f>
        <v>500</v>
      </c>
      <c r="Q357" s="6">
        <f>Table1[[#This Row],[Revenue]]-Table1[[#This Row],[Cost]]</f>
        <v>-100</v>
      </c>
      <c r="R357" s="6">
        <f>COUNTBLANK(Table1[[#This Row],[Diet]:[Region]])</f>
        <v>0</v>
      </c>
      <c r="S357" s="6"/>
      <c r="T357" s="6"/>
    </row>
    <row r="358" spans="1:20" x14ac:dyDescent="0.25">
      <c r="A358" s="2" t="s">
        <v>416</v>
      </c>
      <c r="B358" s="1" t="s">
        <v>13</v>
      </c>
      <c r="C358" s="1">
        <v>3</v>
      </c>
      <c r="D358" s="1" t="s">
        <v>706</v>
      </c>
      <c r="E358" s="1">
        <f>IF(Table1[[#This Row],[Lifespan Unit]]="months", Table1[[#This Row],[Lifespan]]/12,Table1[[#This Row],[Lifespan]])</f>
        <v>3</v>
      </c>
      <c r="F358" s="1" t="s">
        <v>663</v>
      </c>
      <c r="G358" s="1" t="str">
        <f t="shared" si="10"/>
        <v>1.7</v>
      </c>
      <c r="H358" s="1" t="str">
        <f t="shared" si="11"/>
        <v>oz</v>
      </c>
      <c r="I358" s="1" t="str">
        <f>IF(Table1[[#This Row],[Lifespan (Years)]]&lt;25, "&lt;25", IF(Table1[[#This Row],[Lifespan (Years)]]&lt;50, "25-49", IF(Table1[[#This Row],[Lifespan (Years)]]&lt;75, "50-74", IF(Table1[[#This Row],[Lifespan (Years)]]&lt;100, "75-99", "&gt;=100"))))</f>
        <v>&lt;25</v>
      </c>
      <c r="J358" s="14">
        <f>IF(Table1[[#This Row],[Weight Unit]]="oz",Table1[[#This Row],[Weight (Digits)]]/16, Table1[[#This Row],[Weight (Digits)]]/1)</f>
        <v>0.10625</v>
      </c>
      <c r="K35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58" s="1" t="s">
        <v>5</v>
      </c>
      <c r="M358" s="1" t="str">
        <f>IF(COUNTIF(Table2[Animal],Table1[[#This Row],[Animal]]) = 1, "Previous Participant", "New Participant")</f>
        <v>Previous Participant</v>
      </c>
      <c r="N358" s="1" t="str">
        <f>_xlfn.XLOOKUP(Table1[[#This Row],[Region]],'Support - Tables'!$B$3:$B$10,'Support - Tables'!$D$3:$D$10,"Not Found",0)</f>
        <v>Boat</v>
      </c>
      <c r="O358" s="6">
        <f>_xlfn.XLOOKUP(Table1[[#This Row],[Region]],'Support - Tables'!$B$3:$B$10,'Support - Tables'!$C$3:$C$10, "Not Found",0)</f>
        <v>400</v>
      </c>
      <c r="P358" s="6">
        <f>_xlfn.XLOOKUP(Table1[[#This Row],[Diet]],'Support - Tables'!$B$14:$B$16,'Support - Tables'!$C$14:$C$16, "Not Found", 0)</f>
        <v>400</v>
      </c>
      <c r="Q358" s="6">
        <f>Table1[[#This Row],[Revenue]]-Table1[[#This Row],[Cost]]</f>
        <v>0</v>
      </c>
      <c r="R358" s="6">
        <f>COUNTBLANK(Table1[[#This Row],[Diet]:[Region]])</f>
        <v>0</v>
      </c>
      <c r="S358" s="6"/>
      <c r="T358" s="6"/>
    </row>
    <row r="359" spans="1:20" x14ac:dyDescent="0.25">
      <c r="A359" s="2" t="s">
        <v>417</v>
      </c>
      <c r="B359" s="1" t="s">
        <v>23</v>
      </c>
      <c r="C359" s="1">
        <v>8</v>
      </c>
      <c r="D359" s="1" t="s">
        <v>706</v>
      </c>
      <c r="E359" s="1">
        <f>IF(Table1[[#This Row],[Lifespan Unit]]="months", Table1[[#This Row],[Lifespan]]/12,Table1[[#This Row],[Lifespan]])</f>
        <v>8</v>
      </c>
      <c r="F359" s="1" t="s">
        <v>664</v>
      </c>
      <c r="G359" s="1" t="str">
        <f t="shared" si="10"/>
        <v>7.7</v>
      </c>
      <c r="H359" s="1" t="str">
        <f t="shared" si="11"/>
        <v>lbs</v>
      </c>
      <c r="I359" s="1" t="str">
        <f>IF(Table1[[#This Row],[Lifespan (Years)]]&lt;25, "&lt;25", IF(Table1[[#This Row],[Lifespan (Years)]]&lt;50, "25-49", IF(Table1[[#This Row],[Lifespan (Years)]]&lt;75, "50-74", IF(Table1[[#This Row],[Lifespan (Years)]]&lt;100, "75-99", "&gt;=100"))))</f>
        <v>&lt;25</v>
      </c>
      <c r="J359" s="14">
        <f>IF(Table1[[#This Row],[Weight Unit]]="oz",Table1[[#This Row],[Weight (Digits)]]/16, Table1[[#This Row],[Weight (Digits)]]/1)</f>
        <v>7.7</v>
      </c>
      <c r="K35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59" s="1" t="s">
        <v>725</v>
      </c>
      <c r="M359" s="1" t="str">
        <f>IF(COUNTIF(Table2[Animal],Table1[[#This Row],[Animal]]) = 1, "Previous Participant", "New Participant")</f>
        <v>Previous Participant</v>
      </c>
      <c r="N359" s="1" t="str">
        <f>_xlfn.XLOOKUP(Table1[[#This Row],[Region]],'Support - Tables'!$B$3:$B$10,'Support - Tables'!$D$3:$D$10,"Not Found",0)</f>
        <v>Air</v>
      </c>
      <c r="O359" s="6">
        <f>_xlfn.XLOOKUP(Table1[[#This Row],[Region]],'Support - Tables'!$B$3:$B$10,'Support - Tables'!$C$3:$C$10, "Not Found",0)</f>
        <v>600</v>
      </c>
      <c r="P359" s="6">
        <f>_xlfn.XLOOKUP(Table1[[#This Row],[Diet]],'Support - Tables'!$B$14:$B$16,'Support - Tables'!$C$14:$C$16, "Not Found", 0)</f>
        <v>300</v>
      </c>
      <c r="Q359" s="6">
        <f>Table1[[#This Row],[Revenue]]-Table1[[#This Row],[Cost]]</f>
        <v>300</v>
      </c>
      <c r="R359" s="6">
        <f>COUNTBLANK(Table1[[#This Row],[Diet]:[Region]])</f>
        <v>0</v>
      </c>
      <c r="S359" s="6"/>
      <c r="T359" s="6"/>
    </row>
    <row r="360" spans="1:20" x14ac:dyDescent="0.25">
      <c r="A360" s="2" t="s">
        <v>418</v>
      </c>
      <c r="B360" s="1" t="s">
        <v>15</v>
      </c>
      <c r="C360" s="1">
        <v>15</v>
      </c>
      <c r="D360" s="1" t="s">
        <v>706</v>
      </c>
      <c r="E360" s="1">
        <f>IF(Table1[[#This Row],[Lifespan Unit]]="months", Table1[[#This Row],[Lifespan]]/12,Table1[[#This Row],[Lifespan]])</f>
        <v>15</v>
      </c>
      <c r="F360" s="1" t="s">
        <v>640</v>
      </c>
      <c r="G360" s="1" t="str">
        <f t="shared" si="10"/>
        <v>79</v>
      </c>
      <c r="H360" s="1" t="str">
        <f t="shared" si="11"/>
        <v>lbs</v>
      </c>
      <c r="I360" s="1" t="str">
        <f>IF(Table1[[#This Row],[Lifespan (Years)]]&lt;25, "&lt;25", IF(Table1[[#This Row],[Lifespan (Years)]]&lt;50, "25-49", IF(Table1[[#This Row],[Lifespan (Years)]]&lt;75, "50-74", IF(Table1[[#This Row],[Lifespan (Years)]]&lt;100, "75-99", "&gt;=100"))))</f>
        <v>&lt;25</v>
      </c>
      <c r="J360" s="14">
        <f>IF(Table1[[#This Row],[Weight Unit]]="oz",Table1[[#This Row],[Weight (Digits)]]/16, Table1[[#This Row],[Weight (Digits)]]/1)</f>
        <v>79</v>
      </c>
      <c r="K36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60" s="1" t="s">
        <v>5</v>
      </c>
      <c r="M360" s="1" t="str">
        <f>IF(COUNTIF(Table2[Animal],Table1[[#This Row],[Animal]]) = 1, "Previous Participant", "New Participant")</f>
        <v>Previous Participant</v>
      </c>
      <c r="N360" s="1" t="str">
        <f>_xlfn.XLOOKUP(Table1[[#This Row],[Region]],'Support - Tables'!$B$3:$B$10,'Support - Tables'!$D$3:$D$10,"Not Found",0)</f>
        <v>Boat</v>
      </c>
      <c r="O360" s="6">
        <f>_xlfn.XLOOKUP(Table1[[#This Row],[Region]],'Support - Tables'!$B$3:$B$10,'Support - Tables'!$C$3:$C$10, "Not Found",0)</f>
        <v>400</v>
      </c>
      <c r="P360" s="6">
        <f>_xlfn.XLOOKUP(Table1[[#This Row],[Diet]],'Support - Tables'!$B$14:$B$16,'Support - Tables'!$C$14:$C$16, "Not Found", 0)</f>
        <v>500</v>
      </c>
      <c r="Q360" s="6">
        <f>Table1[[#This Row],[Revenue]]-Table1[[#This Row],[Cost]]</f>
        <v>-100</v>
      </c>
      <c r="R360" s="6">
        <f>COUNTBLANK(Table1[[#This Row],[Diet]:[Region]])</f>
        <v>0</v>
      </c>
      <c r="S360" s="6"/>
      <c r="T360" s="6"/>
    </row>
    <row r="361" spans="1:20" x14ac:dyDescent="0.25">
      <c r="A361" s="2" t="s">
        <v>419</v>
      </c>
      <c r="B361" s="1" t="s">
        <v>13</v>
      </c>
      <c r="C361" s="1">
        <v>80</v>
      </c>
      <c r="D361" s="1" t="s">
        <v>706</v>
      </c>
      <c r="E361" s="1">
        <f>IF(Table1[[#This Row],[Lifespan Unit]]="months", Table1[[#This Row],[Lifespan]]/12,Table1[[#This Row],[Lifespan]])</f>
        <v>80</v>
      </c>
      <c r="F361" s="1" t="s">
        <v>598</v>
      </c>
      <c r="G361" s="1" t="str">
        <f t="shared" si="10"/>
        <v>0.02</v>
      </c>
      <c r="H361" s="1" t="str">
        <f t="shared" si="11"/>
        <v>lbs</v>
      </c>
      <c r="I361" s="1" t="str">
        <f>IF(Table1[[#This Row],[Lifespan (Years)]]&lt;25, "&lt;25", IF(Table1[[#This Row],[Lifespan (Years)]]&lt;50, "25-49", IF(Table1[[#This Row],[Lifespan (Years)]]&lt;75, "50-74", IF(Table1[[#This Row],[Lifespan (Years)]]&lt;100, "75-99", "&gt;=100"))))</f>
        <v>75-99</v>
      </c>
      <c r="J361" s="14">
        <f>IF(Table1[[#This Row],[Weight Unit]]="oz",Table1[[#This Row],[Weight (Digits)]]/16, Table1[[#This Row],[Weight (Digits)]]/1)</f>
        <v>0.02</v>
      </c>
      <c r="K36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61" s="1" t="s">
        <v>1</v>
      </c>
      <c r="M361" s="1" t="str">
        <f>IF(COUNTIF(Table2[Animal],Table1[[#This Row],[Animal]]) = 1, "Previous Participant", "New Participant")</f>
        <v>New Participant</v>
      </c>
      <c r="N361" s="1" t="str">
        <f>_xlfn.XLOOKUP(Table1[[#This Row],[Region]],'Support - Tables'!$B$3:$B$10,'Support - Tables'!$D$3:$D$10,"Not Found",0)</f>
        <v>Air</v>
      </c>
      <c r="O361" s="6">
        <f>_xlfn.XLOOKUP(Table1[[#This Row],[Region]],'Support - Tables'!$B$3:$B$10,'Support - Tables'!$C$3:$C$10, "Not Found",0)</f>
        <v>700</v>
      </c>
      <c r="P361" s="6">
        <f>_xlfn.XLOOKUP(Table1[[#This Row],[Diet]],'Support - Tables'!$B$14:$B$16,'Support - Tables'!$C$14:$C$16, "Not Found", 0)</f>
        <v>400</v>
      </c>
      <c r="Q361" s="6">
        <f>Table1[[#This Row],[Revenue]]-Table1[[#This Row],[Cost]]</f>
        <v>300</v>
      </c>
      <c r="R361" s="6">
        <f>COUNTBLANK(Table1[[#This Row],[Diet]:[Region]])</f>
        <v>0</v>
      </c>
      <c r="S361" s="6"/>
      <c r="T361" s="6"/>
    </row>
    <row r="362" spans="1:20" x14ac:dyDescent="0.25">
      <c r="A362" s="2" t="s">
        <v>420</v>
      </c>
      <c r="B362" s="1" t="s">
        <v>13</v>
      </c>
      <c r="C362" s="1">
        <v>20</v>
      </c>
      <c r="D362" s="1" t="s">
        <v>706</v>
      </c>
      <c r="E362" s="1">
        <f>IF(Table1[[#This Row],[Lifespan Unit]]="months", Table1[[#This Row],[Lifespan]]/12,Table1[[#This Row],[Lifespan]])</f>
        <v>20</v>
      </c>
      <c r="F362" s="1" t="s">
        <v>170</v>
      </c>
      <c r="G362" s="1" t="str">
        <f t="shared" si="10"/>
        <v>6</v>
      </c>
      <c r="H362" s="1" t="str">
        <f t="shared" si="11"/>
        <v>lbs</v>
      </c>
      <c r="I362" s="1" t="str">
        <f>IF(Table1[[#This Row],[Lifespan (Years)]]&lt;25, "&lt;25", IF(Table1[[#This Row],[Lifespan (Years)]]&lt;50, "25-49", IF(Table1[[#This Row],[Lifespan (Years)]]&lt;75, "50-74", IF(Table1[[#This Row],[Lifespan (Years)]]&lt;100, "75-99", "&gt;=100"))))</f>
        <v>&lt;25</v>
      </c>
      <c r="J362" s="14">
        <f>IF(Table1[[#This Row],[Weight Unit]]="oz",Table1[[#This Row],[Weight (Digits)]]/16, Table1[[#This Row],[Weight (Digits)]]/1)</f>
        <v>6</v>
      </c>
      <c r="K36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62" s="1" t="s">
        <v>724</v>
      </c>
      <c r="M362" s="1" t="str">
        <f>IF(COUNTIF(Table2[Animal],Table1[[#This Row],[Animal]]) = 1, "Previous Participant", "New Participant")</f>
        <v>Previous Participant</v>
      </c>
      <c r="N362" s="1" t="str">
        <f>_xlfn.XLOOKUP(Table1[[#This Row],[Region]],'Support - Tables'!$B$3:$B$10,'Support - Tables'!$D$3:$D$10,"Not Found",0)</f>
        <v>Road</v>
      </c>
      <c r="O362" s="6">
        <f>_xlfn.XLOOKUP(Table1[[#This Row],[Region]],'Support - Tables'!$B$3:$B$10,'Support - Tables'!$C$3:$C$10, "Not Found",0)</f>
        <v>450</v>
      </c>
      <c r="P362" s="6">
        <f>_xlfn.XLOOKUP(Table1[[#This Row],[Diet]],'Support - Tables'!$B$14:$B$16,'Support - Tables'!$C$14:$C$16, "Not Found", 0)</f>
        <v>400</v>
      </c>
      <c r="Q362" s="6">
        <f>Table1[[#This Row],[Revenue]]-Table1[[#This Row],[Cost]]</f>
        <v>50</v>
      </c>
      <c r="R362" s="6">
        <f>COUNTBLANK(Table1[[#This Row],[Diet]:[Region]])</f>
        <v>0</v>
      </c>
      <c r="S362" s="6"/>
      <c r="T362" s="6"/>
    </row>
    <row r="363" spans="1:20" x14ac:dyDescent="0.25">
      <c r="A363" s="2" t="s">
        <v>421</v>
      </c>
      <c r="B363" s="1" t="s">
        <v>13</v>
      </c>
      <c r="C363" s="1">
        <v>13</v>
      </c>
      <c r="D363" s="1" t="s">
        <v>706</v>
      </c>
      <c r="E363" s="1">
        <f>IF(Table1[[#This Row],[Lifespan Unit]]="months", Table1[[#This Row],[Lifespan]]/12,Table1[[#This Row],[Lifespan]])</f>
        <v>13</v>
      </c>
      <c r="F363" s="1" t="s">
        <v>76</v>
      </c>
      <c r="G363" s="1" t="str">
        <f t="shared" si="10"/>
        <v>14</v>
      </c>
      <c r="H363" s="1" t="str">
        <f t="shared" si="11"/>
        <v>lbs</v>
      </c>
      <c r="I363" s="1" t="str">
        <f>IF(Table1[[#This Row],[Lifespan (Years)]]&lt;25, "&lt;25", IF(Table1[[#This Row],[Lifespan (Years)]]&lt;50, "25-49", IF(Table1[[#This Row],[Lifespan (Years)]]&lt;75, "50-74", IF(Table1[[#This Row],[Lifespan (Years)]]&lt;100, "75-99", "&gt;=100"))))</f>
        <v>&lt;25</v>
      </c>
      <c r="J363" s="14">
        <f>IF(Table1[[#This Row],[Weight Unit]]="oz",Table1[[#This Row],[Weight (Digits)]]/16, Table1[[#This Row],[Weight (Digits)]]/1)</f>
        <v>14</v>
      </c>
      <c r="K36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63" s="1" t="s">
        <v>724</v>
      </c>
      <c r="M363" s="1" t="str">
        <f>IF(COUNTIF(Table2[Animal],Table1[[#This Row],[Animal]]) = 1, "Previous Participant", "New Participant")</f>
        <v>Previous Participant</v>
      </c>
      <c r="N363" s="1" t="str">
        <f>_xlfn.XLOOKUP(Table1[[#This Row],[Region]],'Support - Tables'!$B$3:$B$10,'Support - Tables'!$D$3:$D$10,"Not Found",0)</f>
        <v>Road</v>
      </c>
      <c r="O363" s="6">
        <f>_xlfn.XLOOKUP(Table1[[#This Row],[Region]],'Support - Tables'!$B$3:$B$10,'Support - Tables'!$C$3:$C$10, "Not Found",0)</f>
        <v>450</v>
      </c>
      <c r="P363" s="6">
        <f>_xlfn.XLOOKUP(Table1[[#This Row],[Diet]],'Support - Tables'!$B$14:$B$16,'Support - Tables'!$C$14:$C$16, "Not Found", 0)</f>
        <v>400</v>
      </c>
      <c r="Q363" s="6">
        <f>Table1[[#This Row],[Revenue]]-Table1[[#This Row],[Cost]]</f>
        <v>50</v>
      </c>
      <c r="R363" s="6">
        <f>COUNTBLANK(Table1[[#This Row],[Diet]:[Region]])</f>
        <v>0</v>
      </c>
      <c r="S363" s="6"/>
      <c r="T363" s="6"/>
    </row>
    <row r="364" spans="1:20" x14ac:dyDescent="0.25">
      <c r="A364" s="2" t="s">
        <v>422</v>
      </c>
      <c r="B364" s="1" t="s">
        <v>13</v>
      </c>
      <c r="C364" s="1">
        <v>23</v>
      </c>
      <c r="D364" s="1" t="s">
        <v>706</v>
      </c>
      <c r="E364" s="1">
        <f>IF(Table1[[#This Row],[Lifespan Unit]]="months", Table1[[#This Row],[Lifespan]]/12,Table1[[#This Row],[Lifespan]])</f>
        <v>23</v>
      </c>
      <c r="F364" s="1" t="s">
        <v>170</v>
      </c>
      <c r="G364" s="1" t="str">
        <f t="shared" si="10"/>
        <v>6</v>
      </c>
      <c r="H364" s="1" t="str">
        <f t="shared" si="11"/>
        <v>lbs</v>
      </c>
      <c r="I364" s="1" t="str">
        <f>IF(Table1[[#This Row],[Lifespan (Years)]]&lt;25, "&lt;25", IF(Table1[[#This Row],[Lifespan (Years)]]&lt;50, "25-49", IF(Table1[[#This Row],[Lifespan (Years)]]&lt;75, "50-74", IF(Table1[[#This Row],[Lifespan (Years)]]&lt;100, "75-99", "&gt;=100"))))</f>
        <v>&lt;25</v>
      </c>
      <c r="J364" s="14">
        <f>IF(Table1[[#This Row],[Weight Unit]]="oz",Table1[[#This Row],[Weight (Digits)]]/16, Table1[[#This Row],[Weight (Digits)]]/1)</f>
        <v>6</v>
      </c>
      <c r="K36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64" s="1" t="s">
        <v>5</v>
      </c>
      <c r="M364" s="1" t="str">
        <f>IF(COUNTIF(Table2[Animal],Table1[[#This Row],[Animal]]) = 1, "Previous Participant", "New Participant")</f>
        <v>Previous Participant</v>
      </c>
      <c r="N364" s="1" t="str">
        <f>_xlfn.XLOOKUP(Table1[[#This Row],[Region]],'Support - Tables'!$B$3:$B$10,'Support - Tables'!$D$3:$D$10,"Not Found",0)</f>
        <v>Boat</v>
      </c>
      <c r="O364" s="6">
        <f>_xlfn.XLOOKUP(Table1[[#This Row],[Region]],'Support - Tables'!$B$3:$B$10,'Support - Tables'!$C$3:$C$10, "Not Found",0)</f>
        <v>400</v>
      </c>
      <c r="P364" s="6">
        <f>_xlfn.XLOOKUP(Table1[[#This Row],[Diet]],'Support - Tables'!$B$14:$B$16,'Support - Tables'!$C$14:$C$16, "Not Found", 0)</f>
        <v>400</v>
      </c>
      <c r="Q364" s="6">
        <f>Table1[[#This Row],[Revenue]]-Table1[[#This Row],[Cost]]</f>
        <v>0</v>
      </c>
      <c r="R364" s="6">
        <f>COUNTBLANK(Table1[[#This Row],[Diet]:[Region]])</f>
        <v>0</v>
      </c>
      <c r="S364" s="6"/>
      <c r="T364" s="6"/>
    </row>
    <row r="365" spans="1:20" x14ac:dyDescent="0.25">
      <c r="A365" s="2" t="s">
        <v>423</v>
      </c>
      <c r="B365" s="1" t="s">
        <v>13</v>
      </c>
      <c r="C365" s="1">
        <v>30</v>
      </c>
      <c r="D365" s="1" t="s">
        <v>706</v>
      </c>
      <c r="E365" s="1">
        <f>IF(Table1[[#This Row],[Lifespan Unit]]="months", Table1[[#This Row],[Lifespan]]/12,Table1[[#This Row],[Lifespan]])</f>
        <v>30</v>
      </c>
      <c r="F365" s="1" t="s">
        <v>599</v>
      </c>
      <c r="G365" s="1" t="str">
        <f t="shared" si="10"/>
        <v>2.2</v>
      </c>
      <c r="H365" s="1" t="str">
        <f t="shared" si="11"/>
        <v>lbs</v>
      </c>
      <c r="I365" s="1" t="str">
        <f>IF(Table1[[#This Row],[Lifespan (Years)]]&lt;25, "&lt;25", IF(Table1[[#This Row],[Lifespan (Years)]]&lt;50, "25-49", IF(Table1[[#This Row],[Lifespan (Years)]]&lt;75, "50-74", IF(Table1[[#This Row],[Lifespan (Years)]]&lt;100, "75-99", "&gt;=100"))))</f>
        <v>25-49</v>
      </c>
      <c r="J365" s="14">
        <f>IF(Table1[[#This Row],[Weight Unit]]="oz",Table1[[#This Row],[Weight (Digits)]]/16, Table1[[#This Row],[Weight (Digits)]]/1)</f>
        <v>2.2000000000000002</v>
      </c>
      <c r="K36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65" s="1" t="s">
        <v>724</v>
      </c>
      <c r="M365" s="1" t="str">
        <f>IF(COUNTIF(Table2[Animal],Table1[[#This Row],[Animal]]) = 1, "Previous Participant", "New Participant")</f>
        <v>Previous Participant</v>
      </c>
      <c r="N365" s="1" t="str">
        <f>_xlfn.XLOOKUP(Table1[[#This Row],[Region]],'Support - Tables'!$B$3:$B$10,'Support - Tables'!$D$3:$D$10,"Not Found",0)</f>
        <v>Road</v>
      </c>
      <c r="O365" s="6">
        <f>_xlfn.XLOOKUP(Table1[[#This Row],[Region]],'Support - Tables'!$B$3:$B$10,'Support - Tables'!$C$3:$C$10, "Not Found",0)</f>
        <v>450</v>
      </c>
      <c r="P365" s="6">
        <f>_xlfn.XLOOKUP(Table1[[#This Row],[Diet]],'Support - Tables'!$B$14:$B$16,'Support - Tables'!$C$14:$C$16, "Not Found", 0)</f>
        <v>400</v>
      </c>
      <c r="Q365" s="6">
        <f>Table1[[#This Row],[Revenue]]-Table1[[#This Row],[Cost]]</f>
        <v>50</v>
      </c>
      <c r="R365" s="6">
        <f>COUNTBLANK(Table1[[#This Row],[Diet]:[Region]])</f>
        <v>0</v>
      </c>
      <c r="S365" s="6"/>
      <c r="T365" s="6"/>
    </row>
    <row r="366" spans="1:20" x14ac:dyDescent="0.25">
      <c r="A366" s="2" t="s">
        <v>424</v>
      </c>
      <c r="B366" s="1" t="s">
        <v>15</v>
      </c>
      <c r="C366" s="1">
        <v>19</v>
      </c>
      <c r="D366" s="1" t="s">
        <v>706</v>
      </c>
      <c r="E366" s="1">
        <f>IF(Table1[[#This Row],[Lifespan Unit]]="months", Table1[[#This Row],[Lifespan]]/12,Table1[[#This Row],[Lifespan]])</f>
        <v>19</v>
      </c>
      <c r="F366" s="1" t="s">
        <v>16</v>
      </c>
      <c r="G366" s="1" t="str">
        <f t="shared" si="10"/>
        <v>10</v>
      </c>
      <c r="H366" s="1" t="str">
        <f t="shared" si="11"/>
        <v>lbs</v>
      </c>
      <c r="I366" s="1" t="str">
        <f>IF(Table1[[#This Row],[Lifespan (Years)]]&lt;25, "&lt;25", IF(Table1[[#This Row],[Lifespan (Years)]]&lt;50, "25-49", IF(Table1[[#This Row],[Lifespan (Years)]]&lt;75, "50-74", IF(Table1[[#This Row],[Lifespan (Years)]]&lt;100, "75-99", "&gt;=100"))))</f>
        <v>&lt;25</v>
      </c>
      <c r="J366" s="14">
        <f>IF(Table1[[#This Row],[Weight Unit]]="oz",Table1[[#This Row],[Weight (Digits)]]/16, Table1[[#This Row],[Weight (Digits)]]/1)</f>
        <v>10</v>
      </c>
      <c r="K36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66" s="1" t="s">
        <v>5</v>
      </c>
      <c r="M366" s="1" t="str">
        <f>IF(COUNTIF(Table2[Animal],Table1[[#This Row],[Animal]]) = 1, "Previous Participant", "New Participant")</f>
        <v>Previous Participant</v>
      </c>
      <c r="N366" s="1" t="str">
        <f>_xlfn.XLOOKUP(Table1[[#This Row],[Region]],'Support - Tables'!$B$3:$B$10,'Support - Tables'!$D$3:$D$10,"Not Found",0)</f>
        <v>Boat</v>
      </c>
      <c r="O366" s="6">
        <f>_xlfn.XLOOKUP(Table1[[#This Row],[Region]],'Support - Tables'!$B$3:$B$10,'Support - Tables'!$C$3:$C$10, "Not Found",0)</f>
        <v>400</v>
      </c>
      <c r="P366" s="6">
        <f>_xlfn.XLOOKUP(Table1[[#This Row],[Diet]],'Support - Tables'!$B$14:$B$16,'Support - Tables'!$C$14:$C$16, "Not Found", 0)</f>
        <v>500</v>
      </c>
      <c r="Q366" s="6">
        <f>Table1[[#This Row],[Revenue]]-Table1[[#This Row],[Cost]]</f>
        <v>-100</v>
      </c>
      <c r="R366" s="6">
        <f>COUNTBLANK(Table1[[#This Row],[Diet]:[Region]])</f>
        <v>0</v>
      </c>
      <c r="S366" s="6"/>
      <c r="T366" s="6"/>
    </row>
    <row r="367" spans="1:20" x14ac:dyDescent="0.25">
      <c r="A367" s="2" t="s">
        <v>425</v>
      </c>
      <c r="B367" s="1" t="s">
        <v>13</v>
      </c>
      <c r="C367" s="1">
        <v>10</v>
      </c>
      <c r="D367" s="1" t="s">
        <v>706</v>
      </c>
      <c r="E367" s="1">
        <f>IF(Table1[[#This Row],[Lifespan Unit]]="months", Table1[[#This Row],[Lifespan]]/12,Table1[[#This Row],[Lifespan]])</f>
        <v>10</v>
      </c>
      <c r="F367" s="1" t="s">
        <v>617</v>
      </c>
      <c r="G367" s="1" t="str">
        <f t="shared" si="10"/>
        <v>1.9</v>
      </c>
      <c r="H367" s="1" t="str">
        <f t="shared" si="11"/>
        <v>lbs</v>
      </c>
      <c r="I367" s="1" t="str">
        <f>IF(Table1[[#This Row],[Lifespan (Years)]]&lt;25, "&lt;25", IF(Table1[[#This Row],[Lifespan (Years)]]&lt;50, "25-49", IF(Table1[[#This Row],[Lifespan (Years)]]&lt;75, "50-74", IF(Table1[[#This Row],[Lifespan (Years)]]&lt;100, "75-99", "&gt;=100"))))</f>
        <v>&lt;25</v>
      </c>
      <c r="J367" s="14">
        <f>IF(Table1[[#This Row],[Weight Unit]]="oz",Table1[[#This Row],[Weight (Digits)]]/16, Table1[[#This Row],[Weight (Digits)]]/1)</f>
        <v>1.9</v>
      </c>
      <c r="K36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67" s="1" t="s">
        <v>724</v>
      </c>
      <c r="M367" s="1" t="str">
        <f>IF(COUNTIF(Table2[Animal],Table1[[#This Row],[Animal]]) = 1, "Previous Participant", "New Participant")</f>
        <v>New Participant</v>
      </c>
      <c r="N367" s="1" t="str">
        <f>_xlfn.XLOOKUP(Table1[[#This Row],[Region]],'Support - Tables'!$B$3:$B$10,'Support - Tables'!$D$3:$D$10,"Not Found",0)</f>
        <v>Road</v>
      </c>
      <c r="O367" s="6">
        <f>_xlfn.XLOOKUP(Table1[[#This Row],[Region]],'Support - Tables'!$B$3:$B$10,'Support - Tables'!$C$3:$C$10, "Not Found",0)</f>
        <v>450</v>
      </c>
      <c r="P367" s="6">
        <f>_xlfn.XLOOKUP(Table1[[#This Row],[Diet]],'Support - Tables'!$B$14:$B$16,'Support - Tables'!$C$14:$C$16, "Not Found", 0)</f>
        <v>400</v>
      </c>
      <c r="Q367" s="6">
        <f>Table1[[#This Row],[Revenue]]-Table1[[#This Row],[Cost]]</f>
        <v>50</v>
      </c>
      <c r="R367" s="6">
        <f>COUNTBLANK(Table1[[#This Row],[Diet]:[Region]])</f>
        <v>0</v>
      </c>
      <c r="S367" s="6"/>
      <c r="T367" s="6"/>
    </row>
    <row r="368" spans="1:20" x14ac:dyDescent="0.25">
      <c r="A368" s="2" t="s">
        <v>426</v>
      </c>
      <c r="B368" s="1" t="s">
        <v>13</v>
      </c>
      <c r="C368" s="1">
        <v>15</v>
      </c>
      <c r="D368" s="1" t="s">
        <v>706</v>
      </c>
      <c r="E368" s="1">
        <f>IF(Table1[[#This Row],[Lifespan Unit]]="months", Table1[[#This Row],[Lifespan]]/12,Table1[[#This Row],[Lifespan]])</f>
        <v>15</v>
      </c>
      <c r="F368" s="1" t="s">
        <v>289</v>
      </c>
      <c r="G368" s="1" t="str">
        <f t="shared" si="10"/>
        <v>66</v>
      </c>
      <c r="H368" s="1" t="str">
        <f t="shared" si="11"/>
        <v>lbs</v>
      </c>
      <c r="I368" s="1" t="str">
        <f>IF(Table1[[#This Row],[Lifespan (Years)]]&lt;25, "&lt;25", IF(Table1[[#This Row],[Lifespan (Years)]]&lt;50, "25-49", IF(Table1[[#This Row],[Lifespan (Years)]]&lt;75, "50-74", IF(Table1[[#This Row],[Lifespan (Years)]]&lt;100, "75-99", "&gt;=100"))))</f>
        <v>&lt;25</v>
      </c>
      <c r="J368" s="14">
        <f>IF(Table1[[#This Row],[Weight Unit]]="oz",Table1[[#This Row],[Weight (Digits)]]/16, Table1[[#This Row],[Weight (Digits)]]/1)</f>
        <v>66</v>
      </c>
      <c r="K36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68" s="1" t="s">
        <v>6</v>
      </c>
      <c r="M368" s="1" t="str">
        <f>IF(COUNTIF(Table2[Animal],Table1[[#This Row],[Animal]]) = 1, "Previous Participant", "New Participant")</f>
        <v>New Participant</v>
      </c>
      <c r="N368" s="1" t="str">
        <f>_xlfn.XLOOKUP(Table1[[#This Row],[Region]],'Support - Tables'!$B$3:$B$10,'Support - Tables'!$D$3:$D$10,"Not Found",0)</f>
        <v>Air</v>
      </c>
      <c r="O368" s="6">
        <f>_xlfn.XLOOKUP(Table1[[#This Row],[Region]],'Support - Tables'!$B$3:$B$10,'Support - Tables'!$C$3:$C$10, "Not Found",0)</f>
        <v>450</v>
      </c>
      <c r="P368" s="6">
        <f>_xlfn.XLOOKUP(Table1[[#This Row],[Diet]],'Support - Tables'!$B$14:$B$16,'Support - Tables'!$C$14:$C$16, "Not Found", 0)</f>
        <v>400</v>
      </c>
      <c r="Q368" s="6">
        <f>Table1[[#This Row],[Revenue]]-Table1[[#This Row],[Cost]]</f>
        <v>50</v>
      </c>
      <c r="R368" s="6">
        <f>COUNTBLANK(Table1[[#This Row],[Diet]:[Region]])</f>
        <v>0</v>
      </c>
      <c r="S368" s="6"/>
      <c r="T368" s="6"/>
    </row>
    <row r="369" spans="1:20" x14ac:dyDescent="0.25">
      <c r="A369" s="2" t="s">
        <v>427</v>
      </c>
      <c r="B369" s="1" t="s">
        <v>23</v>
      </c>
      <c r="C369" s="1">
        <v>6</v>
      </c>
      <c r="D369" s="1" t="s">
        <v>706</v>
      </c>
      <c r="E369" s="1">
        <f>IF(Table1[[#This Row],[Lifespan Unit]]="months", Table1[[#This Row],[Lifespan]]/12,Table1[[#This Row],[Lifespan]])</f>
        <v>6</v>
      </c>
      <c r="F369" s="1" t="s">
        <v>644</v>
      </c>
      <c r="G369" s="1" t="str">
        <f t="shared" si="10"/>
        <v>2.6</v>
      </c>
      <c r="H369" s="1" t="str">
        <f t="shared" si="11"/>
        <v>lbs</v>
      </c>
      <c r="I369" s="1" t="str">
        <f>IF(Table1[[#This Row],[Lifespan (Years)]]&lt;25, "&lt;25", IF(Table1[[#This Row],[Lifespan (Years)]]&lt;50, "25-49", IF(Table1[[#This Row],[Lifespan (Years)]]&lt;75, "50-74", IF(Table1[[#This Row],[Lifespan (Years)]]&lt;100, "75-99", "&gt;=100"))))</f>
        <v>&lt;25</v>
      </c>
      <c r="J369" s="14">
        <f>IF(Table1[[#This Row],[Weight Unit]]="oz",Table1[[#This Row],[Weight (Digits)]]/16, Table1[[#This Row],[Weight (Digits)]]/1)</f>
        <v>2.6</v>
      </c>
      <c r="K36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69" s="1" t="s">
        <v>1</v>
      </c>
      <c r="M369" s="1" t="str">
        <f>IF(COUNTIF(Table2[Animal],Table1[[#This Row],[Animal]]) = 1, "Previous Participant", "New Participant")</f>
        <v>Previous Participant</v>
      </c>
      <c r="N369" s="1" t="str">
        <f>_xlfn.XLOOKUP(Table1[[#This Row],[Region]],'Support - Tables'!$B$3:$B$10,'Support - Tables'!$D$3:$D$10,"Not Found",0)</f>
        <v>Air</v>
      </c>
      <c r="O369" s="6">
        <f>_xlfn.XLOOKUP(Table1[[#This Row],[Region]],'Support - Tables'!$B$3:$B$10,'Support - Tables'!$C$3:$C$10, "Not Found",0)</f>
        <v>700</v>
      </c>
      <c r="P369" s="6">
        <f>_xlfn.XLOOKUP(Table1[[#This Row],[Diet]],'Support - Tables'!$B$14:$B$16,'Support - Tables'!$C$14:$C$16, "Not Found", 0)</f>
        <v>300</v>
      </c>
      <c r="Q369" s="6">
        <f>Table1[[#This Row],[Revenue]]-Table1[[#This Row],[Cost]]</f>
        <v>400</v>
      </c>
      <c r="R369" s="6">
        <f>COUNTBLANK(Table1[[#This Row],[Diet]:[Region]])</f>
        <v>0</v>
      </c>
      <c r="S369" s="6"/>
      <c r="T369" s="6"/>
    </row>
    <row r="370" spans="1:20" x14ac:dyDescent="0.25">
      <c r="A370" s="2" t="s">
        <v>428</v>
      </c>
      <c r="B370" s="1" t="s">
        <v>15</v>
      </c>
      <c r="C370" s="1">
        <v>15</v>
      </c>
      <c r="D370" s="1" t="s">
        <v>706</v>
      </c>
      <c r="E370" s="1">
        <f>IF(Table1[[#This Row],[Lifespan Unit]]="months", Table1[[#This Row],[Lifespan]]/12,Table1[[#This Row],[Lifespan]])</f>
        <v>15</v>
      </c>
      <c r="F370" s="1" t="s">
        <v>573</v>
      </c>
      <c r="G370" s="1" t="str">
        <f t="shared" si="10"/>
        <v/>
      </c>
      <c r="H370" s="1" t="str">
        <f t="shared" si="11"/>
        <v/>
      </c>
      <c r="I370" s="1" t="str">
        <f>IF(Table1[[#This Row],[Lifespan (Years)]]&lt;25, "&lt;25", IF(Table1[[#This Row],[Lifespan (Years)]]&lt;50, "25-49", IF(Table1[[#This Row],[Lifespan (Years)]]&lt;75, "50-74", IF(Table1[[#This Row],[Lifespan (Years)]]&lt;100, "75-99", "&gt;=100"))))</f>
        <v>&lt;25</v>
      </c>
      <c r="J370" s="14">
        <v>0</v>
      </c>
      <c r="K37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370" s="1" t="s">
        <v>5</v>
      </c>
      <c r="M370" s="1" t="str">
        <f>IF(COUNTIF(Table2[Animal],Table1[[#This Row],[Animal]]) = 1, "Previous Participant", "New Participant")</f>
        <v>Previous Participant</v>
      </c>
      <c r="N370" s="1" t="str">
        <f>_xlfn.XLOOKUP(Table1[[#This Row],[Region]],'Support - Tables'!$B$3:$B$10,'Support - Tables'!$D$3:$D$10,"Not Found",0)</f>
        <v>Boat</v>
      </c>
      <c r="O370" s="6">
        <f>_xlfn.XLOOKUP(Table1[[#This Row],[Region]],'Support - Tables'!$B$3:$B$10,'Support - Tables'!$C$3:$C$10, "Not Found",0)</f>
        <v>400</v>
      </c>
      <c r="P370" s="6">
        <f>_xlfn.XLOOKUP(Table1[[#This Row],[Diet]],'Support - Tables'!$B$14:$B$16,'Support - Tables'!$C$14:$C$16, "Not Found", 0)</f>
        <v>500</v>
      </c>
      <c r="Q370" s="6">
        <f>Table1[[#This Row],[Revenue]]-Table1[[#This Row],[Cost]]</f>
        <v>-100</v>
      </c>
      <c r="R370" s="6">
        <f>COUNTBLANK(Table1[[#This Row],[Diet]:[Region]])</f>
        <v>3</v>
      </c>
      <c r="S370" s="6"/>
      <c r="T370" s="6"/>
    </row>
    <row r="371" spans="1:20" x14ac:dyDescent="0.25">
      <c r="A371" s="2" t="s">
        <v>429</v>
      </c>
      <c r="B371" s="1" t="s">
        <v>13</v>
      </c>
      <c r="C371" s="1">
        <v>25</v>
      </c>
      <c r="D371" s="1" t="s">
        <v>706</v>
      </c>
      <c r="E371" s="1">
        <f>IF(Table1[[#This Row],[Lifespan Unit]]="months", Table1[[#This Row],[Lifespan]]/12,Table1[[#This Row],[Lifespan]])</f>
        <v>25</v>
      </c>
      <c r="F371" s="1" t="s">
        <v>573</v>
      </c>
      <c r="G371" s="1" t="str">
        <f t="shared" si="10"/>
        <v/>
      </c>
      <c r="H371" s="1" t="str">
        <f t="shared" si="11"/>
        <v/>
      </c>
      <c r="I371" s="1" t="str">
        <f>IF(Table1[[#This Row],[Lifespan (Years)]]&lt;25, "&lt;25", IF(Table1[[#This Row],[Lifespan (Years)]]&lt;50, "25-49", IF(Table1[[#This Row],[Lifespan (Years)]]&lt;75, "50-74", IF(Table1[[#This Row],[Lifespan (Years)]]&lt;100, "75-99", "&gt;=100"))))</f>
        <v>25-49</v>
      </c>
      <c r="J371" s="14">
        <v>0</v>
      </c>
      <c r="K37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371" s="1" t="s">
        <v>3</v>
      </c>
      <c r="M371" s="1" t="str">
        <f>IF(COUNTIF(Table2[Animal],Table1[[#This Row],[Animal]]) = 1, "Previous Participant", "New Participant")</f>
        <v>Previous Participant</v>
      </c>
      <c r="N371" s="1" t="str">
        <f>_xlfn.XLOOKUP(Table1[[#This Row],[Region]],'Support - Tables'!$B$3:$B$10,'Support - Tables'!$D$3:$D$10,"Not Found",0)</f>
        <v>Air</v>
      </c>
      <c r="O371" s="6">
        <f>_xlfn.XLOOKUP(Table1[[#This Row],[Region]],'Support - Tables'!$B$3:$B$10,'Support - Tables'!$C$3:$C$10, "Not Found",0)</f>
        <v>350</v>
      </c>
      <c r="P371" s="6">
        <f>_xlfn.XLOOKUP(Table1[[#This Row],[Diet]],'Support - Tables'!$B$14:$B$16,'Support - Tables'!$C$14:$C$16, "Not Found", 0)</f>
        <v>400</v>
      </c>
      <c r="Q371" s="6">
        <f>Table1[[#This Row],[Revenue]]-Table1[[#This Row],[Cost]]</f>
        <v>-50</v>
      </c>
      <c r="R371" s="6">
        <f>COUNTBLANK(Table1[[#This Row],[Diet]:[Region]])</f>
        <v>3</v>
      </c>
      <c r="S371" s="6"/>
      <c r="T371" s="6"/>
    </row>
    <row r="372" spans="1:20" x14ac:dyDescent="0.25">
      <c r="A372" s="2" t="s">
        <v>430</v>
      </c>
      <c r="B372" s="1" t="s">
        <v>15</v>
      </c>
      <c r="C372" s="1">
        <v>12</v>
      </c>
      <c r="D372" s="1" t="s">
        <v>706</v>
      </c>
      <c r="E372" s="1">
        <f>IF(Table1[[#This Row],[Lifespan Unit]]="months", Table1[[#This Row],[Lifespan]]/12,Table1[[#This Row],[Lifespan]])</f>
        <v>12</v>
      </c>
      <c r="F372" s="1" t="s">
        <v>610</v>
      </c>
      <c r="G372" s="1" t="str">
        <f t="shared" si="10"/>
        <v>1.5</v>
      </c>
      <c r="H372" s="1" t="str">
        <f t="shared" si="11"/>
        <v>lbs</v>
      </c>
      <c r="I372" s="1" t="str">
        <f>IF(Table1[[#This Row],[Lifespan (Years)]]&lt;25, "&lt;25", IF(Table1[[#This Row],[Lifespan (Years)]]&lt;50, "25-49", IF(Table1[[#This Row],[Lifespan (Years)]]&lt;75, "50-74", IF(Table1[[#This Row],[Lifespan (Years)]]&lt;100, "75-99", "&gt;=100"))))</f>
        <v>&lt;25</v>
      </c>
      <c r="J372" s="14">
        <f>IF(Table1[[#This Row],[Weight Unit]]="oz",Table1[[#This Row],[Weight (Digits)]]/16, Table1[[#This Row],[Weight (Digits)]]/1)</f>
        <v>1.5</v>
      </c>
      <c r="K37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72" s="1" t="s">
        <v>725</v>
      </c>
      <c r="M372" s="1" t="str">
        <f>IF(COUNTIF(Table2[Animal],Table1[[#This Row],[Animal]]) = 1, "Previous Participant", "New Participant")</f>
        <v>Previous Participant</v>
      </c>
      <c r="N372" s="1" t="str">
        <f>_xlfn.XLOOKUP(Table1[[#This Row],[Region]],'Support - Tables'!$B$3:$B$10,'Support - Tables'!$D$3:$D$10,"Not Found",0)</f>
        <v>Air</v>
      </c>
      <c r="O372" s="6">
        <f>_xlfn.XLOOKUP(Table1[[#This Row],[Region]],'Support - Tables'!$B$3:$B$10,'Support - Tables'!$C$3:$C$10, "Not Found",0)</f>
        <v>600</v>
      </c>
      <c r="P372" s="6">
        <f>_xlfn.XLOOKUP(Table1[[#This Row],[Diet]],'Support - Tables'!$B$14:$B$16,'Support - Tables'!$C$14:$C$16, "Not Found", 0)</f>
        <v>500</v>
      </c>
      <c r="Q372" s="6">
        <f>Table1[[#This Row],[Revenue]]-Table1[[#This Row],[Cost]]</f>
        <v>100</v>
      </c>
      <c r="R372" s="6">
        <f>COUNTBLANK(Table1[[#This Row],[Diet]:[Region]])</f>
        <v>0</v>
      </c>
      <c r="S372" s="6"/>
      <c r="T372" s="6"/>
    </row>
    <row r="373" spans="1:20" x14ac:dyDescent="0.25">
      <c r="A373" s="2" t="s">
        <v>431</v>
      </c>
      <c r="B373" s="1" t="s">
        <v>13</v>
      </c>
      <c r="C373" s="1">
        <v>13</v>
      </c>
      <c r="D373" s="1" t="s">
        <v>706</v>
      </c>
      <c r="E373" s="1">
        <f>IF(Table1[[#This Row],[Lifespan Unit]]="months", Table1[[#This Row],[Lifespan]]/12,Table1[[#This Row],[Lifespan]])</f>
        <v>13</v>
      </c>
      <c r="F373" s="1" t="s">
        <v>289</v>
      </c>
      <c r="G373" s="1" t="str">
        <f t="shared" si="10"/>
        <v>66</v>
      </c>
      <c r="H373" s="1" t="str">
        <f t="shared" si="11"/>
        <v>lbs</v>
      </c>
      <c r="I373" s="1" t="str">
        <f>IF(Table1[[#This Row],[Lifespan (Years)]]&lt;25, "&lt;25", IF(Table1[[#This Row],[Lifespan (Years)]]&lt;50, "25-49", IF(Table1[[#This Row],[Lifespan (Years)]]&lt;75, "50-74", IF(Table1[[#This Row],[Lifespan (Years)]]&lt;100, "75-99", "&gt;=100"))))</f>
        <v>&lt;25</v>
      </c>
      <c r="J373" s="14">
        <f>IF(Table1[[#This Row],[Weight Unit]]="oz",Table1[[#This Row],[Weight (Digits)]]/16, Table1[[#This Row],[Weight (Digits)]]/1)</f>
        <v>66</v>
      </c>
      <c r="K37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73" s="1" t="s">
        <v>2</v>
      </c>
      <c r="M373" s="1" t="str">
        <f>IF(COUNTIF(Table2[Animal],Table1[[#This Row],[Animal]]) = 1, "Previous Participant", "New Participant")</f>
        <v>New Participant</v>
      </c>
      <c r="N373" s="1" t="str">
        <f>_xlfn.XLOOKUP(Table1[[#This Row],[Region]],'Support - Tables'!$B$3:$B$10,'Support - Tables'!$D$3:$D$10,"Not Found",0)</f>
        <v>Air</v>
      </c>
      <c r="O373" s="6">
        <f>_xlfn.XLOOKUP(Table1[[#This Row],[Region]],'Support - Tables'!$B$3:$B$10,'Support - Tables'!$C$3:$C$10, "Not Found",0)</f>
        <v>600</v>
      </c>
      <c r="P373" s="6">
        <f>_xlfn.XLOOKUP(Table1[[#This Row],[Diet]],'Support - Tables'!$B$14:$B$16,'Support - Tables'!$C$14:$C$16, "Not Found", 0)</f>
        <v>400</v>
      </c>
      <c r="Q373" s="6">
        <f>Table1[[#This Row],[Revenue]]-Table1[[#This Row],[Cost]]</f>
        <v>200</v>
      </c>
      <c r="R373" s="6">
        <f>COUNTBLANK(Table1[[#This Row],[Diet]:[Region]])</f>
        <v>0</v>
      </c>
      <c r="S373" s="6"/>
      <c r="T373" s="6"/>
    </row>
    <row r="374" spans="1:20" x14ac:dyDescent="0.25">
      <c r="A374" s="2" t="s">
        <v>432</v>
      </c>
      <c r="B374" s="1" t="s">
        <v>15</v>
      </c>
      <c r="C374" s="1">
        <v>4</v>
      </c>
      <c r="D374" s="1" t="s">
        <v>706</v>
      </c>
      <c r="E374" s="1">
        <f>IF(Table1[[#This Row],[Lifespan Unit]]="months", Table1[[#This Row],[Lifespan]]/12,Table1[[#This Row],[Lifespan]])</f>
        <v>4</v>
      </c>
      <c r="F374" s="1" t="s">
        <v>665</v>
      </c>
      <c r="G374" s="1" t="str">
        <f t="shared" si="10"/>
        <v>0.07</v>
      </c>
      <c r="H374" s="1" t="str">
        <f t="shared" si="11"/>
        <v>lbs</v>
      </c>
      <c r="I374" s="1" t="str">
        <f>IF(Table1[[#This Row],[Lifespan (Years)]]&lt;25, "&lt;25", IF(Table1[[#This Row],[Lifespan (Years)]]&lt;50, "25-49", IF(Table1[[#This Row],[Lifespan (Years)]]&lt;75, "50-74", IF(Table1[[#This Row],[Lifespan (Years)]]&lt;100, "75-99", "&gt;=100"))))</f>
        <v>&lt;25</v>
      </c>
      <c r="J374" s="14">
        <f>IF(Table1[[#This Row],[Weight Unit]]="oz",Table1[[#This Row],[Weight (Digits)]]/16, Table1[[#This Row],[Weight (Digits)]]/1)</f>
        <v>7.0000000000000007E-2</v>
      </c>
      <c r="K37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74" s="1" t="s">
        <v>2</v>
      </c>
      <c r="M374" s="1" t="str">
        <f>IF(COUNTIF(Table2[Animal],Table1[[#This Row],[Animal]]) = 1, "Previous Participant", "New Participant")</f>
        <v>Previous Participant</v>
      </c>
      <c r="N374" s="1" t="str">
        <f>_xlfn.XLOOKUP(Table1[[#This Row],[Region]],'Support - Tables'!$B$3:$B$10,'Support - Tables'!$D$3:$D$10,"Not Found",0)</f>
        <v>Air</v>
      </c>
      <c r="O374" s="6">
        <f>_xlfn.XLOOKUP(Table1[[#This Row],[Region]],'Support - Tables'!$B$3:$B$10,'Support - Tables'!$C$3:$C$10, "Not Found",0)</f>
        <v>600</v>
      </c>
      <c r="P374" s="6">
        <f>_xlfn.XLOOKUP(Table1[[#This Row],[Diet]],'Support - Tables'!$B$14:$B$16,'Support - Tables'!$C$14:$C$16, "Not Found", 0)</f>
        <v>500</v>
      </c>
      <c r="Q374" s="6">
        <f>Table1[[#This Row],[Revenue]]-Table1[[#This Row],[Cost]]</f>
        <v>100</v>
      </c>
      <c r="R374" s="6">
        <f>COUNTBLANK(Table1[[#This Row],[Diet]:[Region]])</f>
        <v>0</v>
      </c>
      <c r="S374" s="6"/>
      <c r="T374" s="6"/>
    </row>
    <row r="375" spans="1:20" x14ac:dyDescent="0.25">
      <c r="A375" s="2" t="s">
        <v>433</v>
      </c>
      <c r="B375" s="1" t="s">
        <v>15</v>
      </c>
      <c r="C375" s="1">
        <v>30</v>
      </c>
      <c r="D375" s="1" t="s">
        <v>706</v>
      </c>
      <c r="E375" s="1">
        <f>IF(Table1[[#This Row],[Lifespan Unit]]="months", Table1[[#This Row],[Lifespan]]/12,Table1[[#This Row],[Lifespan]])</f>
        <v>30</v>
      </c>
      <c r="F375" s="1" t="s">
        <v>497</v>
      </c>
      <c r="G375" s="1" t="str">
        <f t="shared" si="10"/>
        <v>330</v>
      </c>
      <c r="H375" s="1" t="str">
        <f t="shared" si="11"/>
        <v>lbs</v>
      </c>
      <c r="I375" s="1" t="str">
        <f>IF(Table1[[#This Row],[Lifespan (Years)]]&lt;25, "&lt;25", IF(Table1[[#This Row],[Lifespan (Years)]]&lt;50, "25-49", IF(Table1[[#This Row],[Lifespan (Years)]]&lt;75, "50-74", IF(Table1[[#This Row],[Lifespan (Years)]]&lt;100, "75-99", "&gt;=100"))))</f>
        <v>25-49</v>
      </c>
      <c r="J375" s="14">
        <f>IF(Table1[[#This Row],[Weight Unit]]="oz",Table1[[#This Row],[Weight (Digits)]]/16, Table1[[#This Row],[Weight (Digits)]]/1)</f>
        <v>330</v>
      </c>
      <c r="K37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300-399</v>
      </c>
      <c r="L375" s="1" t="s">
        <v>2</v>
      </c>
      <c r="M375" s="1" t="str">
        <f>IF(COUNTIF(Table2[Animal],Table1[[#This Row],[Animal]]) = 1, "Previous Participant", "New Participant")</f>
        <v>New Participant</v>
      </c>
      <c r="N375" s="1" t="str">
        <f>_xlfn.XLOOKUP(Table1[[#This Row],[Region]],'Support - Tables'!$B$3:$B$10,'Support - Tables'!$D$3:$D$10,"Not Found",0)</f>
        <v>Air</v>
      </c>
      <c r="O375" s="6">
        <f>_xlfn.XLOOKUP(Table1[[#This Row],[Region]],'Support - Tables'!$B$3:$B$10,'Support - Tables'!$C$3:$C$10, "Not Found",0)</f>
        <v>600</v>
      </c>
      <c r="P375" s="6">
        <f>_xlfn.XLOOKUP(Table1[[#This Row],[Diet]],'Support - Tables'!$B$14:$B$16,'Support - Tables'!$C$14:$C$16, "Not Found", 0)</f>
        <v>500</v>
      </c>
      <c r="Q375" s="6">
        <f>Table1[[#This Row],[Revenue]]-Table1[[#This Row],[Cost]]</f>
        <v>100</v>
      </c>
      <c r="R375" s="6">
        <f>COUNTBLANK(Table1[[#This Row],[Diet]:[Region]])</f>
        <v>0</v>
      </c>
      <c r="S375" s="6"/>
      <c r="T375" s="6"/>
    </row>
    <row r="376" spans="1:20" x14ac:dyDescent="0.25">
      <c r="A376" s="2" t="s">
        <v>434</v>
      </c>
      <c r="B376" s="1" t="s">
        <v>23</v>
      </c>
      <c r="C376" s="1">
        <v>6</v>
      </c>
      <c r="D376" s="1" t="s">
        <v>707</v>
      </c>
      <c r="E376" s="1">
        <f>IF(Table1[[#This Row],[Lifespan Unit]]="months", Table1[[#This Row],[Lifespan]]/12,Table1[[#This Row],[Lifespan]])</f>
        <v>0.5</v>
      </c>
      <c r="F376" s="1" t="s">
        <v>666</v>
      </c>
      <c r="G376" s="1" t="str">
        <f t="shared" si="10"/>
        <v>0.004</v>
      </c>
      <c r="H376" s="1" t="str">
        <f t="shared" si="11"/>
        <v>oz</v>
      </c>
      <c r="I376" s="1" t="str">
        <f>IF(Table1[[#This Row],[Lifespan (Years)]]&lt;25, "&lt;25", IF(Table1[[#This Row],[Lifespan (Years)]]&lt;50, "25-49", IF(Table1[[#This Row],[Lifespan (Years)]]&lt;75, "50-74", IF(Table1[[#This Row],[Lifespan (Years)]]&lt;100, "75-99", "&gt;=100"))))</f>
        <v>&lt;25</v>
      </c>
      <c r="J376" s="14">
        <f>IF(Table1[[#This Row],[Weight Unit]]="oz",Table1[[#This Row],[Weight (Digits)]]/16, Table1[[#This Row],[Weight (Digits)]]/1)</f>
        <v>2.5000000000000001E-4</v>
      </c>
      <c r="K37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76" s="1" t="s">
        <v>6</v>
      </c>
      <c r="M376" s="1" t="str">
        <f>IF(COUNTIF(Table2[Animal],Table1[[#This Row],[Animal]]) = 1, "Previous Participant", "New Participant")</f>
        <v>Previous Participant</v>
      </c>
      <c r="N376" s="1" t="str">
        <f>_xlfn.XLOOKUP(Table1[[#This Row],[Region]],'Support - Tables'!$B$3:$B$10,'Support - Tables'!$D$3:$D$10,"Not Found",0)</f>
        <v>Air</v>
      </c>
      <c r="O376" s="6">
        <f>_xlfn.XLOOKUP(Table1[[#This Row],[Region]],'Support - Tables'!$B$3:$B$10,'Support - Tables'!$C$3:$C$10, "Not Found",0)</f>
        <v>450</v>
      </c>
      <c r="P376" s="6">
        <f>_xlfn.XLOOKUP(Table1[[#This Row],[Diet]],'Support - Tables'!$B$14:$B$16,'Support - Tables'!$C$14:$C$16, "Not Found", 0)</f>
        <v>300</v>
      </c>
      <c r="Q376" s="6">
        <f>Table1[[#This Row],[Revenue]]-Table1[[#This Row],[Cost]]</f>
        <v>150</v>
      </c>
      <c r="R376" s="6">
        <f>COUNTBLANK(Table1[[#This Row],[Diet]:[Region]])</f>
        <v>0</v>
      </c>
      <c r="S376" s="6"/>
      <c r="T376" s="6"/>
    </row>
    <row r="377" spans="1:20" x14ac:dyDescent="0.25">
      <c r="A377" s="2" t="s">
        <v>435</v>
      </c>
      <c r="B377" s="1" t="s">
        <v>13</v>
      </c>
      <c r="C377" s="1">
        <v>16</v>
      </c>
      <c r="D377" s="1" t="s">
        <v>706</v>
      </c>
      <c r="E377" s="1">
        <f>IF(Table1[[#This Row],[Lifespan Unit]]="months", Table1[[#This Row],[Lifespan]]/12,Table1[[#This Row],[Lifespan]])</f>
        <v>16</v>
      </c>
      <c r="F377" s="1" t="s">
        <v>289</v>
      </c>
      <c r="G377" s="1" t="str">
        <f t="shared" si="10"/>
        <v>66</v>
      </c>
      <c r="H377" s="1" t="str">
        <f t="shared" si="11"/>
        <v>lbs</v>
      </c>
      <c r="I377" s="1" t="str">
        <f>IF(Table1[[#This Row],[Lifespan (Years)]]&lt;25, "&lt;25", IF(Table1[[#This Row],[Lifespan (Years)]]&lt;50, "25-49", IF(Table1[[#This Row],[Lifespan (Years)]]&lt;75, "50-74", IF(Table1[[#This Row],[Lifespan (Years)]]&lt;100, "75-99", "&gt;=100"))))</f>
        <v>&lt;25</v>
      </c>
      <c r="J377" s="14">
        <f>IF(Table1[[#This Row],[Weight Unit]]="oz",Table1[[#This Row],[Weight (Digits)]]/16, Table1[[#This Row],[Weight (Digits)]]/1)</f>
        <v>66</v>
      </c>
      <c r="K37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77" s="1" t="s">
        <v>725</v>
      </c>
      <c r="M377" s="1" t="str">
        <f>IF(COUNTIF(Table2[Animal],Table1[[#This Row],[Animal]]) = 1, "Previous Participant", "New Participant")</f>
        <v>Previous Participant</v>
      </c>
      <c r="N377" s="1" t="str">
        <f>_xlfn.XLOOKUP(Table1[[#This Row],[Region]],'Support - Tables'!$B$3:$B$10,'Support - Tables'!$D$3:$D$10,"Not Found",0)</f>
        <v>Air</v>
      </c>
      <c r="O377" s="6">
        <f>_xlfn.XLOOKUP(Table1[[#This Row],[Region]],'Support - Tables'!$B$3:$B$10,'Support - Tables'!$C$3:$C$10, "Not Found",0)</f>
        <v>600</v>
      </c>
      <c r="P377" s="6">
        <f>_xlfn.XLOOKUP(Table1[[#This Row],[Diet]],'Support - Tables'!$B$14:$B$16,'Support - Tables'!$C$14:$C$16, "Not Found", 0)</f>
        <v>400</v>
      </c>
      <c r="Q377" s="6">
        <f>Table1[[#This Row],[Revenue]]-Table1[[#This Row],[Cost]]</f>
        <v>200</v>
      </c>
      <c r="R377" s="6">
        <f>COUNTBLANK(Table1[[#This Row],[Diet]:[Region]])</f>
        <v>0</v>
      </c>
      <c r="S377" s="6"/>
      <c r="T377" s="6"/>
    </row>
    <row r="378" spans="1:20" x14ac:dyDescent="0.25">
      <c r="A378" s="2" t="s">
        <v>436</v>
      </c>
      <c r="B378" s="1" t="s">
        <v>15</v>
      </c>
      <c r="C378" s="1">
        <v>6</v>
      </c>
      <c r="D378" s="1" t="s">
        <v>706</v>
      </c>
      <c r="E378" s="1">
        <f>IF(Table1[[#This Row],[Lifespan Unit]]="months", Table1[[#This Row],[Lifespan]]/12,Table1[[#This Row],[Lifespan]])</f>
        <v>6</v>
      </c>
      <c r="F378" s="1" t="s">
        <v>595</v>
      </c>
      <c r="G378" s="1" t="str">
        <f t="shared" si="10"/>
        <v>0.7</v>
      </c>
      <c r="H378" s="1" t="str">
        <f t="shared" si="11"/>
        <v>oz</v>
      </c>
      <c r="I378" s="1" t="str">
        <f>IF(Table1[[#This Row],[Lifespan (Years)]]&lt;25, "&lt;25", IF(Table1[[#This Row],[Lifespan (Years)]]&lt;50, "25-49", IF(Table1[[#This Row],[Lifespan (Years)]]&lt;75, "50-74", IF(Table1[[#This Row],[Lifespan (Years)]]&lt;100, "75-99", "&gt;=100"))))</f>
        <v>&lt;25</v>
      </c>
      <c r="J378" s="14">
        <f>IF(Table1[[#This Row],[Weight Unit]]="oz",Table1[[#This Row],[Weight (Digits)]]/16, Table1[[#This Row],[Weight (Digits)]]/1)</f>
        <v>4.3749999999999997E-2</v>
      </c>
      <c r="K37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78" s="1" t="s">
        <v>724</v>
      </c>
      <c r="M378" s="1" t="str">
        <f>IF(COUNTIF(Table2[Animal],Table1[[#This Row],[Animal]]) = 1, "Previous Participant", "New Participant")</f>
        <v>Previous Participant</v>
      </c>
      <c r="N378" s="1" t="str">
        <f>_xlfn.XLOOKUP(Table1[[#This Row],[Region]],'Support - Tables'!$B$3:$B$10,'Support - Tables'!$D$3:$D$10,"Not Found",0)</f>
        <v>Road</v>
      </c>
      <c r="O378" s="6">
        <f>_xlfn.XLOOKUP(Table1[[#This Row],[Region]],'Support - Tables'!$B$3:$B$10,'Support - Tables'!$C$3:$C$10, "Not Found",0)</f>
        <v>450</v>
      </c>
      <c r="P378" s="6">
        <f>_xlfn.XLOOKUP(Table1[[#This Row],[Diet]],'Support - Tables'!$B$14:$B$16,'Support - Tables'!$C$14:$C$16, "Not Found", 0)</f>
        <v>500</v>
      </c>
      <c r="Q378" s="6">
        <f>Table1[[#This Row],[Revenue]]-Table1[[#This Row],[Cost]]</f>
        <v>-50</v>
      </c>
      <c r="R378" s="6">
        <f>COUNTBLANK(Table1[[#This Row],[Diet]:[Region]])</f>
        <v>0</v>
      </c>
      <c r="S378" s="6"/>
      <c r="T378" s="6"/>
    </row>
    <row r="379" spans="1:20" x14ac:dyDescent="0.25">
      <c r="A379" s="2" t="s">
        <v>437</v>
      </c>
      <c r="B379" s="1" t="s">
        <v>13</v>
      </c>
      <c r="C379" s="1">
        <v>12</v>
      </c>
      <c r="D379" s="1" t="s">
        <v>706</v>
      </c>
      <c r="E379" s="1">
        <f>IF(Table1[[#This Row],[Lifespan Unit]]="months", Table1[[#This Row],[Lifespan]]/12,Table1[[#This Row],[Lifespan]])</f>
        <v>12</v>
      </c>
      <c r="F379" s="1" t="s">
        <v>84</v>
      </c>
      <c r="G379" s="1" t="str">
        <f t="shared" si="10"/>
        <v>12</v>
      </c>
      <c r="H379" s="1" t="str">
        <f t="shared" si="11"/>
        <v>lbs</v>
      </c>
      <c r="I379" s="1" t="str">
        <f>IF(Table1[[#This Row],[Lifespan (Years)]]&lt;25, "&lt;25", IF(Table1[[#This Row],[Lifespan (Years)]]&lt;50, "25-49", IF(Table1[[#This Row],[Lifespan (Years)]]&lt;75, "50-74", IF(Table1[[#This Row],[Lifespan (Years)]]&lt;100, "75-99", "&gt;=100"))))</f>
        <v>&lt;25</v>
      </c>
      <c r="J379" s="14">
        <f>IF(Table1[[#This Row],[Weight Unit]]="oz",Table1[[#This Row],[Weight (Digits)]]/16, Table1[[#This Row],[Weight (Digits)]]/1)</f>
        <v>12</v>
      </c>
      <c r="K37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79" s="1" t="s">
        <v>725</v>
      </c>
      <c r="M379" s="1" t="str">
        <f>IF(COUNTIF(Table2[Animal],Table1[[#This Row],[Animal]]) = 1, "Previous Participant", "New Participant")</f>
        <v>Previous Participant</v>
      </c>
      <c r="N379" s="1" t="str">
        <f>_xlfn.XLOOKUP(Table1[[#This Row],[Region]],'Support - Tables'!$B$3:$B$10,'Support - Tables'!$D$3:$D$10,"Not Found",0)</f>
        <v>Air</v>
      </c>
      <c r="O379" s="6">
        <f>_xlfn.XLOOKUP(Table1[[#This Row],[Region]],'Support - Tables'!$B$3:$B$10,'Support - Tables'!$C$3:$C$10, "Not Found",0)</f>
        <v>600</v>
      </c>
      <c r="P379" s="6">
        <f>_xlfn.XLOOKUP(Table1[[#This Row],[Diet]],'Support - Tables'!$B$14:$B$16,'Support - Tables'!$C$14:$C$16, "Not Found", 0)</f>
        <v>400</v>
      </c>
      <c r="Q379" s="6">
        <f>Table1[[#This Row],[Revenue]]-Table1[[#This Row],[Cost]]</f>
        <v>200</v>
      </c>
      <c r="R379" s="6">
        <f>COUNTBLANK(Table1[[#This Row],[Diet]:[Region]])</f>
        <v>0</v>
      </c>
      <c r="S379" s="6"/>
      <c r="T379" s="6"/>
    </row>
    <row r="380" spans="1:20" x14ac:dyDescent="0.25">
      <c r="A380" s="2" t="s">
        <v>438</v>
      </c>
      <c r="B380" s="1" t="s">
        <v>13</v>
      </c>
      <c r="C380" s="1">
        <v>4</v>
      </c>
      <c r="D380" s="1" t="s">
        <v>706</v>
      </c>
      <c r="E380" s="1">
        <f>IF(Table1[[#This Row],[Lifespan Unit]]="months", Table1[[#This Row],[Lifespan]]/12,Table1[[#This Row],[Lifespan]])</f>
        <v>4</v>
      </c>
      <c r="F380" s="1" t="s">
        <v>573</v>
      </c>
      <c r="G380" s="1" t="str">
        <f t="shared" si="10"/>
        <v/>
      </c>
      <c r="H380" s="1" t="str">
        <f t="shared" si="11"/>
        <v/>
      </c>
      <c r="I380" s="1" t="str">
        <f>IF(Table1[[#This Row],[Lifespan (Years)]]&lt;25, "&lt;25", IF(Table1[[#This Row],[Lifespan (Years)]]&lt;50, "25-49", IF(Table1[[#This Row],[Lifespan (Years)]]&lt;75, "50-74", IF(Table1[[#This Row],[Lifespan (Years)]]&lt;100, "75-99", "&gt;=100"))))</f>
        <v>&lt;25</v>
      </c>
      <c r="J380" s="14">
        <v>0</v>
      </c>
      <c r="K38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380" s="1" t="s">
        <v>724</v>
      </c>
      <c r="M380" s="1" t="str">
        <f>IF(COUNTIF(Table2[Animal],Table1[[#This Row],[Animal]]) = 1, "Previous Participant", "New Participant")</f>
        <v>Previous Participant</v>
      </c>
      <c r="N380" s="1" t="str">
        <f>_xlfn.XLOOKUP(Table1[[#This Row],[Region]],'Support - Tables'!$B$3:$B$10,'Support - Tables'!$D$3:$D$10,"Not Found",0)</f>
        <v>Road</v>
      </c>
      <c r="O380" s="6">
        <f>_xlfn.XLOOKUP(Table1[[#This Row],[Region]],'Support - Tables'!$B$3:$B$10,'Support - Tables'!$C$3:$C$10, "Not Found",0)</f>
        <v>450</v>
      </c>
      <c r="P380" s="6">
        <f>_xlfn.XLOOKUP(Table1[[#This Row],[Diet]],'Support - Tables'!$B$14:$B$16,'Support - Tables'!$C$14:$C$16, "Not Found", 0)</f>
        <v>400</v>
      </c>
      <c r="Q380" s="6">
        <f>Table1[[#This Row],[Revenue]]-Table1[[#This Row],[Cost]]</f>
        <v>50</v>
      </c>
      <c r="R380" s="6">
        <f>COUNTBLANK(Table1[[#This Row],[Diet]:[Region]])</f>
        <v>3</v>
      </c>
      <c r="S380" s="6"/>
      <c r="T380" s="6"/>
    </row>
    <row r="381" spans="1:20" x14ac:dyDescent="0.25">
      <c r="A381" s="2" t="s">
        <v>439</v>
      </c>
      <c r="B381" s="1" t="s">
        <v>13</v>
      </c>
      <c r="C381" s="1">
        <v>20</v>
      </c>
      <c r="D381" s="1" t="s">
        <v>706</v>
      </c>
      <c r="E381" s="1">
        <f>IF(Table1[[#This Row],[Lifespan Unit]]="months", Table1[[#This Row],[Lifespan]]/12,Table1[[#This Row],[Lifespan]])</f>
        <v>20</v>
      </c>
      <c r="F381" s="1" t="s">
        <v>606</v>
      </c>
      <c r="G381" s="1" t="str">
        <f t="shared" si="10"/>
        <v>15</v>
      </c>
      <c r="H381" s="1" t="str">
        <f t="shared" si="11"/>
        <v>lbs</v>
      </c>
      <c r="I381" s="1" t="str">
        <f>IF(Table1[[#This Row],[Lifespan (Years)]]&lt;25, "&lt;25", IF(Table1[[#This Row],[Lifespan (Years)]]&lt;50, "25-49", IF(Table1[[#This Row],[Lifespan (Years)]]&lt;75, "50-74", IF(Table1[[#This Row],[Lifespan (Years)]]&lt;100, "75-99", "&gt;=100"))))</f>
        <v>&lt;25</v>
      </c>
      <c r="J381" s="14">
        <f>IF(Table1[[#This Row],[Weight Unit]]="oz",Table1[[#This Row],[Weight (Digits)]]/16, Table1[[#This Row],[Weight (Digits)]]/1)</f>
        <v>15</v>
      </c>
      <c r="K38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81" s="1" t="s">
        <v>5</v>
      </c>
      <c r="M381" s="1" t="str">
        <f>IF(COUNTIF(Table2[Animal],Table1[[#This Row],[Animal]]) = 1, "Previous Participant", "New Participant")</f>
        <v>Previous Participant</v>
      </c>
      <c r="N381" s="1" t="str">
        <f>_xlfn.XLOOKUP(Table1[[#This Row],[Region]],'Support - Tables'!$B$3:$B$10,'Support - Tables'!$D$3:$D$10,"Not Found",0)</f>
        <v>Boat</v>
      </c>
      <c r="O381" s="6">
        <f>_xlfn.XLOOKUP(Table1[[#This Row],[Region]],'Support - Tables'!$B$3:$B$10,'Support - Tables'!$C$3:$C$10, "Not Found",0)</f>
        <v>400</v>
      </c>
      <c r="P381" s="6">
        <f>_xlfn.XLOOKUP(Table1[[#This Row],[Diet]],'Support - Tables'!$B$14:$B$16,'Support - Tables'!$C$14:$C$16, "Not Found", 0)</f>
        <v>400</v>
      </c>
      <c r="Q381" s="6">
        <f>Table1[[#This Row],[Revenue]]-Table1[[#This Row],[Cost]]</f>
        <v>0</v>
      </c>
      <c r="R381" s="6">
        <f>COUNTBLANK(Table1[[#This Row],[Diet]:[Region]])</f>
        <v>0</v>
      </c>
      <c r="S381" s="6"/>
      <c r="T381" s="6"/>
    </row>
    <row r="382" spans="1:20" x14ac:dyDescent="0.25">
      <c r="A382" s="2" t="s">
        <v>440</v>
      </c>
      <c r="B382" s="1" t="s">
        <v>13</v>
      </c>
      <c r="C382" s="1">
        <v>8</v>
      </c>
      <c r="D382" s="1" t="s">
        <v>706</v>
      </c>
      <c r="E382" s="1">
        <f>IF(Table1[[#This Row],[Lifespan Unit]]="months", Table1[[#This Row],[Lifespan]]/12,Table1[[#This Row],[Lifespan]])</f>
        <v>8</v>
      </c>
      <c r="F382" s="1" t="s">
        <v>573</v>
      </c>
      <c r="G382" s="1" t="str">
        <f t="shared" si="10"/>
        <v/>
      </c>
      <c r="H382" s="1" t="str">
        <f t="shared" si="11"/>
        <v/>
      </c>
      <c r="I382" s="1" t="str">
        <f>IF(Table1[[#This Row],[Lifespan (Years)]]&lt;25, "&lt;25", IF(Table1[[#This Row],[Lifespan (Years)]]&lt;50, "25-49", IF(Table1[[#This Row],[Lifespan (Years)]]&lt;75, "50-74", IF(Table1[[#This Row],[Lifespan (Years)]]&lt;100, "75-99", "&gt;=100"))))</f>
        <v>&lt;25</v>
      </c>
      <c r="J382" s="14">
        <v>0</v>
      </c>
      <c r="K38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382" s="1" t="s">
        <v>2</v>
      </c>
      <c r="M382" s="1" t="str">
        <f>IF(COUNTIF(Table2[Animal],Table1[[#This Row],[Animal]]) = 1, "Previous Participant", "New Participant")</f>
        <v>Previous Participant</v>
      </c>
      <c r="N382" s="1" t="str">
        <f>_xlfn.XLOOKUP(Table1[[#This Row],[Region]],'Support - Tables'!$B$3:$B$10,'Support - Tables'!$D$3:$D$10,"Not Found",0)</f>
        <v>Air</v>
      </c>
      <c r="O382" s="6">
        <f>_xlfn.XLOOKUP(Table1[[#This Row],[Region]],'Support - Tables'!$B$3:$B$10,'Support - Tables'!$C$3:$C$10, "Not Found",0)</f>
        <v>600</v>
      </c>
      <c r="P382" s="6">
        <f>_xlfn.XLOOKUP(Table1[[#This Row],[Diet]],'Support - Tables'!$B$14:$B$16,'Support - Tables'!$C$14:$C$16, "Not Found", 0)</f>
        <v>400</v>
      </c>
      <c r="Q382" s="6">
        <f>Table1[[#This Row],[Revenue]]-Table1[[#This Row],[Cost]]</f>
        <v>200</v>
      </c>
      <c r="R382" s="6">
        <f>COUNTBLANK(Table1[[#This Row],[Diet]:[Region]])</f>
        <v>3</v>
      </c>
      <c r="S382" s="6"/>
      <c r="T382" s="6"/>
    </row>
    <row r="383" spans="1:20" x14ac:dyDescent="0.25">
      <c r="A383" s="2" t="s">
        <v>441</v>
      </c>
      <c r="B383" s="1" t="s">
        <v>15</v>
      </c>
      <c r="C383" s="1">
        <v>30</v>
      </c>
      <c r="D383" s="1" t="s">
        <v>706</v>
      </c>
      <c r="E383" s="1">
        <f>IF(Table1[[#This Row],[Lifespan Unit]]="months", Table1[[#This Row],[Lifespan]]/12,Table1[[#This Row],[Lifespan]])</f>
        <v>30</v>
      </c>
      <c r="F383" s="1" t="s">
        <v>667</v>
      </c>
      <c r="G383" s="1" t="str">
        <f t="shared" si="10"/>
        <v>13</v>
      </c>
      <c r="H383" s="1" t="str">
        <f t="shared" si="11"/>
        <v>oz</v>
      </c>
      <c r="I383" s="1" t="str">
        <f>IF(Table1[[#This Row],[Lifespan (Years)]]&lt;25, "&lt;25", IF(Table1[[#This Row],[Lifespan (Years)]]&lt;50, "25-49", IF(Table1[[#This Row],[Lifespan (Years)]]&lt;75, "50-74", IF(Table1[[#This Row],[Lifespan (Years)]]&lt;100, "75-99", "&gt;=100"))))</f>
        <v>25-49</v>
      </c>
      <c r="J383" s="14">
        <f>IF(Table1[[#This Row],[Weight Unit]]="oz",Table1[[#This Row],[Weight (Digits)]]/16, Table1[[#This Row],[Weight (Digits)]]/1)</f>
        <v>0.8125</v>
      </c>
      <c r="K38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83" s="1" t="s">
        <v>725</v>
      </c>
      <c r="M383" s="1" t="str">
        <f>IF(COUNTIF(Table2[Animal],Table1[[#This Row],[Animal]]) = 1, "Previous Participant", "New Participant")</f>
        <v>Previous Participant</v>
      </c>
      <c r="N383" s="1" t="str">
        <f>_xlfn.XLOOKUP(Table1[[#This Row],[Region]],'Support - Tables'!$B$3:$B$10,'Support - Tables'!$D$3:$D$10,"Not Found",0)</f>
        <v>Air</v>
      </c>
      <c r="O383" s="6">
        <f>_xlfn.XLOOKUP(Table1[[#This Row],[Region]],'Support - Tables'!$B$3:$B$10,'Support - Tables'!$C$3:$C$10, "Not Found",0)</f>
        <v>600</v>
      </c>
      <c r="P383" s="6">
        <f>_xlfn.XLOOKUP(Table1[[#This Row],[Diet]],'Support - Tables'!$B$14:$B$16,'Support - Tables'!$C$14:$C$16, "Not Found", 0)</f>
        <v>500</v>
      </c>
      <c r="Q383" s="6">
        <f>Table1[[#This Row],[Revenue]]-Table1[[#This Row],[Cost]]</f>
        <v>100</v>
      </c>
      <c r="R383" s="6">
        <f>COUNTBLANK(Table1[[#This Row],[Diet]:[Region]])</f>
        <v>0</v>
      </c>
      <c r="S383" s="6"/>
      <c r="T383" s="6"/>
    </row>
    <row r="384" spans="1:20" x14ac:dyDescent="0.25">
      <c r="A384" s="2" t="s">
        <v>442</v>
      </c>
      <c r="B384" s="1" t="s">
        <v>13</v>
      </c>
      <c r="C384" s="1">
        <v>14</v>
      </c>
      <c r="D384" s="1" t="s">
        <v>706</v>
      </c>
      <c r="E384" s="1">
        <f>IF(Table1[[#This Row],[Lifespan Unit]]="months", Table1[[#This Row],[Lifespan]]/12,Table1[[#This Row],[Lifespan]])</f>
        <v>14</v>
      </c>
      <c r="F384" s="1" t="s">
        <v>108</v>
      </c>
      <c r="G384" s="1" t="str">
        <f t="shared" si="10"/>
        <v>18</v>
      </c>
      <c r="H384" s="1" t="str">
        <f t="shared" si="11"/>
        <v>lbs</v>
      </c>
      <c r="I384" s="1" t="str">
        <f>IF(Table1[[#This Row],[Lifespan (Years)]]&lt;25, "&lt;25", IF(Table1[[#This Row],[Lifespan (Years)]]&lt;50, "25-49", IF(Table1[[#This Row],[Lifespan (Years)]]&lt;75, "50-74", IF(Table1[[#This Row],[Lifespan (Years)]]&lt;100, "75-99", "&gt;=100"))))</f>
        <v>&lt;25</v>
      </c>
      <c r="J384" s="14">
        <f>IF(Table1[[#This Row],[Weight Unit]]="oz",Table1[[#This Row],[Weight (Digits)]]/16, Table1[[#This Row],[Weight (Digits)]]/1)</f>
        <v>18</v>
      </c>
      <c r="K38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84" s="1" t="s">
        <v>724</v>
      </c>
      <c r="M384" s="1" t="str">
        <f>IF(COUNTIF(Table2[Animal],Table1[[#This Row],[Animal]]) = 1, "Previous Participant", "New Participant")</f>
        <v>Previous Participant</v>
      </c>
      <c r="N384" s="1" t="str">
        <f>_xlfn.XLOOKUP(Table1[[#This Row],[Region]],'Support - Tables'!$B$3:$B$10,'Support - Tables'!$D$3:$D$10,"Not Found",0)</f>
        <v>Road</v>
      </c>
      <c r="O384" s="6">
        <f>_xlfn.XLOOKUP(Table1[[#This Row],[Region]],'Support - Tables'!$B$3:$B$10,'Support - Tables'!$C$3:$C$10, "Not Found",0)</f>
        <v>450</v>
      </c>
      <c r="P384" s="6">
        <f>_xlfn.XLOOKUP(Table1[[#This Row],[Diet]],'Support - Tables'!$B$14:$B$16,'Support - Tables'!$C$14:$C$16, "Not Found", 0)</f>
        <v>400</v>
      </c>
      <c r="Q384" s="6">
        <f>Table1[[#This Row],[Revenue]]-Table1[[#This Row],[Cost]]</f>
        <v>50</v>
      </c>
      <c r="R384" s="6">
        <f>COUNTBLANK(Table1[[#This Row],[Diet]:[Region]])</f>
        <v>0</v>
      </c>
      <c r="S384" s="6"/>
      <c r="T384" s="6"/>
    </row>
    <row r="385" spans="1:20" x14ac:dyDescent="0.25">
      <c r="A385" s="2" t="s">
        <v>443</v>
      </c>
      <c r="B385" s="1" t="s">
        <v>15</v>
      </c>
      <c r="C385" s="1">
        <v>15</v>
      </c>
      <c r="D385" s="1" t="s">
        <v>706</v>
      </c>
      <c r="E385" s="1">
        <f>IF(Table1[[#This Row],[Lifespan Unit]]="months", Table1[[#This Row],[Lifespan]]/12,Table1[[#This Row],[Lifespan]])</f>
        <v>15</v>
      </c>
      <c r="F385" s="1" t="s">
        <v>668</v>
      </c>
      <c r="G385" s="1" t="str">
        <f t="shared" si="10"/>
        <v>148</v>
      </c>
      <c r="H385" s="1" t="str">
        <f t="shared" si="11"/>
        <v>lbs</v>
      </c>
      <c r="I385" s="1" t="str">
        <f>IF(Table1[[#This Row],[Lifespan (Years)]]&lt;25, "&lt;25", IF(Table1[[#This Row],[Lifespan (Years)]]&lt;50, "25-49", IF(Table1[[#This Row],[Lifespan (Years)]]&lt;75, "50-74", IF(Table1[[#This Row],[Lifespan (Years)]]&lt;100, "75-99", "&gt;=100"))))</f>
        <v>&lt;25</v>
      </c>
      <c r="J385" s="14">
        <f>IF(Table1[[#This Row],[Weight Unit]]="oz",Table1[[#This Row],[Weight (Digits)]]/16, Table1[[#This Row],[Weight (Digits)]]/1)</f>
        <v>148</v>
      </c>
      <c r="K38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385" s="1" t="s">
        <v>1</v>
      </c>
      <c r="M385" s="1" t="str">
        <f>IF(COUNTIF(Table2[Animal],Table1[[#This Row],[Animal]]) = 1, "Previous Participant", "New Participant")</f>
        <v>Previous Participant</v>
      </c>
      <c r="N385" s="1" t="str">
        <f>_xlfn.XLOOKUP(Table1[[#This Row],[Region]],'Support - Tables'!$B$3:$B$10,'Support - Tables'!$D$3:$D$10,"Not Found",0)</f>
        <v>Air</v>
      </c>
      <c r="O385" s="6">
        <f>_xlfn.XLOOKUP(Table1[[#This Row],[Region]],'Support - Tables'!$B$3:$B$10,'Support - Tables'!$C$3:$C$10, "Not Found",0)</f>
        <v>700</v>
      </c>
      <c r="P385" s="6">
        <f>_xlfn.XLOOKUP(Table1[[#This Row],[Diet]],'Support - Tables'!$B$14:$B$16,'Support - Tables'!$C$14:$C$16, "Not Found", 0)</f>
        <v>500</v>
      </c>
      <c r="Q385" s="6">
        <f>Table1[[#This Row],[Revenue]]-Table1[[#This Row],[Cost]]</f>
        <v>200</v>
      </c>
      <c r="R385" s="6">
        <f>COUNTBLANK(Table1[[#This Row],[Diet]:[Region]])</f>
        <v>0</v>
      </c>
      <c r="S385" s="6"/>
      <c r="T385" s="6"/>
    </row>
    <row r="386" spans="1:20" x14ac:dyDescent="0.25">
      <c r="A386" s="2" t="s">
        <v>444</v>
      </c>
      <c r="B386" s="1" t="s">
        <v>13</v>
      </c>
      <c r="C386" s="1">
        <v>6</v>
      </c>
      <c r="D386" s="1" t="s">
        <v>707</v>
      </c>
      <c r="E386" s="1">
        <f>IF(Table1[[#This Row],[Lifespan Unit]]="months", Table1[[#This Row],[Lifespan]]/12,Table1[[#This Row],[Lifespan]])</f>
        <v>0.5</v>
      </c>
      <c r="F386" s="1" t="s">
        <v>573</v>
      </c>
      <c r="G386" s="1" t="str">
        <f t="shared" ref="G386:G449" si="12">SUBSTITUTE(F386,IF(ISNUMBER(SEARCH("lbs", F386)),RIGHT(F386, 3), RIGHT(F386, 2)),"")</f>
        <v/>
      </c>
      <c r="H386" s="1" t="str">
        <f t="shared" ref="H386:H449" si="13">IF(ISNUMBER(SEARCH("lbs", F386)),RIGHT(F386, 3), RIGHT(F386, 2))</f>
        <v/>
      </c>
      <c r="I386" s="1" t="str">
        <f>IF(Table1[[#This Row],[Lifespan (Years)]]&lt;25, "&lt;25", IF(Table1[[#This Row],[Lifespan (Years)]]&lt;50, "25-49", IF(Table1[[#This Row],[Lifespan (Years)]]&lt;75, "50-74", IF(Table1[[#This Row],[Lifespan (Years)]]&lt;100, "75-99", "&gt;=100"))))</f>
        <v>&lt;25</v>
      </c>
      <c r="J386" s="14">
        <v>0</v>
      </c>
      <c r="K38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386" s="1" t="s">
        <v>5</v>
      </c>
      <c r="M386" s="1" t="str">
        <f>IF(COUNTIF(Table2[Animal],Table1[[#This Row],[Animal]]) = 1, "Previous Participant", "New Participant")</f>
        <v>Previous Participant</v>
      </c>
      <c r="N386" s="1" t="str">
        <f>_xlfn.XLOOKUP(Table1[[#This Row],[Region]],'Support - Tables'!$B$3:$B$10,'Support - Tables'!$D$3:$D$10,"Not Found",0)</f>
        <v>Boat</v>
      </c>
      <c r="O386" s="6">
        <f>_xlfn.XLOOKUP(Table1[[#This Row],[Region]],'Support - Tables'!$B$3:$B$10,'Support - Tables'!$C$3:$C$10, "Not Found",0)</f>
        <v>400</v>
      </c>
      <c r="P386" s="6">
        <f>_xlfn.XLOOKUP(Table1[[#This Row],[Diet]],'Support - Tables'!$B$14:$B$16,'Support - Tables'!$C$14:$C$16, "Not Found", 0)</f>
        <v>400</v>
      </c>
      <c r="Q386" s="6">
        <f>Table1[[#This Row],[Revenue]]-Table1[[#This Row],[Cost]]</f>
        <v>0</v>
      </c>
      <c r="R386" s="6">
        <f>COUNTBLANK(Table1[[#This Row],[Diet]:[Region]])</f>
        <v>3</v>
      </c>
      <c r="S386" s="6"/>
      <c r="T386" s="6"/>
    </row>
    <row r="387" spans="1:20" x14ac:dyDescent="0.25">
      <c r="A387" s="2" t="s">
        <v>445</v>
      </c>
      <c r="B387" s="1" t="s">
        <v>13</v>
      </c>
      <c r="C387" s="1">
        <v>5</v>
      </c>
      <c r="D387" s="1" t="s">
        <v>707</v>
      </c>
      <c r="E387" s="1">
        <f>IF(Table1[[#This Row],[Lifespan Unit]]="months", Table1[[#This Row],[Lifespan]]/12,Table1[[#This Row],[Lifespan]])</f>
        <v>0.41666666666666669</v>
      </c>
      <c r="F387" s="1" t="s">
        <v>573</v>
      </c>
      <c r="G387" s="1" t="str">
        <f t="shared" si="12"/>
        <v/>
      </c>
      <c r="H387" s="1" t="str">
        <f t="shared" si="13"/>
        <v/>
      </c>
      <c r="I387" s="1" t="str">
        <f>IF(Table1[[#This Row],[Lifespan (Years)]]&lt;25, "&lt;25", IF(Table1[[#This Row],[Lifespan (Years)]]&lt;50, "25-49", IF(Table1[[#This Row],[Lifespan (Years)]]&lt;75, "50-74", IF(Table1[[#This Row],[Lifespan (Years)]]&lt;100, "75-99", "&gt;=100"))))</f>
        <v>&lt;25</v>
      </c>
      <c r="J387" s="14">
        <v>0</v>
      </c>
      <c r="K38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387" s="1" t="s">
        <v>5</v>
      </c>
      <c r="M387" s="1" t="str">
        <f>IF(COUNTIF(Table2[Animal],Table1[[#This Row],[Animal]]) = 1, "Previous Participant", "New Participant")</f>
        <v>Previous Participant</v>
      </c>
      <c r="N387" s="1" t="str">
        <f>_xlfn.XLOOKUP(Table1[[#This Row],[Region]],'Support - Tables'!$B$3:$B$10,'Support - Tables'!$D$3:$D$10,"Not Found",0)</f>
        <v>Boat</v>
      </c>
      <c r="O387" s="6">
        <f>_xlfn.XLOOKUP(Table1[[#This Row],[Region]],'Support - Tables'!$B$3:$B$10,'Support - Tables'!$C$3:$C$10, "Not Found",0)</f>
        <v>400</v>
      </c>
      <c r="P387" s="6">
        <f>_xlfn.XLOOKUP(Table1[[#This Row],[Diet]],'Support - Tables'!$B$14:$B$16,'Support - Tables'!$C$14:$C$16, "Not Found", 0)</f>
        <v>400</v>
      </c>
      <c r="Q387" s="6">
        <f>Table1[[#This Row],[Revenue]]-Table1[[#This Row],[Cost]]</f>
        <v>0</v>
      </c>
      <c r="R387" s="6">
        <f>COUNTBLANK(Table1[[#This Row],[Diet]:[Region]])</f>
        <v>3</v>
      </c>
      <c r="S387" s="6"/>
      <c r="T387" s="6"/>
    </row>
    <row r="388" spans="1:20" x14ac:dyDescent="0.25">
      <c r="A388" s="2" t="s">
        <v>446</v>
      </c>
      <c r="B388" s="1" t="s">
        <v>23</v>
      </c>
      <c r="C388" s="1">
        <v>40</v>
      </c>
      <c r="D388" s="1" t="s">
        <v>706</v>
      </c>
      <c r="E388" s="1">
        <f>IF(Table1[[#This Row],[Lifespan Unit]]="months", Table1[[#This Row],[Lifespan]]/12,Table1[[#This Row],[Lifespan]])</f>
        <v>40</v>
      </c>
      <c r="F388" s="1" t="s">
        <v>669</v>
      </c>
      <c r="G388" s="1" t="str">
        <f t="shared" si="12"/>
        <v>350</v>
      </c>
      <c r="H388" s="1" t="str">
        <f t="shared" si="13"/>
        <v>lbs</v>
      </c>
      <c r="I388" s="1" t="str">
        <f>IF(Table1[[#This Row],[Lifespan (Years)]]&lt;25, "&lt;25", IF(Table1[[#This Row],[Lifespan (Years)]]&lt;50, "25-49", IF(Table1[[#This Row],[Lifespan (Years)]]&lt;75, "50-74", IF(Table1[[#This Row],[Lifespan (Years)]]&lt;100, "75-99", "&gt;=100"))))</f>
        <v>25-49</v>
      </c>
      <c r="J388" s="14">
        <f>IF(Table1[[#This Row],[Weight Unit]]="oz",Table1[[#This Row],[Weight (Digits)]]/16, Table1[[#This Row],[Weight (Digits)]]/1)</f>
        <v>350</v>
      </c>
      <c r="K38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300-399</v>
      </c>
      <c r="L388" s="1" t="s">
        <v>725</v>
      </c>
      <c r="M388" s="1" t="str">
        <f>IF(COUNTIF(Table2[Animal],Table1[[#This Row],[Animal]]) = 1, "Previous Participant", "New Participant")</f>
        <v>Previous Participant</v>
      </c>
      <c r="N388" s="1" t="str">
        <f>_xlfn.XLOOKUP(Table1[[#This Row],[Region]],'Support - Tables'!$B$3:$B$10,'Support - Tables'!$D$3:$D$10,"Not Found",0)</f>
        <v>Air</v>
      </c>
      <c r="O388" s="6">
        <f>_xlfn.XLOOKUP(Table1[[#This Row],[Region]],'Support - Tables'!$B$3:$B$10,'Support - Tables'!$C$3:$C$10, "Not Found",0)</f>
        <v>600</v>
      </c>
      <c r="P388" s="6">
        <f>_xlfn.XLOOKUP(Table1[[#This Row],[Diet]],'Support - Tables'!$B$14:$B$16,'Support - Tables'!$C$14:$C$16, "Not Found", 0)</f>
        <v>300</v>
      </c>
      <c r="Q388" s="6">
        <f>Table1[[#This Row],[Revenue]]-Table1[[#This Row],[Cost]]</f>
        <v>300</v>
      </c>
      <c r="R388" s="6">
        <f>COUNTBLANK(Table1[[#This Row],[Diet]:[Region]])</f>
        <v>0</v>
      </c>
      <c r="S388" s="6"/>
      <c r="T388" s="6"/>
    </row>
    <row r="389" spans="1:20" x14ac:dyDescent="0.25">
      <c r="A389" s="2" t="s">
        <v>447</v>
      </c>
      <c r="B389" s="1" t="s">
        <v>13</v>
      </c>
      <c r="C389" s="1">
        <v>12</v>
      </c>
      <c r="D389" s="1" t="s">
        <v>706</v>
      </c>
      <c r="E389" s="1">
        <f>IF(Table1[[#This Row],[Lifespan Unit]]="months", Table1[[#This Row],[Lifespan]]/12,Table1[[#This Row],[Lifespan]])</f>
        <v>12</v>
      </c>
      <c r="F389" s="1" t="s">
        <v>670</v>
      </c>
      <c r="G389" s="1" t="str">
        <f t="shared" si="12"/>
        <v>4.2</v>
      </c>
      <c r="H389" s="1" t="str">
        <f t="shared" si="13"/>
        <v>lbs</v>
      </c>
      <c r="I389" s="1" t="str">
        <f>IF(Table1[[#This Row],[Lifespan (Years)]]&lt;25, "&lt;25", IF(Table1[[#This Row],[Lifespan (Years)]]&lt;50, "25-49", IF(Table1[[#This Row],[Lifespan (Years)]]&lt;75, "50-74", IF(Table1[[#This Row],[Lifespan (Years)]]&lt;100, "75-99", "&gt;=100"))))</f>
        <v>&lt;25</v>
      </c>
      <c r="J389" s="14">
        <f>IF(Table1[[#This Row],[Weight Unit]]="oz",Table1[[#This Row],[Weight (Digits)]]/16, Table1[[#This Row],[Weight (Digits)]]/1)</f>
        <v>4.2</v>
      </c>
      <c r="K38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89" s="1" t="s">
        <v>5</v>
      </c>
      <c r="M389" s="1" t="str">
        <f>IF(COUNTIF(Table2[Animal],Table1[[#This Row],[Animal]]) = 1, "Previous Participant", "New Participant")</f>
        <v>New Participant</v>
      </c>
      <c r="N389" s="1" t="str">
        <f>_xlfn.XLOOKUP(Table1[[#This Row],[Region]],'Support - Tables'!$B$3:$B$10,'Support - Tables'!$D$3:$D$10,"Not Found",0)</f>
        <v>Boat</v>
      </c>
      <c r="O389" s="6">
        <f>_xlfn.XLOOKUP(Table1[[#This Row],[Region]],'Support - Tables'!$B$3:$B$10,'Support - Tables'!$C$3:$C$10, "Not Found",0)</f>
        <v>400</v>
      </c>
      <c r="P389" s="6">
        <f>_xlfn.XLOOKUP(Table1[[#This Row],[Diet]],'Support - Tables'!$B$14:$B$16,'Support - Tables'!$C$14:$C$16, "Not Found", 0)</f>
        <v>400</v>
      </c>
      <c r="Q389" s="6">
        <f>Table1[[#This Row],[Revenue]]-Table1[[#This Row],[Cost]]</f>
        <v>0</v>
      </c>
      <c r="R389" s="6">
        <f>COUNTBLANK(Table1[[#This Row],[Diet]:[Region]])</f>
        <v>0</v>
      </c>
      <c r="S389" s="6"/>
      <c r="T389" s="6"/>
    </row>
    <row r="390" spans="1:20" x14ac:dyDescent="0.25">
      <c r="A390" s="2" t="s">
        <v>448</v>
      </c>
      <c r="B390" s="1" t="s">
        <v>13</v>
      </c>
      <c r="C390" s="1">
        <v>5</v>
      </c>
      <c r="D390" s="1" t="s">
        <v>706</v>
      </c>
      <c r="E390" s="1">
        <f>IF(Table1[[#This Row],[Lifespan Unit]]="months", Table1[[#This Row],[Lifespan]]/12,Table1[[#This Row],[Lifespan]])</f>
        <v>5</v>
      </c>
      <c r="F390" s="1" t="s">
        <v>671</v>
      </c>
      <c r="G390" s="1" t="str">
        <f t="shared" si="12"/>
        <v>2.4</v>
      </c>
      <c r="H390" s="1" t="str">
        <f t="shared" si="13"/>
        <v>oz</v>
      </c>
      <c r="I390" s="1" t="str">
        <f>IF(Table1[[#This Row],[Lifespan (Years)]]&lt;25, "&lt;25", IF(Table1[[#This Row],[Lifespan (Years)]]&lt;50, "25-49", IF(Table1[[#This Row],[Lifespan (Years)]]&lt;75, "50-74", IF(Table1[[#This Row],[Lifespan (Years)]]&lt;100, "75-99", "&gt;=100"))))</f>
        <v>&lt;25</v>
      </c>
      <c r="J390" s="14">
        <f>IF(Table1[[#This Row],[Weight Unit]]="oz",Table1[[#This Row],[Weight (Digits)]]/16, Table1[[#This Row],[Weight (Digits)]]/1)</f>
        <v>0.15</v>
      </c>
      <c r="K39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90" s="1" t="s">
        <v>1</v>
      </c>
      <c r="M390" s="1" t="str">
        <f>IF(COUNTIF(Table2[Animal],Table1[[#This Row],[Animal]]) = 1, "Previous Participant", "New Participant")</f>
        <v>Previous Participant</v>
      </c>
      <c r="N390" s="1" t="str">
        <f>_xlfn.XLOOKUP(Table1[[#This Row],[Region]],'Support - Tables'!$B$3:$B$10,'Support - Tables'!$D$3:$D$10,"Not Found",0)</f>
        <v>Air</v>
      </c>
      <c r="O390" s="6">
        <f>_xlfn.XLOOKUP(Table1[[#This Row],[Region]],'Support - Tables'!$B$3:$B$10,'Support - Tables'!$C$3:$C$10, "Not Found",0)</f>
        <v>700</v>
      </c>
      <c r="P390" s="6">
        <f>_xlfn.XLOOKUP(Table1[[#This Row],[Diet]],'Support - Tables'!$B$14:$B$16,'Support - Tables'!$C$14:$C$16, "Not Found", 0)</f>
        <v>400</v>
      </c>
      <c r="Q390" s="6">
        <f>Table1[[#This Row],[Revenue]]-Table1[[#This Row],[Cost]]</f>
        <v>300</v>
      </c>
      <c r="R390" s="6">
        <f>COUNTBLANK(Table1[[#This Row],[Diet]:[Region]])</f>
        <v>0</v>
      </c>
      <c r="S390" s="6"/>
      <c r="T390" s="6"/>
    </row>
    <row r="391" spans="1:20" x14ac:dyDescent="0.25">
      <c r="A391" s="2" t="s">
        <v>449</v>
      </c>
      <c r="B391" s="1" t="s">
        <v>13</v>
      </c>
      <c r="C391" s="1">
        <v>25</v>
      </c>
      <c r="D391" s="1" t="s">
        <v>706</v>
      </c>
      <c r="E391" s="1">
        <f>IF(Table1[[#This Row],[Lifespan Unit]]="months", Table1[[#This Row],[Lifespan]]/12,Table1[[#This Row],[Lifespan]])</f>
        <v>25</v>
      </c>
      <c r="F391" s="1" t="s">
        <v>633</v>
      </c>
      <c r="G391" s="1" t="str">
        <f t="shared" si="12"/>
        <v>7</v>
      </c>
      <c r="H391" s="1" t="str">
        <f t="shared" si="13"/>
        <v>oz</v>
      </c>
      <c r="I391" s="1" t="str">
        <f>IF(Table1[[#This Row],[Lifespan (Years)]]&lt;25, "&lt;25", IF(Table1[[#This Row],[Lifespan (Years)]]&lt;50, "25-49", IF(Table1[[#This Row],[Lifespan (Years)]]&lt;75, "50-74", IF(Table1[[#This Row],[Lifespan (Years)]]&lt;100, "75-99", "&gt;=100"))))</f>
        <v>25-49</v>
      </c>
      <c r="J391" s="14">
        <f>IF(Table1[[#This Row],[Weight Unit]]="oz",Table1[[#This Row],[Weight (Digits)]]/16, Table1[[#This Row],[Weight (Digits)]]/1)</f>
        <v>0.4375</v>
      </c>
      <c r="K39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91" s="1" t="s">
        <v>724</v>
      </c>
      <c r="M391" s="1" t="str">
        <f>IF(COUNTIF(Table2[Animal],Table1[[#This Row],[Animal]]) = 1, "Previous Participant", "New Participant")</f>
        <v>Previous Participant</v>
      </c>
      <c r="N391" s="1" t="str">
        <f>_xlfn.XLOOKUP(Table1[[#This Row],[Region]],'Support - Tables'!$B$3:$B$10,'Support - Tables'!$D$3:$D$10,"Not Found",0)</f>
        <v>Road</v>
      </c>
      <c r="O391" s="6">
        <f>_xlfn.XLOOKUP(Table1[[#This Row],[Region]],'Support - Tables'!$B$3:$B$10,'Support - Tables'!$C$3:$C$10, "Not Found",0)</f>
        <v>450</v>
      </c>
      <c r="P391" s="6">
        <f>_xlfn.XLOOKUP(Table1[[#This Row],[Diet]],'Support - Tables'!$B$14:$B$16,'Support - Tables'!$C$14:$C$16, "Not Found", 0)</f>
        <v>400</v>
      </c>
      <c r="Q391" s="6">
        <f>Table1[[#This Row],[Revenue]]-Table1[[#This Row],[Cost]]</f>
        <v>50</v>
      </c>
      <c r="R391" s="6">
        <f>COUNTBLANK(Table1[[#This Row],[Diet]:[Region]])</f>
        <v>0</v>
      </c>
      <c r="S391" s="6"/>
      <c r="T391" s="6"/>
    </row>
    <row r="392" spans="1:20" x14ac:dyDescent="0.25">
      <c r="A392" s="2" t="s">
        <v>450</v>
      </c>
      <c r="B392" s="1" t="s">
        <v>23</v>
      </c>
      <c r="C392" s="1">
        <v>10</v>
      </c>
      <c r="D392" s="1" t="s">
        <v>706</v>
      </c>
      <c r="E392" s="1">
        <f>IF(Table1[[#This Row],[Lifespan Unit]]="months", Table1[[#This Row],[Lifespan]]/12,Table1[[#This Row],[Lifespan]])</f>
        <v>10</v>
      </c>
      <c r="F392" s="1" t="s">
        <v>626</v>
      </c>
      <c r="G392" s="1" t="str">
        <f t="shared" si="12"/>
        <v>3.3</v>
      </c>
      <c r="H392" s="1" t="str">
        <f t="shared" si="13"/>
        <v>lbs</v>
      </c>
      <c r="I392" s="1" t="str">
        <f>IF(Table1[[#This Row],[Lifespan (Years)]]&lt;25, "&lt;25", IF(Table1[[#This Row],[Lifespan (Years)]]&lt;50, "25-49", IF(Table1[[#This Row],[Lifespan (Years)]]&lt;75, "50-74", IF(Table1[[#This Row],[Lifespan (Years)]]&lt;100, "75-99", "&gt;=100"))))</f>
        <v>&lt;25</v>
      </c>
      <c r="J392" s="14">
        <f>IF(Table1[[#This Row],[Weight Unit]]="oz",Table1[[#This Row],[Weight (Digits)]]/16, Table1[[#This Row],[Weight (Digits)]]/1)</f>
        <v>3.3</v>
      </c>
      <c r="K39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92" s="1" t="s">
        <v>6</v>
      </c>
      <c r="M392" s="1" t="str">
        <f>IF(COUNTIF(Table2[Animal],Table1[[#This Row],[Animal]]) = 1, "Previous Participant", "New Participant")</f>
        <v>New Participant</v>
      </c>
      <c r="N392" s="1" t="str">
        <f>_xlfn.XLOOKUP(Table1[[#This Row],[Region]],'Support - Tables'!$B$3:$B$10,'Support - Tables'!$D$3:$D$10,"Not Found",0)</f>
        <v>Air</v>
      </c>
      <c r="O392" s="6">
        <f>_xlfn.XLOOKUP(Table1[[#This Row],[Region]],'Support - Tables'!$B$3:$B$10,'Support - Tables'!$C$3:$C$10, "Not Found",0)</f>
        <v>450</v>
      </c>
      <c r="P392" s="6">
        <f>_xlfn.XLOOKUP(Table1[[#This Row],[Diet]],'Support - Tables'!$B$14:$B$16,'Support - Tables'!$C$14:$C$16, "Not Found", 0)</f>
        <v>300</v>
      </c>
      <c r="Q392" s="6">
        <f>Table1[[#This Row],[Revenue]]-Table1[[#This Row],[Cost]]</f>
        <v>150</v>
      </c>
      <c r="R392" s="6">
        <f>COUNTBLANK(Table1[[#This Row],[Diet]:[Region]])</f>
        <v>0</v>
      </c>
      <c r="S392" s="6"/>
      <c r="T392" s="6"/>
    </row>
    <row r="393" spans="1:20" x14ac:dyDescent="0.25">
      <c r="A393" s="2" t="s">
        <v>451</v>
      </c>
      <c r="B393" s="1" t="s">
        <v>23</v>
      </c>
      <c r="C393" s="1">
        <v>8</v>
      </c>
      <c r="D393" s="1" t="s">
        <v>706</v>
      </c>
      <c r="E393" s="1">
        <f>IF(Table1[[#This Row],[Lifespan Unit]]="months", Table1[[#This Row],[Lifespan]]/12,Table1[[#This Row],[Lifespan]])</f>
        <v>8</v>
      </c>
      <c r="F393" s="1" t="s">
        <v>612</v>
      </c>
      <c r="G393" s="1" t="str">
        <f t="shared" si="12"/>
        <v>1.1</v>
      </c>
      <c r="H393" s="1" t="str">
        <f t="shared" si="13"/>
        <v>lbs</v>
      </c>
      <c r="I393" s="1" t="str">
        <f>IF(Table1[[#This Row],[Lifespan (Years)]]&lt;25, "&lt;25", IF(Table1[[#This Row],[Lifespan (Years)]]&lt;50, "25-49", IF(Table1[[#This Row],[Lifespan (Years)]]&lt;75, "50-74", IF(Table1[[#This Row],[Lifespan (Years)]]&lt;100, "75-99", "&gt;=100"))))</f>
        <v>&lt;25</v>
      </c>
      <c r="J393" s="14">
        <f>IF(Table1[[#This Row],[Weight Unit]]="oz",Table1[[#This Row],[Weight (Digits)]]/16, Table1[[#This Row],[Weight (Digits)]]/1)</f>
        <v>1.1000000000000001</v>
      </c>
      <c r="K39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93" s="1" t="s">
        <v>5</v>
      </c>
      <c r="M393" s="1" t="str">
        <f>IF(COUNTIF(Table2[Animal],Table1[[#This Row],[Animal]]) = 1, "Previous Participant", "New Participant")</f>
        <v>Previous Participant</v>
      </c>
      <c r="N393" s="1" t="str">
        <f>_xlfn.XLOOKUP(Table1[[#This Row],[Region]],'Support - Tables'!$B$3:$B$10,'Support - Tables'!$D$3:$D$10,"Not Found",0)</f>
        <v>Boat</v>
      </c>
      <c r="O393" s="6">
        <f>_xlfn.XLOOKUP(Table1[[#This Row],[Region]],'Support - Tables'!$B$3:$B$10,'Support - Tables'!$C$3:$C$10, "Not Found",0)</f>
        <v>400</v>
      </c>
      <c r="P393" s="6">
        <f>_xlfn.XLOOKUP(Table1[[#This Row],[Diet]],'Support - Tables'!$B$14:$B$16,'Support - Tables'!$C$14:$C$16, "Not Found", 0)</f>
        <v>300</v>
      </c>
      <c r="Q393" s="6">
        <f>Table1[[#This Row],[Revenue]]-Table1[[#This Row],[Cost]]</f>
        <v>100</v>
      </c>
      <c r="R393" s="6">
        <f>COUNTBLANK(Table1[[#This Row],[Diet]:[Region]])</f>
        <v>0</v>
      </c>
      <c r="S393" s="6"/>
      <c r="T393" s="6"/>
    </row>
    <row r="394" spans="1:20" x14ac:dyDescent="0.25">
      <c r="A394" s="2" t="s">
        <v>452</v>
      </c>
      <c r="B394" s="1" t="s">
        <v>13</v>
      </c>
      <c r="C394" s="1">
        <v>16</v>
      </c>
      <c r="D394" s="1" t="s">
        <v>706</v>
      </c>
      <c r="E394" s="1">
        <f>IF(Table1[[#This Row],[Lifespan Unit]]="months", Table1[[#This Row],[Lifespan]]/12,Table1[[#This Row],[Lifespan]])</f>
        <v>16</v>
      </c>
      <c r="F394" s="1" t="s">
        <v>664</v>
      </c>
      <c r="G394" s="1" t="str">
        <f t="shared" si="12"/>
        <v>7.7</v>
      </c>
      <c r="H394" s="1" t="str">
        <f t="shared" si="13"/>
        <v>lbs</v>
      </c>
      <c r="I394" s="1" t="str">
        <f>IF(Table1[[#This Row],[Lifespan (Years)]]&lt;25, "&lt;25", IF(Table1[[#This Row],[Lifespan (Years)]]&lt;50, "25-49", IF(Table1[[#This Row],[Lifespan (Years)]]&lt;75, "50-74", IF(Table1[[#This Row],[Lifespan (Years)]]&lt;100, "75-99", "&gt;=100"))))</f>
        <v>&lt;25</v>
      </c>
      <c r="J394" s="14">
        <f>IF(Table1[[#This Row],[Weight Unit]]="oz",Table1[[#This Row],[Weight (Digits)]]/16, Table1[[#This Row],[Weight (Digits)]]/1)</f>
        <v>7.7</v>
      </c>
      <c r="K39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94" s="1" t="s">
        <v>4</v>
      </c>
      <c r="M394" s="1" t="str">
        <f>IF(COUNTIF(Table2[Animal],Table1[[#This Row],[Animal]]) = 1, "Previous Participant", "New Participant")</f>
        <v>Previous Participant</v>
      </c>
      <c r="N394" s="1" t="str">
        <f>_xlfn.XLOOKUP(Table1[[#This Row],[Region]],'Support - Tables'!$B$3:$B$10,'Support - Tables'!$D$3:$D$10,"Not Found",0)</f>
        <v>Boat</v>
      </c>
      <c r="O394" s="6">
        <f>_xlfn.XLOOKUP(Table1[[#This Row],[Region]],'Support - Tables'!$B$3:$B$10,'Support - Tables'!$C$3:$C$10, "Not Found",0)</f>
        <v>200</v>
      </c>
      <c r="P394" s="6">
        <f>_xlfn.XLOOKUP(Table1[[#This Row],[Diet]],'Support - Tables'!$B$14:$B$16,'Support - Tables'!$C$14:$C$16, "Not Found", 0)</f>
        <v>400</v>
      </c>
      <c r="Q394" s="6">
        <f>Table1[[#This Row],[Revenue]]-Table1[[#This Row],[Cost]]</f>
        <v>-200</v>
      </c>
      <c r="R394" s="6">
        <f>COUNTBLANK(Table1[[#This Row],[Diet]:[Region]])</f>
        <v>0</v>
      </c>
      <c r="S394" s="6"/>
      <c r="T394" s="6"/>
    </row>
    <row r="395" spans="1:20" x14ac:dyDescent="0.25">
      <c r="A395" s="2" t="s">
        <v>453</v>
      </c>
      <c r="B395" s="1" t="s">
        <v>15</v>
      </c>
      <c r="C395" s="1">
        <v>8</v>
      </c>
      <c r="D395" s="1" t="s">
        <v>706</v>
      </c>
      <c r="E395" s="1">
        <f>IF(Table1[[#This Row],[Lifespan Unit]]="months", Table1[[#This Row],[Lifespan]]/12,Table1[[#This Row],[Lifespan]])</f>
        <v>8</v>
      </c>
      <c r="F395" s="1" t="s">
        <v>602</v>
      </c>
      <c r="G395" s="1" t="str">
        <f t="shared" si="12"/>
        <v>6.6</v>
      </c>
      <c r="H395" s="1" t="str">
        <f t="shared" si="13"/>
        <v>lbs</v>
      </c>
      <c r="I395" s="1" t="str">
        <f>IF(Table1[[#This Row],[Lifespan (Years)]]&lt;25, "&lt;25", IF(Table1[[#This Row],[Lifespan (Years)]]&lt;50, "25-49", IF(Table1[[#This Row],[Lifespan (Years)]]&lt;75, "50-74", IF(Table1[[#This Row],[Lifespan (Years)]]&lt;100, "75-99", "&gt;=100"))))</f>
        <v>&lt;25</v>
      </c>
      <c r="J395" s="14">
        <f>IF(Table1[[#This Row],[Weight Unit]]="oz",Table1[[#This Row],[Weight (Digits)]]/16, Table1[[#This Row],[Weight (Digits)]]/1)</f>
        <v>6.6</v>
      </c>
      <c r="K39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95" s="1" t="s">
        <v>5</v>
      </c>
      <c r="M395" s="1" t="str">
        <f>IF(COUNTIF(Table2[Animal],Table1[[#This Row],[Animal]]) = 1, "Previous Participant", "New Participant")</f>
        <v>Previous Participant</v>
      </c>
      <c r="N395" s="1" t="str">
        <f>_xlfn.XLOOKUP(Table1[[#This Row],[Region]],'Support - Tables'!$B$3:$B$10,'Support - Tables'!$D$3:$D$10,"Not Found",0)</f>
        <v>Boat</v>
      </c>
      <c r="O395" s="6">
        <f>_xlfn.XLOOKUP(Table1[[#This Row],[Region]],'Support - Tables'!$B$3:$B$10,'Support - Tables'!$C$3:$C$10, "Not Found",0)</f>
        <v>400</v>
      </c>
      <c r="P395" s="6">
        <f>_xlfn.XLOOKUP(Table1[[#This Row],[Diet]],'Support - Tables'!$B$14:$B$16,'Support - Tables'!$C$14:$C$16, "Not Found", 0)</f>
        <v>500</v>
      </c>
      <c r="Q395" s="6">
        <f>Table1[[#This Row],[Revenue]]-Table1[[#This Row],[Cost]]</f>
        <v>-100</v>
      </c>
      <c r="R395" s="6">
        <f>COUNTBLANK(Table1[[#This Row],[Diet]:[Region]])</f>
        <v>0</v>
      </c>
      <c r="S395" s="6"/>
      <c r="T395" s="6"/>
    </row>
    <row r="396" spans="1:20" x14ac:dyDescent="0.25">
      <c r="A396" s="2" t="s">
        <v>454</v>
      </c>
      <c r="B396" s="1" t="s">
        <v>15</v>
      </c>
      <c r="C396" s="1">
        <v>14</v>
      </c>
      <c r="D396" s="1" t="s">
        <v>706</v>
      </c>
      <c r="E396" s="1">
        <f>IF(Table1[[#This Row],[Lifespan Unit]]="months", Table1[[#This Row],[Lifespan]]/12,Table1[[#This Row],[Lifespan]])</f>
        <v>14</v>
      </c>
      <c r="F396" s="1" t="s">
        <v>263</v>
      </c>
      <c r="G396" s="1" t="str">
        <f t="shared" si="12"/>
        <v>35</v>
      </c>
      <c r="H396" s="1" t="str">
        <f t="shared" si="13"/>
        <v>lbs</v>
      </c>
      <c r="I396" s="1" t="str">
        <f>IF(Table1[[#This Row],[Lifespan (Years)]]&lt;25, "&lt;25", IF(Table1[[#This Row],[Lifespan (Years)]]&lt;50, "25-49", IF(Table1[[#This Row],[Lifespan (Years)]]&lt;75, "50-74", IF(Table1[[#This Row],[Lifespan (Years)]]&lt;100, "75-99", "&gt;=100"))))</f>
        <v>&lt;25</v>
      </c>
      <c r="J396" s="14">
        <f>IF(Table1[[#This Row],[Weight Unit]]="oz",Table1[[#This Row],[Weight (Digits)]]/16, Table1[[#This Row],[Weight (Digits)]]/1)</f>
        <v>35</v>
      </c>
      <c r="K39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96" s="1" t="s">
        <v>5</v>
      </c>
      <c r="M396" s="1" t="str">
        <f>IF(COUNTIF(Table2[Animal],Table1[[#This Row],[Animal]]) = 1, "Previous Participant", "New Participant")</f>
        <v>Previous Participant</v>
      </c>
      <c r="N396" s="1" t="str">
        <f>_xlfn.XLOOKUP(Table1[[#This Row],[Region]],'Support - Tables'!$B$3:$B$10,'Support - Tables'!$D$3:$D$10,"Not Found",0)</f>
        <v>Boat</v>
      </c>
      <c r="O396" s="6">
        <f>_xlfn.XLOOKUP(Table1[[#This Row],[Region]],'Support - Tables'!$B$3:$B$10,'Support - Tables'!$C$3:$C$10, "Not Found",0)</f>
        <v>400</v>
      </c>
      <c r="P396" s="6">
        <f>_xlfn.XLOOKUP(Table1[[#This Row],[Diet]],'Support - Tables'!$B$14:$B$16,'Support - Tables'!$C$14:$C$16, "Not Found", 0)</f>
        <v>500</v>
      </c>
      <c r="Q396" s="6">
        <f>Table1[[#This Row],[Revenue]]-Table1[[#This Row],[Cost]]</f>
        <v>-100</v>
      </c>
      <c r="R396" s="6">
        <f>COUNTBLANK(Table1[[#This Row],[Diet]:[Region]])</f>
        <v>0</v>
      </c>
      <c r="S396" s="6"/>
      <c r="T396" s="6"/>
    </row>
    <row r="397" spans="1:20" x14ac:dyDescent="0.25">
      <c r="A397" s="2" t="s">
        <v>455</v>
      </c>
      <c r="B397" s="1" t="s">
        <v>13</v>
      </c>
      <c r="C397" s="1">
        <v>5</v>
      </c>
      <c r="D397" s="1" t="s">
        <v>706</v>
      </c>
      <c r="E397" s="1">
        <f>IF(Table1[[#This Row],[Lifespan Unit]]="months", Table1[[#This Row],[Lifespan]]/12,Table1[[#This Row],[Lifespan]])</f>
        <v>5</v>
      </c>
      <c r="F397" s="1" t="s">
        <v>581</v>
      </c>
      <c r="G397" s="1" t="str">
        <f t="shared" si="12"/>
        <v>0.4</v>
      </c>
      <c r="H397" s="1" t="str">
        <f t="shared" si="13"/>
        <v>lbs</v>
      </c>
      <c r="I397" s="1" t="str">
        <f>IF(Table1[[#This Row],[Lifespan (Years)]]&lt;25, "&lt;25", IF(Table1[[#This Row],[Lifespan (Years)]]&lt;50, "25-49", IF(Table1[[#This Row],[Lifespan (Years)]]&lt;75, "50-74", IF(Table1[[#This Row],[Lifespan (Years)]]&lt;100, "75-99", "&gt;=100"))))</f>
        <v>&lt;25</v>
      </c>
      <c r="J397" s="14">
        <f>IF(Table1[[#This Row],[Weight Unit]]="oz",Table1[[#This Row],[Weight (Digits)]]/16, Table1[[#This Row],[Weight (Digits)]]/1)</f>
        <v>0.4</v>
      </c>
      <c r="K39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97" s="1" t="s">
        <v>5</v>
      </c>
      <c r="M397" s="1" t="str">
        <f>IF(COUNTIF(Table2[Animal],Table1[[#This Row],[Animal]]) = 1, "Previous Participant", "New Participant")</f>
        <v>Previous Participant</v>
      </c>
      <c r="N397" s="1" t="str">
        <f>_xlfn.XLOOKUP(Table1[[#This Row],[Region]],'Support - Tables'!$B$3:$B$10,'Support - Tables'!$D$3:$D$10,"Not Found",0)</f>
        <v>Boat</v>
      </c>
      <c r="O397" s="6">
        <f>_xlfn.XLOOKUP(Table1[[#This Row],[Region]],'Support - Tables'!$B$3:$B$10,'Support - Tables'!$C$3:$C$10, "Not Found",0)</f>
        <v>400</v>
      </c>
      <c r="P397" s="6">
        <f>_xlfn.XLOOKUP(Table1[[#This Row],[Diet]],'Support - Tables'!$B$14:$B$16,'Support - Tables'!$C$14:$C$16, "Not Found", 0)</f>
        <v>400</v>
      </c>
      <c r="Q397" s="6">
        <f>Table1[[#This Row],[Revenue]]-Table1[[#This Row],[Cost]]</f>
        <v>0</v>
      </c>
      <c r="R397" s="6">
        <f>COUNTBLANK(Table1[[#This Row],[Diet]:[Region]])</f>
        <v>0</v>
      </c>
      <c r="S397" s="6"/>
      <c r="T397" s="6"/>
    </row>
    <row r="398" spans="1:20" x14ac:dyDescent="0.25">
      <c r="A398" s="2" t="s">
        <v>456</v>
      </c>
      <c r="B398" s="1" t="s">
        <v>13</v>
      </c>
      <c r="C398" s="1">
        <v>15</v>
      </c>
      <c r="D398" s="1" t="s">
        <v>706</v>
      </c>
      <c r="E398" s="1">
        <f>IF(Table1[[#This Row],[Lifespan Unit]]="months", Table1[[#This Row],[Lifespan]]/12,Table1[[#This Row],[Lifespan]])</f>
        <v>15</v>
      </c>
      <c r="F398" s="1" t="s">
        <v>603</v>
      </c>
      <c r="G398" s="1" t="str">
        <f t="shared" si="12"/>
        <v>7.7</v>
      </c>
      <c r="H398" s="1" t="str">
        <f t="shared" si="13"/>
        <v>oz</v>
      </c>
      <c r="I398" s="1" t="str">
        <f>IF(Table1[[#This Row],[Lifespan (Years)]]&lt;25, "&lt;25", IF(Table1[[#This Row],[Lifespan (Years)]]&lt;50, "25-49", IF(Table1[[#This Row],[Lifespan (Years)]]&lt;75, "50-74", IF(Table1[[#This Row],[Lifespan (Years)]]&lt;100, "75-99", "&gt;=100"))))</f>
        <v>&lt;25</v>
      </c>
      <c r="J398" s="14">
        <f>IF(Table1[[#This Row],[Weight Unit]]="oz",Table1[[#This Row],[Weight (Digits)]]/16, Table1[[#This Row],[Weight (Digits)]]/1)</f>
        <v>0.48125000000000001</v>
      </c>
      <c r="K39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98" s="1" t="s">
        <v>5</v>
      </c>
      <c r="M398" s="1" t="str">
        <f>IF(COUNTIF(Table2[Animal],Table1[[#This Row],[Animal]]) = 1, "Previous Participant", "New Participant")</f>
        <v>Previous Participant</v>
      </c>
      <c r="N398" s="1" t="str">
        <f>_xlfn.XLOOKUP(Table1[[#This Row],[Region]],'Support - Tables'!$B$3:$B$10,'Support - Tables'!$D$3:$D$10,"Not Found",0)</f>
        <v>Boat</v>
      </c>
      <c r="O398" s="6">
        <f>_xlfn.XLOOKUP(Table1[[#This Row],[Region]],'Support - Tables'!$B$3:$B$10,'Support - Tables'!$C$3:$C$10, "Not Found",0)</f>
        <v>400</v>
      </c>
      <c r="P398" s="6">
        <f>_xlfn.XLOOKUP(Table1[[#This Row],[Diet]],'Support - Tables'!$B$14:$B$16,'Support - Tables'!$C$14:$C$16, "Not Found", 0)</f>
        <v>400</v>
      </c>
      <c r="Q398" s="6">
        <f>Table1[[#This Row],[Revenue]]-Table1[[#This Row],[Cost]]</f>
        <v>0</v>
      </c>
      <c r="R398" s="6">
        <f>COUNTBLANK(Table1[[#This Row],[Diet]:[Region]])</f>
        <v>0</v>
      </c>
      <c r="S398" s="6"/>
      <c r="T398" s="6"/>
    </row>
    <row r="399" spans="1:20" x14ac:dyDescent="0.25">
      <c r="A399" s="2" t="s">
        <v>457</v>
      </c>
      <c r="B399" s="1" t="s">
        <v>15</v>
      </c>
      <c r="C399" s="1">
        <v>30</v>
      </c>
      <c r="D399" s="1" t="s">
        <v>706</v>
      </c>
      <c r="E399" s="1">
        <f>IF(Table1[[#This Row],[Lifespan Unit]]="months", Table1[[#This Row],[Lifespan]]/12,Table1[[#This Row],[Lifespan]])</f>
        <v>30</v>
      </c>
      <c r="F399" s="1" t="s">
        <v>672</v>
      </c>
      <c r="G399" s="1" t="str">
        <f t="shared" si="12"/>
        <v>0.5</v>
      </c>
      <c r="H399" s="1" t="str">
        <f t="shared" si="13"/>
        <v>lbs</v>
      </c>
      <c r="I399" s="1" t="str">
        <f>IF(Table1[[#This Row],[Lifespan (Years)]]&lt;25, "&lt;25", IF(Table1[[#This Row],[Lifespan (Years)]]&lt;50, "25-49", IF(Table1[[#This Row],[Lifespan (Years)]]&lt;75, "50-74", IF(Table1[[#This Row],[Lifespan (Years)]]&lt;100, "75-99", "&gt;=100"))))</f>
        <v>25-49</v>
      </c>
      <c r="J399" s="14">
        <f>IF(Table1[[#This Row],[Weight Unit]]="oz",Table1[[#This Row],[Weight (Digits)]]/16, Table1[[#This Row],[Weight (Digits)]]/1)</f>
        <v>0.5</v>
      </c>
      <c r="K39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99" s="1" t="s">
        <v>724</v>
      </c>
      <c r="M399" s="1" t="str">
        <f>IF(COUNTIF(Table2[Animal],Table1[[#This Row],[Animal]]) = 1, "Previous Participant", "New Participant")</f>
        <v>Previous Participant</v>
      </c>
      <c r="N399" s="1" t="str">
        <f>_xlfn.XLOOKUP(Table1[[#This Row],[Region]],'Support - Tables'!$B$3:$B$10,'Support - Tables'!$D$3:$D$10,"Not Found",0)</f>
        <v>Road</v>
      </c>
      <c r="O399" s="6">
        <f>_xlfn.XLOOKUP(Table1[[#This Row],[Region]],'Support - Tables'!$B$3:$B$10,'Support - Tables'!$C$3:$C$10, "Not Found",0)</f>
        <v>450</v>
      </c>
      <c r="P399" s="6">
        <f>_xlfn.XLOOKUP(Table1[[#This Row],[Diet]],'Support - Tables'!$B$14:$B$16,'Support - Tables'!$C$14:$C$16, "Not Found", 0)</f>
        <v>500</v>
      </c>
      <c r="Q399" s="6">
        <f>Table1[[#This Row],[Revenue]]-Table1[[#This Row],[Cost]]</f>
        <v>-50</v>
      </c>
      <c r="R399" s="6">
        <f>COUNTBLANK(Table1[[#This Row],[Diet]:[Region]])</f>
        <v>0</v>
      </c>
      <c r="S399" s="6"/>
      <c r="T399" s="6"/>
    </row>
    <row r="400" spans="1:20" x14ac:dyDescent="0.25">
      <c r="A400" s="2" t="s">
        <v>458</v>
      </c>
      <c r="B400" s="1" t="s">
        <v>13</v>
      </c>
      <c r="C400" s="1">
        <v>12</v>
      </c>
      <c r="D400" s="1" t="s">
        <v>706</v>
      </c>
      <c r="E400" s="1">
        <f>IF(Table1[[#This Row],[Lifespan Unit]]="months", Table1[[#This Row],[Lifespan]]/12,Table1[[#This Row],[Lifespan]])</f>
        <v>12</v>
      </c>
      <c r="F400" s="1" t="s">
        <v>373</v>
      </c>
      <c r="G400" s="1" t="str">
        <f t="shared" si="12"/>
        <v>7</v>
      </c>
      <c r="H400" s="1" t="str">
        <f t="shared" si="13"/>
        <v>lbs</v>
      </c>
      <c r="I400" s="1" t="str">
        <f>IF(Table1[[#This Row],[Lifespan (Years)]]&lt;25, "&lt;25", IF(Table1[[#This Row],[Lifespan (Years)]]&lt;50, "25-49", IF(Table1[[#This Row],[Lifespan (Years)]]&lt;75, "50-74", IF(Table1[[#This Row],[Lifespan (Years)]]&lt;100, "75-99", "&gt;=100"))))</f>
        <v>&lt;25</v>
      </c>
      <c r="J400" s="14">
        <f>IF(Table1[[#This Row],[Weight Unit]]="oz",Table1[[#This Row],[Weight (Digits)]]/16, Table1[[#This Row],[Weight (Digits)]]/1)</f>
        <v>7</v>
      </c>
      <c r="K40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00" s="1" t="s">
        <v>3</v>
      </c>
      <c r="M400" s="1" t="str">
        <f>IF(COUNTIF(Table2[Animal],Table1[[#This Row],[Animal]]) = 1, "Previous Participant", "New Participant")</f>
        <v>Previous Participant</v>
      </c>
      <c r="N400" s="1" t="str">
        <f>_xlfn.XLOOKUP(Table1[[#This Row],[Region]],'Support - Tables'!$B$3:$B$10,'Support - Tables'!$D$3:$D$10,"Not Found",0)</f>
        <v>Air</v>
      </c>
      <c r="O400" s="6">
        <f>_xlfn.XLOOKUP(Table1[[#This Row],[Region]],'Support - Tables'!$B$3:$B$10,'Support - Tables'!$C$3:$C$10, "Not Found",0)</f>
        <v>350</v>
      </c>
      <c r="P400" s="6">
        <f>_xlfn.XLOOKUP(Table1[[#This Row],[Diet]],'Support - Tables'!$B$14:$B$16,'Support - Tables'!$C$14:$C$16, "Not Found", 0)</f>
        <v>400</v>
      </c>
      <c r="Q400" s="6">
        <f>Table1[[#This Row],[Revenue]]-Table1[[#This Row],[Cost]]</f>
        <v>-50</v>
      </c>
      <c r="R400" s="6">
        <f>COUNTBLANK(Table1[[#This Row],[Diet]:[Region]])</f>
        <v>0</v>
      </c>
      <c r="S400" s="6"/>
      <c r="T400" s="6"/>
    </row>
    <row r="401" spans="1:20" x14ac:dyDescent="0.25">
      <c r="A401" s="2" t="s">
        <v>459</v>
      </c>
      <c r="B401" s="1" t="s">
        <v>15</v>
      </c>
      <c r="C401" s="1">
        <v>12</v>
      </c>
      <c r="D401" s="1" t="s">
        <v>706</v>
      </c>
      <c r="E401" s="1">
        <f>IF(Table1[[#This Row],[Lifespan Unit]]="months", Table1[[#This Row],[Lifespan]]/12,Table1[[#This Row],[Lifespan]])</f>
        <v>12</v>
      </c>
      <c r="F401" s="1" t="s">
        <v>43</v>
      </c>
      <c r="G401" s="1" t="str">
        <f t="shared" si="12"/>
        <v>40</v>
      </c>
      <c r="H401" s="1" t="str">
        <f t="shared" si="13"/>
        <v>lbs</v>
      </c>
      <c r="I401" s="1" t="str">
        <f>IF(Table1[[#This Row],[Lifespan (Years)]]&lt;25, "&lt;25", IF(Table1[[#This Row],[Lifespan (Years)]]&lt;50, "25-49", IF(Table1[[#This Row],[Lifespan (Years)]]&lt;75, "50-74", IF(Table1[[#This Row],[Lifespan (Years)]]&lt;100, "75-99", "&gt;=100"))))</f>
        <v>&lt;25</v>
      </c>
      <c r="J401" s="14">
        <f>IF(Table1[[#This Row],[Weight Unit]]="oz",Table1[[#This Row],[Weight (Digits)]]/16, Table1[[#This Row],[Weight (Digits)]]/1)</f>
        <v>40</v>
      </c>
      <c r="K40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01" s="1" t="s">
        <v>6</v>
      </c>
      <c r="M401" s="1" t="str">
        <f>IF(COUNTIF(Table2[Animal],Table1[[#This Row],[Animal]]) = 1, "Previous Participant", "New Participant")</f>
        <v>Previous Participant</v>
      </c>
      <c r="N401" s="1" t="str">
        <f>_xlfn.XLOOKUP(Table1[[#This Row],[Region]],'Support - Tables'!$B$3:$B$10,'Support - Tables'!$D$3:$D$10,"Not Found",0)</f>
        <v>Air</v>
      </c>
      <c r="O401" s="6">
        <f>_xlfn.XLOOKUP(Table1[[#This Row],[Region]],'Support - Tables'!$B$3:$B$10,'Support - Tables'!$C$3:$C$10, "Not Found",0)</f>
        <v>450</v>
      </c>
      <c r="P401" s="6">
        <f>_xlfn.XLOOKUP(Table1[[#This Row],[Diet]],'Support - Tables'!$B$14:$B$16,'Support - Tables'!$C$14:$C$16, "Not Found", 0)</f>
        <v>500</v>
      </c>
      <c r="Q401" s="6">
        <f>Table1[[#This Row],[Revenue]]-Table1[[#This Row],[Cost]]</f>
        <v>-50</v>
      </c>
      <c r="R401" s="6">
        <f>COUNTBLANK(Table1[[#This Row],[Diet]:[Region]])</f>
        <v>0</v>
      </c>
      <c r="S401" s="6"/>
      <c r="T401" s="6"/>
    </row>
    <row r="402" spans="1:20" x14ac:dyDescent="0.25">
      <c r="A402" s="2" t="s">
        <v>460</v>
      </c>
      <c r="B402" s="1" t="s">
        <v>23</v>
      </c>
      <c r="C402" s="1">
        <v>15</v>
      </c>
      <c r="D402" s="1" t="s">
        <v>706</v>
      </c>
      <c r="E402" s="1">
        <f>IF(Table1[[#This Row],[Lifespan Unit]]="months", Table1[[#This Row],[Lifespan]]/12,Table1[[#This Row],[Lifespan]])</f>
        <v>15</v>
      </c>
      <c r="F402" s="1" t="s">
        <v>673</v>
      </c>
      <c r="G402" s="1" t="str">
        <f t="shared" si="12"/>
        <v>132</v>
      </c>
      <c r="H402" s="1" t="str">
        <f t="shared" si="13"/>
        <v>lbs</v>
      </c>
      <c r="I402" s="1" t="str">
        <f>IF(Table1[[#This Row],[Lifespan (Years)]]&lt;25, "&lt;25", IF(Table1[[#This Row],[Lifespan (Years)]]&lt;50, "25-49", IF(Table1[[#This Row],[Lifespan (Years)]]&lt;75, "50-74", IF(Table1[[#This Row],[Lifespan (Years)]]&lt;100, "75-99", "&gt;=100"))))</f>
        <v>&lt;25</v>
      </c>
      <c r="J402" s="14">
        <f>IF(Table1[[#This Row],[Weight Unit]]="oz",Table1[[#This Row],[Weight (Digits)]]/16, Table1[[#This Row],[Weight (Digits)]]/1)</f>
        <v>132</v>
      </c>
      <c r="K40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402" s="1" t="s">
        <v>5</v>
      </c>
      <c r="M402" s="1" t="str">
        <f>IF(COUNTIF(Table2[Animal],Table1[[#This Row],[Animal]]) = 1, "Previous Participant", "New Participant")</f>
        <v>Previous Participant</v>
      </c>
      <c r="N402" s="1" t="str">
        <f>_xlfn.XLOOKUP(Table1[[#This Row],[Region]],'Support - Tables'!$B$3:$B$10,'Support - Tables'!$D$3:$D$10,"Not Found",0)</f>
        <v>Boat</v>
      </c>
      <c r="O402" s="6">
        <f>_xlfn.XLOOKUP(Table1[[#This Row],[Region]],'Support - Tables'!$B$3:$B$10,'Support - Tables'!$C$3:$C$10, "Not Found",0)</f>
        <v>400</v>
      </c>
      <c r="P402" s="6">
        <f>_xlfn.XLOOKUP(Table1[[#This Row],[Diet]],'Support - Tables'!$B$14:$B$16,'Support - Tables'!$C$14:$C$16, "Not Found", 0)</f>
        <v>300</v>
      </c>
      <c r="Q402" s="6">
        <f>Table1[[#This Row],[Revenue]]-Table1[[#This Row],[Cost]]</f>
        <v>100</v>
      </c>
      <c r="R402" s="6">
        <f>COUNTBLANK(Table1[[#This Row],[Diet]:[Region]])</f>
        <v>0</v>
      </c>
      <c r="S402" s="6"/>
      <c r="T402" s="6"/>
    </row>
    <row r="403" spans="1:20" x14ac:dyDescent="0.25">
      <c r="A403" s="2" t="s">
        <v>461</v>
      </c>
      <c r="B403" s="1" t="s">
        <v>23</v>
      </c>
      <c r="C403" s="1">
        <v>50</v>
      </c>
      <c r="D403" s="1" t="s">
        <v>706</v>
      </c>
      <c r="E403" s="1">
        <f>IF(Table1[[#This Row],[Lifespan Unit]]="months", Table1[[#This Row],[Lifespan]]/12,Table1[[#This Row],[Lifespan]])</f>
        <v>50</v>
      </c>
      <c r="F403" s="1" t="s">
        <v>674</v>
      </c>
      <c r="G403" s="1" t="str">
        <f t="shared" si="12"/>
        <v>1,765</v>
      </c>
      <c r="H403" s="1" t="str">
        <f t="shared" si="13"/>
        <v>lbs</v>
      </c>
      <c r="I403" s="1" t="str">
        <f>IF(Table1[[#This Row],[Lifespan (Years)]]&lt;25, "&lt;25", IF(Table1[[#This Row],[Lifespan (Years)]]&lt;50, "25-49", IF(Table1[[#This Row],[Lifespan (Years)]]&lt;75, "50-74", IF(Table1[[#This Row],[Lifespan (Years)]]&lt;100, "75-99", "&gt;=100"))))</f>
        <v>50-74</v>
      </c>
      <c r="J403" s="14">
        <f>IF(Table1[[#This Row],[Weight Unit]]="oz",Table1[[#This Row],[Weight (Digits)]]/16, Table1[[#This Row],[Weight (Digits)]]/1)</f>
        <v>1765</v>
      </c>
      <c r="K40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403" s="1" t="s">
        <v>724</v>
      </c>
      <c r="M403" s="1" t="str">
        <f>IF(COUNTIF(Table2[Animal],Table1[[#This Row],[Animal]]) = 1, "Previous Participant", "New Participant")</f>
        <v>Previous Participant</v>
      </c>
      <c r="N403" s="1" t="str">
        <f>_xlfn.XLOOKUP(Table1[[#This Row],[Region]],'Support - Tables'!$B$3:$B$10,'Support - Tables'!$D$3:$D$10,"Not Found",0)</f>
        <v>Road</v>
      </c>
      <c r="O403" s="6">
        <f>_xlfn.XLOOKUP(Table1[[#This Row],[Region]],'Support - Tables'!$B$3:$B$10,'Support - Tables'!$C$3:$C$10, "Not Found",0)</f>
        <v>450</v>
      </c>
      <c r="P403" s="6">
        <f>_xlfn.XLOOKUP(Table1[[#This Row],[Diet]],'Support - Tables'!$B$14:$B$16,'Support - Tables'!$C$14:$C$16, "Not Found", 0)</f>
        <v>300</v>
      </c>
      <c r="Q403" s="6">
        <f>Table1[[#This Row],[Revenue]]-Table1[[#This Row],[Cost]]</f>
        <v>150</v>
      </c>
      <c r="R403" s="6">
        <f>COUNTBLANK(Table1[[#This Row],[Diet]:[Region]])</f>
        <v>0</v>
      </c>
      <c r="S403" s="6"/>
      <c r="T403" s="6"/>
    </row>
    <row r="404" spans="1:20" x14ac:dyDescent="0.25">
      <c r="A404" s="2" t="s">
        <v>462</v>
      </c>
      <c r="B404" s="1" t="s">
        <v>15</v>
      </c>
      <c r="C404" s="1">
        <v>18</v>
      </c>
      <c r="D404" s="1" t="s">
        <v>706</v>
      </c>
      <c r="E404" s="1">
        <f>IF(Table1[[#This Row],[Lifespan Unit]]="months", Table1[[#This Row],[Lifespan]]/12,Table1[[#This Row],[Lifespan]])</f>
        <v>18</v>
      </c>
      <c r="F404" s="1" t="s">
        <v>587</v>
      </c>
      <c r="G404" s="1" t="str">
        <f t="shared" si="12"/>
        <v>220</v>
      </c>
      <c r="H404" s="1" t="str">
        <f t="shared" si="13"/>
        <v>lbs</v>
      </c>
      <c r="I404" s="1" t="str">
        <f>IF(Table1[[#This Row],[Lifespan (Years)]]&lt;25, "&lt;25", IF(Table1[[#This Row],[Lifespan (Years)]]&lt;50, "25-49", IF(Table1[[#This Row],[Lifespan (Years)]]&lt;75, "50-74", IF(Table1[[#This Row],[Lifespan (Years)]]&lt;100, "75-99", "&gt;=100"))))</f>
        <v>&lt;25</v>
      </c>
      <c r="J404" s="14">
        <f>IF(Table1[[#This Row],[Weight Unit]]="oz",Table1[[#This Row],[Weight (Digits)]]/16, Table1[[#This Row],[Weight (Digits)]]/1)</f>
        <v>220</v>
      </c>
      <c r="K40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200-299</v>
      </c>
      <c r="L404" s="1" t="s">
        <v>724</v>
      </c>
      <c r="M404" s="1" t="str">
        <f>IF(COUNTIF(Table2[Animal],Table1[[#This Row],[Animal]]) = 1, "Previous Participant", "New Participant")</f>
        <v>Previous Participant</v>
      </c>
      <c r="N404" s="1" t="str">
        <f>_xlfn.XLOOKUP(Table1[[#This Row],[Region]],'Support - Tables'!$B$3:$B$10,'Support - Tables'!$D$3:$D$10,"Not Found",0)</f>
        <v>Road</v>
      </c>
      <c r="O404" s="6">
        <f>_xlfn.XLOOKUP(Table1[[#This Row],[Region]],'Support - Tables'!$B$3:$B$10,'Support - Tables'!$C$3:$C$10, "Not Found",0)</f>
        <v>450</v>
      </c>
      <c r="P404" s="6">
        <f>_xlfn.XLOOKUP(Table1[[#This Row],[Diet]],'Support - Tables'!$B$14:$B$16,'Support - Tables'!$C$14:$C$16, "Not Found", 0)</f>
        <v>500</v>
      </c>
      <c r="Q404" s="6">
        <f>Table1[[#This Row],[Revenue]]-Table1[[#This Row],[Cost]]</f>
        <v>-50</v>
      </c>
      <c r="R404" s="6">
        <f>COUNTBLANK(Table1[[#This Row],[Diet]:[Region]])</f>
        <v>0</v>
      </c>
      <c r="S404" s="6"/>
      <c r="T404" s="6"/>
    </row>
    <row r="405" spans="1:20" x14ac:dyDescent="0.25">
      <c r="A405" s="2" t="s">
        <v>463</v>
      </c>
      <c r="B405" s="1" t="s">
        <v>13</v>
      </c>
      <c r="C405" s="1">
        <v>30</v>
      </c>
      <c r="D405" s="1" t="s">
        <v>706</v>
      </c>
      <c r="E405" s="1">
        <f>IF(Table1[[#This Row],[Lifespan Unit]]="months", Table1[[#This Row],[Lifespan]]/12,Table1[[#This Row],[Lifespan]])</f>
        <v>30</v>
      </c>
      <c r="F405" s="1" t="s">
        <v>612</v>
      </c>
      <c r="G405" s="1" t="str">
        <f t="shared" si="12"/>
        <v>1.1</v>
      </c>
      <c r="H405" s="1" t="str">
        <f t="shared" si="13"/>
        <v>lbs</v>
      </c>
      <c r="I405" s="1" t="str">
        <f>IF(Table1[[#This Row],[Lifespan (Years)]]&lt;25, "&lt;25", IF(Table1[[#This Row],[Lifespan (Years)]]&lt;50, "25-49", IF(Table1[[#This Row],[Lifespan (Years)]]&lt;75, "50-74", IF(Table1[[#This Row],[Lifespan (Years)]]&lt;100, "75-99", "&gt;=100"))))</f>
        <v>25-49</v>
      </c>
      <c r="J405" s="14">
        <f>IF(Table1[[#This Row],[Weight Unit]]="oz",Table1[[#This Row],[Weight (Digits)]]/16, Table1[[#This Row],[Weight (Digits)]]/1)</f>
        <v>1.1000000000000001</v>
      </c>
      <c r="K40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05" s="1" t="s">
        <v>3</v>
      </c>
      <c r="M405" s="1" t="str">
        <f>IF(COUNTIF(Table2[Animal],Table1[[#This Row],[Animal]]) = 1, "Previous Participant", "New Participant")</f>
        <v>New Participant</v>
      </c>
      <c r="N405" s="1" t="str">
        <f>_xlfn.XLOOKUP(Table1[[#This Row],[Region]],'Support - Tables'!$B$3:$B$10,'Support - Tables'!$D$3:$D$10,"Not Found",0)</f>
        <v>Air</v>
      </c>
      <c r="O405" s="6">
        <f>_xlfn.XLOOKUP(Table1[[#This Row],[Region]],'Support - Tables'!$B$3:$B$10,'Support - Tables'!$C$3:$C$10, "Not Found",0)</f>
        <v>350</v>
      </c>
      <c r="P405" s="6">
        <f>_xlfn.XLOOKUP(Table1[[#This Row],[Diet]],'Support - Tables'!$B$14:$B$16,'Support - Tables'!$C$14:$C$16, "Not Found", 0)</f>
        <v>400</v>
      </c>
      <c r="Q405" s="6">
        <f>Table1[[#This Row],[Revenue]]-Table1[[#This Row],[Cost]]</f>
        <v>-50</v>
      </c>
      <c r="R405" s="6">
        <f>COUNTBLANK(Table1[[#This Row],[Diet]:[Region]])</f>
        <v>0</v>
      </c>
      <c r="S405" s="6"/>
      <c r="T405" s="6"/>
    </row>
    <row r="406" spans="1:20" x14ac:dyDescent="0.25">
      <c r="A406" s="2" t="s">
        <v>464</v>
      </c>
      <c r="B406" s="1" t="s">
        <v>13</v>
      </c>
      <c r="C406" s="1">
        <v>3</v>
      </c>
      <c r="D406" s="1" t="s">
        <v>706</v>
      </c>
      <c r="E406" s="1">
        <f>IF(Table1[[#This Row],[Lifespan Unit]]="months", Table1[[#This Row],[Lifespan]]/12,Table1[[#This Row],[Lifespan]])</f>
        <v>3</v>
      </c>
      <c r="F406" s="1" t="s">
        <v>258</v>
      </c>
      <c r="G406" s="1" t="str">
        <f t="shared" si="12"/>
        <v>0.5</v>
      </c>
      <c r="H406" s="1" t="str">
        <f t="shared" si="13"/>
        <v>oz</v>
      </c>
      <c r="I406" s="1" t="str">
        <f>IF(Table1[[#This Row],[Lifespan (Years)]]&lt;25, "&lt;25", IF(Table1[[#This Row],[Lifespan (Years)]]&lt;50, "25-49", IF(Table1[[#This Row],[Lifespan (Years)]]&lt;75, "50-74", IF(Table1[[#This Row],[Lifespan (Years)]]&lt;100, "75-99", "&gt;=100"))))</f>
        <v>&lt;25</v>
      </c>
      <c r="J406" s="14">
        <f>IF(Table1[[#This Row],[Weight Unit]]="oz",Table1[[#This Row],[Weight (Digits)]]/16, Table1[[#This Row],[Weight (Digits)]]/1)</f>
        <v>3.125E-2</v>
      </c>
      <c r="K40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06" s="1" t="s">
        <v>725</v>
      </c>
      <c r="M406" s="1" t="str">
        <f>IF(COUNTIF(Table2[Animal],Table1[[#This Row],[Animal]]) = 1, "Previous Participant", "New Participant")</f>
        <v>New Participant</v>
      </c>
      <c r="N406" s="1" t="str">
        <f>_xlfn.XLOOKUP(Table1[[#This Row],[Region]],'Support - Tables'!$B$3:$B$10,'Support - Tables'!$D$3:$D$10,"Not Found",0)</f>
        <v>Air</v>
      </c>
      <c r="O406" s="6">
        <f>_xlfn.XLOOKUP(Table1[[#This Row],[Region]],'Support - Tables'!$B$3:$B$10,'Support - Tables'!$C$3:$C$10, "Not Found",0)</f>
        <v>600</v>
      </c>
      <c r="P406" s="6">
        <f>_xlfn.XLOOKUP(Table1[[#This Row],[Diet]],'Support - Tables'!$B$14:$B$16,'Support - Tables'!$C$14:$C$16, "Not Found", 0)</f>
        <v>400</v>
      </c>
      <c r="Q406" s="6">
        <f>Table1[[#This Row],[Revenue]]-Table1[[#This Row],[Cost]]</f>
        <v>200</v>
      </c>
      <c r="R406" s="6">
        <f>COUNTBLANK(Table1[[#This Row],[Diet]:[Region]])</f>
        <v>0</v>
      </c>
      <c r="S406" s="6"/>
      <c r="T406" s="6"/>
    </row>
    <row r="407" spans="1:20" x14ac:dyDescent="0.25">
      <c r="A407" s="2" t="s">
        <v>465</v>
      </c>
      <c r="B407" s="1" t="s">
        <v>13</v>
      </c>
      <c r="C407" s="1">
        <v>12</v>
      </c>
      <c r="D407" s="1" t="s">
        <v>706</v>
      </c>
      <c r="E407" s="1">
        <f>IF(Table1[[#This Row],[Lifespan Unit]]="months", Table1[[#This Row],[Lifespan]]/12,Table1[[#This Row],[Lifespan]])</f>
        <v>12</v>
      </c>
      <c r="F407" s="1" t="s">
        <v>602</v>
      </c>
      <c r="G407" s="1" t="str">
        <f t="shared" si="12"/>
        <v>6.6</v>
      </c>
      <c r="H407" s="1" t="str">
        <f t="shared" si="13"/>
        <v>lbs</v>
      </c>
      <c r="I407" s="1" t="str">
        <f>IF(Table1[[#This Row],[Lifespan (Years)]]&lt;25, "&lt;25", IF(Table1[[#This Row],[Lifespan (Years)]]&lt;50, "25-49", IF(Table1[[#This Row],[Lifespan (Years)]]&lt;75, "50-74", IF(Table1[[#This Row],[Lifespan (Years)]]&lt;100, "75-99", "&gt;=100"))))</f>
        <v>&lt;25</v>
      </c>
      <c r="J407" s="14">
        <f>IF(Table1[[#This Row],[Weight Unit]]="oz",Table1[[#This Row],[Weight (Digits)]]/16, Table1[[#This Row],[Weight (Digits)]]/1)</f>
        <v>6.6</v>
      </c>
      <c r="K40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07" s="1" t="s">
        <v>2</v>
      </c>
      <c r="M407" s="1" t="str">
        <f>IF(COUNTIF(Table2[Animal],Table1[[#This Row],[Animal]]) = 1, "Previous Participant", "New Participant")</f>
        <v>New Participant</v>
      </c>
      <c r="N407" s="1" t="str">
        <f>_xlfn.XLOOKUP(Table1[[#This Row],[Region]],'Support - Tables'!$B$3:$B$10,'Support - Tables'!$D$3:$D$10,"Not Found",0)</f>
        <v>Air</v>
      </c>
      <c r="O407" s="6">
        <f>_xlfn.XLOOKUP(Table1[[#This Row],[Region]],'Support - Tables'!$B$3:$B$10,'Support - Tables'!$C$3:$C$10, "Not Found",0)</f>
        <v>600</v>
      </c>
      <c r="P407" s="6">
        <f>_xlfn.XLOOKUP(Table1[[#This Row],[Diet]],'Support - Tables'!$B$14:$B$16,'Support - Tables'!$C$14:$C$16, "Not Found", 0)</f>
        <v>400</v>
      </c>
      <c r="Q407" s="6">
        <f>Table1[[#This Row],[Revenue]]-Table1[[#This Row],[Cost]]</f>
        <v>200</v>
      </c>
      <c r="R407" s="6">
        <f>COUNTBLANK(Table1[[#This Row],[Diet]:[Region]])</f>
        <v>0</v>
      </c>
      <c r="S407" s="6"/>
      <c r="T407" s="6"/>
    </row>
    <row r="408" spans="1:20" x14ac:dyDescent="0.25">
      <c r="A408" s="2" t="s">
        <v>466</v>
      </c>
      <c r="B408" s="1" t="s">
        <v>15</v>
      </c>
      <c r="C408" s="1">
        <v>20</v>
      </c>
      <c r="D408" s="1" t="s">
        <v>706</v>
      </c>
      <c r="E408" s="1">
        <f>IF(Table1[[#This Row],[Lifespan Unit]]="months", Table1[[#This Row],[Lifespan]]/12,Table1[[#This Row],[Lifespan]])</f>
        <v>20</v>
      </c>
      <c r="F408" s="1" t="s">
        <v>569</v>
      </c>
      <c r="G408" s="1" t="str">
        <f t="shared" si="12"/>
        <v>4.4</v>
      </c>
      <c r="H408" s="1" t="str">
        <f t="shared" si="13"/>
        <v>lbs</v>
      </c>
      <c r="I408" s="1" t="str">
        <f>IF(Table1[[#This Row],[Lifespan (Years)]]&lt;25, "&lt;25", IF(Table1[[#This Row],[Lifespan (Years)]]&lt;50, "25-49", IF(Table1[[#This Row],[Lifespan (Years)]]&lt;75, "50-74", IF(Table1[[#This Row],[Lifespan (Years)]]&lt;100, "75-99", "&gt;=100"))))</f>
        <v>&lt;25</v>
      </c>
      <c r="J408" s="14">
        <f>IF(Table1[[#This Row],[Weight Unit]]="oz",Table1[[#This Row],[Weight (Digits)]]/16, Table1[[#This Row],[Weight (Digits)]]/1)</f>
        <v>4.4000000000000004</v>
      </c>
      <c r="K40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08" s="1" t="s">
        <v>5</v>
      </c>
      <c r="M408" s="1" t="str">
        <f>IF(COUNTIF(Table2[Animal],Table1[[#This Row],[Animal]]) = 1, "Previous Participant", "New Participant")</f>
        <v>Previous Participant</v>
      </c>
      <c r="N408" s="1" t="str">
        <f>_xlfn.XLOOKUP(Table1[[#This Row],[Region]],'Support - Tables'!$B$3:$B$10,'Support - Tables'!$D$3:$D$10,"Not Found",0)</f>
        <v>Boat</v>
      </c>
      <c r="O408" s="6">
        <f>_xlfn.XLOOKUP(Table1[[#This Row],[Region]],'Support - Tables'!$B$3:$B$10,'Support - Tables'!$C$3:$C$10, "Not Found",0)</f>
        <v>400</v>
      </c>
      <c r="P408" s="6">
        <f>_xlfn.XLOOKUP(Table1[[#This Row],[Diet]],'Support - Tables'!$B$14:$B$16,'Support - Tables'!$C$14:$C$16, "Not Found", 0)</f>
        <v>500</v>
      </c>
      <c r="Q408" s="6">
        <f>Table1[[#This Row],[Revenue]]-Table1[[#This Row],[Cost]]</f>
        <v>-100</v>
      </c>
      <c r="R408" s="6">
        <f>COUNTBLANK(Table1[[#This Row],[Diet]:[Region]])</f>
        <v>0</v>
      </c>
      <c r="S408" s="6"/>
      <c r="T408" s="6"/>
    </row>
    <row r="409" spans="1:20" x14ac:dyDescent="0.25">
      <c r="A409" s="2" t="s">
        <v>467</v>
      </c>
      <c r="B409" s="1" t="s">
        <v>13</v>
      </c>
      <c r="C409" s="1">
        <v>15</v>
      </c>
      <c r="D409" s="1" t="s">
        <v>706</v>
      </c>
      <c r="E409" s="1">
        <f>IF(Table1[[#This Row],[Lifespan Unit]]="months", Table1[[#This Row],[Lifespan]]/12,Table1[[#This Row],[Lifespan]])</f>
        <v>15</v>
      </c>
      <c r="F409" s="1" t="s">
        <v>644</v>
      </c>
      <c r="G409" s="1" t="str">
        <f t="shared" si="12"/>
        <v>2.6</v>
      </c>
      <c r="H409" s="1" t="str">
        <f t="shared" si="13"/>
        <v>lbs</v>
      </c>
      <c r="I409" s="1" t="str">
        <f>IF(Table1[[#This Row],[Lifespan (Years)]]&lt;25, "&lt;25", IF(Table1[[#This Row],[Lifespan (Years)]]&lt;50, "25-49", IF(Table1[[#This Row],[Lifespan (Years)]]&lt;75, "50-74", IF(Table1[[#This Row],[Lifespan (Years)]]&lt;100, "75-99", "&gt;=100"))))</f>
        <v>&lt;25</v>
      </c>
      <c r="J409" s="14">
        <f>IF(Table1[[#This Row],[Weight Unit]]="oz",Table1[[#This Row],[Weight (Digits)]]/16, Table1[[#This Row],[Weight (Digits)]]/1)</f>
        <v>2.6</v>
      </c>
      <c r="K40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09" s="1" t="s">
        <v>724</v>
      </c>
      <c r="M409" s="1" t="str">
        <f>IF(COUNTIF(Table2[Animal],Table1[[#This Row],[Animal]]) = 1, "Previous Participant", "New Participant")</f>
        <v>Previous Participant</v>
      </c>
      <c r="N409" s="1" t="str">
        <f>_xlfn.XLOOKUP(Table1[[#This Row],[Region]],'Support - Tables'!$B$3:$B$10,'Support - Tables'!$D$3:$D$10,"Not Found",0)</f>
        <v>Road</v>
      </c>
      <c r="O409" s="6">
        <f>_xlfn.XLOOKUP(Table1[[#This Row],[Region]],'Support - Tables'!$B$3:$B$10,'Support - Tables'!$C$3:$C$10, "Not Found",0)</f>
        <v>450</v>
      </c>
      <c r="P409" s="6">
        <f>_xlfn.XLOOKUP(Table1[[#This Row],[Diet]],'Support - Tables'!$B$14:$B$16,'Support - Tables'!$C$14:$C$16, "Not Found", 0)</f>
        <v>400</v>
      </c>
      <c r="Q409" s="6">
        <f>Table1[[#This Row],[Revenue]]-Table1[[#This Row],[Cost]]</f>
        <v>50</v>
      </c>
      <c r="R409" s="6">
        <f>COUNTBLANK(Table1[[#This Row],[Diet]:[Region]])</f>
        <v>0</v>
      </c>
      <c r="S409" s="6"/>
      <c r="T409" s="6"/>
    </row>
    <row r="410" spans="1:20" x14ac:dyDescent="0.25">
      <c r="A410" s="2" t="s">
        <v>468</v>
      </c>
      <c r="B410" s="1" t="s">
        <v>13</v>
      </c>
      <c r="C410" s="1">
        <v>9</v>
      </c>
      <c r="D410" s="1" t="s">
        <v>706</v>
      </c>
      <c r="E410" s="1">
        <f>IF(Table1[[#This Row],[Lifespan Unit]]="months", Table1[[#This Row],[Lifespan]]/12,Table1[[#This Row],[Lifespan]])</f>
        <v>9</v>
      </c>
      <c r="F410" s="1" t="s">
        <v>36</v>
      </c>
      <c r="G410" s="1" t="str">
        <f t="shared" si="12"/>
        <v>110</v>
      </c>
      <c r="H410" s="1" t="str">
        <f t="shared" si="13"/>
        <v>lbs</v>
      </c>
      <c r="I410" s="1" t="str">
        <f>IF(Table1[[#This Row],[Lifespan (Years)]]&lt;25, "&lt;25", IF(Table1[[#This Row],[Lifespan (Years)]]&lt;50, "25-49", IF(Table1[[#This Row],[Lifespan (Years)]]&lt;75, "50-74", IF(Table1[[#This Row],[Lifespan (Years)]]&lt;100, "75-99", "&gt;=100"))))</f>
        <v>&lt;25</v>
      </c>
      <c r="J410" s="14">
        <f>IF(Table1[[#This Row],[Weight Unit]]="oz",Table1[[#This Row],[Weight (Digits)]]/16, Table1[[#This Row],[Weight (Digits)]]/1)</f>
        <v>110</v>
      </c>
      <c r="K41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410" s="1" t="s">
        <v>725</v>
      </c>
      <c r="M410" s="1" t="str">
        <f>IF(COUNTIF(Table2[Animal],Table1[[#This Row],[Animal]]) = 1, "Previous Participant", "New Participant")</f>
        <v>New Participant</v>
      </c>
      <c r="N410" s="1" t="str">
        <f>_xlfn.XLOOKUP(Table1[[#This Row],[Region]],'Support - Tables'!$B$3:$B$10,'Support - Tables'!$D$3:$D$10,"Not Found",0)</f>
        <v>Air</v>
      </c>
      <c r="O410" s="6">
        <f>_xlfn.XLOOKUP(Table1[[#This Row],[Region]],'Support - Tables'!$B$3:$B$10,'Support - Tables'!$C$3:$C$10, "Not Found",0)</f>
        <v>600</v>
      </c>
      <c r="P410" s="6">
        <f>_xlfn.XLOOKUP(Table1[[#This Row],[Diet]],'Support - Tables'!$B$14:$B$16,'Support - Tables'!$C$14:$C$16, "Not Found", 0)</f>
        <v>400</v>
      </c>
      <c r="Q410" s="6">
        <f>Table1[[#This Row],[Revenue]]-Table1[[#This Row],[Cost]]</f>
        <v>200</v>
      </c>
      <c r="R410" s="6">
        <f>COUNTBLANK(Table1[[#This Row],[Diet]:[Region]])</f>
        <v>0</v>
      </c>
      <c r="S410" s="6"/>
      <c r="T410" s="6"/>
    </row>
    <row r="411" spans="1:20" x14ac:dyDescent="0.25">
      <c r="A411" s="2" t="s">
        <v>469</v>
      </c>
      <c r="B411" s="1" t="s">
        <v>15</v>
      </c>
      <c r="C411" s="1">
        <v>14</v>
      </c>
      <c r="D411" s="1" t="s">
        <v>706</v>
      </c>
      <c r="E411" s="1">
        <f>IF(Table1[[#This Row],[Lifespan Unit]]="months", Table1[[#This Row],[Lifespan]]/12,Table1[[#This Row],[Lifespan]])</f>
        <v>14</v>
      </c>
      <c r="F411" s="1" t="s">
        <v>16</v>
      </c>
      <c r="G411" s="1" t="str">
        <f t="shared" si="12"/>
        <v>10</v>
      </c>
      <c r="H411" s="1" t="str">
        <f t="shared" si="13"/>
        <v>lbs</v>
      </c>
      <c r="I411" s="1" t="str">
        <f>IF(Table1[[#This Row],[Lifespan (Years)]]&lt;25, "&lt;25", IF(Table1[[#This Row],[Lifespan (Years)]]&lt;50, "25-49", IF(Table1[[#This Row],[Lifespan (Years)]]&lt;75, "50-74", IF(Table1[[#This Row],[Lifespan (Years)]]&lt;100, "75-99", "&gt;=100"))))</f>
        <v>&lt;25</v>
      </c>
      <c r="J411" s="14">
        <f>IF(Table1[[#This Row],[Weight Unit]]="oz",Table1[[#This Row],[Weight (Digits)]]/16, Table1[[#This Row],[Weight (Digits)]]/1)</f>
        <v>10</v>
      </c>
      <c r="K41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11" s="1" t="s">
        <v>5</v>
      </c>
      <c r="M411" s="1" t="str">
        <f>IF(COUNTIF(Table2[Animal],Table1[[#This Row],[Animal]]) = 1, "Previous Participant", "New Participant")</f>
        <v>Previous Participant</v>
      </c>
      <c r="N411" s="1" t="str">
        <f>_xlfn.XLOOKUP(Table1[[#This Row],[Region]],'Support - Tables'!$B$3:$B$10,'Support - Tables'!$D$3:$D$10,"Not Found",0)</f>
        <v>Boat</v>
      </c>
      <c r="O411" s="6">
        <f>_xlfn.XLOOKUP(Table1[[#This Row],[Region]],'Support - Tables'!$B$3:$B$10,'Support - Tables'!$C$3:$C$10, "Not Found",0)</f>
        <v>400</v>
      </c>
      <c r="P411" s="6">
        <f>_xlfn.XLOOKUP(Table1[[#This Row],[Diet]],'Support - Tables'!$B$14:$B$16,'Support - Tables'!$C$14:$C$16, "Not Found", 0)</f>
        <v>500</v>
      </c>
      <c r="Q411" s="6">
        <f>Table1[[#This Row],[Revenue]]-Table1[[#This Row],[Cost]]</f>
        <v>-100</v>
      </c>
      <c r="R411" s="6">
        <f>COUNTBLANK(Table1[[#This Row],[Diet]:[Region]])</f>
        <v>0</v>
      </c>
      <c r="S411" s="6"/>
      <c r="T411" s="6"/>
    </row>
    <row r="412" spans="1:20" x14ac:dyDescent="0.25">
      <c r="A412" s="2" t="s">
        <v>470</v>
      </c>
      <c r="B412" s="1" t="s">
        <v>13</v>
      </c>
      <c r="C412" s="1">
        <v>10</v>
      </c>
      <c r="D412" s="1" t="s">
        <v>706</v>
      </c>
      <c r="E412" s="1">
        <f>IF(Table1[[#This Row],[Lifespan Unit]]="months", Table1[[#This Row],[Lifespan]]/12,Table1[[#This Row],[Lifespan]])</f>
        <v>10</v>
      </c>
      <c r="F412" s="1" t="s">
        <v>471</v>
      </c>
      <c r="G412" s="1" t="str">
        <f t="shared" si="12"/>
        <v>200</v>
      </c>
      <c r="H412" s="1" t="str">
        <f t="shared" si="13"/>
        <v>lbs</v>
      </c>
      <c r="I412" s="1" t="str">
        <f>IF(Table1[[#This Row],[Lifespan (Years)]]&lt;25, "&lt;25", IF(Table1[[#This Row],[Lifespan (Years)]]&lt;50, "25-49", IF(Table1[[#This Row],[Lifespan (Years)]]&lt;75, "50-74", IF(Table1[[#This Row],[Lifespan (Years)]]&lt;100, "75-99", "&gt;=100"))))</f>
        <v>&lt;25</v>
      </c>
      <c r="J412" s="14">
        <f>IF(Table1[[#This Row],[Weight Unit]]="oz",Table1[[#This Row],[Weight (Digits)]]/16, Table1[[#This Row],[Weight (Digits)]]/1)</f>
        <v>200</v>
      </c>
      <c r="K41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200-299</v>
      </c>
      <c r="L412" s="1" t="s">
        <v>5</v>
      </c>
      <c r="M412" s="1" t="str">
        <f>IF(COUNTIF(Table2[Animal],Table1[[#This Row],[Animal]]) = 1, "Previous Participant", "New Participant")</f>
        <v>Previous Participant</v>
      </c>
      <c r="N412" s="1" t="str">
        <f>_xlfn.XLOOKUP(Table1[[#This Row],[Region]],'Support - Tables'!$B$3:$B$10,'Support - Tables'!$D$3:$D$10,"Not Found",0)</f>
        <v>Boat</v>
      </c>
      <c r="O412" s="6">
        <f>_xlfn.XLOOKUP(Table1[[#This Row],[Region]],'Support - Tables'!$B$3:$B$10,'Support - Tables'!$C$3:$C$10, "Not Found",0)</f>
        <v>400</v>
      </c>
      <c r="P412" s="6">
        <f>_xlfn.XLOOKUP(Table1[[#This Row],[Diet]],'Support - Tables'!$B$14:$B$16,'Support - Tables'!$C$14:$C$16, "Not Found", 0)</f>
        <v>400</v>
      </c>
      <c r="Q412" s="6">
        <f>Table1[[#This Row],[Revenue]]-Table1[[#This Row],[Cost]]</f>
        <v>0</v>
      </c>
      <c r="R412" s="6">
        <f>COUNTBLANK(Table1[[#This Row],[Diet]:[Region]])</f>
        <v>0</v>
      </c>
      <c r="S412" s="6"/>
      <c r="T412" s="6"/>
    </row>
    <row r="413" spans="1:20" x14ac:dyDescent="0.25">
      <c r="A413" s="2" t="s">
        <v>472</v>
      </c>
      <c r="B413" s="1" t="s">
        <v>15</v>
      </c>
      <c r="C413" s="1">
        <v>20</v>
      </c>
      <c r="D413" s="1" t="s">
        <v>706</v>
      </c>
      <c r="E413" s="1">
        <f>IF(Table1[[#This Row],[Lifespan Unit]]="months", Table1[[#This Row],[Lifespan]]/12,Table1[[#This Row],[Lifespan]])</f>
        <v>20</v>
      </c>
      <c r="F413" s="1" t="s">
        <v>659</v>
      </c>
      <c r="G413" s="1" t="str">
        <f t="shared" si="12"/>
        <v>0.2</v>
      </c>
      <c r="H413" s="1" t="str">
        <f t="shared" si="13"/>
        <v>lbs</v>
      </c>
      <c r="I413" s="1" t="str">
        <f>IF(Table1[[#This Row],[Lifespan (Years)]]&lt;25, "&lt;25", IF(Table1[[#This Row],[Lifespan (Years)]]&lt;50, "25-49", IF(Table1[[#This Row],[Lifespan (Years)]]&lt;75, "50-74", IF(Table1[[#This Row],[Lifespan (Years)]]&lt;100, "75-99", "&gt;=100"))))</f>
        <v>&lt;25</v>
      </c>
      <c r="J413" s="14">
        <f>IF(Table1[[#This Row],[Weight Unit]]="oz",Table1[[#This Row],[Weight (Digits)]]/16, Table1[[#This Row],[Weight (Digits)]]/1)</f>
        <v>0.2</v>
      </c>
      <c r="K41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13" s="1" t="s">
        <v>724</v>
      </c>
      <c r="M413" s="1" t="str">
        <f>IF(COUNTIF(Table2[Animal],Table1[[#This Row],[Animal]]) = 1, "Previous Participant", "New Participant")</f>
        <v>Previous Participant</v>
      </c>
      <c r="N413" s="1" t="str">
        <f>_xlfn.XLOOKUP(Table1[[#This Row],[Region]],'Support - Tables'!$B$3:$B$10,'Support - Tables'!$D$3:$D$10,"Not Found",0)</f>
        <v>Road</v>
      </c>
      <c r="O413" s="6">
        <f>_xlfn.XLOOKUP(Table1[[#This Row],[Region]],'Support - Tables'!$B$3:$B$10,'Support - Tables'!$C$3:$C$10, "Not Found",0)</f>
        <v>450</v>
      </c>
      <c r="P413" s="6">
        <f>_xlfn.XLOOKUP(Table1[[#This Row],[Diet]],'Support - Tables'!$B$14:$B$16,'Support - Tables'!$C$14:$C$16, "Not Found", 0)</f>
        <v>500</v>
      </c>
      <c r="Q413" s="6">
        <f>Table1[[#This Row],[Revenue]]-Table1[[#This Row],[Cost]]</f>
        <v>-50</v>
      </c>
      <c r="R413" s="6">
        <f>COUNTBLANK(Table1[[#This Row],[Diet]:[Region]])</f>
        <v>0</v>
      </c>
      <c r="S413" s="6"/>
      <c r="T413" s="6"/>
    </row>
    <row r="414" spans="1:20" x14ac:dyDescent="0.25">
      <c r="A414" s="2" t="s">
        <v>473</v>
      </c>
      <c r="B414" s="1" t="s">
        <v>15</v>
      </c>
      <c r="C414" s="1">
        <v>8</v>
      </c>
      <c r="D414" s="1" t="s">
        <v>706</v>
      </c>
      <c r="E414" s="1">
        <f>IF(Table1[[#This Row],[Lifespan Unit]]="months", Table1[[#This Row],[Lifespan]]/12,Table1[[#This Row],[Lifespan]])</f>
        <v>8</v>
      </c>
      <c r="F414" s="1" t="s">
        <v>646</v>
      </c>
      <c r="G414" s="1" t="str">
        <f t="shared" si="12"/>
        <v>0.35</v>
      </c>
      <c r="H414" s="1" t="str">
        <f t="shared" si="13"/>
        <v>oz</v>
      </c>
      <c r="I414" s="1" t="str">
        <f>IF(Table1[[#This Row],[Lifespan (Years)]]&lt;25, "&lt;25", IF(Table1[[#This Row],[Lifespan (Years)]]&lt;50, "25-49", IF(Table1[[#This Row],[Lifespan (Years)]]&lt;75, "50-74", IF(Table1[[#This Row],[Lifespan (Years)]]&lt;100, "75-99", "&gt;=100"))))</f>
        <v>&lt;25</v>
      </c>
      <c r="J414" s="14">
        <f>IF(Table1[[#This Row],[Weight Unit]]="oz",Table1[[#This Row],[Weight (Digits)]]/16, Table1[[#This Row],[Weight (Digits)]]/1)</f>
        <v>2.1874999999999999E-2</v>
      </c>
      <c r="K41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14" s="1" t="s">
        <v>724</v>
      </c>
      <c r="M414" s="1" t="str">
        <f>IF(COUNTIF(Table2[Animal],Table1[[#This Row],[Animal]]) = 1, "Previous Participant", "New Participant")</f>
        <v>Previous Participant</v>
      </c>
      <c r="N414" s="1" t="str">
        <f>_xlfn.XLOOKUP(Table1[[#This Row],[Region]],'Support - Tables'!$B$3:$B$10,'Support - Tables'!$D$3:$D$10,"Not Found",0)</f>
        <v>Road</v>
      </c>
      <c r="O414" s="6">
        <f>_xlfn.XLOOKUP(Table1[[#This Row],[Region]],'Support - Tables'!$B$3:$B$10,'Support - Tables'!$C$3:$C$10, "Not Found",0)</f>
        <v>450</v>
      </c>
      <c r="P414" s="6">
        <f>_xlfn.XLOOKUP(Table1[[#This Row],[Diet]],'Support - Tables'!$B$14:$B$16,'Support - Tables'!$C$14:$C$16, "Not Found", 0)</f>
        <v>500</v>
      </c>
      <c r="Q414" s="6">
        <f>Table1[[#This Row],[Revenue]]-Table1[[#This Row],[Cost]]</f>
        <v>-50</v>
      </c>
      <c r="R414" s="6">
        <f>COUNTBLANK(Table1[[#This Row],[Diet]:[Region]])</f>
        <v>0</v>
      </c>
      <c r="S414" s="6"/>
      <c r="T414" s="6"/>
    </row>
    <row r="415" spans="1:20" x14ac:dyDescent="0.25">
      <c r="A415" s="2" t="s">
        <v>474</v>
      </c>
      <c r="B415" s="1" t="s">
        <v>15</v>
      </c>
      <c r="C415" s="1">
        <v>25</v>
      </c>
      <c r="D415" s="1" t="s">
        <v>706</v>
      </c>
      <c r="E415" s="1">
        <f>IF(Table1[[#This Row],[Lifespan Unit]]="months", Table1[[#This Row],[Lifespan]]/12,Table1[[#This Row],[Lifespan]])</f>
        <v>25</v>
      </c>
      <c r="F415" s="1" t="s">
        <v>581</v>
      </c>
      <c r="G415" s="1" t="str">
        <f t="shared" si="12"/>
        <v>0.4</v>
      </c>
      <c r="H415" s="1" t="str">
        <f t="shared" si="13"/>
        <v>lbs</v>
      </c>
      <c r="I415" s="1" t="str">
        <f>IF(Table1[[#This Row],[Lifespan (Years)]]&lt;25, "&lt;25", IF(Table1[[#This Row],[Lifespan (Years)]]&lt;50, "25-49", IF(Table1[[#This Row],[Lifespan (Years)]]&lt;75, "50-74", IF(Table1[[#This Row],[Lifespan (Years)]]&lt;100, "75-99", "&gt;=100"))))</f>
        <v>25-49</v>
      </c>
      <c r="J415" s="14">
        <f>IF(Table1[[#This Row],[Weight Unit]]="oz",Table1[[#This Row],[Weight (Digits)]]/16, Table1[[#This Row],[Weight (Digits)]]/1)</f>
        <v>0.4</v>
      </c>
      <c r="K41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15" s="1" t="s">
        <v>724</v>
      </c>
      <c r="M415" s="1" t="str">
        <f>IF(COUNTIF(Table2[Animal],Table1[[#This Row],[Animal]]) = 1, "Previous Participant", "New Participant")</f>
        <v>Previous Participant</v>
      </c>
      <c r="N415" s="1" t="str">
        <f>_xlfn.XLOOKUP(Table1[[#This Row],[Region]],'Support - Tables'!$B$3:$B$10,'Support - Tables'!$D$3:$D$10,"Not Found",0)</f>
        <v>Road</v>
      </c>
      <c r="O415" s="6">
        <f>_xlfn.XLOOKUP(Table1[[#This Row],[Region]],'Support - Tables'!$B$3:$B$10,'Support - Tables'!$C$3:$C$10, "Not Found",0)</f>
        <v>450</v>
      </c>
      <c r="P415" s="6">
        <f>_xlfn.XLOOKUP(Table1[[#This Row],[Diet]],'Support - Tables'!$B$14:$B$16,'Support - Tables'!$C$14:$C$16, "Not Found", 0)</f>
        <v>500</v>
      </c>
      <c r="Q415" s="6">
        <f>Table1[[#This Row],[Revenue]]-Table1[[#This Row],[Cost]]</f>
        <v>-50</v>
      </c>
      <c r="R415" s="6">
        <f>COUNTBLANK(Table1[[#This Row],[Diet]:[Region]])</f>
        <v>0</v>
      </c>
      <c r="S415" s="6"/>
      <c r="T415" s="6"/>
    </row>
    <row r="416" spans="1:20" x14ac:dyDescent="0.25">
      <c r="A416" s="2" t="s">
        <v>475</v>
      </c>
      <c r="B416" s="1" t="s">
        <v>13</v>
      </c>
      <c r="C416" s="1">
        <v>15</v>
      </c>
      <c r="D416" s="1" t="s">
        <v>706</v>
      </c>
      <c r="E416" s="1">
        <f>IF(Table1[[#This Row],[Lifespan Unit]]="months", Table1[[#This Row],[Lifespan]]/12,Table1[[#This Row],[Lifespan]])</f>
        <v>15</v>
      </c>
      <c r="F416" s="1" t="s">
        <v>573</v>
      </c>
      <c r="G416" s="1" t="str">
        <f t="shared" si="12"/>
        <v/>
      </c>
      <c r="H416" s="1" t="str">
        <f t="shared" si="13"/>
        <v/>
      </c>
      <c r="I416" s="1" t="str">
        <f>IF(Table1[[#This Row],[Lifespan (Years)]]&lt;25, "&lt;25", IF(Table1[[#This Row],[Lifespan (Years)]]&lt;50, "25-49", IF(Table1[[#This Row],[Lifespan (Years)]]&lt;75, "50-74", IF(Table1[[#This Row],[Lifespan (Years)]]&lt;100, "75-99", "&gt;=100"))))</f>
        <v>&lt;25</v>
      </c>
      <c r="J416" s="14">
        <v>0</v>
      </c>
      <c r="K41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416" s="1" t="s">
        <v>1</v>
      </c>
      <c r="M416" s="1" t="str">
        <f>IF(COUNTIF(Table2[Animal],Table1[[#This Row],[Animal]]) = 1, "Previous Participant", "New Participant")</f>
        <v>New Participant</v>
      </c>
      <c r="N416" s="1" t="str">
        <f>_xlfn.XLOOKUP(Table1[[#This Row],[Region]],'Support - Tables'!$B$3:$B$10,'Support - Tables'!$D$3:$D$10,"Not Found",0)</f>
        <v>Air</v>
      </c>
      <c r="O416" s="6">
        <f>_xlfn.XLOOKUP(Table1[[#This Row],[Region]],'Support - Tables'!$B$3:$B$10,'Support - Tables'!$C$3:$C$10, "Not Found",0)</f>
        <v>700</v>
      </c>
      <c r="P416" s="6">
        <f>_xlfn.XLOOKUP(Table1[[#This Row],[Diet]],'Support - Tables'!$B$14:$B$16,'Support - Tables'!$C$14:$C$16, "Not Found", 0)</f>
        <v>400</v>
      </c>
      <c r="Q416" s="6">
        <f>Table1[[#This Row],[Revenue]]-Table1[[#This Row],[Cost]]</f>
        <v>300</v>
      </c>
      <c r="R416" s="6">
        <f>COUNTBLANK(Table1[[#This Row],[Diet]:[Region]])</f>
        <v>3</v>
      </c>
      <c r="S416" s="6"/>
      <c r="T416" s="6"/>
    </row>
    <row r="417" spans="1:20" x14ac:dyDescent="0.25">
      <c r="A417" s="2" t="s">
        <v>476</v>
      </c>
      <c r="B417" s="1" t="s">
        <v>13</v>
      </c>
      <c r="C417" s="1">
        <v>22</v>
      </c>
      <c r="D417" s="1" t="s">
        <v>706</v>
      </c>
      <c r="E417" s="1">
        <f>IF(Table1[[#This Row],[Lifespan Unit]]="months", Table1[[#This Row],[Lifespan]]/12,Table1[[#This Row],[Lifespan]])</f>
        <v>22</v>
      </c>
      <c r="F417" s="1" t="s">
        <v>597</v>
      </c>
      <c r="G417" s="1" t="str">
        <f t="shared" si="12"/>
        <v>660</v>
      </c>
      <c r="H417" s="1" t="str">
        <f t="shared" si="13"/>
        <v>lbs</v>
      </c>
      <c r="I417" s="1" t="str">
        <f>IF(Table1[[#This Row],[Lifespan (Years)]]&lt;25, "&lt;25", IF(Table1[[#This Row],[Lifespan (Years)]]&lt;50, "25-49", IF(Table1[[#This Row],[Lifespan (Years)]]&lt;75, "50-74", IF(Table1[[#This Row],[Lifespan (Years)]]&lt;100, "75-99", "&gt;=100"))))</f>
        <v>&lt;25</v>
      </c>
      <c r="J417" s="14">
        <f>IF(Table1[[#This Row],[Weight Unit]]="oz",Table1[[#This Row],[Weight (Digits)]]/16, Table1[[#This Row],[Weight (Digits)]]/1)</f>
        <v>660</v>
      </c>
      <c r="K41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417" s="1" t="s">
        <v>1</v>
      </c>
      <c r="M417" s="1" t="str">
        <f>IF(COUNTIF(Table2[Animal],Table1[[#This Row],[Animal]]) = 1, "Previous Participant", "New Participant")</f>
        <v>Previous Participant</v>
      </c>
      <c r="N417" s="1" t="str">
        <f>_xlfn.XLOOKUP(Table1[[#This Row],[Region]],'Support - Tables'!$B$3:$B$10,'Support - Tables'!$D$3:$D$10,"Not Found",0)</f>
        <v>Air</v>
      </c>
      <c r="O417" s="6">
        <f>_xlfn.XLOOKUP(Table1[[#This Row],[Region]],'Support - Tables'!$B$3:$B$10,'Support - Tables'!$C$3:$C$10, "Not Found",0)</f>
        <v>700</v>
      </c>
      <c r="P417" s="6">
        <f>_xlfn.XLOOKUP(Table1[[#This Row],[Diet]],'Support - Tables'!$B$14:$B$16,'Support - Tables'!$C$14:$C$16, "Not Found", 0)</f>
        <v>400</v>
      </c>
      <c r="Q417" s="6">
        <f>Table1[[#This Row],[Revenue]]-Table1[[#This Row],[Cost]]</f>
        <v>300</v>
      </c>
      <c r="R417" s="6">
        <f>COUNTBLANK(Table1[[#This Row],[Diet]:[Region]])</f>
        <v>0</v>
      </c>
      <c r="S417" s="6"/>
      <c r="T417" s="6"/>
    </row>
    <row r="418" spans="1:20" x14ac:dyDescent="0.25">
      <c r="A418" s="2" t="s">
        <v>477</v>
      </c>
      <c r="B418" s="1" t="s">
        <v>13</v>
      </c>
      <c r="C418" s="1">
        <v>15</v>
      </c>
      <c r="D418" s="1" t="s">
        <v>706</v>
      </c>
      <c r="E418" s="1">
        <f>IF(Table1[[#This Row],[Lifespan Unit]]="months", Table1[[#This Row],[Lifespan]]/12,Table1[[#This Row],[Lifespan]])</f>
        <v>15</v>
      </c>
      <c r="F418" s="1" t="s">
        <v>98</v>
      </c>
      <c r="G418" s="1" t="str">
        <f t="shared" si="12"/>
        <v>30</v>
      </c>
      <c r="H418" s="1" t="str">
        <f t="shared" si="13"/>
        <v>lbs</v>
      </c>
      <c r="I418" s="1" t="str">
        <f>IF(Table1[[#This Row],[Lifespan (Years)]]&lt;25, "&lt;25", IF(Table1[[#This Row],[Lifespan (Years)]]&lt;50, "25-49", IF(Table1[[#This Row],[Lifespan (Years)]]&lt;75, "50-74", IF(Table1[[#This Row],[Lifespan (Years)]]&lt;100, "75-99", "&gt;=100"))))</f>
        <v>&lt;25</v>
      </c>
      <c r="J418" s="14">
        <f>IF(Table1[[#This Row],[Weight Unit]]="oz",Table1[[#This Row],[Weight (Digits)]]/16, Table1[[#This Row],[Weight (Digits)]]/1)</f>
        <v>30</v>
      </c>
      <c r="K41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18" s="1" t="s">
        <v>724</v>
      </c>
      <c r="M418" s="1" t="str">
        <f>IF(COUNTIF(Table2[Animal],Table1[[#This Row],[Animal]]) = 1, "Previous Participant", "New Participant")</f>
        <v>Previous Participant</v>
      </c>
      <c r="N418" s="1" t="str">
        <f>_xlfn.XLOOKUP(Table1[[#This Row],[Region]],'Support - Tables'!$B$3:$B$10,'Support - Tables'!$D$3:$D$10,"Not Found",0)</f>
        <v>Road</v>
      </c>
      <c r="O418" s="6">
        <f>_xlfn.XLOOKUP(Table1[[#This Row],[Region]],'Support - Tables'!$B$3:$B$10,'Support - Tables'!$C$3:$C$10, "Not Found",0)</f>
        <v>450</v>
      </c>
      <c r="P418" s="6">
        <f>_xlfn.XLOOKUP(Table1[[#This Row],[Diet]],'Support - Tables'!$B$14:$B$16,'Support - Tables'!$C$14:$C$16, "Not Found", 0)</f>
        <v>400</v>
      </c>
      <c r="Q418" s="6">
        <f>Table1[[#This Row],[Revenue]]-Table1[[#This Row],[Cost]]</f>
        <v>50</v>
      </c>
      <c r="R418" s="6">
        <f>COUNTBLANK(Table1[[#This Row],[Diet]:[Region]])</f>
        <v>0</v>
      </c>
      <c r="S418" s="6"/>
      <c r="T418" s="6"/>
    </row>
    <row r="419" spans="1:20" x14ac:dyDescent="0.25">
      <c r="A419" s="2" t="s">
        <v>478</v>
      </c>
      <c r="B419" s="1" t="s">
        <v>23</v>
      </c>
      <c r="C419" s="1">
        <v>4</v>
      </c>
      <c r="D419" s="1" t="s">
        <v>706</v>
      </c>
      <c r="E419" s="1">
        <f>IF(Table1[[#This Row],[Lifespan Unit]]="months", Table1[[#This Row],[Lifespan]]/12,Table1[[#This Row],[Lifespan]])</f>
        <v>4</v>
      </c>
      <c r="F419" s="1" t="s">
        <v>573</v>
      </c>
      <c r="G419" s="1" t="str">
        <f t="shared" si="12"/>
        <v/>
      </c>
      <c r="H419" s="1" t="str">
        <f t="shared" si="13"/>
        <v/>
      </c>
      <c r="I419" s="1" t="str">
        <f>IF(Table1[[#This Row],[Lifespan (Years)]]&lt;25, "&lt;25", IF(Table1[[#This Row],[Lifespan (Years)]]&lt;50, "25-49", IF(Table1[[#This Row],[Lifespan (Years)]]&lt;75, "50-74", IF(Table1[[#This Row],[Lifespan (Years)]]&lt;100, "75-99", "&gt;=100"))))</f>
        <v>&lt;25</v>
      </c>
      <c r="J419" s="14">
        <v>0</v>
      </c>
      <c r="K41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419" s="1" t="s">
        <v>724</v>
      </c>
      <c r="M419" s="1" t="str">
        <f>IF(COUNTIF(Table2[Animal],Table1[[#This Row],[Animal]]) = 1, "Previous Participant", "New Participant")</f>
        <v>Previous Participant</v>
      </c>
      <c r="N419" s="1" t="str">
        <f>_xlfn.XLOOKUP(Table1[[#This Row],[Region]],'Support - Tables'!$B$3:$B$10,'Support - Tables'!$D$3:$D$10,"Not Found",0)</f>
        <v>Road</v>
      </c>
      <c r="O419" s="6">
        <f>_xlfn.XLOOKUP(Table1[[#This Row],[Region]],'Support - Tables'!$B$3:$B$10,'Support - Tables'!$C$3:$C$10, "Not Found",0)</f>
        <v>450</v>
      </c>
      <c r="P419" s="6">
        <f>_xlfn.XLOOKUP(Table1[[#This Row],[Diet]],'Support - Tables'!$B$14:$B$16,'Support - Tables'!$C$14:$C$16, "Not Found", 0)</f>
        <v>300</v>
      </c>
      <c r="Q419" s="6">
        <f>Table1[[#This Row],[Revenue]]-Table1[[#This Row],[Cost]]</f>
        <v>150</v>
      </c>
      <c r="R419" s="6">
        <f>COUNTBLANK(Table1[[#This Row],[Diet]:[Region]])</f>
        <v>3</v>
      </c>
      <c r="S419" s="6"/>
      <c r="T419" s="6"/>
    </row>
    <row r="420" spans="1:20" x14ac:dyDescent="0.25">
      <c r="A420" s="2" t="s">
        <v>479</v>
      </c>
      <c r="B420" s="8" t="s">
        <v>13</v>
      </c>
      <c r="C420" s="1">
        <v>30</v>
      </c>
      <c r="D420" s="1" t="s">
        <v>706</v>
      </c>
      <c r="E420" s="1">
        <f>IF(Table1[[#This Row],[Lifespan Unit]]="months", Table1[[#This Row],[Lifespan]]/12,Table1[[#This Row],[Lifespan]])</f>
        <v>30</v>
      </c>
      <c r="F420" s="1" t="s">
        <v>675</v>
      </c>
      <c r="G420" s="1" t="str">
        <f t="shared" si="12"/>
        <v>3.5</v>
      </c>
      <c r="H420" s="1" t="str">
        <f t="shared" si="13"/>
        <v>lbs</v>
      </c>
      <c r="I420" s="1" t="str">
        <f>IF(Table1[[#This Row],[Lifespan (Years)]]&lt;25, "&lt;25", IF(Table1[[#This Row],[Lifespan (Years)]]&lt;50, "25-49", IF(Table1[[#This Row],[Lifespan (Years)]]&lt;75, "50-74", IF(Table1[[#This Row],[Lifespan (Years)]]&lt;100, "75-99", "&gt;=100"))))</f>
        <v>25-49</v>
      </c>
      <c r="J420" s="14">
        <f>IF(Table1[[#This Row],[Weight Unit]]="oz",Table1[[#This Row],[Weight (Digits)]]/16, Table1[[#This Row],[Weight (Digits)]]/1)</f>
        <v>3.5</v>
      </c>
      <c r="K42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20" s="1" t="s">
        <v>5</v>
      </c>
      <c r="M420" s="1" t="str">
        <f>IF(COUNTIF(Table2[Animal],Table1[[#This Row],[Animal]]) = 1, "Previous Participant", "New Participant")</f>
        <v>Previous Participant</v>
      </c>
      <c r="N420" s="1" t="str">
        <f>_xlfn.XLOOKUP(Table1[[#This Row],[Region]],'Support - Tables'!$B$3:$B$10,'Support - Tables'!$D$3:$D$10,"Not Found",0)</f>
        <v>Boat</v>
      </c>
      <c r="O420" s="6">
        <f>_xlfn.XLOOKUP(Table1[[#This Row],[Region]],'Support - Tables'!$B$3:$B$10,'Support - Tables'!$C$3:$C$10, "Not Found",0)</f>
        <v>400</v>
      </c>
      <c r="P420" s="6">
        <f>_xlfn.XLOOKUP(Table1[[#This Row],[Diet]],'Support - Tables'!$B$14:$B$16,'Support - Tables'!$C$14:$C$16, "Not Found", 0)</f>
        <v>400</v>
      </c>
      <c r="Q420" s="6">
        <f>Table1[[#This Row],[Revenue]]-Table1[[#This Row],[Cost]]</f>
        <v>0</v>
      </c>
      <c r="R420" s="6">
        <f>COUNTBLANK(Table1[[#This Row],[Diet]:[Region]])</f>
        <v>0</v>
      </c>
      <c r="S420" s="6"/>
      <c r="T420" s="6"/>
    </row>
    <row r="421" spans="1:20" x14ac:dyDescent="0.25">
      <c r="A421" s="2" t="s">
        <v>480</v>
      </c>
      <c r="B421" s="1" t="s">
        <v>13</v>
      </c>
      <c r="C421" s="1">
        <v>80</v>
      </c>
      <c r="D421" s="1" t="s">
        <v>706</v>
      </c>
      <c r="E421" s="1">
        <f>IF(Table1[[#This Row],[Lifespan Unit]]="months", Table1[[#This Row],[Lifespan]]/12,Table1[[#This Row],[Lifespan]])</f>
        <v>80</v>
      </c>
      <c r="F421" s="1" t="s">
        <v>669</v>
      </c>
      <c r="G421" s="1" t="str">
        <f t="shared" si="12"/>
        <v>350</v>
      </c>
      <c r="H421" s="1" t="str">
        <f t="shared" si="13"/>
        <v>lbs</v>
      </c>
      <c r="I421" s="1" t="str">
        <f>IF(Table1[[#This Row],[Lifespan (Years)]]&lt;25, "&lt;25", IF(Table1[[#This Row],[Lifespan (Years)]]&lt;50, "25-49", IF(Table1[[#This Row],[Lifespan (Years)]]&lt;75, "50-74", IF(Table1[[#This Row],[Lifespan (Years)]]&lt;100, "75-99", "&gt;=100"))))</f>
        <v>75-99</v>
      </c>
      <c r="J421" s="14">
        <f>IF(Table1[[#This Row],[Weight Unit]]="oz",Table1[[#This Row],[Weight (Digits)]]/16, Table1[[#This Row],[Weight (Digits)]]/1)</f>
        <v>350</v>
      </c>
      <c r="K42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300-399</v>
      </c>
      <c r="L421" s="1" t="s">
        <v>5</v>
      </c>
      <c r="M421" s="1" t="str">
        <f>IF(COUNTIF(Table2[Animal],Table1[[#This Row],[Animal]]) = 1, "Previous Participant", "New Participant")</f>
        <v>Previous Participant</v>
      </c>
      <c r="N421" s="1" t="str">
        <f>_xlfn.XLOOKUP(Table1[[#This Row],[Region]],'Support - Tables'!$B$3:$B$10,'Support - Tables'!$D$3:$D$10,"Not Found",0)</f>
        <v>Boat</v>
      </c>
      <c r="O421" s="6">
        <f>_xlfn.XLOOKUP(Table1[[#This Row],[Region]],'Support - Tables'!$B$3:$B$10,'Support - Tables'!$C$3:$C$10, "Not Found",0)</f>
        <v>400</v>
      </c>
      <c r="P421" s="6">
        <f>_xlfn.XLOOKUP(Table1[[#This Row],[Diet]],'Support - Tables'!$B$14:$B$16,'Support - Tables'!$C$14:$C$16, "Not Found", 0)</f>
        <v>400</v>
      </c>
      <c r="Q421" s="6">
        <f>Table1[[#This Row],[Revenue]]-Table1[[#This Row],[Cost]]</f>
        <v>0</v>
      </c>
      <c r="R421" s="6">
        <f>COUNTBLANK(Table1[[#This Row],[Diet]:[Region]])</f>
        <v>0</v>
      </c>
      <c r="S421" s="6"/>
      <c r="T421" s="6"/>
    </row>
    <row r="422" spans="1:20" x14ac:dyDescent="0.25">
      <c r="A422" s="2" t="s">
        <v>481</v>
      </c>
      <c r="B422" s="8" t="s">
        <v>13</v>
      </c>
      <c r="C422" s="1">
        <v>200</v>
      </c>
      <c r="D422" s="1" t="s">
        <v>706</v>
      </c>
      <c r="E422" s="1">
        <f>IF(Table1[[#This Row],[Lifespan Unit]]="months", Table1[[#This Row],[Lifespan]]/12,Table1[[#This Row],[Lifespan]])</f>
        <v>200</v>
      </c>
      <c r="F422" s="1" t="s">
        <v>573</v>
      </c>
      <c r="G422" s="1" t="str">
        <f t="shared" si="12"/>
        <v/>
      </c>
      <c r="H422" s="1" t="str">
        <f t="shared" si="13"/>
        <v/>
      </c>
      <c r="I422" s="1" t="str">
        <f>IF(Table1[[#This Row],[Lifespan (Years)]]&lt;25, "&lt;25", IF(Table1[[#This Row],[Lifespan (Years)]]&lt;50, "25-49", IF(Table1[[#This Row],[Lifespan (Years)]]&lt;75, "50-74", IF(Table1[[#This Row],[Lifespan (Years)]]&lt;100, "75-99", "&gt;=100"))))</f>
        <v>&gt;=100</v>
      </c>
      <c r="J422" s="14">
        <v>0</v>
      </c>
      <c r="K42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422" s="1" t="s">
        <v>725</v>
      </c>
      <c r="M422" s="1" t="str">
        <f>IF(COUNTIF(Table2[Animal],Table1[[#This Row],[Animal]]) = 1, "Previous Participant", "New Participant")</f>
        <v>Previous Participant</v>
      </c>
      <c r="N422" s="1" t="str">
        <f>_xlfn.XLOOKUP(Table1[[#This Row],[Region]],'Support - Tables'!$B$3:$B$10,'Support - Tables'!$D$3:$D$10,"Not Found",0)</f>
        <v>Air</v>
      </c>
      <c r="O422" s="6">
        <f>_xlfn.XLOOKUP(Table1[[#This Row],[Region]],'Support - Tables'!$B$3:$B$10,'Support - Tables'!$C$3:$C$10, "Not Found",0)</f>
        <v>600</v>
      </c>
      <c r="P422" s="6">
        <f>_xlfn.XLOOKUP(Table1[[#This Row],[Diet]],'Support - Tables'!$B$14:$B$16,'Support - Tables'!$C$14:$C$16, "Not Found", 0)</f>
        <v>400</v>
      </c>
      <c r="Q422" s="6">
        <f>Table1[[#This Row],[Revenue]]-Table1[[#This Row],[Cost]]</f>
        <v>200</v>
      </c>
      <c r="R422" s="6">
        <f>COUNTBLANK(Table1[[#This Row],[Diet]:[Region]])</f>
        <v>3</v>
      </c>
      <c r="S422" s="6"/>
      <c r="T422" s="6"/>
    </row>
    <row r="423" spans="1:20" x14ac:dyDescent="0.25">
      <c r="A423" s="2" t="s">
        <v>482</v>
      </c>
      <c r="B423" s="1" t="s">
        <v>13</v>
      </c>
      <c r="C423" s="1">
        <v>6</v>
      </c>
      <c r="D423" s="1" t="s">
        <v>706</v>
      </c>
      <c r="E423" s="1">
        <f>IF(Table1[[#This Row],[Lifespan Unit]]="months", Table1[[#This Row],[Lifespan]]/12,Table1[[#This Row],[Lifespan]])</f>
        <v>6</v>
      </c>
      <c r="F423" s="1" t="s">
        <v>573</v>
      </c>
      <c r="G423" s="1" t="str">
        <f t="shared" si="12"/>
        <v/>
      </c>
      <c r="H423" s="1" t="str">
        <f t="shared" si="13"/>
        <v/>
      </c>
      <c r="I423" s="1" t="str">
        <f>IF(Table1[[#This Row],[Lifespan (Years)]]&lt;25, "&lt;25", IF(Table1[[#This Row],[Lifespan (Years)]]&lt;50, "25-49", IF(Table1[[#This Row],[Lifespan (Years)]]&lt;75, "50-74", IF(Table1[[#This Row],[Lifespan (Years)]]&lt;100, "75-99", "&gt;=100"))))</f>
        <v>&lt;25</v>
      </c>
      <c r="J423" s="14">
        <v>0</v>
      </c>
      <c r="K42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423" s="1" t="s">
        <v>6</v>
      </c>
      <c r="M423" s="1" t="str">
        <f>IF(COUNTIF(Table2[Animal],Table1[[#This Row],[Animal]]) = 1, "Previous Participant", "New Participant")</f>
        <v>Previous Participant</v>
      </c>
      <c r="N423" s="1" t="str">
        <f>_xlfn.XLOOKUP(Table1[[#This Row],[Region]],'Support - Tables'!$B$3:$B$10,'Support - Tables'!$D$3:$D$10,"Not Found",0)</f>
        <v>Air</v>
      </c>
      <c r="O423" s="6">
        <f>_xlfn.XLOOKUP(Table1[[#This Row],[Region]],'Support - Tables'!$B$3:$B$10,'Support - Tables'!$C$3:$C$10, "Not Found",0)</f>
        <v>450</v>
      </c>
      <c r="P423" s="6">
        <f>_xlfn.XLOOKUP(Table1[[#This Row],[Diet]],'Support - Tables'!$B$14:$B$16,'Support - Tables'!$C$14:$C$16, "Not Found", 0)</f>
        <v>400</v>
      </c>
      <c r="Q423" s="6">
        <f>Table1[[#This Row],[Revenue]]-Table1[[#This Row],[Cost]]</f>
        <v>50</v>
      </c>
      <c r="R423" s="6">
        <f>COUNTBLANK(Table1[[#This Row],[Diet]:[Region]])</f>
        <v>3</v>
      </c>
      <c r="S423" s="6"/>
      <c r="T423" s="6"/>
    </row>
    <row r="424" spans="1:20" x14ac:dyDescent="0.25">
      <c r="A424" s="2" t="s">
        <v>483</v>
      </c>
      <c r="B424" s="1" t="s">
        <v>15</v>
      </c>
      <c r="C424" s="1">
        <v>25</v>
      </c>
      <c r="D424" s="1" t="s">
        <v>706</v>
      </c>
      <c r="E424" s="1">
        <f>IF(Table1[[#This Row],[Lifespan Unit]]="months", Table1[[#This Row],[Lifespan]]/12,Table1[[#This Row],[Lifespan]])</f>
        <v>25</v>
      </c>
      <c r="F424" s="1" t="s">
        <v>618</v>
      </c>
      <c r="G424" s="1" t="str">
        <f t="shared" si="12"/>
        <v>230</v>
      </c>
      <c r="H424" s="1" t="str">
        <f t="shared" si="13"/>
        <v>lbs</v>
      </c>
      <c r="I424" s="1" t="str">
        <f>IF(Table1[[#This Row],[Lifespan (Years)]]&lt;25, "&lt;25", IF(Table1[[#This Row],[Lifespan (Years)]]&lt;50, "25-49", IF(Table1[[#This Row],[Lifespan (Years)]]&lt;75, "50-74", IF(Table1[[#This Row],[Lifespan (Years)]]&lt;100, "75-99", "&gt;=100"))))</f>
        <v>25-49</v>
      </c>
      <c r="J424" s="14">
        <f>IF(Table1[[#This Row],[Weight Unit]]="oz",Table1[[#This Row],[Weight (Digits)]]/16, Table1[[#This Row],[Weight (Digits)]]/1)</f>
        <v>230</v>
      </c>
      <c r="K42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200-299</v>
      </c>
      <c r="L424" s="1" t="s">
        <v>5</v>
      </c>
      <c r="M424" s="1" t="str">
        <f>IF(COUNTIF(Table2[Animal],Table1[[#This Row],[Animal]]) = 1, "Previous Participant", "New Participant")</f>
        <v>Previous Participant</v>
      </c>
      <c r="N424" s="1" t="str">
        <f>_xlfn.XLOOKUP(Table1[[#This Row],[Region]],'Support - Tables'!$B$3:$B$10,'Support - Tables'!$D$3:$D$10,"Not Found",0)</f>
        <v>Boat</v>
      </c>
      <c r="O424" s="6">
        <f>_xlfn.XLOOKUP(Table1[[#This Row],[Region]],'Support - Tables'!$B$3:$B$10,'Support - Tables'!$C$3:$C$10, "Not Found",0)</f>
        <v>400</v>
      </c>
      <c r="P424" s="6">
        <f>_xlfn.XLOOKUP(Table1[[#This Row],[Diet]],'Support - Tables'!$B$14:$B$16,'Support - Tables'!$C$14:$C$16, "Not Found", 0)</f>
        <v>500</v>
      </c>
      <c r="Q424" s="6">
        <f>Table1[[#This Row],[Revenue]]-Table1[[#This Row],[Cost]]</f>
        <v>-100</v>
      </c>
      <c r="R424" s="6">
        <f>COUNTBLANK(Table1[[#This Row],[Diet]:[Region]])</f>
        <v>0</v>
      </c>
      <c r="S424" s="6"/>
      <c r="T424" s="6"/>
    </row>
    <row r="425" spans="1:20" x14ac:dyDescent="0.25">
      <c r="A425" s="2" t="s">
        <v>484</v>
      </c>
      <c r="B425" s="1" t="s">
        <v>15</v>
      </c>
      <c r="C425" s="1">
        <v>20</v>
      </c>
      <c r="D425" s="1" t="s">
        <v>706</v>
      </c>
      <c r="E425" s="1">
        <f>IF(Table1[[#This Row],[Lifespan Unit]]="months", Table1[[#This Row],[Lifespan]]/12,Table1[[#This Row],[Lifespan]])</f>
        <v>20</v>
      </c>
      <c r="F425" s="1" t="s">
        <v>664</v>
      </c>
      <c r="G425" s="1" t="str">
        <f t="shared" si="12"/>
        <v>7.7</v>
      </c>
      <c r="H425" s="1" t="str">
        <f t="shared" si="13"/>
        <v>lbs</v>
      </c>
      <c r="I425" s="1" t="str">
        <f>IF(Table1[[#This Row],[Lifespan (Years)]]&lt;25, "&lt;25", IF(Table1[[#This Row],[Lifespan (Years)]]&lt;50, "25-49", IF(Table1[[#This Row],[Lifespan (Years)]]&lt;75, "50-74", IF(Table1[[#This Row],[Lifespan (Years)]]&lt;100, "75-99", "&gt;=100"))))</f>
        <v>&lt;25</v>
      </c>
      <c r="J425" s="14">
        <f>IF(Table1[[#This Row],[Weight Unit]]="oz",Table1[[#This Row],[Weight (Digits)]]/16, Table1[[#This Row],[Weight (Digits)]]/1)</f>
        <v>7.7</v>
      </c>
      <c r="K42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25" s="1" t="s">
        <v>724</v>
      </c>
      <c r="M425" s="1" t="str">
        <f>IF(COUNTIF(Table2[Animal],Table1[[#This Row],[Animal]]) = 1, "Previous Participant", "New Participant")</f>
        <v>New Participant</v>
      </c>
      <c r="N425" s="1" t="str">
        <f>_xlfn.XLOOKUP(Table1[[#This Row],[Region]],'Support - Tables'!$B$3:$B$10,'Support - Tables'!$D$3:$D$10,"Not Found",0)</f>
        <v>Road</v>
      </c>
      <c r="O425" s="6">
        <f>_xlfn.XLOOKUP(Table1[[#This Row],[Region]],'Support - Tables'!$B$3:$B$10,'Support - Tables'!$C$3:$C$10, "Not Found",0)</f>
        <v>450</v>
      </c>
      <c r="P425" s="6">
        <f>_xlfn.XLOOKUP(Table1[[#This Row],[Diet]],'Support - Tables'!$B$14:$B$16,'Support - Tables'!$C$14:$C$16, "Not Found", 0)</f>
        <v>500</v>
      </c>
      <c r="Q425" s="6">
        <f>Table1[[#This Row],[Revenue]]-Table1[[#This Row],[Cost]]</f>
        <v>-50</v>
      </c>
      <c r="R425" s="6">
        <f>COUNTBLANK(Table1[[#This Row],[Diet]:[Region]])</f>
        <v>0</v>
      </c>
      <c r="S425" s="6"/>
      <c r="T425" s="6"/>
    </row>
    <row r="426" spans="1:20" x14ac:dyDescent="0.25">
      <c r="A426" s="2" t="s">
        <v>485</v>
      </c>
      <c r="B426" s="1" t="s">
        <v>23</v>
      </c>
      <c r="C426" s="1">
        <v>10</v>
      </c>
      <c r="D426" s="1" t="s">
        <v>706</v>
      </c>
      <c r="E426" s="1">
        <f>IF(Table1[[#This Row],[Lifespan Unit]]="months", Table1[[#This Row],[Lifespan]]/12,Table1[[#This Row],[Lifespan]])</f>
        <v>10</v>
      </c>
      <c r="F426" s="1" t="s">
        <v>106</v>
      </c>
      <c r="G426" s="1" t="str">
        <f t="shared" si="12"/>
        <v>88</v>
      </c>
      <c r="H426" s="1" t="str">
        <f t="shared" si="13"/>
        <v>lbs</v>
      </c>
      <c r="I426" s="1" t="str">
        <f>IF(Table1[[#This Row],[Lifespan (Years)]]&lt;25, "&lt;25", IF(Table1[[#This Row],[Lifespan (Years)]]&lt;50, "25-49", IF(Table1[[#This Row],[Lifespan (Years)]]&lt;75, "50-74", IF(Table1[[#This Row],[Lifespan (Years)]]&lt;100, "75-99", "&gt;=100"))))</f>
        <v>&lt;25</v>
      </c>
      <c r="J426" s="14">
        <f>IF(Table1[[#This Row],[Weight Unit]]="oz",Table1[[#This Row],[Weight (Digits)]]/16, Table1[[#This Row],[Weight (Digits)]]/1)</f>
        <v>88</v>
      </c>
      <c r="K42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26" s="1" t="s">
        <v>2</v>
      </c>
      <c r="M426" s="1" t="str">
        <f>IF(COUNTIF(Table2[Animal],Table1[[#This Row],[Animal]]) = 1, "Previous Participant", "New Participant")</f>
        <v>Previous Participant</v>
      </c>
      <c r="N426" s="1" t="str">
        <f>_xlfn.XLOOKUP(Table1[[#This Row],[Region]],'Support - Tables'!$B$3:$B$10,'Support - Tables'!$D$3:$D$10,"Not Found",0)</f>
        <v>Air</v>
      </c>
      <c r="O426" s="6">
        <f>_xlfn.XLOOKUP(Table1[[#This Row],[Region]],'Support - Tables'!$B$3:$B$10,'Support - Tables'!$C$3:$C$10, "Not Found",0)</f>
        <v>600</v>
      </c>
      <c r="P426" s="6">
        <f>_xlfn.XLOOKUP(Table1[[#This Row],[Diet]],'Support - Tables'!$B$14:$B$16,'Support - Tables'!$C$14:$C$16, "Not Found", 0)</f>
        <v>300</v>
      </c>
      <c r="Q426" s="6">
        <f>Table1[[#This Row],[Revenue]]-Table1[[#This Row],[Cost]]</f>
        <v>300</v>
      </c>
      <c r="R426" s="6">
        <f>COUNTBLANK(Table1[[#This Row],[Diet]:[Region]])</f>
        <v>0</v>
      </c>
      <c r="S426" s="6"/>
      <c r="T426" s="6"/>
    </row>
    <row r="427" spans="1:20" x14ac:dyDescent="0.25">
      <c r="A427" s="2" t="s">
        <v>29</v>
      </c>
      <c r="B427" s="1" t="s">
        <v>13</v>
      </c>
      <c r="C427" s="1">
        <v>12</v>
      </c>
      <c r="D427" s="1" t="s">
        <v>706</v>
      </c>
      <c r="E427" s="1">
        <f>IF(Table1[[#This Row],[Lifespan Unit]]="months", Table1[[#This Row],[Lifespan]]/12,Table1[[#This Row],[Lifespan]])</f>
        <v>12</v>
      </c>
      <c r="F427" s="1" t="s">
        <v>30</v>
      </c>
      <c r="G427" s="1" t="str">
        <f t="shared" si="12"/>
        <v>65</v>
      </c>
      <c r="H427" s="1" t="str">
        <f t="shared" si="13"/>
        <v>lbs</v>
      </c>
      <c r="I427" s="1" t="str">
        <f>IF(Table1[[#This Row],[Lifespan (Years)]]&lt;25, "&lt;25", IF(Table1[[#This Row],[Lifespan (Years)]]&lt;50, "25-49", IF(Table1[[#This Row],[Lifespan (Years)]]&lt;75, "50-74", IF(Table1[[#This Row],[Lifespan (Years)]]&lt;100, "75-99", "&gt;=100"))))</f>
        <v>&lt;25</v>
      </c>
      <c r="J427" s="14">
        <f>IF(Table1[[#This Row],[Weight Unit]]="oz",Table1[[#This Row],[Weight (Digits)]]/16, Table1[[#This Row],[Weight (Digits)]]/1)</f>
        <v>65</v>
      </c>
      <c r="K42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27" s="1" t="s">
        <v>724</v>
      </c>
      <c r="M427" s="1" t="str">
        <f>IF(COUNTIF(Table2[Animal],Table1[[#This Row],[Animal]]) = 1, "Previous Participant", "New Participant")</f>
        <v>Previous Participant</v>
      </c>
      <c r="N427" s="1" t="str">
        <f>_xlfn.XLOOKUP(Table1[[#This Row],[Region]],'Support - Tables'!$B$3:$B$10,'Support - Tables'!$D$3:$D$10,"Not Found",0)</f>
        <v>Road</v>
      </c>
      <c r="O427" s="6">
        <f>_xlfn.XLOOKUP(Table1[[#This Row],[Region]],'Support - Tables'!$B$3:$B$10,'Support - Tables'!$C$3:$C$10, "Not Found",0)</f>
        <v>450</v>
      </c>
      <c r="P427" s="6">
        <f>_xlfn.XLOOKUP(Table1[[#This Row],[Diet]],'Support - Tables'!$B$14:$B$16,'Support - Tables'!$C$14:$C$16, "Not Found", 0)</f>
        <v>400</v>
      </c>
      <c r="Q427" s="6">
        <f>Table1[[#This Row],[Revenue]]-Table1[[#This Row],[Cost]]</f>
        <v>50</v>
      </c>
      <c r="R427" s="6">
        <f>COUNTBLANK(Table1[[#This Row],[Diet]:[Region]])</f>
        <v>0</v>
      </c>
      <c r="S427" s="6"/>
      <c r="T427" s="6"/>
    </row>
    <row r="428" spans="1:20" x14ac:dyDescent="0.25">
      <c r="A428" s="2" t="s">
        <v>486</v>
      </c>
      <c r="B428" s="1" t="s">
        <v>13</v>
      </c>
      <c r="C428" s="1">
        <v>15</v>
      </c>
      <c r="D428" s="1" t="s">
        <v>706</v>
      </c>
      <c r="E428" s="1">
        <f>IF(Table1[[#This Row],[Lifespan Unit]]="months", Table1[[#This Row],[Lifespan]]/12,Table1[[#This Row],[Lifespan]])</f>
        <v>15</v>
      </c>
      <c r="F428" s="1" t="s">
        <v>108</v>
      </c>
      <c r="G428" s="1" t="str">
        <f t="shared" si="12"/>
        <v>18</v>
      </c>
      <c r="H428" s="1" t="str">
        <f t="shared" si="13"/>
        <v>lbs</v>
      </c>
      <c r="I428" s="1" t="str">
        <f>IF(Table1[[#This Row],[Lifespan (Years)]]&lt;25, "&lt;25", IF(Table1[[#This Row],[Lifespan (Years)]]&lt;50, "25-49", IF(Table1[[#This Row],[Lifespan (Years)]]&lt;75, "50-74", IF(Table1[[#This Row],[Lifespan (Years)]]&lt;100, "75-99", "&gt;=100"))))</f>
        <v>&lt;25</v>
      </c>
      <c r="J428" s="14">
        <f>IF(Table1[[#This Row],[Weight Unit]]="oz",Table1[[#This Row],[Weight (Digits)]]/16, Table1[[#This Row],[Weight (Digits)]]/1)</f>
        <v>18</v>
      </c>
      <c r="K42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28" s="1" t="s">
        <v>724</v>
      </c>
      <c r="M428" s="1" t="str">
        <f>IF(COUNTIF(Table2[Animal],Table1[[#This Row],[Animal]]) = 1, "Previous Participant", "New Participant")</f>
        <v>Previous Participant</v>
      </c>
      <c r="N428" s="1" t="str">
        <f>_xlfn.XLOOKUP(Table1[[#This Row],[Region]],'Support - Tables'!$B$3:$B$10,'Support - Tables'!$D$3:$D$10,"Not Found",0)</f>
        <v>Road</v>
      </c>
      <c r="O428" s="6">
        <f>_xlfn.XLOOKUP(Table1[[#This Row],[Region]],'Support - Tables'!$B$3:$B$10,'Support - Tables'!$C$3:$C$10, "Not Found",0)</f>
        <v>450</v>
      </c>
      <c r="P428" s="6">
        <f>_xlfn.XLOOKUP(Table1[[#This Row],[Diet]],'Support - Tables'!$B$14:$B$16,'Support - Tables'!$C$14:$C$16, "Not Found", 0)</f>
        <v>400</v>
      </c>
      <c r="Q428" s="6">
        <f>Table1[[#This Row],[Revenue]]-Table1[[#This Row],[Cost]]</f>
        <v>50</v>
      </c>
      <c r="R428" s="6">
        <f>COUNTBLANK(Table1[[#This Row],[Diet]:[Region]])</f>
        <v>0</v>
      </c>
      <c r="S428" s="6"/>
      <c r="T428" s="6"/>
    </row>
    <row r="429" spans="1:20" x14ac:dyDescent="0.25">
      <c r="A429" s="2" t="s">
        <v>487</v>
      </c>
      <c r="B429" s="1" t="s">
        <v>15</v>
      </c>
      <c r="C429" s="1">
        <v>12</v>
      </c>
      <c r="D429" s="1" t="s">
        <v>706</v>
      </c>
      <c r="E429" s="1">
        <f>IF(Table1[[#This Row],[Lifespan Unit]]="months", Table1[[#This Row],[Lifespan]]/12,Table1[[#This Row],[Lifespan]])</f>
        <v>12</v>
      </c>
      <c r="F429" s="1" t="s">
        <v>16</v>
      </c>
      <c r="G429" s="1" t="str">
        <f t="shared" si="12"/>
        <v>10</v>
      </c>
      <c r="H429" s="1" t="str">
        <f t="shared" si="13"/>
        <v>lbs</v>
      </c>
      <c r="I429" s="1" t="str">
        <f>IF(Table1[[#This Row],[Lifespan (Years)]]&lt;25, "&lt;25", IF(Table1[[#This Row],[Lifespan (Years)]]&lt;50, "25-49", IF(Table1[[#This Row],[Lifespan (Years)]]&lt;75, "50-74", IF(Table1[[#This Row],[Lifespan (Years)]]&lt;100, "75-99", "&gt;=100"))))</f>
        <v>&lt;25</v>
      </c>
      <c r="J429" s="14">
        <f>IF(Table1[[#This Row],[Weight Unit]]="oz",Table1[[#This Row],[Weight (Digits)]]/16, Table1[[#This Row],[Weight (Digits)]]/1)</f>
        <v>10</v>
      </c>
      <c r="K42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29" s="1" t="s">
        <v>724</v>
      </c>
      <c r="M429" s="1" t="str">
        <f>IF(COUNTIF(Table2[Animal],Table1[[#This Row],[Animal]]) = 1, "Previous Participant", "New Participant")</f>
        <v>Previous Participant</v>
      </c>
      <c r="N429" s="1" t="str">
        <f>_xlfn.XLOOKUP(Table1[[#This Row],[Region]],'Support - Tables'!$B$3:$B$10,'Support - Tables'!$D$3:$D$10,"Not Found",0)</f>
        <v>Road</v>
      </c>
      <c r="O429" s="6">
        <f>_xlfn.XLOOKUP(Table1[[#This Row],[Region]],'Support - Tables'!$B$3:$B$10,'Support - Tables'!$C$3:$C$10, "Not Found",0)</f>
        <v>450</v>
      </c>
      <c r="P429" s="6">
        <f>_xlfn.XLOOKUP(Table1[[#This Row],[Diet]],'Support - Tables'!$B$14:$B$16,'Support - Tables'!$C$14:$C$16, "Not Found", 0)</f>
        <v>500</v>
      </c>
      <c r="Q429" s="6">
        <f>Table1[[#This Row],[Revenue]]-Table1[[#This Row],[Cost]]</f>
        <v>-50</v>
      </c>
      <c r="R429" s="6">
        <f>COUNTBLANK(Table1[[#This Row],[Diet]:[Region]])</f>
        <v>0</v>
      </c>
      <c r="S429" s="6"/>
      <c r="T429" s="6"/>
    </row>
    <row r="430" spans="1:20" x14ac:dyDescent="0.25">
      <c r="A430" s="2" t="s">
        <v>488</v>
      </c>
      <c r="B430" s="1" t="s">
        <v>15</v>
      </c>
      <c r="C430" s="1">
        <v>4</v>
      </c>
      <c r="D430" s="1" t="s">
        <v>706</v>
      </c>
      <c r="E430" s="1">
        <f>IF(Table1[[#This Row],[Lifespan Unit]]="months", Table1[[#This Row],[Lifespan]]/12,Table1[[#This Row],[Lifespan]])</f>
        <v>4</v>
      </c>
      <c r="F430" s="1" t="s">
        <v>573</v>
      </c>
      <c r="G430" s="1" t="str">
        <f t="shared" si="12"/>
        <v/>
      </c>
      <c r="H430" s="1" t="str">
        <f t="shared" si="13"/>
        <v/>
      </c>
      <c r="I430" s="1" t="str">
        <f>IF(Table1[[#This Row],[Lifespan (Years)]]&lt;25, "&lt;25", IF(Table1[[#This Row],[Lifespan (Years)]]&lt;50, "25-49", IF(Table1[[#This Row],[Lifespan (Years)]]&lt;75, "50-74", IF(Table1[[#This Row],[Lifespan (Years)]]&lt;100, "75-99", "&gt;=100"))))</f>
        <v>&lt;25</v>
      </c>
      <c r="J430" s="14">
        <v>0</v>
      </c>
      <c r="K43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430" s="1" t="s">
        <v>5</v>
      </c>
      <c r="M430" s="1" t="str">
        <f>IF(COUNTIF(Table2[Animal],Table1[[#This Row],[Animal]]) = 1, "Previous Participant", "New Participant")</f>
        <v>Previous Participant</v>
      </c>
      <c r="N430" s="1" t="str">
        <f>_xlfn.XLOOKUP(Table1[[#This Row],[Region]],'Support - Tables'!$B$3:$B$10,'Support - Tables'!$D$3:$D$10,"Not Found",0)</f>
        <v>Boat</v>
      </c>
      <c r="O430" s="6">
        <f>_xlfn.XLOOKUP(Table1[[#This Row],[Region]],'Support - Tables'!$B$3:$B$10,'Support - Tables'!$C$3:$C$10, "Not Found",0)</f>
        <v>400</v>
      </c>
      <c r="P430" s="6">
        <f>_xlfn.XLOOKUP(Table1[[#This Row],[Diet]],'Support - Tables'!$B$14:$B$16,'Support - Tables'!$C$14:$C$16, "Not Found", 0)</f>
        <v>500</v>
      </c>
      <c r="Q430" s="6">
        <f>Table1[[#This Row],[Revenue]]-Table1[[#This Row],[Cost]]</f>
        <v>-100</v>
      </c>
      <c r="R430" s="6">
        <f>COUNTBLANK(Table1[[#This Row],[Diet]:[Region]])</f>
        <v>3</v>
      </c>
      <c r="S430" s="6"/>
      <c r="T430" s="6"/>
    </row>
    <row r="431" spans="1:20" x14ac:dyDescent="0.25">
      <c r="A431" s="2" t="s">
        <v>489</v>
      </c>
      <c r="B431" s="1" t="s">
        <v>15</v>
      </c>
      <c r="C431" s="1">
        <v>15</v>
      </c>
      <c r="D431" s="1" t="s">
        <v>706</v>
      </c>
      <c r="E431" s="1">
        <f>IF(Table1[[#This Row],[Lifespan Unit]]="months", Table1[[#This Row],[Lifespan]]/12,Table1[[#This Row],[Lifespan]])</f>
        <v>15</v>
      </c>
      <c r="F431" s="1" t="s">
        <v>249</v>
      </c>
      <c r="G431" s="1" t="str">
        <f t="shared" si="12"/>
        <v>22</v>
      </c>
      <c r="H431" s="1" t="str">
        <f t="shared" si="13"/>
        <v>lbs</v>
      </c>
      <c r="I431" s="1" t="str">
        <f>IF(Table1[[#This Row],[Lifespan (Years)]]&lt;25, "&lt;25", IF(Table1[[#This Row],[Lifespan (Years)]]&lt;50, "25-49", IF(Table1[[#This Row],[Lifespan (Years)]]&lt;75, "50-74", IF(Table1[[#This Row],[Lifespan (Years)]]&lt;100, "75-99", "&gt;=100"))))</f>
        <v>&lt;25</v>
      </c>
      <c r="J431" s="14">
        <f>IF(Table1[[#This Row],[Weight Unit]]="oz",Table1[[#This Row],[Weight (Digits)]]/16, Table1[[#This Row],[Weight (Digits)]]/1)</f>
        <v>22</v>
      </c>
      <c r="K43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31" s="1" t="s">
        <v>725</v>
      </c>
      <c r="M431" s="1" t="str">
        <f>IF(COUNTIF(Table2[Animal],Table1[[#This Row],[Animal]]) = 1, "Previous Participant", "New Participant")</f>
        <v>Previous Participant</v>
      </c>
      <c r="N431" s="1" t="str">
        <f>_xlfn.XLOOKUP(Table1[[#This Row],[Region]],'Support - Tables'!$B$3:$B$10,'Support - Tables'!$D$3:$D$10,"Not Found",0)</f>
        <v>Air</v>
      </c>
      <c r="O431" s="6">
        <f>_xlfn.XLOOKUP(Table1[[#This Row],[Region]],'Support - Tables'!$B$3:$B$10,'Support - Tables'!$C$3:$C$10, "Not Found",0)</f>
        <v>600</v>
      </c>
      <c r="P431" s="6">
        <f>_xlfn.XLOOKUP(Table1[[#This Row],[Diet]],'Support - Tables'!$B$14:$B$16,'Support - Tables'!$C$14:$C$16, "Not Found", 0)</f>
        <v>500</v>
      </c>
      <c r="Q431" s="6">
        <f>Table1[[#This Row],[Revenue]]-Table1[[#This Row],[Cost]]</f>
        <v>100</v>
      </c>
      <c r="R431" s="6">
        <f>COUNTBLANK(Table1[[#This Row],[Diet]:[Region]])</f>
        <v>0</v>
      </c>
      <c r="S431" s="6"/>
      <c r="T431" s="6"/>
    </row>
    <row r="432" spans="1:20" x14ac:dyDescent="0.25">
      <c r="A432" s="2" t="s">
        <v>490</v>
      </c>
      <c r="B432" s="1" t="s">
        <v>13</v>
      </c>
      <c r="C432" s="1">
        <v>14</v>
      </c>
      <c r="D432" s="1" t="s">
        <v>706</v>
      </c>
      <c r="E432" s="1">
        <f>IF(Table1[[#This Row],[Lifespan Unit]]="months", Table1[[#This Row],[Lifespan]]/12,Table1[[#This Row],[Lifespan]])</f>
        <v>14</v>
      </c>
      <c r="F432" s="1" t="s">
        <v>21</v>
      </c>
      <c r="G432" s="1" t="str">
        <f t="shared" si="12"/>
        <v>60</v>
      </c>
      <c r="H432" s="1" t="str">
        <f t="shared" si="13"/>
        <v>lbs</v>
      </c>
      <c r="I432" s="1" t="str">
        <f>IF(Table1[[#This Row],[Lifespan (Years)]]&lt;25, "&lt;25", IF(Table1[[#This Row],[Lifespan (Years)]]&lt;50, "25-49", IF(Table1[[#This Row],[Lifespan (Years)]]&lt;75, "50-74", IF(Table1[[#This Row],[Lifespan (Years)]]&lt;100, "75-99", "&gt;=100"))))</f>
        <v>&lt;25</v>
      </c>
      <c r="J432" s="14">
        <f>IF(Table1[[#This Row],[Weight Unit]]="oz",Table1[[#This Row],[Weight (Digits)]]/16, Table1[[#This Row],[Weight (Digits)]]/1)</f>
        <v>60</v>
      </c>
      <c r="K43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32" s="1" t="s">
        <v>724</v>
      </c>
      <c r="M432" s="1" t="str">
        <f>IF(COUNTIF(Table2[Animal],Table1[[#This Row],[Animal]]) = 1, "Previous Participant", "New Participant")</f>
        <v>Previous Participant</v>
      </c>
      <c r="N432" s="1" t="str">
        <f>_xlfn.XLOOKUP(Table1[[#This Row],[Region]],'Support - Tables'!$B$3:$B$10,'Support - Tables'!$D$3:$D$10,"Not Found",0)</f>
        <v>Road</v>
      </c>
      <c r="O432" s="6">
        <f>_xlfn.XLOOKUP(Table1[[#This Row],[Region]],'Support - Tables'!$B$3:$B$10,'Support - Tables'!$C$3:$C$10, "Not Found",0)</f>
        <v>450</v>
      </c>
      <c r="P432" s="6">
        <f>_xlfn.XLOOKUP(Table1[[#This Row],[Diet]],'Support - Tables'!$B$14:$B$16,'Support - Tables'!$C$14:$C$16, "Not Found", 0)</f>
        <v>400</v>
      </c>
      <c r="Q432" s="6">
        <f>Table1[[#This Row],[Revenue]]-Table1[[#This Row],[Cost]]</f>
        <v>50</v>
      </c>
      <c r="R432" s="6">
        <f>COUNTBLANK(Table1[[#This Row],[Diet]:[Region]])</f>
        <v>0</v>
      </c>
      <c r="S432" s="6"/>
      <c r="T432" s="6"/>
    </row>
    <row r="433" spans="1:20" x14ac:dyDescent="0.25">
      <c r="A433" s="2" t="s">
        <v>491</v>
      </c>
      <c r="B433" s="1" t="s">
        <v>15</v>
      </c>
      <c r="C433" s="1">
        <v>25</v>
      </c>
      <c r="D433" s="1" t="s">
        <v>706</v>
      </c>
      <c r="E433" s="1">
        <f>IF(Table1[[#This Row],[Lifespan Unit]]="months", Table1[[#This Row],[Lifespan]]/12,Table1[[#This Row],[Lifespan]])</f>
        <v>25</v>
      </c>
      <c r="F433" s="1" t="s">
        <v>587</v>
      </c>
      <c r="G433" s="1" t="str">
        <f t="shared" si="12"/>
        <v>220</v>
      </c>
      <c r="H433" s="1" t="str">
        <f t="shared" si="13"/>
        <v>lbs</v>
      </c>
      <c r="I433" s="1" t="str">
        <f>IF(Table1[[#This Row],[Lifespan (Years)]]&lt;25, "&lt;25", IF(Table1[[#This Row],[Lifespan (Years)]]&lt;50, "25-49", IF(Table1[[#This Row],[Lifespan (Years)]]&lt;75, "50-74", IF(Table1[[#This Row],[Lifespan (Years)]]&lt;100, "75-99", "&gt;=100"))))</f>
        <v>25-49</v>
      </c>
      <c r="J433" s="14">
        <f>IF(Table1[[#This Row],[Weight Unit]]="oz",Table1[[#This Row],[Weight (Digits)]]/16, Table1[[#This Row],[Weight (Digits)]]/1)</f>
        <v>220</v>
      </c>
      <c r="K43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200-299</v>
      </c>
      <c r="L433" s="1" t="s">
        <v>5</v>
      </c>
      <c r="M433" s="1" t="str">
        <f>IF(COUNTIF(Table2[Animal],Table1[[#This Row],[Animal]]) = 1, "Previous Participant", "New Participant")</f>
        <v>Previous Participant</v>
      </c>
      <c r="N433" s="1" t="str">
        <f>_xlfn.XLOOKUP(Table1[[#This Row],[Region]],'Support - Tables'!$B$3:$B$10,'Support - Tables'!$D$3:$D$10,"Not Found",0)</f>
        <v>Boat</v>
      </c>
      <c r="O433" s="6">
        <f>_xlfn.XLOOKUP(Table1[[#This Row],[Region]],'Support - Tables'!$B$3:$B$10,'Support - Tables'!$C$3:$C$10, "Not Found",0)</f>
        <v>400</v>
      </c>
      <c r="P433" s="6">
        <f>_xlfn.XLOOKUP(Table1[[#This Row],[Diet]],'Support - Tables'!$B$14:$B$16,'Support - Tables'!$C$14:$C$16, "Not Found", 0)</f>
        <v>500</v>
      </c>
      <c r="Q433" s="6">
        <f>Table1[[#This Row],[Revenue]]-Table1[[#This Row],[Cost]]</f>
        <v>-100</v>
      </c>
      <c r="R433" s="6">
        <f>COUNTBLANK(Table1[[#This Row],[Diet]:[Region]])</f>
        <v>0</v>
      </c>
      <c r="S433" s="6"/>
      <c r="T433" s="6"/>
    </row>
    <row r="434" spans="1:20" x14ac:dyDescent="0.25">
      <c r="A434" s="2" t="s">
        <v>492</v>
      </c>
      <c r="B434" s="1" t="s">
        <v>13</v>
      </c>
      <c r="C434" s="1">
        <v>8</v>
      </c>
      <c r="D434" s="1" t="s">
        <v>706</v>
      </c>
      <c r="E434" s="1">
        <f>IF(Table1[[#This Row],[Lifespan Unit]]="months", Table1[[#This Row],[Lifespan]]/12,Table1[[#This Row],[Lifespan]])</f>
        <v>8</v>
      </c>
      <c r="F434" s="1" t="s">
        <v>612</v>
      </c>
      <c r="G434" s="1" t="str">
        <f t="shared" si="12"/>
        <v>1.1</v>
      </c>
      <c r="H434" s="1" t="str">
        <f t="shared" si="13"/>
        <v>lbs</v>
      </c>
      <c r="I434" s="1" t="str">
        <f>IF(Table1[[#This Row],[Lifespan (Years)]]&lt;25, "&lt;25", IF(Table1[[#This Row],[Lifespan (Years)]]&lt;50, "25-49", IF(Table1[[#This Row],[Lifespan (Years)]]&lt;75, "50-74", IF(Table1[[#This Row],[Lifespan (Years)]]&lt;100, "75-99", "&gt;=100"))))</f>
        <v>&lt;25</v>
      </c>
      <c r="J434" s="14">
        <f>IF(Table1[[#This Row],[Weight Unit]]="oz",Table1[[#This Row],[Weight (Digits)]]/16, Table1[[#This Row],[Weight (Digits)]]/1)</f>
        <v>1.1000000000000001</v>
      </c>
      <c r="K43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34" s="1" t="s">
        <v>5</v>
      </c>
      <c r="M434" s="1" t="str">
        <f>IF(COUNTIF(Table2[Animal],Table1[[#This Row],[Animal]]) = 1, "Previous Participant", "New Participant")</f>
        <v>New Participant</v>
      </c>
      <c r="N434" s="1" t="str">
        <f>_xlfn.XLOOKUP(Table1[[#This Row],[Region]],'Support - Tables'!$B$3:$B$10,'Support - Tables'!$D$3:$D$10,"Not Found",0)</f>
        <v>Boat</v>
      </c>
      <c r="O434" s="6">
        <f>_xlfn.XLOOKUP(Table1[[#This Row],[Region]],'Support - Tables'!$B$3:$B$10,'Support - Tables'!$C$3:$C$10, "Not Found",0)</f>
        <v>400</v>
      </c>
      <c r="P434" s="6">
        <f>_xlfn.XLOOKUP(Table1[[#This Row],[Diet]],'Support - Tables'!$B$14:$B$16,'Support - Tables'!$C$14:$C$16, "Not Found", 0)</f>
        <v>400</v>
      </c>
      <c r="Q434" s="6">
        <f>Table1[[#This Row],[Revenue]]-Table1[[#This Row],[Cost]]</f>
        <v>0</v>
      </c>
      <c r="R434" s="6">
        <f>COUNTBLANK(Table1[[#This Row],[Diet]:[Region]])</f>
        <v>0</v>
      </c>
      <c r="S434" s="6"/>
      <c r="T434" s="6"/>
    </row>
    <row r="435" spans="1:20" x14ac:dyDescent="0.25">
      <c r="A435" s="2" t="s">
        <v>493</v>
      </c>
      <c r="B435" s="1" t="s">
        <v>13</v>
      </c>
      <c r="C435" s="1">
        <v>40</v>
      </c>
      <c r="D435" s="1" t="s">
        <v>706</v>
      </c>
      <c r="E435" s="1">
        <f>IF(Table1[[#This Row],[Lifespan Unit]]="months", Table1[[#This Row],[Lifespan]]/12,Table1[[#This Row],[Lifespan]])</f>
        <v>40</v>
      </c>
      <c r="F435" s="1" t="s">
        <v>16</v>
      </c>
      <c r="G435" s="1" t="str">
        <f t="shared" si="12"/>
        <v>10</v>
      </c>
      <c r="H435" s="1" t="str">
        <f t="shared" si="13"/>
        <v>lbs</v>
      </c>
      <c r="I435" s="1" t="str">
        <f>IF(Table1[[#This Row],[Lifespan (Years)]]&lt;25, "&lt;25", IF(Table1[[#This Row],[Lifespan (Years)]]&lt;50, "25-49", IF(Table1[[#This Row],[Lifespan (Years)]]&lt;75, "50-74", IF(Table1[[#This Row],[Lifespan (Years)]]&lt;100, "75-99", "&gt;=100"))))</f>
        <v>25-49</v>
      </c>
      <c r="J435" s="14">
        <f>IF(Table1[[#This Row],[Weight Unit]]="oz",Table1[[#This Row],[Weight (Digits)]]/16, Table1[[#This Row],[Weight (Digits)]]/1)</f>
        <v>10</v>
      </c>
      <c r="K43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35" s="1" t="s">
        <v>725</v>
      </c>
      <c r="M435" s="1" t="str">
        <f>IF(COUNTIF(Table2[Animal],Table1[[#This Row],[Animal]]) = 1, "Previous Participant", "New Participant")</f>
        <v>Previous Participant</v>
      </c>
      <c r="N435" s="1" t="str">
        <f>_xlfn.XLOOKUP(Table1[[#This Row],[Region]],'Support - Tables'!$B$3:$B$10,'Support - Tables'!$D$3:$D$10,"Not Found",0)</f>
        <v>Air</v>
      </c>
      <c r="O435" s="6">
        <f>_xlfn.XLOOKUP(Table1[[#This Row],[Region]],'Support - Tables'!$B$3:$B$10,'Support - Tables'!$C$3:$C$10, "Not Found",0)</f>
        <v>600</v>
      </c>
      <c r="P435" s="6">
        <f>_xlfn.XLOOKUP(Table1[[#This Row],[Diet]],'Support - Tables'!$B$14:$B$16,'Support - Tables'!$C$14:$C$16, "Not Found", 0)</f>
        <v>400</v>
      </c>
      <c r="Q435" s="6">
        <f>Table1[[#This Row],[Revenue]]-Table1[[#This Row],[Cost]]</f>
        <v>200</v>
      </c>
      <c r="R435" s="6">
        <f>COUNTBLANK(Table1[[#This Row],[Diet]:[Region]])</f>
        <v>0</v>
      </c>
      <c r="S435" s="6"/>
      <c r="T435" s="6"/>
    </row>
    <row r="436" spans="1:20" x14ac:dyDescent="0.25">
      <c r="A436" s="2" t="s">
        <v>494</v>
      </c>
      <c r="B436" s="1" t="s">
        <v>15</v>
      </c>
      <c r="C436" s="1">
        <v>30</v>
      </c>
      <c r="D436" s="1" t="s">
        <v>706</v>
      </c>
      <c r="E436" s="1">
        <f>IF(Table1[[#This Row],[Lifespan Unit]]="months", Table1[[#This Row],[Lifespan]]/12,Table1[[#This Row],[Lifespan]])</f>
        <v>30</v>
      </c>
      <c r="F436" s="1" t="s">
        <v>595</v>
      </c>
      <c r="G436" s="1" t="str">
        <f t="shared" si="12"/>
        <v>0.7</v>
      </c>
      <c r="H436" s="1" t="str">
        <f t="shared" si="13"/>
        <v>oz</v>
      </c>
      <c r="I436" s="1" t="str">
        <f>IF(Table1[[#This Row],[Lifespan (Years)]]&lt;25, "&lt;25", IF(Table1[[#This Row],[Lifespan (Years)]]&lt;50, "25-49", IF(Table1[[#This Row],[Lifespan (Years)]]&lt;75, "50-74", IF(Table1[[#This Row],[Lifespan (Years)]]&lt;100, "75-99", "&gt;=100"))))</f>
        <v>25-49</v>
      </c>
      <c r="J436" s="14">
        <f>IF(Table1[[#This Row],[Weight Unit]]="oz",Table1[[#This Row],[Weight (Digits)]]/16, Table1[[#This Row],[Weight (Digits)]]/1)</f>
        <v>4.3749999999999997E-2</v>
      </c>
      <c r="K43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36" s="1" t="s">
        <v>5</v>
      </c>
      <c r="M436" s="1" t="str">
        <f>IF(COUNTIF(Table2[Animal],Table1[[#This Row],[Animal]]) = 1, "Previous Participant", "New Participant")</f>
        <v>Previous Participant</v>
      </c>
      <c r="N436" s="1" t="str">
        <f>_xlfn.XLOOKUP(Table1[[#This Row],[Region]],'Support - Tables'!$B$3:$B$10,'Support - Tables'!$D$3:$D$10,"Not Found",0)</f>
        <v>Boat</v>
      </c>
      <c r="O436" s="6">
        <f>_xlfn.XLOOKUP(Table1[[#This Row],[Region]],'Support - Tables'!$B$3:$B$10,'Support - Tables'!$C$3:$C$10, "Not Found",0)</f>
        <v>400</v>
      </c>
      <c r="P436" s="6">
        <f>_xlfn.XLOOKUP(Table1[[#This Row],[Diet]],'Support - Tables'!$B$14:$B$16,'Support - Tables'!$C$14:$C$16, "Not Found", 0)</f>
        <v>500</v>
      </c>
      <c r="Q436" s="6">
        <f>Table1[[#This Row],[Revenue]]-Table1[[#This Row],[Cost]]</f>
        <v>-100</v>
      </c>
      <c r="R436" s="6">
        <f>COUNTBLANK(Table1[[#This Row],[Diet]:[Region]])</f>
        <v>0</v>
      </c>
      <c r="S436" s="6"/>
      <c r="T436" s="6"/>
    </row>
    <row r="437" spans="1:20" x14ac:dyDescent="0.25">
      <c r="A437" s="2" t="s">
        <v>495</v>
      </c>
      <c r="B437" s="1" t="s">
        <v>23</v>
      </c>
      <c r="C437" s="1">
        <v>20</v>
      </c>
      <c r="D437" s="1" t="s">
        <v>706</v>
      </c>
      <c r="E437" s="1">
        <f>IF(Table1[[#This Row],[Lifespan Unit]]="months", Table1[[#This Row],[Lifespan]]/12,Table1[[#This Row],[Lifespan]])</f>
        <v>20</v>
      </c>
      <c r="F437" s="1" t="s">
        <v>598</v>
      </c>
      <c r="G437" s="1" t="str">
        <f t="shared" si="12"/>
        <v>0.02</v>
      </c>
      <c r="H437" s="1" t="str">
        <f t="shared" si="13"/>
        <v>lbs</v>
      </c>
      <c r="I437" s="1" t="str">
        <f>IF(Table1[[#This Row],[Lifespan (Years)]]&lt;25, "&lt;25", IF(Table1[[#This Row],[Lifespan (Years)]]&lt;50, "25-49", IF(Table1[[#This Row],[Lifespan (Years)]]&lt;75, "50-74", IF(Table1[[#This Row],[Lifespan (Years)]]&lt;100, "75-99", "&gt;=100"))))</f>
        <v>&lt;25</v>
      </c>
      <c r="J437" s="14">
        <f>IF(Table1[[#This Row],[Weight Unit]]="oz",Table1[[#This Row],[Weight (Digits)]]/16, Table1[[#This Row],[Weight (Digits)]]/1)</f>
        <v>0.02</v>
      </c>
      <c r="K43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37" s="1" t="s">
        <v>725</v>
      </c>
      <c r="M437" s="1" t="str">
        <f>IF(COUNTIF(Table2[Animal],Table1[[#This Row],[Animal]]) = 1, "Previous Participant", "New Participant")</f>
        <v>Previous Participant</v>
      </c>
      <c r="N437" s="1" t="str">
        <f>_xlfn.XLOOKUP(Table1[[#This Row],[Region]],'Support - Tables'!$B$3:$B$10,'Support - Tables'!$D$3:$D$10,"Not Found",0)</f>
        <v>Air</v>
      </c>
      <c r="O437" s="6">
        <f>_xlfn.XLOOKUP(Table1[[#This Row],[Region]],'Support - Tables'!$B$3:$B$10,'Support - Tables'!$C$3:$C$10, "Not Found",0)</f>
        <v>600</v>
      </c>
      <c r="P437" s="6">
        <f>_xlfn.XLOOKUP(Table1[[#This Row],[Diet]],'Support - Tables'!$B$14:$B$16,'Support - Tables'!$C$14:$C$16, "Not Found", 0)</f>
        <v>300</v>
      </c>
      <c r="Q437" s="6">
        <f>Table1[[#This Row],[Revenue]]-Table1[[#This Row],[Cost]]</f>
        <v>300</v>
      </c>
      <c r="R437" s="6">
        <f>COUNTBLANK(Table1[[#This Row],[Diet]:[Region]])</f>
        <v>0</v>
      </c>
      <c r="S437" s="6"/>
      <c r="T437" s="6"/>
    </row>
    <row r="438" spans="1:20" x14ac:dyDescent="0.25">
      <c r="A438" s="2" t="s">
        <v>496</v>
      </c>
      <c r="B438" s="1" t="s">
        <v>15</v>
      </c>
      <c r="C438" s="1">
        <v>30</v>
      </c>
      <c r="D438" s="1" t="s">
        <v>706</v>
      </c>
      <c r="E438" s="1">
        <f>IF(Table1[[#This Row],[Lifespan Unit]]="months", Table1[[#This Row],[Lifespan]]/12,Table1[[#This Row],[Lifespan]])</f>
        <v>30</v>
      </c>
      <c r="F438" s="1" t="s">
        <v>497</v>
      </c>
      <c r="G438" s="1" t="str">
        <f t="shared" si="12"/>
        <v>330</v>
      </c>
      <c r="H438" s="1" t="str">
        <f t="shared" si="13"/>
        <v>lbs</v>
      </c>
      <c r="I438" s="1" t="str">
        <f>IF(Table1[[#This Row],[Lifespan (Years)]]&lt;25, "&lt;25", IF(Table1[[#This Row],[Lifespan (Years)]]&lt;50, "25-49", IF(Table1[[#This Row],[Lifespan (Years)]]&lt;75, "50-74", IF(Table1[[#This Row],[Lifespan (Years)]]&lt;100, "75-99", "&gt;=100"))))</f>
        <v>25-49</v>
      </c>
      <c r="J438" s="14">
        <f>IF(Table1[[#This Row],[Weight Unit]]="oz",Table1[[#This Row],[Weight (Digits)]]/16, Table1[[#This Row],[Weight (Digits)]]/1)</f>
        <v>330</v>
      </c>
      <c r="K43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300-399</v>
      </c>
      <c r="L438" s="1" t="s">
        <v>2</v>
      </c>
      <c r="M438" s="1" t="str">
        <f>IF(COUNTIF(Table2[Animal],Table1[[#This Row],[Animal]]) = 1, "Previous Participant", "New Participant")</f>
        <v>Previous Participant</v>
      </c>
      <c r="N438" s="1" t="str">
        <f>_xlfn.XLOOKUP(Table1[[#This Row],[Region]],'Support - Tables'!$B$3:$B$10,'Support - Tables'!$D$3:$D$10,"Not Found",0)</f>
        <v>Air</v>
      </c>
      <c r="O438" s="6">
        <f>_xlfn.XLOOKUP(Table1[[#This Row],[Region]],'Support - Tables'!$B$3:$B$10,'Support - Tables'!$C$3:$C$10, "Not Found",0)</f>
        <v>600</v>
      </c>
      <c r="P438" s="6">
        <f>_xlfn.XLOOKUP(Table1[[#This Row],[Diet]],'Support - Tables'!$B$14:$B$16,'Support - Tables'!$C$14:$C$16, "Not Found", 0)</f>
        <v>500</v>
      </c>
      <c r="Q438" s="6">
        <f>Table1[[#This Row],[Revenue]]-Table1[[#This Row],[Cost]]</f>
        <v>100</v>
      </c>
      <c r="R438" s="6">
        <f>COUNTBLANK(Table1[[#This Row],[Diet]:[Region]])</f>
        <v>0</v>
      </c>
      <c r="S438" s="6"/>
      <c r="T438" s="6"/>
    </row>
    <row r="439" spans="1:20" x14ac:dyDescent="0.25">
      <c r="A439" s="2" t="s">
        <v>498</v>
      </c>
      <c r="B439" s="1" t="s">
        <v>13</v>
      </c>
      <c r="C439" s="1">
        <v>32</v>
      </c>
      <c r="D439" s="1" t="s">
        <v>706</v>
      </c>
      <c r="E439" s="1">
        <f>IF(Table1[[#This Row],[Lifespan Unit]]="months", Table1[[#This Row],[Lifespan]]/12,Table1[[#This Row],[Lifespan]])</f>
        <v>32</v>
      </c>
      <c r="F439" s="1" t="s">
        <v>263</v>
      </c>
      <c r="G439" s="1" t="str">
        <f t="shared" si="12"/>
        <v>35</v>
      </c>
      <c r="H439" s="1" t="str">
        <f t="shared" si="13"/>
        <v>lbs</v>
      </c>
      <c r="I439" s="1" t="str">
        <f>IF(Table1[[#This Row],[Lifespan (Years)]]&lt;25, "&lt;25", IF(Table1[[#This Row],[Lifespan (Years)]]&lt;50, "25-49", IF(Table1[[#This Row],[Lifespan (Years)]]&lt;75, "50-74", IF(Table1[[#This Row],[Lifespan (Years)]]&lt;100, "75-99", "&gt;=100"))))</f>
        <v>25-49</v>
      </c>
      <c r="J439" s="14">
        <f>IF(Table1[[#This Row],[Weight Unit]]="oz",Table1[[#This Row],[Weight (Digits)]]/16, Table1[[#This Row],[Weight (Digits)]]/1)</f>
        <v>35</v>
      </c>
      <c r="K43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39" s="1" t="s">
        <v>724</v>
      </c>
      <c r="M439" s="1" t="str">
        <f>IF(COUNTIF(Table2[Animal],Table1[[#This Row],[Animal]]) = 1, "Previous Participant", "New Participant")</f>
        <v>New Participant</v>
      </c>
      <c r="N439" s="1" t="str">
        <f>_xlfn.XLOOKUP(Table1[[#This Row],[Region]],'Support - Tables'!$B$3:$B$10,'Support - Tables'!$D$3:$D$10,"Not Found",0)</f>
        <v>Road</v>
      </c>
      <c r="O439" s="6">
        <f>_xlfn.XLOOKUP(Table1[[#This Row],[Region]],'Support - Tables'!$B$3:$B$10,'Support - Tables'!$C$3:$C$10, "Not Found",0)</f>
        <v>450</v>
      </c>
      <c r="P439" s="6">
        <f>_xlfn.XLOOKUP(Table1[[#This Row],[Diet]],'Support - Tables'!$B$14:$B$16,'Support - Tables'!$C$14:$C$16, "Not Found", 0)</f>
        <v>400</v>
      </c>
      <c r="Q439" s="6">
        <f>Table1[[#This Row],[Revenue]]-Table1[[#This Row],[Cost]]</f>
        <v>50</v>
      </c>
      <c r="R439" s="6">
        <f>COUNTBLANK(Table1[[#This Row],[Diet]:[Region]])</f>
        <v>0</v>
      </c>
      <c r="S439" s="6"/>
      <c r="T439" s="6"/>
    </row>
    <row r="440" spans="1:20" x14ac:dyDescent="0.25">
      <c r="A440" s="2" t="s">
        <v>499</v>
      </c>
      <c r="B440" s="1" t="s">
        <v>13</v>
      </c>
      <c r="C440" s="1">
        <v>17</v>
      </c>
      <c r="D440" s="1" t="s">
        <v>706</v>
      </c>
      <c r="E440" s="1">
        <f>IF(Table1[[#This Row],[Lifespan Unit]]="months", Table1[[#This Row],[Lifespan]]/12,Table1[[#This Row],[Lifespan]])</f>
        <v>17</v>
      </c>
      <c r="F440" s="1" t="s">
        <v>676</v>
      </c>
      <c r="G440" s="1" t="str">
        <f t="shared" si="12"/>
        <v>2.4</v>
      </c>
      <c r="H440" s="1" t="str">
        <f t="shared" si="13"/>
        <v>lbs</v>
      </c>
      <c r="I440" s="1" t="str">
        <f>IF(Table1[[#This Row],[Lifespan (Years)]]&lt;25, "&lt;25", IF(Table1[[#This Row],[Lifespan (Years)]]&lt;50, "25-49", IF(Table1[[#This Row],[Lifespan (Years)]]&lt;75, "50-74", IF(Table1[[#This Row],[Lifespan (Years)]]&lt;100, "75-99", "&gt;=100"))))</f>
        <v>&lt;25</v>
      </c>
      <c r="J440" s="14">
        <f>IF(Table1[[#This Row],[Weight Unit]]="oz",Table1[[#This Row],[Weight (Digits)]]/16, Table1[[#This Row],[Weight (Digits)]]/1)</f>
        <v>2.4</v>
      </c>
      <c r="K44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40" s="1" t="s">
        <v>5</v>
      </c>
      <c r="M440" s="1" t="str">
        <f>IF(COUNTIF(Table2[Animal],Table1[[#This Row],[Animal]]) = 1, "Previous Participant", "New Participant")</f>
        <v>Previous Participant</v>
      </c>
      <c r="N440" s="1" t="str">
        <f>_xlfn.XLOOKUP(Table1[[#This Row],[Region]],'Support - Tables'!$B$3:$B$10,'Support - Tables'!$D$3:$D$10,"Not Found",0)</f>
        <v>Boat</v>
      </c>
      <c r="O440" s="6">
        <f>_xlfn.XLOOKUP(Table1[[#This Row],[Region]],'Support - Tables'!$B$3:$B$10,'Support - Tables'!$C$3:$C$10, "Not Found",0)</f>
        <v>400</v>
      </c>
      <c r="P440" s="6">
        <f>_xlfn.XLOOKUP(Table1[[#This Row],[Diet]],'Support - Tables'!$B$14:$B$16,'Support - Tables'!$C$14:$C$16, "Not Found", 0)</f>
        <v>400</v>
      </c>
      <c r="Q440" s="6">
        <f>Table1[[#This Row],[Revenue]]-Table1[[#This Row],[Cost]]</f>
        <v>0</v>
      </c>
      <c r="R440" s="6">
        <f>COUNTBLANK(Table1[[#This Row],[Diet]:[Region]])</f>
        <v>0</v>
      </c>
      <c r="S440" s="6"/>
      <c r="T440" s="6"/>
    </row>
    <row r="441" spans="1:20" x14ac:dyDescent="0.25">
      <c r="A441" s="2" t="s">
        <v>500</v>
      </c>
      <c r="B441" s="1" t="s">
        <v>13</v>
      </c>
      <c r="C441" s="1">
        <v>7</v>
      </c>
      <c r="D441" s="1" t="s">
        <v>706</v>
      </c>
      <c r="E441" s="1">
        <f>IF(Table1[[#This Row],[Lifespan Unit]]="months", Table1[[#This Row],[Lifespan]]/12,Table1[[#This Row],[Lifespan]])</f>
        <v>7</v>
      </c>
      <c r="F441" s="1" t="s">
        <v>258</v>
      </c>
      <c r="G441" s="1" t="str">
        <f t="shared" si="12"/>
        <v>0.5</v>
      </c>
      <c r="H441" s="1" t="str">
        <f t="shared" si="13"/>
        <v>oz</v>
      </c>
      <c r="I441" s="1" t="str">
        <f>IF(Table1[[#This Row],[Lifespan (Years)]]&lt;25, "&lt;25", IF(Table1[[#This Row],[Lifespan (Years)]]&lt;50, "25-49", IF(Table1[[#This Row],[Lifespan (Years)]]&lt;75, "50-74", IF(Table1[[#This Row],[Lifespan (Years)]]&lt;100, "75-99", "&gt;=100"))))</f>
        <v>&lt;25</v>
      </c>
      <c r="J441" s="14">
        <f>IF(Table1[[#This Row],[Weight Unit]]="oz",Table1[[#This Row],[Weight (Digits)]]/16, Table1[[#This Row],[Weight (Digits)]]/1)</f>
        <v>3.125E-2</v>
      </c>
      <c r="K44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41" s="1" t="s">
        <v>4</v>
      </c>
      <c r="M441" s="1" t="str">
        <f>IF(COUNTIF(Table2[Animal],Table1[[#This Row],[Animal]]) = 1, "Previous Participant", "New Participant")</f>
        <v>Previous Participant</v>
      </c>
      <c r="N441" s="1" t="str">
        <f>_xlfn.XLOOKUP(Table1[[#This Row],[Region]],'Support - Tables'!$B$3:$B$10,'Support - Tables'!$D$3:$D$10,"Not Found",0)</f>
        <v>Boat</v>
      </c>
      <c r="O441" s="6">
        <f>_xlfn.XLOOKUP(Table1[[#This Row],[Region]],'Support - Tables'!$B$3:$B$10,'Support - Tables'!$C$3:$C$10, "Not Found",0)</f>
        <v>200</v>
      </c>
      <c r="P441" s="6">
        <f>_xlfn.XLOOKUP(Table1[[#This Row],[Diet]],'Support - Tables'!$B$14:$B$16,'Support - Tables'!$C$14:$C$16, "Not Found", 0)</f>
        <v>400</v>
      </c>
      <c r="Q441" s="6">
        <f>Table1[[#This Row],[Revenue]]-Table1[[#This Row],[Cost]]</f>
        <v>-200</v>
      </c>
      <c r="R441" s="6">
        <f>COUNTBLANK(Table1[[#This Row],[Diet]:[Region]])</f>
        <v>0</v>
      </c>
      <c r="S441" s="6"/>
      <c r="T441" s="6"/>
    </row>
    <row r="442" spans="1:20" x14ac:dyDescent="0.25">
      <c r="A442" s="2" t="s">
        <v>501</v>
      </c>
      <c r="B442" s="1" t="s">
        <v>13</v>
      </c>
      <c r="C442" s="1">
        <v>30</v>
      </c>
      <c r="D442" s="1" t="s">
        <v>706</v>
      </c>
      <c r="E442" s="1">
        <f>IF(Table1[[#This Row],[Lifespan Unit]]="months", Table1[[#This Row],[Lifespan]]/12,Table1[[#This Row],[Lifespan]])</f>
        <v>30</v>
      </c>
      <c r="F442" s="1" t="s">
        <v>677</v>
      </c>
      <c r="G442" s="1" t="str">
        <f t="shared" si="12"/>
        <v>286</v>
      </c>
      <c r="H442" s="1" t="str">
        <f t="shared" si="13"/>
        <v>lbs</v>
      </c>
      <c r="I442" s="1" t="str">
        <f>IF(Table1[[#This Row],[Lifespan (Years)]]&lt;25, "&lt;25", IF(Table1[[#This Row],[Lifespan (Years)]]&lt;50, "25-49", IF(Table1[[#This Row],[Lifespan (Years)]]&lt;75, "50-74", IF(Table1[[#This Row],[Lifespan (Years)]]&lt;100, "75-99", "&gt;=100"))))</f>
        <v>25-49</v>
      </c>
      <c r="J442" s="14">
        <f>IF(Table1[[#This Row],[Weight Unit]]="oz",Table1[[#This Row],[Weight (Digits)]]/16, Table1[[#This Row],[Weight (Digits)]]/1)</f>
        <v>286</v>
      </c>
      <c r="K44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200-299</v>
      </c>
      <c r="L442" s="1" t="s">
        <v>724</v>
      </c>
      <c r="M442" s="1" t="str">
        <f>IF(COUNTIF(Table2[Animal],Table1[[#This Row],[Animal]]) = 1, "Previous Participant", "New Participant")</f>
        <v>Previous Participant</v>
      </c>
      <c r="N442" s="1" t="str">
        <f>_xlfn.XLOOKUP(Table1[[#This Row],[Region]],'Support - Tables'!$B$3:$B$10,'Support - Tables'!$D$3:$D$10,"Not Found",0)</f>
        <v>Road</v>
      </c>
      <c r="O442" s="6">
        <f>_xlfn.XLOOKUP(Table1[[#This Row],[Region]],'Support - Tables'!$B$3:$B$10,'Support - Tables'!$C$3:$C$10, "Not Found",0)</f>
        <v>450</v>
      </c>
      <c r="P442" s="6">
        <f>_xlfn.XLOOKUP(Table1[[#This Row],[Diet]],'Support - Tables'!$B$14:$B$16,'Support - Tables'!$C$14:$C$16, "Not Found", 0)</f>
        <v>400</v>
      </c>
      <c r="Q442" s="6">
        <f>Table1[[#This Row],[Revenue]]-Table1[[#This Row],[Cost]]</f>
        <v>50</v>
      </c>
      <c r="R442" s="6">
        <f>COUNTBLANK(Table1[[#This Row],[Diet]:[Region]])</f>
        <v>0</v>
      </c>
      <c r="S442" s="6"/>
      <c r="T442" s="6"/>
    </row>
    <row r="443" spans="1:20" x14ac:dyDescent="0.25">
      <c r="A443" s="2" t="s">
        <v>502</v>
      </c>
      <c r="B443" s="1" t="s">
        <v>13</v>
      </c>
      <c r="C443" s="1">
        <v>27</v>
      </c>
      <c r="D443" s="1" t="s">
        <v>706</v>
      </c>
      <c r="E443" s="1">
        <f>IF(Table1[[#This Row],[Lifespan Unit]]="months", Table1[[#This Row],[Lifespan]]/12,Table1[[#This Row],[Lifespan]])</f>
        <v>27</v>
      </c>
      <c r="F443" s="1" t="s">
        <v>76</v>
      </c>
      <c r="G443" s="1" t="str">
        <f t="shared" si="12"/>
        <v>14</v>
      </c>
      <c r="H443" s="1" t="str">
        <f t="shared" si="13"/>
        <v>lbs</v>
      </c>
      <c r="I443" s="1" t="str">
        <f>IF(Table1[[#This Row],[Lifespan (Years)]]&lt;25, "&lt;25", IF(Table1[[#This Row],[Lifespan (Years)]]&lt;50, "25-49", IF(Table1[[#This Row],[Lifespan (Years)]]&lt;75, "50-74", IF(Table1[[#This Row],[Lifespan (Years)]]&lt;100, "75-99", "&gt;=100"))))</f>
        <v>25-49</v>
      </c>
      <c r="J443" s="14">
        <f>IF(Table1[[#This Row],[Weight Unit]]="oz",Table1[[#This Row],[Weight (Digits)]]/16, Table1[[#This Row],[Weight (Digits)]]/1)</f>
        <v>14</v>
      </c>
      <c r="K44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43" s="1" t="s">
        <v>5</v>
      </c>
      <c r="M443" s="1" t="str">
        <f>IF(COUNTIF(Table2[Animal],Table1[[#This Row],[Animal]]) = 1, "Previous Participant", "New Participant")</f>
        <v>Previous Participant</v>
      </c>
      <c r="N443" s="1" t="str">
        <f>_xlfn.XLOOKUP(Table1[[#This Row],[Region]],'Support - Tables'!$B$3:$B$10,'Support - Tables'!$D$3:$D$10,"Not Found",0)</f>
        <v>Boat</v>
      </c>
      <c r="O443" s="6">
        <f>_xlfn.XLOOKUP(Table1[[#This Row],[Region]],'Support - Tables'!$B$3:$B$10,'Support - Tables'!$C$3:$C$10, "Not Found",0)</f>
        <v>400</v>
      </c>
      <c r="P443" s="6">
        <f>_xlfn.XLOOKUP(Table1[[#This Row],[Diet]],'Support - Tables'!$B$14:$B$16,'Support - Tables'!$C$14:$C$16, "Not Found", 0)</f>
        <v>400</v>
      </c>
      <c r="Q443" s="6">
        <f>Table1[[#This Row],[Revenue]]-Table1[[#This Row],[Cost]]</f>
        <v>0</v>
      </c>
      <c r="R443" s="6">
        <f>COUNTBLANK(Table1[[#This Row],[Diet]:[Region]])</f>
        <v>0</v>
      </c>
      <c r="S443" s="6"/>
      <c r="T443" s="6"/>
    </row>
    <row r="444" spans="1:20" x14ac:dyDescent="0.25">
      <c r="A444" s="2" t="s">
        <v>503</v>
      </c>
      <c r="B444" s="1" t="s">
        <v>15</v>
      </c>
      <c r="C444" s="1">
        <v>30</v>
      </c>
      <c r="D444" s="1" t="s">
        <v>706</v>
      </c>
      <c r="E444" s="1">
        <f>IF(Table1[[#This Row],[Lifespan Unit]]="months", Table1[[#This Row],[Lifespan]]/12,Table1[[#This Row],[Lifespan]])</f>
        <v>30</v>
      </c>
      <c r="F444" s="1" t="s">
        <v>630</v>
      </c>
      <c r="G444" s="1" t="str">
        <f t="shared" si="12"/>
        <v>0.6</v>
      </c>
      <c r="H444" s="1" t="str">
        <f t="shared" si="13"/>
        <v>lbs</v>
      </c>
      <c r="I444" s="1" t="str">
        <f>IF(Table1[[#This Row],[Lifespan (Years)]]&lt;25, "&lt;25", IF(Table1[[#This Row],[Lifespan (Years)]]&lt;50, "25-49", IF(Table1[[#This Row],[Lifespan (Years)]]&lt;75, "50-74", IF(Table1[[#This Row],[Lifespan (Years)]]&lt;100, "75-99", "&gt;=100"))))</f>
        <v>25-49</v>
      </c>
      <c r="J444" s="14">
        <f>IF(Table1[[#This Row],[Weight Unit]]="oz",Table1[[#This Row],[Weight (Digits)]]/16, Table1[[#This Row],[Weight (Digits)]]/1)</f>
        <v>0.6</v>
      </c>
      <c r="K44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44" s="1" t="s">
        <v>724</v>
      </c>
      <c r="M444" s="1" t="str">
        <f>IF(COUNTIF(Table2[Animal],Table1[[#This Row],[Animal]]) = 1, "Previous Participant", "New Participant")</f>
        <v>New Participant</v>
      </c>
      <c r="N444" s="1" t="str">
        <f>_xlfn.XLOOKUP(Table1[[#This Row],[Region]],'Support - Tables'!$B$3:$B$10,'Support - Tables'!$D$3:$D$10,"Not Found",0)</f>
        <v>Road</v>
      </c>
      <c r="O444" s="6">
        <f>_xlfn.XLOOKUP(Table1[[#This Row],[Region]],'Support - Tables'!$B$3:$B$10,'Support - Tables'!$C$3:$C$10, "Not Found",0)</f>
        <v>450</v>
      </c>
      <c r="P444" s="6">
        <f>_xlfn.XLOOKUP(Table1[[#This Row],[Diet]],'Support - Tables'!$B$14:$B$16,'Support - Tables'!$C$14:$C$16, "Not Found", 0)</f>
        <v>500</v>
      </c>
      <c r="Q444" s="6">
        <f>Table1[[#This Row],[Revenue]]-Table1[[#This Row],[Cost]]</f>
        <v>-50</v>
      </c>
      <c r="R444" s="6">
        <f>COUNTBLANK(Table1[[#This Row],[Diet]:[Region]])</f>
        <v>0</v>
      </c>
      <c r="S444" s="6"/>
      <c r="T444" s="6"/>
    </row>
    <row r="445" spans="1:20" x14ac:dyDescent="0.25">
      <c r="A445" s="2" t="s">
        <v>504</v>
      </c>
      <c r="B445" s="1" t="s">
        <v>13</v>
      </c>
      <c r="C445" s="1">
        <v>8</v>
      </c>
      <c r="D445" s="1" t="s">
        <v>706</v>
      </c>
      <c r="E445" s="1">
        <f>IF(Table1[[#This Row],[Lifespan Unit]]="months", Table1[[#This Row],[Lifespan]]/12,Table1[[#This Row],[Lifespan]])</f>
        <v>8</v>
      </c>
      <c r="F445" s="1" t="s">
        <v>672</v>
      </c>
      <c r="G445" s="1" t="str">
        <f t="shared" si="12"/>
        <v>0.5</v>
      </c>
      <c r="H445" s="1" t="str">
        <f t="shared" si="13"/>
        <v>lbs</v>
      </c>
      <c r="I445" s="1" t="str">
        <f>IF(Table1[[#This Row],[Lifespan (Years)]]&lt;25, "&lt;25", IF(Table1[[#This Row],[Lifespan (Years)]]&lt;50, "25-49", IF(Table1[[#This Row],[Lifespan (Years)]]&lt;75, "50-74", IF(Table1[[#This Row],[Lifespan (Years)]]&lt;100, "75-99", "&gt;=100"))))</f>
        <v>&lt;25</v>
      </c>
      <c r="J445" s="14">
        <f>IF(Table1[[#This Row],[Weight Unit]]="oz",Table1[[#This Row],[Weight (Digits)]]/16, Table1[[#This Row],[Weight (Digits)]]/1)</f>
        <v>0.5</v>
      </c>
      <c r="K44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45" s="1" t="s">
        <v>724</v>
      </c>
      <c r="M445" s="1" t="str">
        <f>IF(COUNTIF(Table2[Animal],Table1[[#This Row],[Animal]]) = 1, "Previous Participant", "New Participant")</f>
        <v>New Participant</v>
      </c>
      <c r="N445" s="1" t="str">
        <f>_xlfn.XLOOKUP(Table1[[#This Row],[Region]],'Support - Tables'!$B$3:$B$10,'Support - Tables'!$D$3:$D$10,"Not Found",0)</f>
        <v>Road</v>
      </c>
      <c r="O445" s="6">
        <f>_xlfn.XLOOKUP(Table1[[#This Row],[Region]],'Support - Tables'!$B$3:$B$10,'Support - Tables'!$C$3:$C$10, "Not Found",0)</f>
        <v>450</v>
      </c>
      <c r="P445" s="6">
        <f>_xlfn.XLOOKUP(Table1[[#This Row],[Diet]],'Support - Tables'!$B$14:$B$16,'Support - Tables'!$C$14:$C$16, "Not Found", 0)</f>
        <v>400</v>
      </c>
      <c r="Q445" s="6">
        <f>Table1[[#This Row],[Revenue]]-Table1[[#This Row],[Cost]]</f>
        <v>50</v>
      </c>
      <c r="R445" s="6">
        <f>COUNTBLANK(Table1[[#This Row],[Diet]:[Region]])</f>
        <v>0</v>
      </c>
      <c r="S445" s="6"/>
      <c r="T445" s="6"/>
    </row>
    <row r="446" spans="1:20" x14ac:dyDescent="0.25">
      <c r="A446" s="2" t="s">
        <v>505</v>
      </c>
      <c r="B446" s="1" t="s">
        <v>13</v>
      </c>
      <c r="C446" s="1">
        <v>20</v>
      </c>
      <c r="D446" s="1" t="s">
        <v>706</v>
      </c>
      <c r="E446" s="1">
        <f>IF(Table1[[#This Row],[Lifespan Unit]]="months", Table1[[#This Row],[Lifespan]]/12,Table1[[#This Row],[Lifespan]])</f>
        <v>20</v>
      </c>
      <c r="F446" s="1" t="s">
        <v>678</v>
      </c>
      <c r="G446" s="1" t="str">
        <f t="shared" si="12"/>
        <v>1.7</v>
      </c>
      <c r="H446" s="1" t="str">
        <f t="shared" si="13"/>
        <v>lbs</v>
      </c>
      <c r="I446" s="1" t="str">
        <f>IF(Table1[[#This Row],[Lifespan (Years)]]&lt;25, "&lt;25", IF(Table1[[#This Row],[Lifespan (Years)]]&lt;50, "25-49", IF(Table1[[#This Row],[Lifespan (Years)]]&lt;75, "50-74", IF(Table1[[#This Row],[Lifespan (Years)]]&lt;100, "75-99", "&gt;=100"))))</f>
        <v>&lt;25</v>
      </c>
      <c r="J446" s="14">
        <f>IF(Table1[[#This Row],[Weight Unit]]="oz",Table1[[#This Row],[Weight (Digits)]]/16, Table1[[#This Row],[Weight (Digits)]]/1)</f>
        <v>1.7</v>
      </c>
      <c r="K44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46" s="1" t="s">
        <v>724</v>
      </c>
      <c r="M446" s="1" t="str">
        <f>IF(COUNTIF(Table2[Animal],Table1[[#This Row],[Animal]]) = 1, "Previous Participant", "New Participant")</f>
        <v>Previous Participant</v>
      </c>
      <c r="N446" s="1" t="str">
        <f>_xlfn.XLOOKUP(Table1[[#This Row],[Region]],'Support - Tables'!$B$3:$B$10,'Support - Tables'!$D$3:$D$10,"Not Found",0)</f>
        <v>Road</v>
      </c>
      <c r="O446" s="6">
        <f>_xlfn.XLOOKUP(Table1[[#This Row],[Region]],'Support - Tables'!$B$3:$B$10,'Support - Tables'!$C$3:$C$10, "Not Found",0)</f>
        <v>450</v>
      </c>
      <c r="P446" s="6">
        <f>_xlfn.XLOOKUP(Table1[[#This Row],[Diet]],'Support - Tables'!$B$14:$B$16,'Support - Tables'!$C$14:$C$16, "Not Found", 0)</f>
        <v>400</v>
      </c>
      <c r="Q446" s="6">
        <f>Table1[[#This Row],[Revenue]]-Table1[[#This Row],[Cost]]</f>
        <v>50</v>
      </c>
      <c r="R446" s="6">
        <f>COUNTBLANK(Table1[[#This Row],[Diet]:[Region]])</f>
        <v>0</v>
      </c>
      <c r="S446" s="6"/>
      <c r="T446" s="6"/>
    </row>
    <row r="447" spans="1:20" x14ac:dyDescent="0.25">
      <c r="A447" s="2" t="s">
        <v>506</v>
      </c>
      <c r="B447" s="1" t="s">
        <v>23</v>
      </c>
      <c r="C447" s="1">
        <v>70</v>
      </c>
      <c r="D447" s="1" t="s">
        <v>706</v>
      </c>
      <c r="E447" s="1">
        <f>IF(Table1[[#This Row],[Lifespan Unit]]="months", Table1[[#This Row],[Lifespan]]/12,Table1[[#This Row],[Lifespan]])</f>
        <v>70</v>
      </c>
      <c r="F447" s="1" t="s">
        <v>576</v>
      </c>
      <c r="G447" s="1" t="str">
        <f t="shared" si="12"/>
        <v>6,500</v>
      </c>
      <c r="H447" s="1" t="str">
        <f t="shared" si="13"/>
        <v>lbs</v>
      </c>
      <c r="I447" s="1" t="str">
        <f>IF(Table1[[#This Row],[Lifespan (Years)]]&lt;25, "&lt;25", IF(Table1[[#This Row],[Lifespan (Years)]]&lt;50, "25-49", IF(Table1[[#This Row],[Lifespan (Years)]]&lt;75, "50-74", IF(Table1[[#This Row],[Lifespan (Years)]]&lt;100, "75-99", "&gt;=100"))))</f>
        <v>50-74</v>
      </c>
      <c r="J447" s="14">
        <f>IF(Table1[[#This Row],[Weight Unit]]="oz",Table1[[#This Row],[Weight (Digits)]]/16, Table1[[#This Row],[Weight (Digits)]]/1)</f>
        <v>6500</v>
      </c>
      <c r="K44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447" s="1" t="s">
        <v>724</v>
      </c>
      <c r="M447" s="1" t="str">
        <f>IF(COUNTIF(Table2[Animal],Table1[[#This Row],[Animal]]) = 1, "Previous Participant", "New Participant")</f>
        <v>Previous Participant</v>
      </c>
      <c r="N447" s="1" t="str">
        <f>_xlfn.XLOOKUP(Table1[[#This Row],[Region]],'Support - Tables'!$B$3:$B$10,'Support - Tables'!$D$3:$D$10,"Not Found",0)</f>
        <v>Road</v>
      </c>
      <c r="O447" s="6">
        <f>_xlfn.XLOOKUP(Table1[[#This Row],[Region]],'Support - Tables'!$B$3:$B$10,'Support - Tables'!$C$3:$C$10, "Not Found",0)</f>
        <v>450</v>
      </c>
      <c r="P447" s="6">
        <f>_xlfn.XLOOKUP(Table1[[#This Row],[Diet]],'Support - Tables'!$B$14:$B$16,'Support - Tables'!$C$14:$C$16, "Not Found", 0)</f>
        <v>300</v>
      </c>
      <c r="Q447" s="6">
        <f>Table1[[#This Row],[Revenue]]-Table1[[#This Row],[Cost]]</f>
        <v>150</v>
      </c>
      <c r="R447" s="6">
        <f>COUNTBLANK(Table1[[#This Row],[Diet]:[Region]])</f>
        <v>0</v>
      </c>
      <c r="S447" s="6"/>
      <c r="T447" s="6"/>
    </row>
    <row r="448" spans="1:20" x14ac:dyDescent="0.25">
      <c r="A448" s="2" t="s">
        <v>507</v>
      </c>
      <c r="B448" s="1" t="s">
        <v>13</v>
      </c>
      <c r="C448" s="1">
        <v>14</v>
      </c>
      <c r="D448" s="1" t="s">
        <v>706</v>
      </c>
      <c r="E448" s="1">
        <f>IF(Table1[[#This Row],[Lifespan Unit]]="months", Table1[[#This Row],[Lifespan]]/12,Table1[[#This Row],[Lifespan]])</f>
        <v>14</v>
      </c>
      <c r="F448" s="1" t="s">
        <v>135</v>
      </c>
      <c r="G448" s="1" t="str">
        <f t="shared" si="12"/>
        <v>38</v>
      </c>
      <c r="H448" s="1" t="str">
        <f t="shared" si="13"/>
        <v>lbs</v>
      </c>
      <c r="I448" s="1" t="str">
        <f>IF(Table1[[#This Row],[Lifespan (Years)]]&lt;25, "&lt;25", IF(Table1[[#This Row],[Lifespan (Years)]]&lt;50, "25-49", IF(Table1[[#This Row],[Lifespan (Years)]]&lt;75, "50-74", IF(Table1[[#This Row],[Lifespan (Years)]]&lt;100, "75-99", "&gt;=100"))))</f>
        <v>&lt;25</v>
      </c>
      <c r="J448" s="14">
        <f>IF(Table1[[#This Row],[Weight Unit]]="oz",Table1[[#This Row],[Weight (Digits)]]/16, Table1[[#This Row],[Weight (Digits)]]/1)</f>
        <v>38</v>
      </c>
      <c r="K44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48" s="1" t="s">
        <v>724</v>
      </c>
      <c r="M448" s="1" t="str">
        <f>IF(COUNTIF(Table2[Animal],Table1[[#This Row],[Animal]]) = 1, "Previous Participant", "New Participant")</f>
        <v>Previous Participant</v>
      </c>
      <c r="N448" s="1" t="str">
        <f>_xlfn.XLOOKUP(Table1[[#This Row],[Region]],'Support - Tables'!$B$3:$B$10,'Support - Tables'!$D$3:$D$10,"Not Found",0)</f>
        <v>Road</v>
      </c>
      <c r="O448" s="6">
        <f>_xlfn.XLOOKUP(Table1[[#This Row],[Region]],'Support - Tables'!$B$3:$B$10,'Support - Tables'!$C$3:$C$10, "Not Found",0)</f>
        <v>450</v>
      </c>
      <c r="P448" s="6">
        <f>_xlfn.XLOOKUP(Table1[[#This Row],[Diet]],'Support - Tables'!$B$14:$B$16,'Support - Tables'!$C$14:$C$16, "Not Found", 0)</f>
        <v>400</v>
      </c>
      <c r="Q448" s="6">
        <f>Table1[[#This Row],[Revenue]]-Table1[[#This Row],[Cost]]</f>
        <v>50</v>
      </c>
      <c r="R448" s="6">
        <f>COUNTBLANK(Table1[[#This Row],[Diet]:[Region]])</f>
        <v>0</v>
      </c>
      <c r="S448" s="6"/>
      <c r="T448" s="6"/>
    </row>
    <row r="449" spans="1:20" x14ac:dyDescent="0.25">
      <c r="A449" s="2" t="s">
        <v>508</v>
      </c>
      <c r="B449" s="1" t="s">
        <v>13</v>
      </c>
      <c r="C449" s="1">
        <v>5</v>
      </c>
      <c r="D449" s="1" t="s">
        <v>707</v>
      </c>
      <c r="E449" s="1">
        <f>IF(Table1[[#This Row],[Lifespan Unit]]="months", Table1[[#This Row],[Lifespan]]/12,Table1[[#This Row],[Lifespan]])</f>
        <v>0.41666666666666669</v>
      </c>
      <c r="F449" s="1" t="s">
        <v>573</v>
      </c>
      <c r="G449" s="1" t="str">
        <f t="shared" si="12"/>
        <v/>
      </c>
      <c r="H449" s="1" t="str">
        <f t="shared" si="13"/>
        <v/>
      </c>
      <c r="I449" s="1" t="str">
        <f>IF(Table1[[#This Row],[Lifespan (Years)]]&lt;25, "&lt;25", IF(Table1[[#This Row],[Lifespan (Years)]]&lt;50, "25-49", IF(Table1[[#This Row],[Lifespan (Years)]]&lt;75, "50-74", IF(Table1[[#This Row],[Lifespan (Years)]]&lt;100, "75-99", "&gt;=100"))))</f>
        <v>&lt;25</v>
      </c>
      <c r="J449" s="14">
        <v>0</v>
      </c>
      <c r="K44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449" s="1" t="s">
        <v>724</v>
      </c>
      <c r="M449" s="1" t="str">
        <f>IF(COUNTIF(Table2[Animal],Table1[[#This Row],[Animal]]) = 1, "Previous Participant", "New Participant")</f>
        <v>Previous Participant</v>
      </c>
      <c r="N449" s="1" t="str">
        <f>_xlfn.XLOOKUP(Table1[[#This Row],[Region]],'Support - Tables'!$B$3:$B$10,'Support - Tables'!$D$3:$D$10,"Not Found",0)</f>
        <v>Road</v>
      </c>
      <c r="O449" s="6">
        <f>_xlfn.XLOOKUP(Table1[[#This Row],[Region]],'Support - Tables'!$B$3:$B$10,'Support - Tables'!$C$3:$C$10, "Not Found",0)</f>
        <v>450</v>
      </c>
      <c r="P449" s="6">
        <f>_xlfn.XLOOKUP(Table1[[#This Row],[Diet]],'Support - Tables'!$B$14:$B$16,'Support - Tables'!$C$14:$C$16, "Not Found", 0)</f>
        <v>400</v>
      </c>
      <c r="Q449" s="6">
        <f>Table1[[#This Row],[Revenue]]-Table1[[#This Row],[Cost]]</f>
        <v>50</v>
      </c>
      <c r="R449" s="6">
        <f>COUNTBLANK(Table1[[#This Row],[Diet]:[Region]])</f>
        <v>3</v>
      </c>
      <c r="S449" s="6"/>
      <c r="T449" s="6"/>
    </row>
    <row r="450" spans="1:20" x14ac:dyDescent="0.25">
      <c r="A450" s="2" t="s">
        <v>509</v>
      </c>
      <c r="B450" s="1" t="s">
        <v>13</v>
      </c>
      <c r="C450" s="1">
        <v>27</v>
      </c>
      <c r="D450" s="1" t="s">
        <v>706</v>
      </c>
      <c r="E450" s="1">
        <f>IF(Table1[[#This Row],[Lifespan Unit]]="months", Table1[[#This Row],[Lifespan]]/12,Table1[[#This Row],[Lifespan]])</f>
        <v>27</v>
      </c>
      <c r="F450" s="1" t="s">
        <v>659</v>
      </c>
      <c r="G450" s="1" t="str">
        <f t="shared" ref="G450:G501" si="14">SUBSTITUTE(F450,IF(ISNUMBER(SEARCH("lbs", F450)),RIGHT(F450, 3), RIGHT(F450, 2)),"")</f>
        <v>0.2</v>
      </c>
      <c r="H450" s="1" t="str">
        <f t="shared" ref="H450:H501" si="15">IF(ISNUMBER(SEARCH("lbs", F450)),RIGHT(F450, 3), RIGHT(F450, 2))</f>
        <v>lbs</v>
      </c>
      <c r="I450" s="1" t="str">
        <f>IF(Table1[[#This Row],[Lifespan (Years)]]&lt;25, "&lt;25", IF(Table1[[#This Row],[Lifespan (Years)]]&lt;50, "25-49", IF(Table1[[#This Row],[Lifespan (Years)]]&lt;75, "50-74", IF(Table1[[#This Row],[Lifespan (Years)]]&lt;100, "75-99", "&gt;=100"))))</f>
        <v>25-49</v>
      </c>
      <c r="J450" s="14">
        <f>IF(Table1[[#This Row],[Weight Unit]]="oz",Table1[[#This Row],[Weight (Digits)]]/16, Table1[[#This Row],[Weight (Digits)]]/1)</f>
        <v>0.2</v>
      </c>
      <c r="K45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50" s="1" t="s">
        <v>5</v>
      </c>
      <c r="M450" s="1" t="str">
        <f>IF(COUNTIF(Table2[Animal],Table1[[#This Row],[Animal]]) = 1, "Previous Participant", "New Participant")</f>
        <v>New Participant</v>
      </c>
      <c r="N450" s="1" t="str">
        <f>_xlfn.XLOOKUP(Table1[[#This Row],[Region]],'Support - Tables'!$B$3:$B$10,'Support - Tables'!$D$3:$D$10,"Not Found",0)</f>
        <v>Boat</v>
      </c>
      <c r="O450" s="6">
        <f>_xlfn.XLOOKUP(Table1[[#This Row],[Region]],'Support - Tables'!$B$3:$B$10,'Support - Tables'!$C$3:$C$10, "Not Found",0)</f>
        <v>400</v>
      </c>
      <c r="P450" s="6">
        <f>_xlfn.XLOOKUP(Table1[[#This Row],[Diet]],'Support - Tables'!$B$14:$B$16,'Support - Tables'!$C$14:$C$16, "Not Found", 0)</f>
        <v>400</v>
      </c>
      <c r="Q450" s="6">
        <f>Table1[[#This Row],[Revenue]]-Table1[[#This Row],[Cost]]</f>
        <v>0</v>
      </c>
      <c r="R450" s="6">
        <f>COUNTBLANK(Table1[[#This Row],[Diet]:[Region]])</f>
        <v>0</v>
      </c>
      <c r="S450" s="6"/>
      <c r="T450" s="6"/>
    </row>
    <row r="451" spans="1:20" x14ac:dyDescent="0.25">
      <c r="A451" s="2" t="s">
        <v>510</v>
      </c>
      <c r="B451" s="1" t="s">
        <v>23</v>
      </c>
      <c r="C451" s="1">
        <v>2</v>
      </c>
      <c r="D451" s="1" t="s">
        <v>706</v>
      </c>
      <c r="E451" s="1">
        <f>IF(Table1[[#This Row],[Lifespan Unit]]="months", Table1[[#This Row],[Lifespan]]/12,Table1[[#This Row],[Lifespan]])</f>
        <v>2</v>
      </c>
      <c r="F451" s="1" t="s">
        <v>573</v>
      </c>
      <c r="G451" s="1" t="str">
        <f t="shared" si="14"/>
        <v/>
      </c>
      <c r="H451" s="1" t="str">
        <f t="shared" si="15"/>
        <v/>
      </c>
      <c r="I451" s="1" t="str">
        <f>IF(Table1[[#This Row],[Lifespan (Years)]]&lt;25, "&lt;25", IF(Table1[[#This Row],[Lifespan (Years)]]&lt;50, "25-49", IF(Table1[[#This Row],[Lifespan (Years)]]&lt;75, "50-74", IF(Table1[[#This Row],[Lifespan (Years)]]&lt;100, "75-99", "&gt;=100"))))</f>
        <v>&lt;25</v>
      </c>
      <c r="J451" s="14">
        <v>0</v>
      </c>
      <c r="K45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451" s="1" t="s">
        <v>5</v>
      </c>
      <c r="M451" s="1" t="str">
        <f>IF(COUNTIF(Table2[Animal],Table1[[#This Row],[Animal]]) = 1, "Previous Participant", "New Participant")</f>
        <v>Previous Participant</v>
      </c>
      <c r="N451" s="1" t="str">
        <f>_xlfn.XLOOKUP(Table1[[#This Row],[Region]],'Support - Tables'!$B$3:$B$10,'Support - Tables'!$D$3:$D$10,"Not Found",0)</f>
        <v>Boat</v>
      </c>
      <c r="O451" s="6">
        <f>_xlfn.XLOOKUP(Table1[[#This Row],[Region]],'Support - Tables'!$B$3:$B$10,'Support - Tables'!$C$3:$C$10, "Not Found",0)</f>
        <v>400</v>
      </c>
      <c r="P451" s="6">
        <f>_xlfn.XLOOKUP(Table1[[#This Row],[Diet]],'Support - Tables'!$B$14:$B$16,'Support - Tables'!$C$14:$C$16, "Not Found", 0)</f>
        <v>300</v>
      </c>
      <c r="Q451" s="6">
        <f>Table1[[#This Row],[Revenue]]-Table1[[#This Row],[Cost]]</f>
        <v>100</v>
      </c>
      <c r="R451" s="6">
        <f>COUNTBLANK(Table1[[#This Row],[Diet]:[Region]])</f>
        <v>3</v>
      </c>
      <c r="S451" s="6"/>
      <c r="T451" s="6"/>
    </row>
    <row r="452" spans="1:20" x14ac:dyDescent="0.25">
      <c r="A452" s="2" t="s">
        <v>511</v>
      </c>
      <c r="B452" s="1" t="s">
        <v>15</v>
      </c>
      <c r="C452" s="1">
        <v>25</v>
      </c>
      <c r="D452" s="1" t="s">
        <v>706</v>
      </c>
      <c r="E452" s="1">
        <f>IF(Table1[[#This Row],[Lifespan Unit]]="months", Table1[[#This Row],[Lifespan]]/12,Table1[[#This Row],[Lifespan]])</f>
        <v>25</v>
      </c>
      <c r="F452" s="1" t="s">
        <v>62</v>
      </c>
      <c r="G452" s="1" t="str">
        <f t="shared" si="14"/>
        <v>55</v>
      </c>
      <c r="H452" s="1" t="str">
        <f t="shared" si="15"/>
        <v>lbs</v>
      </c>
      <c r="I452" s="1" t="str">
        <f>IF(Table1[[#This Row],[Lifespan (Years)]]&lt;25, "&lt;25", IF(Table1[[#This Row],[Lifespan (Years)]]&lt;50, "25-49", IF(Table1[[#This Row],[Lifespan (Years)]]&lt;75, "50-74", IF(Table1[[#This Row],[Lifespan (Years)]]&lt;100, "75-99", "&gt;=100"))))</f>
        <v>25-49</v>
      </c>
      <c r="J452" s="14">
        <f>IF(Table1[[#This Row],[Weight Unit]]="oz",Table1[[#This Row],[Weight (Digits)]]/16, Table1[[#This Row],[Weight (Digits)]]/1)</f>
        <v>55</v>
      </c>
      <c r="K45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52" s="1" t="s">
        <v>724</v>
      </c>
      <c r="M452" s="1" t="str">
        <f>IF(COUNTIF(Table2[Animal],Table1[[#This Row],[Animal]]) = 1, "Previous Participant", "New Participant")</f>
        <v>Previous Participant</v>
      </c>
      <c r="N452" s="1" t="str">
        <f>_xlfn.XLOOKUP(Table1[[#This Row],[Region]],'Support - Tables'!$B$3:$B$10,'Support - Tables'!$D$3:$D$10,"Not Found",0)</f>
        <v>Road</v>
      </c>
      <c r="O452" s="6">
        <f>_xlfn.XLOOKUP(Table1[[#This Row],[Region]],'Support - Tables'!$B$3:$B$10,'Support - Tables'!$C$3:$C$10, "Not Found",0)</f>
        <v>450</v>
      </c>
      <c r="P452" s="6">
        <f>_xlfn.XLOOKUP(Table1[[#This Row],[Diet]],'Support - Tables'!$B$14:$B$16,'Support - Tables'!$C$14:$C$16, "Not Found", 0)</f>
        <v>500</v>
      </c>
      <c r="Q452" s="6">
        <f>Table1[[#This Row],[Revenue]]-Table1[[#This Row],[Cost]]</f>
        <v>-50</v>
      </c>
      <c r="R452" s="6">
        <f>COUNTBLANK(Table1[[#This Row],[Diet]:[Region]])</f>
        <v>0</v>
      </c>
      <c r="S452" s="6"/>
      <c r="T452" s="6"/>
    </row>
    <row r="453" spans="1:20" x14ac:dyDescent="0.25">
      <c r="A453" s="2" t="s">
        <v>512</v>
      </c>
      <c r="B453" s="1" t="s">
        <v>13</v>
      </c>
      <c r="C453" s="1">
        <v>30</v>
      </c>
      <c r="D453" s="1" t="s">
        <v>706</v>
      </c>
      <c r="E453" s="1">
        <f>IF(Table1[[#This Row],[Lifespan Unit]]="months", Table1[[#This Row],[Lifespan]]/12,Table1[[#This Row],[Lifespan]])</f>
        <v>30</v>
      </c>
      <c r="F453" s="1" t="s">
        <v>289</v>
      </c>
      <c r="G453" s="1" t="str">
        <f t="shared" si="14"/>
        <v>66</v>
      </c>
      <c r="H453" s="1" t="str">
        <f t="shared" si="15"/>
        <v>lbs</v>
      </c>
      <c r="I453" s="1" t="str">
        <f>IF(Table1[[#This Row],[Lifespan (Years)]]&lt;25, "&lt;25", IF(Table1[[#This Row],[Lifespan (Years)]]&lt;50, "25-49", IF(Table1[[#This Row],[Lifespan (Years)]]&lt;75, "50-74", IF(Table1[[#This Row],[Lifespan (Years)]]&lt;100, "75-99", "&gt;=100"))))</f>
        <v>25-49</v>
      </c>
      <c r="J453" s="14">
        <f>IF(Table1[[#This Row],[Weight Unit]]="oz",Table1[[#This Row],[Weight (Digits)]]/16, Table1[[#This Row],[Weight (Digits)]]/1)</f>
        <v>66</v>
      </c>
      <c r="K45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53" s="1" t="s">
        <v>5</v>
      </c>
      <c r="M453" s="1" t="str">
        <f>IF(COUNTIF(Table2[Animal],Table1[[#This Row],[Animal]]) = 1, "Previous Participant", "New Participant")</f>
        <v>Previous Participant</v>
      </c>
      <c r="N453" s="1" t="str">
        <f>_xlfn.XLOOKUP(Table1[[#This Row],[Region]],'Support - Tables'!$B$3:$B$10,'Support - Tables'!$D$3:$D$10,"Not Found",0)</f>
        <v>Boat</v>
      </c>
      <c r="O453" s="6">
        <f>_xlfn.XLOOKUP(Table1[[#This Row],[Region]],'Support - Tables'!$B$3:$B$10,'Support - Tables'!$C$3:$C$10, "Not Found",0)</f>
        <v>400</v>
      </c>
      <c r="P453" s="6">
        <f>_xlfn.XLOOKUP(Table1[[#This Row],[Diet]],'Support - Tables'!$B$14:$B$16,'Support - Tables'!$C$14:$C$16, "Not Found", 0)</f>
        <v>400</v>
      </c>
      <c r="Q453" s="6">
        <f>Table1[[#This Row],[Revenue]]-Table1[[#This Row],[Cost]]</f>
        <v>0</v>
      </c>
      <c r="R453" s="6">
        <f>COUNTBLANK(Table1[[#This Row],[Diet]:[Region]])</f>
        <v>0</v>
      </c>
      <c r="S453" s="6"/>
      <c r="T453" s="6"/>
    </row>
    <row r="454" spans="1:20" x14ac:dyDescent="0.25">
      <c r="A454" s="2" t="s">
        <v>513</v>
      </c>
      <c r="B454" s="1" t="s">
        <v>13</v>
      </c>
      <c r="C454" s="1">
        <v>12</v>
      </c>
      <c r="D454" s="1" t="s">
        <v>706</v>
      </c>
      <c r="E454" s="1">
        <f>IF(Table1[[#This Row],[Lifespan Unit]]="months", Table1[[#This Row],[Lifespan]]/12,Table1[[#This Row],[Lifespan]])</f>
        <v>12</v>
      </c>
      <c r="F454" s="1" t="s">
        <v>249</v>
      </c>
      <c r="G454" s="1" t="str">
        <f t="shared" si="14"/>
        <v>22</v>
      </c>
      <c r="H454" s="1" t="str">
        <f t="shared" si="15"/>
        <v>lbs</v>
      </c>
      <c r="I454" s="1" t="str">
        <f>IF(Table1[[#This Row],[Lifespan (Years)]]&lt;25, "&lt;25", IF(Table1[[#This Row],[Lifespan (Years)]]&lt;50, "25-49", IF(Table1[[#This Row],[Lifespan (Years)]]&lt;75, "50-74", IF(Table1[[#This Row],[Lifespan (Years)]]&lt;100, "75-99", "&gt;=100"))))</f>
        <v>&lt;25</v>
      </c>
      <c r="J454" s="14">
        <f>IF(Table1[[#This Row],[Weight Unit]]="oz",Table1[[#This Row],[Weight (Digits)]]/16, Table1[[#This Row],[Weight (Digits)]]/1)</f>
        <v>22</v>
      </c>
      <c r="K45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54" s="1" t="s">
        <v>725</v>
      </c>
      <c r="M454" s="1" t="str">
        <f>IF(COUNTIF(Table2[Animal],Table1[[#This Row],[Animal]]) = 1, "Previous Participant", "New Participant")</f>
        <v>Previous Participant</v>
      </c>
      <c r="N454" s="1" t="str">
        <f>_xlfn.XLOOKUP(Table1[[#This Row],[Region]],'Support - Tables'!$B$3:$B$10,'Support - Tables'!$D$3:$D$10,"Not Found",0)</f>
        <v>Air</v>
      </c>
      <c r="O454" s="6">
        <f>_xlfn.XLOOKUP(Table1[[#This Row],[Region]],'Support - Tables'!$B$3:$B$10,'Support - Tables'!$C$3:$C$10, "Not Found",0)</f>
        <v>600</v>
      </c>
      <c r="P454" s="6">
        <f>_xlfn.XLOOKUP(Table1[[#This Row],[Diet]],'Support - Tables'!$B$14:$B$16,'Support - Tables'!$C$14:$C$16, "Not Found", 0)</f>
        <v>400</v>
      </c>
      <c r="Q454" s="6">
        <f>Table1[[#This Row],[Revenue]]-Table1[[#This Row],[Cost]]</f>
        <v>200</v>
      </c>
      <c r="R454" s="6">
        <f>COUNTBLANK(Table1[[#This Row],[Diet]:[Region]])</f>
        <v>0</v>
      </c>
      <c r="S454" s="6"/>
      <c r="T454" s="6"/>
    </row>
    <row r="455" spans="1:20" x14ac:dyDescent="0.25">
      <c r="A455" s="2" t="s">
        <v>514</v>
      </c>
      <c r="B455" s="1" t="s">
        <v>13</v>
      </c>
      <c r="C455" s="1">
        <v>12</v>
      </c>
      <c r="D455" s="1" t="s">
        <v>706</v>
      </c>
      <c r="E455" s="1">
        <f>IF(Table1[[#This Row],[Lifespan Unit]]="months", Table1[[#This Row],[Lifespan]]/12,Table1[[#This Row],[Lifespan]])</f>
        <v>12</v>
      </c>
      <c r="F455" s="1" t="s">
        <v>573</v>
      </c>
      <c r="G455" s="1" t="str">
        <f t="shared" si="14"/>
        <v/>
      </c>
      <c r="H455" s="1" t="str">
        <f t="shared" si="15"/>
        <v/>
      </c>
      <c r="I455" s="1" t="str">
        <f>IF(Table1[[#This Row],[Lifespan (Years)]]&lt;25, "&lt;25", IF(Table1[[#This Row],[Lifespan (Years)]]&lt;50, "25-49", IF(Table1[[#This Row],[Lifespan (Years)]]&lt;75, "50-74", IF(Table1[[#This Row],[Lifespan (Years)]]&lt;100, "75-99", "&gt;=100"))))</f>
        <v>&lt;25</v>
      </c>
      <c r="J455" s="14">
        <v>0</v>
      </c>
      <c r="K45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455" s="1" t="s">
        <v>725</v>
      </c>
      <c r="M455" s="1" t="str">
        <f>IF(COUNTIF(Table2[Animal],Table1[[#This Row],[Animal]]) = 1, "Previous Participant", "New Participant")</f>
        <v>Previous Participant</v>
      </c>
      <c r="N455" s="1" t="str">
        <f>_xlfn.XLOOKUP(Table1[[#This Row],[Region]],'Support - Tables'!$B$3:$B$10,'Support - Tables'!$D$3:$D$10,"Not Found",0)</f>
        <v>Air</v>
      </c>
      <c r="O455" s="6">
        <f>_xlfn.XLOOKUP(Table1[[#This Row],[Region]],'Support - Tables'!$B$3:$B$10,'Support - Tables'!$C$3:$C$10, "Not Found",0)</f>
        <v>600</v>
      </c>
      <c r="P455" s="6">
        <f>_xlfn.XLOOKUP(Table1[[#This Row],[Diet]],'Support - Tables'!$B$14:$B$16,'Support - Tables'!$C$14:$C$16, "Not Found", 0)</f>
        <v>400</v>
      </c>
      <c r="Q455" s="6">
        <f>Table1[[#This Row],[Revenue]]-Table1[[#This Row],[Cost]]</f>
        <v>200</v>
      </c>
      <c r="R455" s="6">
        <f>COUNTBLANK(Table1[[#This Row],[Diet]:[Region]])</f>
        <v>3</v>
      </c>
      <c r="S455" s="6"/>
      <c r="T455" s="6"/>
    </row>
    <row r="456" spans="1:20" x14ac:dyDescent="0.25">
      <c r="A456" s="2" t="s">
        <v>515</v>
      </c>
      <c r="B456" s="1" t="s">
        <v>23</v>
      </c>
      <c r="C456" s="1">
        <v>25</v>
      </c>
      <c r="D456" s="1" t="s">
        <v>706</v>
      </c>
      <c r="E456" s="1">
        <f>IF(Table1[[#This Row],[Lifespan Unit]]="months", Table1[[#This Row],[Lifespan]]/12,Table1[[#This Row],[Lifespan]])</f>
        <v>25</v>
      </c>
      <c r="F456" s="1" t="s">
        <v>497</v>
      </c>
      <c r="G456" s="1" t="str">
        <f t="shared" si="14"/>
        <v>330</v>
      </c>
      <c r="H456" s="1" t="str">
        <f t="shared" si="15"/>
        <v>lbs</v>
      </c>
      <c r="I456" s="1" t="str">
        <f>IF(Table1[[#This Row],[Lifespan (Years)]]&lt;25, "&lt;25", IF(Table1[[#This Row],[Lifespan (Years)]]&lt;50, "25-49", IF(Table1[[#This Row],[Lifespan (Years)]]&lt;75, "50-74", IF(Table1[[#This Row],[Lifespan (Years)]]&lt;100, "75-99", "&gt;=100"))))</f>
        <v>25-49</v>
      </c>
      <c r="J456" s="14">
        <f>IF(Table1[[#This Row],[Weight Unit]]="oz",Table1[[#This Row],[Weight (Digits)]]/16, Table1[[#This Row],[Weight (Digits)]]/1)</f>
        <v>330</v>
      </c>
      <c r="K45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300-399</v>
      </c>
      <c r="L456" s="1" t="s">
        <v>1</v>
      </c>
      <c r="M456" s="1" t="str">
        <f>IF(COUNTIF(Table2[Animal],Table1[[#This Row],[Animal]]) = 1, "Previous Participant", "New Participant")</f>
        <v>New Participant</v>
      </c>
      <c r="N456" s="1" t="str">
        <f>_xlfn.XLOOKUP(Table1[[#This Row],[Region]],'Support - Tables'!$B$3:$B$10,'Support - Tables'!$D$3:$D$10,"Not Found",0)</f>
        <v>Air</v>
      </c>
      <c r="O456" s="6">
        <f>_xlfn.XLOOKUP(Table1[[#This Row],[Region]],'Support - Tables'!$B$3:$B$10,'Support - Tables'!$C$3:$C$10, "Not Found",0)</f>
        <v>700</v>
      </c>
      <c r="P456" s="6">
        <f>_xlfn.XLOOKUP(Table1[[#This Row],[Diet]],'Support - Tables'!$B$14:$B$16,'Support - Tables'!$C$14:$C$16, "Not Found", 0)</f>
        <v>300</v>
      </c>
      <c r="Q456" s="6">
        <f>Table1[[#This Row],[Revenue]]-Table1[[#This Row],[Cost]]</f>
        <v>400</v>
      </c>
      <c r="R456" s="6">
        <f>COUNTBLANK(Table1[[#This Row],[Diet]:[Region]])</f>
        <v>0</v>
      </c>
      <c r="S456" s="6"/>
      <c r="T456" s="6"/>
    </row>
    <row r="457" spans="1:20" x14ac:dyDescent="0.25">
      <c r="A457" s="2" t="s">
        <v>516</v>
      </c>
      <c r="B457" s="1" t="s">
        <v>15</v>
      </c>
      <c r="C457" s="1">
        <v>20</v>
      </c>
      <c r="D457" s="1" t="s">
        <v>706</v>
      </c>
      <c r="E457" s="1">
        <f>IF(Table1[[#This Row],[Lifespan Unit]]="months", Table1[[#This Row],[Lifespan]]/12,Table1[[#This Row],[Lifespan]])</f>
        <v>20</v>
      </c>
      <c r="F457" s="1" t="s">
        <v>679</v>
      </c>
      <c r="G457" s="1" t="str">
        <f t="shared" si="14"/>
        <v>2.8</v>
      </c>
      <c r="H457" s="1" t="str">
        <f t="shared" si="15"/>
        <v>oz</v>
      </c>
      <c r="I457" s="1" t="str">
        <f>IF(Table1[[#This Row],[Lifespan (Years)]]&lt;25, "&lt;25", IF(Table1[[#This Row],[Lifespan (Years)]]&lt;50, "25-49", IF(Table1[[#This Row],[Lifespan (Years)]]&lt;75, "50-74", IF(Table1[[#This Row],[Lifespan (Years)]]&lt;100, "75-99", "&gt;=100"))))</f>
        <v>&lt;25</v>
      </c>
      <c r="J457" s="14">
        <f>IF(Table1[[#This Row],[Weight Unit]]="oz",Table1[[#This Row],[Weight (Digits)]]/16, Table1[[#This Row],[Weight (Digits)]]/1)</f>
        <v>0.17499999999999999</v>
      </c>
      <c r="K45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57" s="1" t="s">
        <v>2</v>
      </c>
      <c r="M457" s="1" t="str">
        <f>IF(COUNTIF(Table2[Animal],Table1[[#This Row],[Animal]]) = 1, "Previous Participant", "New Participant")</f>
        <v>Previous Participant</v>
      </c>
      <c r="N457" s="1" t="str">
        <f>_xlfn.XLOOKUP(Table1[[#This Row],[Region]],'Support - Tables'!$B$3:$B$10,'Support - Tables'!$D$3:$D$10,"Not Found",0)</f>
        <v>Air</v>
      </c>
      <c r="O457" s="6">
        <f>_xlfn.XLOOKUP(Table1[[#This Row],[Region]],'Support - Tables'!$B$3:$B$10,'Support - Tables'!$C$3:$C$10, "Not Found",0)</f>
        <v>600</v>
      </c>
      <c r="P457" s="6">
        <f>_xlfn.XLOOKUP(Table1[[#This Row],[Diet]],'Support - Tables'!$B$14:$B$16,'Support - Tables'!$C$14:$C$16, "Not Found", 0)</f>
        <v>500</v>
      </c>
      <c r="Q457" s="6">
        <f>Table1[[#This Row],[Revenue]]-Table1[[#This Row],[Cost]]</f>
        <v>100</v>
      </c>
      <c r="R457" s="6">
        <f>COUNTBLANK(Table1[[#This Row],[Diet]:[Region]])</f>
        <v>0</v>
      </c>
      <c r="S457" s="6"/>
      <c r="T457" s="6"/>
    </row>
    <row r="458" spans="1:20" x14ac:dyDescent="0.25">
      <c r="A458" s="2" t="s">
        <v>517</v>
      </c>
      <c r="B458" s="1" t="s">
        <v>13</v>
      </c>
      <c r="C458" s="1">
        <v>8</v>
      </c>
      <c r="D458" s="1" t="s">
        <v>706</v>
      </c>
      <c r="E458" s="1">
        <f>IF(Table1[[#This Row],[Lifespan Unit]]="months", Table1[[#This Row],[Lifespan]]/12,Table1[[#This Row],[Lifespan]])</f>
        <v>8</v>
      </c>
      <c r="F458" s="1" t="s">
        <v>596</v>
      </c>
      <c r="G458" s="1" t="str">
        <f t="shared" si="14"/>
        <v>13</v>
      </c>
      <c r="H458" s="1" t="str">
        <f t="shared" si="15"/>
        <v>lbs</v>
      </c>
      <c r="I458" s="1" t="str">
        <f>IF(Table1[[#This Row],[Lifespan (Years)]]&lt;25, "&lt;25", IF(Table1[[#This Row],[Lifespan (Years)]]&lt;50, "25-49", IF(Table1[[#This Row],[Lifespan (Years)]]&lt;75, "50-74", IF(Table1[[#This Row],[Lifespan (Years)]]&lt;100, "75-99", "&gt;=100"))))</f>
        <v>&lt;25</v>
      </c>
      <c r="J458" s="14">
        <f>IF(Table1[[#This Row],[Weight Unit]]="oz",Table1[[#This Row],[Weight (Digits)]]/16, Table1[[#This Row],[Weight (Digits)]]/1)</f>
        <v>13</v>
      </c>
      <c r="K45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58" s="1" t="s">
        <v>724</v>
      </c>
      <c r="M458" s="1" t="str">
        <f>IF(COUNTIF(Table2[Animal],Table1[[#This Row],[Animal]]) = 1, "Previous Participant", "New Participant")</f>
        <v>Previous Participant</v>
      </c>
      <c r="N458" s="1" t="str">
        <f>_xlfn.XLOOKUP(Table1[[#This Row],[Region]],'Support - Tables'!$B$3:$B$10,'Support - Tables'!$D$3:$D$10,"Not Found",0)</f>
        <v>Road</v>
      </c>
      <c r="O458" s="6">
        <f>_xlfn.XLOOKUP(Table1[[#This Row],[Region]],'Support - Tables'!$B$3:$B$10,'Support - Tables'!$C$3:$C$10, "Not Found",0)</f>
        <v>450</v>
      </c>
      <c r="P458" s="6">
        <f>_xlfn.XLOOKUP(Table1[[#This Row],[Diet]],'Support - Tables'!$B$14:$B$16,'Support - Tables'!$C$14:$C$16, "Not Found", 0)</f>
        <v>400</v>
      </c>
      <c r="Q458" s="6">
        <f>Table1[[#This Row],[Revenue]]-Table1[[#This Row],[Cost]]</f>
        <v>50</v>
      </c>
      <c r="R458" s="6">
        <f>COUNTBLANK(Table1[[#This Row],[Diet]:[Region]])</f>
        <v>0</v>
      </c>
      <c r="S458" s="6"/>
      <c r="T458" s="6"/>
    </row>
    <row r="459" spans="1:20" x14ac:dyDescent="0.25">
      <c r="A459" s="2" t="s">
        <v>518</v>
      </c>
      <c r="B459" s="1" t="s">
        <v>13</v>
      </c>
      <c r="C459" s="1">
        <v>6</v>
      </c>
      <c r="D459" s="1" t="s">
        <v>706</v>
      </c>
      <c r="E459" s="1">
        <f>IF(Table1[[#This Row],[Lifespan Unit]]="months", Table1[[#This Row],[Lifespan]]/12,Table1[[#This Row],[Lifespan]])</f>
        <v>6</v>
      </c>
      <c r="F459" s="1" t="s">
        <v>680</v>
      </c>
      <c r="G459" s="1" t="str">
        <f t="shared" si="14"/>
        <v>12</v>
      </c>
      <c r="H459" s="1" t="str">
        <f t="shared" si="15"/>
        <v>oz</v>
      </c>
      <c r="I459" s="1" t="str">
        <f>IF(Table1[[#This Row],[Lifespan (Years)]]&lt;25, "&lt;25", IF(Table1[[#This Row],[Lifespan (Years)]]&lt;50, "25-49", IF(Table1[[#This Row],[Lifespan (Years)]]&lt;75, "50-74", IF(Table1[[#This Row],[Lifespan (Years)]]&lt;100, "75-99", "&gt;=100"))))</f>
        <v>&lt;25</v>
      </c>
      <c r="J459" s="14">
        <f>IF(Table1[[#This Row],[Weight Unit]]="oz",Table1[[#This Row],[Weight (Digits)]]/16, Table1[[#This Row],[Weight (Digits)]]/1)</f>
        <v>0.75</v>
      </c>
      <c r="K45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59" s="1" t="s">
        <v>724</v>
      </c>
      <c r="M459" s="1" t="str">
        <f>IF(COUNTIF(Table2[Animal],Table1[[#This Row],[Animal]]) = 1, "Previous Participant", "New Participant")</f>
        <v>New Participant</v>
      </c>
      <c r="N459" s="1" t="str">
        <f>_xlfn.XLOOKUP(Table1[[#This Row],[Region]],'Support - Tables'!$B$3:$B$10,'Support - Tables'!$D$3:$D$10,"Not Found",0)</f>
        <v>Road</v>
      </c>
      <c r="O459" s="6">
        <f>_xlfn.XLOOKUP(Table1[[#This Row],[Region]],'Support - Tables'!$B$3:$B$10,'Support - Tables'!$C$3:$C$10, "Not Found",0)</f>
        <v>450</v>
      </c>
      <c r="P459" s="6">
        <f>_xlfn.XLOOKUP(Table1[[#This Row],[Diet]],'Support - Tables'!$B$14:$B$16,'Support - Tables'!$C$14:$C$16, "Not Found", 0)</f>
        <v>400</v>
      </c>
      <c r="Q459" s="6">
        <f>Table1[[#This Row],[Revenue]]-Table1[[#This Row],[Cost]]</f>
        <v>50</v>
      </c>
      <c r="R459" s="6">
        <f>COUNTBLANK(Table1[[#This Row],[Diet]:[Region]])</f>
        <v>0</v>
      </c>
      <c r="S459" s="6"/>
      <c r="T459" s="6"/>
    </row>
    <row r="460" spans="1:20" x14ac:dyDescent="0.25">
      <c r="A460" s="2" t="s">
        <v>519</v>
      </c>
      <c r="B460" s="1" t="s">
        <v>23</v>
      </c>
      <c r="C460" s="1">
        <v>2</v>
      </c>
      <c r="D460" s="1" t="s">
        <v>706</v>
      </c>
      <c r="E460" s="1">
        <f>IF(Table1[[#This Row],[Lifespan Unit]]="months", Table1[[#This Row],[Lifespan]]/12,Table1[[#This Row],[Lifespan]])</f>
        <v>2</v>
      </c>
      <c r="F460" s="1" t="s">
        <v>573</v>
      </c>
      <c r="G460" s="1" t="str">
        <f t="shared" si="14"/>
        <v/>
      </c>
      <c r="H460" s="1" t="str">
        <f t="shared" si="15"/>
        <v/>
      </c>
      <c r="I460" s="1" t="str">
        <f>IF(Table1[[#This Row],[Lifespan (Years)]]&lt;25, "&lt;25", IF(Table1[[#This Row],[Lifespan (Years)]]&lt;50, "25-49", IF(Table1[[#This Row],[Lifespan (Years)]]&lt;75, "50-74", IF(Table1[[#This Row],[Lifespan (Years)]]&lt;100, "75-99", "&gt;=100"))))</f>
        <v>&lt;25</v>
      </c>
      <c r="J460" s="14">
        <v>0</v>
      </c>
      <c r="K46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460" s="1" t="s">
        <v>724</v>
      </c>
      <c r="M460" s="1" t="str">
        <f>IF(COUNTIF(Table2[Animal],Table1[[#This Row],[Animal]]) = 1, "Previous Participant", "New Participant")</f>
        <v>Previous Participant</v>
      </c>
      <c r="N460" s="1" t="str">
        <f>_xlfn.XLOOKUP(Table1[[#This Row],[Region]],'Support - Tables'!$B$3:$B$10,'Support - Tables'!$D$3:$D$10,"Not Found",0)</f>
        <v>Road</v>
      </c>
      <c r="O460" s="6">
        <f>_xlfn.XLOOKUP(Table1[[#This Row],[Region]],'Support - Tables'!$B$3:$B$10,'Support - Tables'!$C$3:$C$10, "Not Found",0)</f>
        <v>450</v>
      </c>
      <c r="P460" s="6">
        <f>_xlfn.XLOOKUP(Table1[[#This Row],[Diet]],'Support - Tables'!$B$14:$B$16,'Support - Tables'!$C$14:$C$16, "Not Found", 0)</f>
        <v>300</v>
      </c>
      <c r="Q460" s="6">
        <f>Table1[[#This Row],[Revenue]]-Table1[[#This Row],[Cost]]</f>
        <v>150</v>
      </c>
      <c r="R460" s="6">
        <f>COUNTBLANK(Table1[[#This Row],[Diet]:[Region]])</f>
        <v>3</v>
      </c>
      <c r="S460" s="6"/>
      <c r="T460" s="6"/>
    </row>
    <row r="461" spans="1:20" x14ac:dyDescent="0.25">
      <c r="A461" s="2" t="s">
        <v>520</v>
      </c>
      <c r="B461" s="1" t="s">
        <v>13</v>
      </c>
      <c r="C461" s="1">
        <v>5</v>
      </c>
      <c r="D461" s="1" t="s">
        <v>706</v>
      </c>
      <c r="E461" s="1">
        <f>IF(Table1[[#This Row],[Lifespan Unit]]="months", Table1[[#This Row],[Lifespan]]/12,Table1[[#This Row],[Lifespan]])</f>
        <v>5</v>
      </c>
      <c r="F461" s="1" t="s">
        <v>573</v>
      </c>
      <c r="G461" s="1" t="str">
        <f t="shared" si="14"/>
        <v/>
      </c>
      <c r="H461" s="1" t="str">
        <f t="shared" si="15"/>
        <v/>
      </c>
      <c r="I461" s="1" t="str">
        <f>IF(Table1[[#This Row],[Lifespan (Years)]]&lt;25, "&lt;25", IF(Table1[[#This Row],[Lifespan (Years)]]&lt;50, "25-49", IF(Table1[[#This Row],[Lifespan (Years)]]&lt;75, "50-74", IF(Table1[[#This Row],[Lifespan (Years)]]&lt;100, "75-99", "&gt;=100"))))</f>
        <v>&lt;25</v>
      </c>
      <c r="J461" s="14">
        <v>0</v>
      </c>
      <c r="K46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461" s="1" t="s">
        <v>5</v>
      </c>
      <c r="M461" s="1" t="str">
        <f>IF(COUNTIF(Table2[Animal],Table1[[#This Row],[Animal]]) = 1, "Previous Participant", "New Participant")</f>
        <v>Previous Participant</v>
      </c>
      <c r="N461" s="1" t="str">
        <f>_xlfn.XLOOKUP(Table1[[#This Row],[Region]],'Support - Tables'!$B$3:$B$10,'Support - Tables'!$D$3:$D$10,"Not Found",0)</f>
        <v>Boat</v>
      </c>
      <c r="O461" s="6">
        <f>_xlfn.XLOOKUP(Table1[[#This Row],[Region]],'Support - Tables'!$B$3:$B$10,'Support - Tables'!$C$3:$C$10, "Not Found",0)</f>
        <v>400</v>
      </c>
      <c r="P461" s="6">
        <f>_xlfn.XLOOKUP(Table1[[#This Row],[Diet]],'Support - Tables'!$B$14:$B$16,'Support - Tables'!$C$14:$C$16, "Not Found", 0)</f>
        <v>400</v>
      </c>
      <c r="Q461" s="6">
        <f>Table1[[#This Row],[Revenue]]-Table1[[#This Row],[Cost]]</f>
        <v>0</v>
      </c>
      <c r="R461" s="6">
        <f>COUNTBLANK(Table1[[#This Row],[Diet]:[Region]])</f>
        <v>3</v>
      </c>
      <c r="S461" s="6"/>
      <c r="T461" s="6"/>
    </row>
    <row r="462" spans="1:20" x14ac:dyDescent="0.25">
      <c r="A462" s="2" t="s">
        <v>521</v>
      </c>
      <c r="B462" s="1" t="s">
        <v>13</v>
      </c>
      <c r="C462" s="1">
        <v>20</v>
      </c>
      <c r="D462" s="1" t="s">
        <v>706</v>
      </c>
      <c r="E462" s="1">
        <f>IF(Table1[[#This Row],[Lifespan Unit]]="months", Table1[[#This Row],[Lifespan]]/12,Table1[[#This Row],[Lifespan]])</f>
        <v>20</v>
      </c>
      <c r="F462" s="1" t="s">
        <v>681</v>
      </c>
      <c r="G462" s="1" t="str">
        <f t="shared" si="14"/>
        <v>2.5</v>
      </c>
      <c r="H462" s="1" t="str">
        <f t="shared" si="15"/>
        <v>lbs</v>
      </c>
      <c r="I462" s="1" t="str">
        <f>IF(Table1[[#This Row],[Lifespan (Years)]]&lt;25, "&lt;25", IF(Table1[[#This Row],[Lifespan (Years)]]&lt;50, "25-49", IF(Table1[[#This Row],[Lifespan (Years)]]&lt;75, "50-74", IF(Table1[[#This Row],[Lifespan (Years)]]&lt;100, "75-99", "&gt;=100"))))</f>
        <v>&lt;25</v>
      </c>
      <c r="J462" s="14">
        <f>IF(Table1[[#This Row],[Weight Unit]]="oz",Table1[[#This Row],[Weight (Digits)]]/16, Table1[[#This Row],[Weight (Digits)]]/1)</f>
        <v>2.5</v>
      </c>
      <c r="K46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62" s="1" t="s">
        <v>724</v>
      </c>
      <c r="M462" s="1" t="str">
        <f>IF(COUNTIF(Table2[Animal],Table1[[#This Row],[Animal]]) = 1, "Previous Participant", "New Participant")</f>
        <v>Previous Participant</v>
      </c>
      <c r="N462" s="1" t="str">
        <f>_xlfn.XLOOKUP(Table1[[#This Row],[Region]],'Support - Tables'!$B$3:$B$10,'Support - Tables'!$D$3:$D$10,"Not Found",0)</f>
        <v>Road</v>
      </c>
      <c r="O462" s="6">
        <f>_xlfn.XLOOKUP(Table1[[#This Row],[Region]],'Support - Tables'!$B$3:$B$10,'Support - Tables'!$C$3:$C$10, "Not Found",0)</f>
        <v>450</v>
      </c>
      <c r="P462" s="6">
        <f>_xlfn.XLOOKUP(Table1[[#This Row],[Diet]],'Support - Tables'!$B$14:$B$16,'Support - Tables'!$C$14:$C$16, "Not Found", 0)</f>
        <v>400</v>
      </c>
      <c r="Q462" s="6">
        <f>Table1[[#This Row],[Revenue]]-Table1[[#This Row],[Cost]]</f>
        <v>50</v>
      </c>
      <c r="R462" s="6">
        <f>COUNTBLANK(Table1[[#This Row],[Diet]:[Region]])</f>
        <v>0</v>
      </c>
      <c r="S462" s="6"/>
      <c r="T462" s="6"/>
    </row>
    <row r="463" spans="1:20" x14ac:dyDescent="0.25">
      <c r="A463" s="2" t="s">
        <v>522</v>
      </c>
      <c r="B463" s="1" t="s">
        <v>13</v>
      </c>
      <c r="C463" s="1">
        <v>15</v>
      </c>
      <c r="D463" s="1" t="s">
        <v>706</v>
      </c>
      <c r="E463" s="1">
        <f>IF(Table1[[#This Row],[Lifespan Unit]]="months", Table1[[#This Row],[Lifespan]]/12,Table1[[#This Row],[Lifespan]])</f>
        <v>15</v>
      </c>
      <c r="F463" s="1" t="s">
        <v>523</v>
      </c>
      <c r="G463" s="1" t="str">
        <f t="shared" si="14"/>
        <v>180</v>
      </c>
      <c r="H463" s="1" t="str">
        <f t="shared" si="15"/>
        <v>lbs</v>
      </c>
      <c r="I463" s="1" t="str">
        <f>IF(Table1[[#This Row],[Lifespan (Years)]]&lt;25, "&lt;25", IF(Table1[[#This Row],[Lifespan (Years)]]&lt;50, "25-49", IF(Table1[[#This Row],[Lifespan (Years)]]&lt;75, "50-74", IF(Table1[[#This Row],[Lifespan (Years)]]&lt;100, "75-99", "&gt;=100"))))</f>
        <v>&lt;25</v>
      </c>
      <c r="J463" s="14">
        <f>IF(Table1[[#This Row],[Weight Unit]]="oz",Table1[[#This Row],[Weight (Digits)]]/16, Table1[[#This Row],[Weight (Digits)]]/1)</f>
        <v>180</v>
      </c>
      <c r="K46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463" s="1" t="s">
        <v>724</v>
      </c>
      <c r="M463" s="1" t="str">
        <f>IF(COUNTIF(Table2[Animal],Table1[[#This Row],[Animal]]) = 1, "Previous Participant", "New Participant")</f>
        <v>Previous Participant</v>
      </c>
      <c r="N463" s="1" t="str">
        <f>_xlfn.XLOOKUP(Table1[[#This Row],[Region]],'Support - Tables'!$B$3:$B$10,'Support - Tables'!$D$3:$D$10,"Not Found",0)</f>
        <v>Road</v>
      </c>
      <c r="O463" s="6">
        <f>_xlfn.XLOOKUP(Table1[[#This Row],[Region]],'Support - Tables'!$B$3:$B$10,'Support - Tables'!$C$3:$C$10, "Not Found",0)</f>
        <v>450</v>
      </c>
      <c r="P463" s="6">
        <f>_xlfn.XLOOKUP(Table1[[#This Row],[Diet]],'Support - Tables'!$B$14:$B$16,'Support - Tables'!$C$14:$C$16, "Not Found", 0)</f>
        <v>400</v>
      </c>
      <c r="Q463" s="6">
        <f>Table1[[#This Row],[Revenue]]-Table1[[#This Row],[Cost]]</f>
        <v>50</v>
      </c>
      <c r="R463" s="6">
        <f>COUNTBLANK(Table1[[#This Row],[Diet]:[Region]])</f>
        <v>0</v>
      </c>
      <c r="S463" s="6"/>
      <c r="T463" s="6"/>
    </row>
    <row r="464" spans="1:20" x14ac:dyDescent="0.25">
      <c r="A464" s="2" t="s">
        <v>524</v>
      </c>
      <c r="B464" s="1" t="s">
        <v>15</v>
      </c>
      <c r="C464" s="1">
        <v>25</v>
      </c>
      <c r="D464" s="1" t="s">
        <v>706</v>
      </c>
      <c r="E464" s="1">
        <f>IF(Table1[[#This Row],[Lifespan Unit]]="months", Table1[[#This Row],[Lifespan]]/12,Table1[[#This Row],[Lifespan]])</f>
        <v>25</v>
      </c>
      <c r="F464" s="1" t="s">
        <v>682</v>
      </c>
      <c r="G464" s="1" t="str">
        <f t="shared" si="14"/>
        <v>589</v>
      </c>
      <c r="H464" s="1" t="str">
        <f t="shared" si="15"/>
        <v>lbs</v>
      </c>
      <c r="I464" s="1" t="str">
        <f>IF(Table1[[#This Row],[Lifespan (Years)]]&lt;25, "&lt;25", IF(Table1[[#This Row],[Lifespan (Years)]]&lt;50, "25-49", IF(Table1[[#This Row],[Lifespan (Years)]]&lt;75, "50-74", IF(Table1[[#This Row],[Lifespan (Years)]]&lt;100, "75-99", "&gt;=100"))))</f>
        <v>25-49</v>
      </c>
      <c r="J464" s="14">
        <f>IF(Table1[[#This Row],[Weight Unit]]="oz",Table1[[#This Row],[Weight (Digits)]]/16, Table1[[#This Row],[Weight (Digits)]]/1)</f>
        <v>589</v>
      </c>
      <c r="K46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464" s="1" t="s">
        <v>5</v>
      </c>
      <c r="M464" s="1" t="str">
        <f>IF(COUNTIF(Table2[Animal],Table1[[#This Row],[Animal]]) = 1, "Previous Participant", "New Participant")</f>
        <v>New Participant</v>
      </c>
      <c r="N464" s="1" t="str">
        <f>_xlfn.XLOOKUP(Table1[[#This Row],[Region]],'Support - Tables'!$B$3:$B$10,'Support - Tables'!$D$3:$D$10,"Not Found",0)</f>
        <v>Boat</v>
      </c>
      <c r="O464" s="6">
        <f>_xlfn.XLOOKUP(Table1[[#This Row],[Region]],'Support - Tables'!$B$3:$B$10,'Support - Tables'!$C$3:$C$10, "Not Found",0)</f>
        <v>400</v>
      </c>
      <c r="P464" s="6">
        <f>_xlfn.XLOOKUP(Table1[[#This Row],[Diet]],'Support - Tables'!$B$14:$B$16,'Support - Tables'!$C$14:$C$16, "Not Found", 0)</f>
        <v>500</v>
      </c>
      <c r="Q464" s="6">
        <f>Table1[[#This Row],[Revenue]]-Table1[[#This Row],[Cost]]</f>
        <v>-100</v>
      </c>
      <c r="R464" s="6">
        <f>COUNTBLANK(Table1[[#This Row],[Diet]:[Region]])</f>
        <v>0</v>
      </c>
      <c r="S464" s="6"/>
      <c r="T464" s="6"/>
    </row>
    <row r="465" spans="1:20" x14ac:dyDescent="0.25">
      <c r="A465" s="2" t="s">
        <v>525</v>
      </c>
      <c r="B465" s="1" t="s">
        <v>13</v>
      </c>
      <c r="C465" s="1">
        <v>20</v>
      </c>
      <c r="D465" s="1" t="s">
        <v>706</v>
      </c>
      <c r="E465" s="1">
        <f>IF(Table1[[#This Row],[Lifespan Unit]]="months", Table1[[#This Row],[Lifespan]]/12,Table1[[#This Row],[Lifespan]])</f>
        <v>20</v>
      </c>
      <c r="F465" s="1" t="s">
        <v>683</v>
      </c>
      <c r="G465" s="1" t="str">
        <f t="shared" si="14"/>
        <v>4.6</v>
      </c>
      <c r="H465" s="1" t="str">
        <f t="shared" si="15"/>
        <v>oz</v>
      </c>
      <c r="I465" s="1" t="str">
        <f>IF(Table1[[#This Row],[Lifespan (Years)]]&lt;25, "&lt;25", IF(Table1[[#This Row],[Lifespan (Years)]]&lt;50, "25-49", IF(Table1[[#This Row],[Lifespan (Years)]]&lt;75, "50-74", IF(Table1[[#This Row],[Lifespan (Years)]]&lt;100, "75-99", "&gt;=100"))))</f>
        <v>&lt;25</v>
      </c>
      <c r="J465" s="14">
        <f>IF(Table1[[#This Row],[Weight Unit]]="oz",Table1[[#This Row],[Weight (Digits)]]/16, Table1[[#This Row],[Weight (Digits)]]/1)</f>
        <v>0.28749999999999998</v>
      </c>
      <c r="K46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65" s="1" t="s">
        <v>724</v>
      </c>
      <c r="M465" s="1" t="str">
        <f>IF(COUNTIF(Table2[Animal],Table1[[#This Row],[Animal]]) = 1, "Previous Participant", "New Participant")</f>
        <v>Previous Participant</v>
      </c>
      <c r="N465" s="1" t="str">
        <f>_xlfn.XLOOKUP(Table1[[#This Row],[Region]],'Support - Tables'!$B$3:$B$10,'Support - Tables'!$D$3:$D$10,"Not Found",0)</f>
        <v>Road</v>
      </c>
      <c r="O465" s="6">
        <f>_xlfn.XLOOKUP(Table1[[#This Row],[Region]],'Support - Tables'!$B$3:$B$10,'Support - Tables'!$C$3:$C$10, "Not Found",0)</f>
        <v>450</v>
      </c>
      <c r="P465" s="6">
        <f>_xlfn.XLOOKUP(Table1[[#This Row],[Diet]],'Support - Tables'!$B$14:$B$16,'Support - Tables'!$C$14:$C$16, "Not Found", 0)</f>
        <v>400</v>
      </c>
      <c r="Q465" s="6">
        <f>Table1[[#This Row],[Revenue]]-Table1[[#This Row],[Cost]]</f>
        <v>50</v>
      </c>
      <c r="R465" s="6">
        <f>COUNTBLANK(Table1[[#This Row],[Diet]:[Region]])</f>
        <v>0</v>
      </c>
      <c r="S465" s="6"/>
      <c r="T465" s="6"/>
    </row>
    <row r="466" spans="1:20" x14ac:dyDescent="0.25">
      <c r="A466" s="2" t="s">
        <v>526</v>
      </c>
      <c r="B466" s="1" t="s">
        <v>15</v>
      </c>
      <c r="C466" s="1">
        <v>4</v>
      </c>
      <c r="D466" s="1" t="s">
        <v>706</v>
      </c>
      <c r="E466" s="1">
        <f>IF(Table1[[#This Row],[Lifespan Unit]]="months", Table1[[#This Row],[Lifespan]]/12,Table1[[#This Row],[Lifespan]])</f>
        <v>4</v>
      </c>
      <c r="F466" s="1" t="s">
        <v>665</v>
      </c>
      <c r="G466" s="1" t="str">
        <f t="shared" si="14"/>
        <v>0.07</v>
      </c>
      <c r="H466" s="1" t="str">
        <f t="shared" si="15"/>
        <v>lbs</v>
      </c>
      <c r="I466" s="1" t="str">
        <f>IF(Table1[[#This Row],[Lifespan (Years)]]&lt;25, "&lt;25", IF(Table1[[#This Row],[Lifespan (Years)]]&lt;50, "25-49", IF(Table1[[#This Row],[Lifespan (Years)]]&lt;75, "50-74", IF(Table1[[#This Row],[Lifespan (Years)]]&lt;100, "75-99", "&gt;=100"))))</f>
        <v>&lt;25</v>
      </c>
      <c r="J466" s="14">
        <f>IF(Table1[[#This Row],[Weight Unit]]="oz",Table1[[#This Row],[Weight (Digits)]]/16, Table1[[#This Row],[Weight (Digits)]]/1)</f>
        <v>7.0000000000000007E-2</v>
      </c>
      <c r="K46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66" s="1" t="s">
        <v>6</v>
      </c>
      <c r="M466" s="1" t="str">
        <f>IF(COUNTIF(Table2[Animal],Table1[[#This Row],[Animal]]) = 1, "Previous Participant", "New Participant")</f>
        <v>New Participant</v>
      </c>
      <c r="N466" s="1" t="str">
        <f>_xlfn.XLOOKUP(Table1[[#This Row],[Region]],'Support - Tables'!$B$3:$B$10,'Support - Tables'!$D$3:$D$10,"Not Found",0)</f>
        <v>Air</v>
      </c>
      <c r="O466" s="6">
        <f>_xlfn.XLOOKUP(Table1[[#This Row],[Region]],'Support - Tables'!$B$3:$B$10,'Support - Tables'!$C$3:$C$10, "Not Found",0)</f>
        <v>450</v>
      </c>
      <c r="P466" s="6">
        <f>_xlfn.XLOOKUP(Table1[[#This Row],[Diet]],'Support - Tables'!$B$14:$B$16,'Support - Tables'!$C$14:$C$16, "Not Found", 0)</f>
        <v>500</v>
      </c>
      <c r="Q466" s="6">
        <f>Table1[[#This Row],[Revenue]]-Table1[[#This Row],[Cost]]</f>
        <v>-50</v>
      </c>
      <c r="R466" s="6">
        <f>COUNTBLANK(Table1[[#This Row],[Diet]:[Region]])</f>
        <v>0</v>
      </c>
      <c r="S466" s="6"/>
      <c r="T466" s="6"/>
    </row>
    <row r="467" spans="1:20" x14ac:dyDescent="0.25">
      <c r="A467" s="2" t="s">
        <v>527</v>
      </c>
      <c r="B467" s="1" t="s">
        <v>15</v>
      </c>
      <c r="C467" s="1">
        <v>16</v>
      </c>
      <c r="D467" s="1" t="s">
        <v>706</v>
      </c>
      <c r="E467" s="1">
        <f>IF(Table1[[#This Row],[Lifespan Unit]]="months", Table1[[#This Row],[Lifespan]]/12,Table1[[#This Row],[Lifespan]])</f>
        <v>16</v>
      </c>
      <c r="F467" s="1" t="s">
        <v>630</v>
      </c>
      <c r="G467" s="1" t="str">
        <f t="shared" si="14"/>
        <v>0.6</v>
      </c>
      <c r="H467" s="1" t="str">
        <f t="shared" si="15"/>
        <v>lbs</v>
      </c>
      <c r="I467" s="1" t="str">
        <f>IF(Table1[[#This Row],[Lifespan (Years)]]&lt;25, "&lt;25", IF(Table1[[#This Row],[Lifespan (Years)]]&lt;50, "25-49", IF(Table1[[#This Row],[Lifespan (Years)]]&lt;75, "50-74", IF(Table1[[#This Row],[Lifespan (Years)]]&lt;100, "75-99", "&gt;=100"))))</f>
        <v>&lt;25</v>
      </c>
      <c r="J467" s="14">
        <f>IF(Table1[[#This Row],[Weight Unit]]="oz",Table1[[#This Row],[Weight (Digits)]]/16, Table1[[#This Row],[Weight (Digits)]]/1)</f>
        <v>0.6</v>
      </c>
      <c r="K46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67" s="1" t="s">
        <v>724</v>
      </c>
      <c r="M467" s="1" t="str">
        <f>IF(COUNTIF(Table2[Animal],Table1[[#This Row],[Animal]]) = 1, "Previous Participant", "New Participant")</f>
        <v>Previous Participant</v>
      </c>
      <c r="N467" s="1" t="str">
        <f>_xlfn.XLOOKUP(Table1[[#This Row],[Region]],'Support - Tables'!$B$3:$B$10,'Support - Tables'!$D$3:$D$10,"Not Found",0)</f>
        <v>Road</v>
      </c>
      <c r="O467" s="6">
        <f>_xlfn.XLOOKUP(Table1[[#This Row],[Region]],'Support - Tables'!$B$3:$B$10,'Support - Tables'!$C$3:$C$10, "Not Found",0)</f>
        <v>450</v>
      </c>
      <c r="P467" s="6">
        <f>_xlfn.XLOOKUP(Table1[[#This Row],[Diet]],'Support - Tables'!$B$14:$B$16,'Support - Tables'!$C$14:$C$16, "Not Found", 0)</f>
        <v>500</v>
      </c>
      <c r="Q467" s="6">
        <f>Table1[[#This Row],[Revenue]]-Table1[[#This Row],[Cost]]</f>
        <v>-50</v>
      </c>
      <c r="R467" s="6">
        <f>COUNTBLANK(Table1[[#This Row],[Diet]:[Region]])</f>
        <v>0</v>
      </c>
      <c r="S467" s="6"/>
      <c r="T467" s="6"/>
    </row>
    <row r="468" spans="1:20" x14ac:dyDescent="0.25">
      <c r="A468" s="2" t="s">
        <v>528</v>
      </c>
      <c r="B468" s="1" t="s">
        <v>15</v>
      </c>
      <c r="C468" s="1">
        <v>100</v>
      </c>
      <c r="D468" s="1" t="s">
        <v>706</v>
      </c>
      <c r="E468" s="1">
        <f>IF(Table1[[#This Row],[Lifespan Unit]]="months", Table1[[#This Row],[Lifespan]]/12,Table1[[#This Row],[Lifespan]])</f>
        <v>100</v>
      </c>
      <c r="F468" s="1" t="s">
        <v>653</v>
      </c>
      <c r="G468" s="1" t="str">
        <f t="shared" si="14"/>
        <v>1.3</v>
      </c>
      <c r="H468" s="1" t="str">
        <f t="shared" si="15"/>
        <v>lbs</v>
      </c>
      <c r="I468" s="1" t="str">
        <f>IF(Table1[[#This Row],[Lifespan (Years)]]&lt;25, "&lt;25", IF(Table1[[#This Row],[Lifespan (Years)]]&lt;50, "25-49", IF(Table1[[#This Row],[Lifespan (Years)]]&lt;75, "50-74", IF(Table1[[#This Row],[Lifespan (Years)]]&lt;100, "75-99", "&gt;=100"))))</f>
        <v>&gt;=100</v>
      </c>
      <c r="J468" s="14">
        <f>IF(Table1[[#This Row],[Weight Unit]]="oz",Table1[[#This Row],[Weight (Digits)]]/16, Table1[[#This Row],[Weight (Digits)]]/1)</f>
        <v>1.3</v>
      </c>
      <c r="K46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68" s="1" t="s">
        <v>5</v>
      </c>
      <c r="M468" s="1" t="str">
        <f>IF(COUNTIF(Table2[Animal],Table1[[#This Row],[Animal]]) = 1, "Previous Participant", "New Participant")</f>
        <v>New Participant</v>
      </c>
      <c r="N468" s="1" t="str">
        <f>_xlfn.XLOOKUP(Table1[[#This Row],[Region]],'Support - Tables'!$B$3:$B$10,'Support - Tables'!$D$3:$D$10,"Not Found",0)</f>
        <v>Boat</v>
      </c>
      <c r="O468" s="6">
        <f>_xlfn.XLOOKUP(Table1[[#This Row],[Region]],'Support - Tables'!$B$3:$B$10,'Support - Tables'!$C$3:$C$10, "Not Found",0)</f>
        <v>400</v>
      </c>
      <c r="P468" s="6">
        <f>_xlfn.XLOOKUP(Table1[[#This Row],[Diet]],'Support - Tables'!$B$14:$B$16,'Support - Tables'!$C$14:$C$16, "Not Found", 0)</f>
        <v>500</v>
      </c>
      <c r="Q468" s="6">
        <f>Table1[[#This Row],[Revenue]]-Table1[[#This Row],[Cost]]</f>
        <v>-100</v>
      </c>
      <c r="R468" s="6">
        <f>COUNTBLANK(Table1[[#This Row],[Diet]:[Region]])</f>
        <v>0</v>
      </c>
      <c r="S468" s="6"/>
      <c r="T468" s="6"/>
    </row>
    <row r="469" spans="1:20" x14ac:dyDescent="0.25">
      <c r="A469" s="2" t="s">
        <v>7</v>
      </c>
      <c r="B469" s="1" t="s">
        <v>13</v>
      </c>
      <c r="C469" s="1">
        <v>10</v>
      </c>
      <c r="D469" s="1" t="s">
        <v>706</v>
      </c>
      <c r="E469" s="1">
        <f>IF(Table1[[#This Row],[Lifespan Unit]]="months", Table1[[#This Row],[Lifespan]]/12,Table1[[#This Row],[Lifespan]])</f>
        <v>10</v>
      </c>
      <c r="F469" s="1" t="s">
        <v>602</v>
      </c>
      <c r="G469" s="1" t="str">
        <f t="shared" si="14"/>
        <v>6.6</v>
      </c>
      <c r="H469" s="1" t="str">
        <f t="shared" si="15"/>
        <v>lbs</v>
      </c>
      <c r="I469" s="1" t="str">
        <f>IF(Table1[[#This Row],[Lifespan (Years)]]&lt;25, "&lt;25", IF(Table1[[#This Row],[Lifespan (Years)]]&lt;50, "25-49", IF(Table1[[#This Row],[Lifespan (Years)]]&lt;75, "50-74", IF(Table1[[#This Row],[Lifespan (Years)]]&lt;100, "75-99", "&gt;=100"))))</f>
        <v>&lt;25</v>
      </c>
      <c r="J469" s="14">
        <f>IF(Table1[[#This Row],[Weight Unit]]="oz",Table1[[#This Row],[Weight (Digits)]]/16, Table1[[#This Row],[Weight (Digits)]]/1)</f>
        <v>6.6</v>
      </c>
      <c r="K46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69" s="1" t="s">
        <v>724</v>
      </c>
      <c r="M469" s="1" t="str">
        <f>IF(COUNTIF(Table2[Animal],Table1[[#This Row],[Animal]]) = 1, "Previous Participant", "New Participant")</f>
        <v>New Participant</v>
      </c>
      <c r="N469" s="1" t="str">
        <f>_xlfn.XLOOKUP(Table1[[#This Row],[Region]],'Support - Tables'!$B$3:$B$10,'Support - Tables'!$D$3:$D$10,"Not Found",0)</f>
        <v>Road</v>
      </c>
      <c r="O469" s="6">
        <f>_xlfn.XLOOKUP(Table1[[#This Row],[Region]],'Support - Tables'!$B$3:$B$10,'Support - Tables'!$C$3:$C$10, "Not Found",0)</f>
        <v>450</v>
      </c>
      <c r="P469" s="6">
        <f>_xlfn.XLOOKUP(Table1[[#This Row],[Diet]],'Support - Tables'!$B$14:$B$16,'Support - Tables'!$C$14:$C$16, "Not Found", 0)</f>
        <v>400</v>
      </c>
      <c r="Q469" s="6">
        <f>Table1[[#This Row],[Revenue]]-Table1[[#This Row],[Cost]]</f>
        <v>50</v>
      </c>
      <c r="R469" s="6">
        <f>COUNTBLANK(Table1[[#This Row],[Diet]:[Region]])</f>
        <v>0</v>
      </c>
      <c r="S469" s="6"/>
      <c r="T469" s="6"/>
    </row>
    <row r="470" spans="1:20" x14ac:dyDescent="0.25">
      <c r="A470" s="2" t="s">
        <v>529</v>
      </c>
      <c r="B470" s="1" t="s">
        <v>15</v>
      </c>
      <c r="C470" s="1">
        <v>14</v>
      </c>
      <c r="D470" s="1" t="s">
        <v>706</v>
      </c>
      <c r="E470" s="1">
        <f>IF(Table1[[#This Row],[Lifespan Unit]]="months", Table1[[#This Row],[Lifespan]]/12,Table1[[#This Row],[Lifespan]])</f>
        <v>14</v>
      </c>
      <c r="F470" s="1" t="s">
        <v>16</v>
      </c>
      <c r="G470" s="1" t="str">
        <f t="shared" si="14"/>
        <v>10</v>
      </c>
      <c r="H470" s="1" t="str">
        <f t="shared" si="15"/>
        <v>lbs</v>
      </c>
      <c r="I470" s="1" t="str">
        <f>IF(Table1[[#This Row],[Lifespan (Years)]]&lt;25, "&lt;25", IF(Table1[[#This Row],[Lifespan (Years)]]&lt;50, "25-49", IF(Table1[[#This Row],[Lifespan (Years)]]&lt;75, "50-74", IF(Table1[[#This Row],[Lifespan (Years)]]&lt;100, "75-99", "&gt;=100"))))</f>
        <v>&lt;25</v>
      </c>
      <c r="J470" s="14">
        <f>IF(Table1[[#This Row],[Weight Unit]]="oz",Table1[[#This Row],[Weight (Digits)]]/16, Table1[[#This Row],[Weight (Digits)]]/1)</f>
        <v>10</v>
      </c>
      <c r="K47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70" s="1" t="s">
        <v>724</v>
      </c>
      <c r="M470" s="1" t="str">
        <f>IF(COUNTIF(Table2[Animal],Table1[[#This Row],[Animal]]) = 1, "Previous Participant", "New Participant")</f>
        <v>Previous Participant</v>
      </c>
      <c r="N470" s="1" t="str">
        <f>_xlfn.XLOOKUP(Table1[[#This Row],[Region]],'Support - Tables'!$B$3:$B$10,'Support - Tables'!$D$3:$D$10,"Not Found",0)</f>
        <v>Road</v>
      </c>
      <c r="O470" s="6">
        <f>_xlfn.XLOOKUP(Table1[[#This Row],[Region]],'Support - Tables'!$B$3:$B$10,'Support - Tables'!$C$3:$C$10, "Not Found",0)</f>
        <v>450</v>
      </c>
      <c r="P470" s="6">
        <f>_xlfn.XLOOKUP(Table1[[#This Row],[Diet]],'Support - Tables'!$B$14:$B$16,'Support - Tables'!$C$14:$C$16, "Not Found", 0)</f>
        <v>500</v>
      </c>
      <c r="Q470" s="6">
        <f>Table1[[#This Row],[Revenue]]-Table1[[#This Row],[Cost]]</f>
        <v>-50</v>
      </c>
      <c r="R470" s="6">
        <f>COUNTBLANK(Table1[[#This Row],[Diet]:[Region]])</f>
        <v>0</v>
      </c>
      <c r="S470" s="6"/>
      <c r="T470" s="6"/>
    </row>
    <row r="471" spans="1:20" x14ac:dyDescent="0.25">
      <c r="A471" s="2" t="s">
        <v>530</v>
      </c>
      <c r="B471" s="1" t="s">
        <v>15</v>
      </c>
      <c r="C471" s="1">
        <v>12</v>
      </c>
      <c r="D471" s="1" t="s">
        <v>706</v>
      </c>
      <c r="E471" s="1">
        <f>IF(Table1[[#This Row],[Lifespan Unit]]="months", Table1[[#This Row],[Lifespan]]/12,Table1[[#This Row],[Lifespan]])</f>
        <v>12</v>
      </c>
      <c r="F471" s="1" t="s">
        <v>595</v>
      </c>
      <c r="G471" s="1" t="str">
        <f t="shared" si="14"/>
        <v>0.7</v>
      </c>
      <c r="H471" s="1" t="str">
        <f t="shared" si="15"/>
        <v>oz</v>
      </c>
      <c r="I471" s="1" t="str">
        <f>IF(Table1[[#This Row],[Lifespan (Years)]]&lt;25, "&lt;25", IF(Table1[[#This Row],[Lifespan (Years)]]&lt;50, "25-49", IF(Table1[[#This Row],[Lifespan (Years)]]&lt;75, "50-74", IF(Table1[[#This Row],[Lifespan (Years)]]&lt;100, "75-99", "&gt;=100"))))</f>
        <v>&lt;25</v>
      </c>
      <c r="J471" s="14">
        <f>IF(Table1[[#This Row],[Weight Unit]]="oz",Table1[[#This Row],[Weight (Digits)]]/16, Table1[[#This Row],[Weight (Digits)]]/1)</f>
        <v>4.3749999999999997E-2</v>
      </c>
      <c r="K47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71" s="1" t="s">
        <v>5</v>
      </c>
      <c r="M471" s="1" t="str">
        <f>IF(COUNTIF(Table2[Animal],Table1[[#This Row],[Animal]]) = 1, "Previous Participant", "New Participant")</f>
        <v>Previous Participant</v>
      </c>
      <c r="N471" s="1" t="str">
        <f>_xlfn.XLOOKUP(Table1[[#This Row],[Region]],'Support - Tables'!$B$3:$B$10,'Support - Tables'!$D$3:$D$10,"Not Found",0)</f>
        <v>Boat</v>
      </c>
      <c r="O471" s="6">
        <f>_xlfn.XLOOKUP(Table1[[#This Row],[Region]],'Support - Tables'!$B$3:$B$10,'Support - Tables'!$C$3:$C$10, "Not Found",0)</f>
        <v>400</v>
      </c>
      <c r="P471" s="6">
        <f>_xlfn.XLOOKUP(Table1[[#This Row],[Diet]],'Support - Tables'!$B$14:$B$16,'Support - Tables'!$C$14:$C$16, "Not Found", 0)</f>
        <v>500</v>
      </c>
      <c r="Q471" s="6">
        <f>Table1[[#This Row],[Revenue]]-Table1[[#This Row],[Cost]]</f>
        <v>-100</v>
      </c>
      <c r="R471" s="6">
        <f>COUNTBLANK(Table1[[#This Row],[Diet]:[Region]])</f>
        <v>0</v>
      </c>
      <c r="S471" s="6"/>
      <c r="T471" s="6"/>
    </row>
    <row r="472" spans="1:20" x14ac:dyDescent="0.25">
      <c r="A472" s="2" t="s">
        <v>531</v>
      </c>
      <c r="B472" s="1" t="s">
        <v>13</v>
      </c>
      <c r="C472" s="1">
        <v>24</v>
      </c>
      <c r="D472" s="1" t="s">
        <v>706</v>
      </c>
      <c r="E472" s="1">
        <f>IF(Table1[[#This Row],[Lifespan Unit]]="months", Table1[[#This Row],[Lifespan]]/12,Table1[[#This Row],[Lifespan]])</f>
        <v>24</v>
      </c>
      <c r="F472" s="1" t="s">
        <v>373</v>
      </c>
      <c r="G472" s="1" t="str">
        <f t="shared" si="14"/>
        <v>7</v>
      </c>
      <c r="H472" s="1" t="str">
        <f t="shared" si="15"/>
        <v>lbs</v>
      </c>
      <c r="I472" s="1" t="str">
        <f>IF(Table1[[#This Row],[Lifespan (Years)]]&lt;25, "&lt;25", IF(Table1[[#This Row],[Lifespan (Years)]]&lt;50, "25-49", IF(Table1[[#This Row],[Lifespan (Years)]]&lt;75, "50-74", IF(Table1[[#This Row],[Lifespan (Years)]]&lt;100, "75-99", "&gt;=100"))))</f>
        <v>&lt;25</v>
      </c>
      <c r="J472" s="14">
        <f>IF(Table1[[#This Row],[Weight Unit]]="oz",Table1[[#This Row],[Weight (Digits)]]/16, Table1[[#This Row],[Weight (Digits)]]/1)</f>
        <v>7</v>
      </c>
      <c r="K47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72" s="1" t="s">
        <v>2</v>
      </c>
      <c r="M472" s="1" t="str">
        <f>IF(COUNTIF(Table2[Animal],Table1[[#This Row],[Animal]]) = 1, "Previous Participant", "New Participant")</f>
        <v>New Participant</v>
      </c>
      <c r="N472" s="1" t="str">
        <f>_xlfn.XLOOKUP(Table1[[#This Row],[Region]],'Support - Tables'!$B$3:$B$10,'Support - Tables'!$D$3:$D$10,"Not Found",0)</f>
        <v>Air</v>
      </c>
      <c r="O472" s="6">
        <f>_xlfn.XLOOKUP(Table1[[#This Row],[Region]],'Support - Tables'!$B$3:$B$10,'Support - Tables'!$C$3:$C$10, "Not Found",0)</f>
        <v>600</v>
      </c>
      <c r="P472" s="6">
        <f>_xlfn.XLOOKUP(Table1[[#This Row],[Diet]],'Support - Tables'!$B$14:$B$16,'Support - Tables'!$C$14:$C$16, "Not Found", 0)</f>
        <v>400</v>
      </c>
      <c r="Q472" s="6">
        <f>Table1[[#This Row],[Revenue]]-Table1[[#This Row],[Cost]]</f>
        <v>200</v>
      </c>
      <c r="R472" s="6">
        <f>COUNTBLANK(Table1[[#This Row],[Diet]:[Region]])</f>
        <v>0</v>
      </c>
      <c r="S472" s="6"/>
      <c r="T472" s="6"/>
    </row>
    <row r="473" spans="1:20" x14ac:dyDescent="0.25">
      <c r="A473" s="2" t="s">
        <v>532</v>
      </c>
      <c r="B473" s="1" t="s">
        <v>15</v>
      </c>
      <c r="C473" s="1">
        <v>30</v>
      </c>
      <c r="D473" s="1" t="s">
        <v>706</v>
      </c>
      <c r="E473" s="1">
        <f>IF(Table1[[#This Row],[Lifespan Unit]]="months", Table1[[#This Row],[Lifespan]]/12,Table1[[#This Row],[Lifespan]])</f>
        <v>30</v>
      </c>
      <c r="F473" s="1" t="s">
        <v>617</v>
      </c>
      <c r="G473" s="1" t="str">
        <f t="shared" si="14"/>
        <v>1.9</v>
      </c>
      <c r="H473" s="1" t="str">
        <f t="shared" si="15"/>
        <v>lbs</v>
      </c>
      <c r="I473" s="1" t="str">
        <f>IF(Table1[[#This Row],[Lifespan (Years)]]&lt;25, "&lt;25", IF(Table1[[#This Row],[Lifespan (Years)]]&lt;50, "25-49", IF(Table1[[#This Row],[Lifespan (Years)]]&lt;75, "50-74", IF(Table1[[#This Row],[Lifespan (Years)]]&lt;100, "75-99", "&gt;=100"))))</f>
        <v>25-49</v>
      </c>
      <c r="J473" s="14">
        <f>IF(Table1[[#This Row],[Weight Unit]]="oz",Table1[[#This Row],[Weight (Digits)]]/16, Table1[[#This Row],[Weight (Digits)]]/1)</f>
        <v>1.9</v>
      </c>
      <c r="K47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73" s="1" t="s">
        <v>724</v>
      </c>
      <c r="M473" s="1" t="str">
        <f>IF(COUNTIF(Table2[Animal],Table1[[#This Row],[Animal]]) = 1, "Previous Participant", "New Participant")</f>
        <v>Previous Participant</v>
      </c>
      <c r="N473" s="1" t="str">
        <f>_xlfn.XLOOKUP(Table1[[#This Row],[Region]],'Support - Tables'!$B$3:$B$10,'Support - Tables'!$D$3:$D$10,"Not Found",0)</f>
        <v>Road</v>
      </c>
      <c r="O473" s="6">
        <f>_xlfn.XLOOKUP(Table1[[#This Row],[Region]],'Support - Tables'!$B$3:$B$10,'Support - Tables'!$C$3:$C$10, "Not Found",0)</f>
        <v>450</v>
      </c>
      <c r="P473" s="6">
        <f>_xlfn.XLOOKUP(Table1[[#This Row],[Diet]],'Support - Tables'!$B$14:$B$16,'Support - Tables'!$C$14:$C$16, "Not Found", 0)</f>
        <v>500</v>
      </c>
      <c r="Q473" s="6">
        <f>Table1[[#This Row],[Revenue]]-Table1[[#This Row],[Cost]]</f>
        <v>-50</v>
      </c>
      <c r="R473" s="6">
        <f>COUNTBLANK(Table1[[#This Row],[Diet]:[Region]])</f>
        <v>0</v>
      </c>
      <c r="S473" s="6"/>
      <c r="T473" s="6"/>
    </row>
    <row r="474" spans="1:20" x14ac:dyDescent="0.25">
      <c r="A474" s="2" t="s">
        <v>533</v>
      </c>
      <c r="B474" s="1" t="s">
        <v>23</v>
      </c>
      <c r="C474" s="1">
        <v>15</v>
      </c>
      <c r="D474" s="1" t="s">
        <v>706</v>
      </c>
      <c r="E474" s="1">
        <f>IF(Table1[[#This Row],[Lifespan Unit]]="months", Table1[[#This Row],[Lifespan]]/12,Table1[[#This Row],[Lifespan]])</f>
        <v>15</v>
      </c>
      <c r="F474" s="1" t="s">
        <v>599</v>
      </c>
      <c r="G474" s="1" t="str">
        <f t="shared" si="14"/>
        <v>2.2</v>
      </c>
      <c r="H474" s="1" t="str">
        <f t="shared" si="15"/>
        <v>lbs</v>
      </c>
      <c r="I474" s="1" t="str">
        <f>IF(Table1[[#This Row],[Lifespan (Years)]]&lt;25, "&lt;25", IF(Table1[[#This Row],[Lifespan (Years)]]&lt;50, "25-49", IF(Table1[[#This Row],[Lifespan (Years)]]&lt;75, "50-74", IF(Table1[[#This Row],[Lifespan (Years)]]&lt;100, "75-99", "&gt;=100"))))</f>
        <v>&lt;25</v>
      </c>
      <c r="J474" s="14">
        <f>IF(Table1[[#This Row],[Weight Unit]]="oz",Table1[[#This Row],[Weight (Digits)]]/16, Table1[[#This Row],[Weight (Digits)]]/1)</f>
        <v>2.2000000000000002</v>
      </c>
      <c r="K47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74" s="1" t="s">
        <v>724</v>
      </c>
      <c r="M474" s="1" t="str">
        <f>IF(COUNTIF(Table2[Animal],Table1[[#This Row],[Animal]]) = 1, "Previous Participant", "New Participant")</f>
        <v>Previous Participant</v>
      </c>
      <c r="N474" s="1" t="str">
        <f>_xlfn.XLOOKUP(Table1[[#This Row],[Region]],'Support - Tables'!$B$3:$B$10,'Support - Tables'!$D$3:$D$10,"Not Found",0)</f>
        <v>Road</v>
      </c>
      <c r="O474" s="6">
        <f>_xlfn.XLOOKUP(Table1[[#This Row],[Region]],'Support - Tables'!$B$3:$B$10,'Support - Tables'!$C$3:$C$10, "Not Found",0)</f>
        <v>450</v>
      </c>
      <c r="P474" s="6">
        <f>_xlfn.XLOOKUP(Table1[[#This Row],[Diet]],'Support - Tables'!$B$14:$B$16,'Support - Tables'!$C$14:$C$16, "Not Found", 0)</f>
        <v>300</v>
      </c>
      <c r="Q474" s="6">
        <f>Table1[[#This Row],[Revenue]]-Table1[[#This Row],[Cost]]</f>
        <v>150</v>
      </c>
      <c r="R474" s="6">
        <f>COUNTBLANK(Table1[[#This Row],[Diet]:[Region]])</f>
        <v>0</v>
      </c>
      <c r="S474" s="6"/>
      <c r="T474" s="6"/>
    </row>
    <row r="475" spans="1:20" x14ac:dyDescent="0.25">
      <c r="A475" s="2" t="s">
        <v>534</v>
      </c>
      <c r="B475" s="1" t="s">
        <v>15</v>
      </c>
      <c r="C475" s="1">
        <v>50</v>
      </c>
      <c r="D475" s="1" t="s">
        <v>706</v>
      </c>
      <c r="E475" s="1">
        <f>IF(Table1[[#This Row],[Lifespan Unit]]="months", Table1[[#This Row],[Lifespan]]/12,Table1[[#This Row],[Lifespan]])</f>
        <v>50</v>
      </c>
      <c r="F475" s="1" t="s">
        <v>684</v>
      </c>
      <c r="G475" s="1" t="str">
        <f t="shared" si="14"/>
        <v>880</v>
      </c>
      <c r="H475" s="1" t="str">
        <f t="shared" si="15"/>
        <v>lbs</v>
      </c>
      <c r="I475" s="1" t="str">
        <f>IF(Table1[[#This Row],[Lifespan (Years)]]&lt;25, "&lt;25", IF(Table1[[#This Row],[Lifespan (Years)]]&lt;50, "25-49", IF(Table1[[#This Row],[Lifespan (Years)]]&lt;75, "50-74", IF(Table1[[#This Row],[Lifespan (Years)]]&lt;100, "75-99", "&gt;=100"))))</f>
        <v>50-74</v>
      </c>
      <c r="J475" s="14">
        <f>IF(Table1[[#This Row],[Weight Unit]]="oz",Table1[[#This Row],[Weight (Digits)]]/16, Table1[[#This Row],[Weight (Digits)]]/1)</f>
        <v>880</v>
      </c>
      <c r="K47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475" s="1" t="s">
        <v>2</v>
      </c>
      <c r="M475" s="1" t="str">
        <f>IF(COUNTIF(Table2[Animal],Table1[[#This Row],[Animal]]) = 1, "Previous Participant", "New Participant")</f>
        <v>Previous Participant</v>
      </c>
      <c r="N475" s="1" t="str">
        <f>_xlfn.XLOOKUP(Table1[[#This Row],[Region]],'Support - Tables'!$B$3:$B$10,'Support - Tables'!$D$3:$D$10,"Not Found",0)</f>
        <v>Air</v>
      </c>
      <c r="O475" s="6">
        <f>_xlfn.XLOOKUP(Table1[[#This Row],[Region]],'Support - Tables'!$B$3:$B$10,'Support - Tables'!$C$3:$C$10, "Not Found",0)</f>
        <v>600</v>
      </c>
      <c r="P475" s="6">
        <f>_xlfn.XLOOKUP(Table1[[#This Row],[Diet]],'Support - Tables'!$B$14:$B$16,'Support - Tables'!$C$14:$C$16, "Not Found", 0)</f>
        <v>500</v>
      </c>
      <c r="Q475" s="6">
        <f>Table1[[#This Row],[Revenue]]-Table1[[#This Row],[Cost]]</f>
        <v>100</v>
      </c>
      <c r="R475" s="6">
        <f>COUNTBLANK(Table1[[#This Row],[Diet]:[Region]])</f>
        <v>0</v>
      </c>
      <c r="S475" s="6"/>
      <c r="T475" s="6"/>
    </row>
    <row r="476" spans="1:20" x14ac:dyDescent="0.25">
      <c r="A476" s="2" t="s">
        <v>535</v>
      </c>
      <c r="B476" s="1" t="s">
        <v>13</v>
      </c>
      <c r="C476" s="1">
        <v>18</v>
      </c>
      <c r="D476" s="1" t="s">
        <v>706</v>
      </c>
      <c r="E476" s="1">
        <f>IF(Table1[[#This Row],[Lifespan Unit]]="months", Table1[[#This Row],[Lifespan]]/12,Table1[[#This Row],[Lifespan]])</f>
        <v>18</v>
      </c>
      <c r="F476" s="1" t="s">
        <v>36</v>
      </c>
      <c r="G476" s="1" t="str">
        <f t="shared" si="14"/>
        <v>110</v>
      </c>
      <c r="H476" s="1" t="str">
        <f t="shared" si="15"/>
        <v>lbs</v>
      </c>
      <c r="I476" s="1" t="str">
        <f>IF(Table1[[#This Row],[Lifespan (Years)]]&lt;25, "&lt;25", IF(Table1[[#This Row],[Lifespan (Years)]]&lt;50, "25-49", IF(Table1[[#This Row],[Lifespan (Years)]]&lt;75, "50-74", IF(Table1[[#This Row],[Lifespan (Years)]]&lt;100, "75-99", "&gt;=100"))))</f>
        <v>&lt;25</v>
      </c>
      <c r="J476" s="14">
        <f>IF(Table1[[#This Row],[Weight Unit]]="oz",Table1[[#This Row],[Weight (Digits)]]/16, Table1[[#This Row],[Weight (Digits)]]/1)</f>
        <v>110</v>
      </c>
      <c r="K47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476" s="1" t="s">
        <v>6</v>
      </c>
      <c r="M476" s="1" t="str">
        <f>IF(COUNTIF(Table2[Animal],Table1[[#This Row],[Animal]]) = 1, "Previous Participant", "New Participant")</f>
        <v>Previous Participant</v>
      </c>
      <c r="N476" s="1" t="str">
        <f>_xlfn.XLOOKUP(Table1[[#This Row],[Region]],'Support - Tables'!$B$3:$B$10,'Support - Tables'!$D$3:$D$10,"Not Found",0)</f>
        <v>Air</v>
      </c>
      <c r="O476" s="6">
        <f>_xlfn.XLOOKUP(Table1[[#This Row],[Region]],'Support - Tables'!$B$3:$B$10,'Support - Tables'!$C$3:$C$10, "Not Found",0)</f>
        <v>450</v>
      </c>
      <c r="P476" s="6">
        <f>_xlfn.XLOOKUP(Table1[[#This Row],[Diet]],'Support - Tables'!$B$14:$B$16,'Support - Tables'!$C$14:$C$16, "Not Found", 0)</f>
        <v>400</v>
      </c>
      <c r="Q476" s="6">
        <f>Table1[[#This Row],[Revenue]]-Table1[[#This Row],[Cost]]</f>
        <v>50</v>
      </c>
      <c r="R476" s="6">
        <f>COUNTBLANK(Table1[[#This Row],[Diet]:[Region]])</f>
        <v>0</v>
      </c>
      <c r="S476" s="6"/>
      <c r="T476" s="6"/>
    </row>
    <row r="477" spans="1:20" x14ac:dyDescent="0.25">
      <c r="A477" s="2" t="s">
        <v>536</v>
      </c>
      <c r="B477" s="1" t="s">
        <v>13</v>
      </c>
      <c r="C477" s="1">
        <v>22</v>
      </c>
      <c r="D477" s="1" t="s">
        <v>709</v>
      </c>
      <c r="E477" s="1">
        <f>IF(Table1[[#This Row],[Lifespan Unit]]="months", Table1[[#This Row],[Lifespan]]/12,Table1[[#This Row],[Lifespan]])</f>
        <v>22</v>
      </c>
      <c r="F477" s="1" t="s">
        <v>573</v>
      </c>
      <c r="G477" s="1" t="str">
        <f t="shared" si="14"/>
        <v/>
      </c>
      <c r="H477" s="1" t="str">
        <f t="shared" si="15"/>
        <v/>
      </c>
      <c r="I477" s="1" t="str">
        <f>IF(Table1[[#This Row],[Lifespan (Years)]]&lt;25, "&lt;25", IF(Table1[[#This Row],[Lifespan (Years)]]&lt;50, "25-49", IF(Table1[[#This Row],[Lifespan (Years)]]&lt;75, "50-74", IF(Table1[[#This Row],[Lifespan (Years)]]&lt;100, "75-99", "&gt;=100"))))</f>
        <v>&lt;25</v>
      </c>
      <c r="J477" s="14">
        <v>0</v>
      </c>
      <c r="K47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477" s="1" t="s">
        <v>725</v>
      </c>
      <c r="M477" s="1" t="str">
        <f>IF(COUNTIF(Table2[Animal],Table1[[#This Row],[Animal]]) = 1, "Previous Participant", "New Participant")</f>
        <v>Previous Participant</v>
      </c>
      <c r="N477" s="1" t="str">
        <f>_xlfn.XLOOKUP(Table1[[#This Row],[Region]],'Support - Tables'!$B$3:$B$10,'Support - Tables'!$D$3:$D$10,"Not Found",0)</f>
        <v>Air</v>
      </c>
      <c r="O477" s="6">
        <f>_xlfn.XLOOKUP(Table1[[#This Row],[Region]],'Support - Tables'!$B$3:$B$10,'Support - Tables'!$C$3:$C$10, "Not Found",0)</f>
        <v>600</v>
      </c>
      <c r="P477" s="6">
        <f>_xlfn.XLOOKUP(Table1[[#This Row],[Diet]],'Support - Tables'!$B$14:$B$16,'Support - Tables'!$C$14:$C$16, "Not Found", 0)</f>
        <v>400</v>
      </c>
      <c r="Q477" s="6">
        <f>Table1[[#This Row],[Revenue]]-Table1[[#This Row],[Cost]]</f>
        <v>200</v>
      </c>
      <c r="R477" s="6">
        <f>COUNTBLANK(Table1[[#This Row],[Diet]:[Region]])</f>
        <v>3</v>
      </c>
      <c r="S477" s="6"/>
      <c r="T477" s="6"/>
    </row>
    <row r="478" spans="1:20" x14ac:dyDescent="0.25">
      <c r="A478" s="2" t="s">
        <v>537</v>
      </c>
      <c r="B478" s="1" t="s">
        <v>23</v>
      </c>
      <c r="C478" s="1">
        <v>25</v>
      </c>
      <c r="D478" s="1" t="s">
        <v>706</v>
      </c>
      <c r="E478" s="1">
        <f>IF(Table1[[#This Row],[Lifespan Unit]]="months", Table1[[#This Row],[Lifespan]]/12,Table1[[#This Row],[Lifespan]])</f>
        <v>25</v>
      </c>
      <c r="F478" s="1" t="s">
        <v>684</v>
      </c>
      <c r="G478" s="1" t="str">
        <f t="shared" si="14"/>
        <v>880</v>
      </c>
      <c r="H478" s="1" t="str">
        <f t="shared" si="15"/>
        <v>lbs</v>
      </c>
      <c r="I478" s="1" t="str">
        <f>IF(Table1[[#This Row],[Lifespan (Years)]]&lt;25, "&lt;25", IF(Table1[[#This Row],[Lifespan (Years)]]&lt;50, "25-49", IF(Table1[[#This Row],[Lifespan (Years)]]&lt;75, "50-74", IF(Table1[[#This Row],[Lifespan (Years)]]&lt;100, "75-99", "&gt;=100"))))</f>
        <v>25-49</v>
      </c>
      <c r="J478" s="14">
        <f>IF(Table1[[#This Row],[Weight Unit]]="oz",Table1[[#This Row],[Weight (Digits)]]/16, Table1[[#This Row],[Weight (Digits)]]/1)</f>
        <v>880</v>
      </c>
      <c r="K47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478" s="1" t="s">
        <v>724</v>
      </c>
      <c r="M478" s="1" t="str">
        <f>IF(COUNTIF(Table2[Animal],Table1[[#This Row],[Animal]]) = 1, "Previous Participant", "New Participant")</f>
        <v>Previous Participant</v>
      </c>
      <c r="N478" s="1" t="str">
        <f>_xlfn.XLOOKUP(Table1[[#This Row],[Region]],'Support - Tables'!$B$3:$B$10,'Support - Tables'!$D$3:$D$10,"Not Found",0)</f>
        <v>Road</v>
      </c>
      <c r="O478" s="6">
        <f>_xlfn.XLOOKUP(Table1[[#This Row],[Region]],'Support - Tables'!$B$3:$B$10,'Support - Tables'!$C$3:$C$10, "Not Found",0)</f>
        <v>450</v>
      </c>
      <c r="P478" s="6">
        <f>_xlfn.XLOOKUP(Table1[[#This Row],[Diet]],'Support - Tables'!$B$14:$B$16,'Support - Tables'!$C$14:$C$16, "Not Found", 0)</f>
        <v>300</v>
      </c>
      <c r="Q478" s="6">
        <f>Table1[[#This Row],[Revenue]]-Table1[[#This Row],[Cost]]</f>
        <v>150</v>
      </c>
      <c r="R478" s="6">
        <f>COUNTBLANK(Table1[[#This Row],[Diet]:[Region]])</f>
        <v>0</v>
      </c>
      <c r="S478" s="6"/>
      <c r="T478" s="6"/>
    </row>
    <row r="479" spans="1:20" x14ac:dyDescent="0.25">
      <c r="A479" s="2" t="s">
        <v>538</v>
      </c>
      <c r="B479" s="1" t="s">
        <v>13</v>
      </c>
      <c r="C479" s="1">
        <v>20</v>
      </c>
      <c r="D479" s="1" t="s">
        <v>706</v>
      </c>
      <c r="E479" s="1">
        <f>IF(Table1[[#This Row],[Lifespan Unit]]="months", Table1[[#This Row],[Lifespan]]/12,Table1[[#This Row],[Lifespan]])</f>
        <v>20</v>
      </c>
      <c r="F479" s="1" t="s">
        <v>612</v>
      </c>
      <c r="G479" s="1" t="str">
        <f t="shared" si="14"/>
        <v>1.1</v>
      </c>
      <c r="H479" s="1" t="str">
        <f t="shared" si="15"/>
        <v>lbs</v>
      </c>
      <c r="I479" s="1" t="str">
        <f>IF(Table1[[#This Row],[Lifespan (Years)]]&lt;25, "&lt;25", IF(Table1[[#This Row],[Lifespan (Years)]]&lt;50, "25-49", IF(Table1[[#This Row],[Lifespan (Years)]]&lt;75, "50-74", IF(Table1[[#This Row],[Lifespan (Years)]]&lt;100, "75-99", "&gt;=100"))))</f>
        <v>&lt;25</v>
      </c>
      <c r="J479" s="14">
        <f>IF(Table1[[#This Row],[Weight Unit]]="oz",Table1[[#This Row],[Weight (Digits)]]/16, Table1[[#This Row],[Weight (Digits)]]/1)</f>
        <v>1.1000000000000001</v>
      </c>
      <c r="K47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79" s="1" t="s">
        <v>1</v>
      </c>
      <c r="M479" s="1" t="str">
        <f>IF(COUNTIF(Table2[Animal],Table1[[#This Row],[Animal]]) = 1, "Previous Participant", "New Participant")</f>
        <v>Previous Participant</v>
      </c>
      <c r="N479" s="1" t="str">
        <f>_xlfn.XLOOKUP(Table1[[#This Row],[Region]],'Support - Tables'!$B$3:$B$10,'Support - Tables'!$D$3:$D$10,"Not Found",0)</f>
        <v>Air</v>
      </c>
      <c r="O479" s="6">
        <f>_xlfn.XLOOKUP(Table1[[#This Row],[Region]],'Support - Tables'!$B$3:$B$10,'Support - Tables'!$C$3:$C$10, "Not Found",0)</f>
        <v>700</v>
      </c>
      <c r="P479" s="6">
        <f>_xlfn.XLOOKUP(Table1[[#This Row],[Diet]],'Support - Tables'!$B$14:$B$16,'Support - Tables'!$C$14:$C$16, "Not Found", 0)</f>
        <v>400</v>
      </c>
      <c r="Q479" s="6">
        <f>Table1[[#This Row],[Revenue]]-Table1[[#This Row],[Cost]]</f>
        <v>300</v>
      </c>
      <c r="R479" s="6">
        <f>COUNTBLANK(Table1[[#This Row],[Diet]:[Region]])</f>
        <v>0</v>
      </c>
      <c r="S479" s="6"/>
      <c r="T479" s="6"/>
    </row>
    <row r="480" spans="1:20" x14ac:dyDescent="0.25">
      <c r="A480" s="2" t="s">
        <v>539</v>
      </c>
      <c r="B480" s="1" t="s">
        <v>23</v>
      </c>
      <c r="C480" s="1">
        <v>2</v>
      </c>
      <c r="D480" s="1" t="s">
        <v>706</v>
      </c>
      <c r="E480" s="1">
        <f>IF(Table1[[#This Row],[Lifespan Unit]]="months", Table1[[#This Row],[Lifespan]]/12,Table1[[#This Row],[Lifespan]])</f>
        <v>2</v>
      </c>
      <c r="F480" s="1" t="s">
        <v>685</v>
      </c>
      <c r="G480" s="1" t="str">
        <f t="shared" si="14"/>
        <v>5.6</v>
      </c>
      <c r="H480" s="1" t="str">
        <f t="shared" si="15"/>
        <v>oz</v>
      </c>
      <c r="I480" s="1" t="str">
        <f>IF(Table1[[#This Row],[Lifespan (Years)]]&lt;25, "&lt;25", IF(Table1[[#This Row],[Lifespan (Years)]]&lt;50, "25-49", IF(Table1[[#This Row],[Lifespan (Years)]]&lt;75, "50-74", IF(Table1[[#This Row],[Lifespan (Years)]]&lt;100, "75-99", "&gt;=100"))))</f>
        <v>&lt;25</v>
      </c>
      <c r="J480" s="14">
        <f>IF(Table1[[#This Row],[Weight Unit]]="oz",Table1[[#This Row],[Weight (Digits)]]/16, Table1[[#This Row],[Weight (Digits)]]/1)</f>
        <v>0.35</v>
      </c>
      <c r="K48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80" s="1" t="s">
        <v>725</v>
      </c>
      <c r="M480" s="1" t="str">
        <f>IF(COUNTIF(Table2[Animal],Table1[[#This Row],[Animal]]) = 1, "Previous Participant", "New Participant")</f>
        <v>New Participant</v>
      </c>
      <c r="N480" s="1" t="str">
        <f>_xlfn.XLOOKUP(Table1[[#This Row],[Region]],'Support - Tables'!$B$3:$B$10,'Support - Tables'!$D$3:$D$10,"Not Found",0)</f>
        <v>Air</v>
      </c>
      <c r="O480" s="6">
        <f>_xlfn.XLOOKUP(Table1[[#This Row],[Region]],'Support - Tables'!$B$3:$B$10,'Support - Tables'!$C$3:$C$10, "Not Found",0)</f>
        <v>600</v>
      </c>
      <c r="P480" s="6">
        <f>_xlfn.XLOOKUP(Table1[[#This Row],[Diet]],'Support - Tables'!$B$14:$B$16,'Support - Tables'!$C$14:$C$16, "Not Found", 0)</f>
        <v>300</v>
      </c>
      <c r="Q480" s="6">
        <f>Table1[[#This Row],[Revenue]]-Table1[[#This Row],[Cost]]</f>
        <v>300</v>
      </c>
      <c r="R480" s="6">
        <f>COUNTBLANK(Table1[[#This Row],[Diet]:[Region]])</f>
        <v>0</v>
      </c>
      <c r="S480" s="6"/>
      <c r="T480" s="6"/>
    </row>
    <row r="481" spans="1:20" x14ac:dyDescent="0.25">
      <c r="A481" s="2" t="s">
        <v>540</v>
      </c>
      <c r="B481" s="1" t="s">
        <v>15</v>
      </c>
      <c r="C481" s="1">
        <v>3</v>
      </c>
      <c r="D481" s="1" t="s">
        <v>706</v>
      </c>
      <c r="E481" s="1">
        <f>IF(Table1[[#This Row],[Lifespan Unit]]="months", Table1[[#This Row],[Lifespan]]/12,Table1[[#This Row],[Lifespan]])</f>
        <v>3</v>
      </c>
      <c r="F481" s="1" t="s">
        <v>686</v>
      </c>
      <c r="G481" s="1" t="str">
        <f t="shared" si="14"/>
        <v>4.2</v>
      </c>
      <c r="H481" s="1" t="str">
        <f t="shared" si="15"/>
        <v>oz</v>
      </c>
      <c r="I481" s="1" t="str">
        <f>IF(Table1[[#This Row],[Lifespan (Years)]]&lt;25, "&lt;25", IF(Table1[[#This Row],[Lifespan (Years)]]&lt;50, "25-49", IF(Table1[[#This Row],[Lifespan (Years)]]&lt;75, "50-74", IF(Table1[[#This Row],[Lifespan (Years)]]&lt;100, "75-99", "&gt;=100"))))</f>
        <v>&lt;25</v>
      </c>
      <c r="J481" s="14">
        <f>IF(Table1[[#This Row],[Weight Unit]]="oz",Table1[[#This Row],[Weight (Digits)]]/16, Table1[[#This Row],[Weight (Digits)]]/1)</f>
        <v>0.26250000000000001</v>
      </c>
      <c r="K48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81" s="1" t="s">
        <v>724</v>
      </c>
      <c r="M481" s="1" t="str">
        <f>IF(COUNTIF(Table2[Animal],Table1[[#This Row],[Animal]]) = 1, "Previous Participant", "New Participant")</f>
        <v>Previous Participant</v>
      </c>
      <c r="N481" s="1" t="str">
        <f>_xlfn.XLOOKUP(Table1[[#This Row],[Region]],'Support - Tables'!$B$3:$B$10,'Support - Tables'!$D$3:$D$10,"Not Found",0)</f>
        <v>Road</v>
      </c>
      <c r="O481" s="6">
        <f>_xlfn.XLOOKUP(Table1[[#This Row],[Region]],'Support - Tables'!$B$3:$B$10,'Support - Tables'!$C$3:$C$10, "Not Found",0)</f>
        <v>450</v>
      </c>
      <c r="P481" s="6">
        <f>_xlfn.XLOOKUP(Table1[[#This Row],[Diet]],'Support - Tables'!$B$14:$B$16,'Support - Tables'!$C$14:$C$16, "Not Found", 0)</f>
        <v>500</v>
      </c>
      <c r="Q481" s="6">
        <f>Table1[[#This Row],[Revenue]]-Table1[[#This Row],[Cost]]</f>
        <v>-50</v>
      </c>
      <c r="R481" s="6">
        <f>COUNTBLANK(Table1[[#This Row],[Diet]:[Region]])</f>
        <v>0</v>
      </c>
      <c r="S481" s="6"/>
      <c r="T481" s="6"/>
    </row>
    <row r="482" spans="1:20" x14ac:dyDescent="0.25">
      <c r="A482" s="2" t="s">
        <v>541</v>
      </c>
      <c r="B482" s="1" t="s">
        <v>13</v>
      </c>
      <c r="C482" s="1">
        <v>13</v>
      </c>
      <c r="D482" s="1" t="s">
        <v>706</v>
      </c>
      <c r="E482" s="1">
        <f>IF(Table1[[#This Row],[Lifespan Unit]]="months", Table1[[#This Row],[Lifespan]]/12,Table1[[#This Row],[Lifespan]])</f>
        <v>13</v>
      </c>
      <c r="F482" s="1" t="s">
        <v>98</v>
      </c>
      <c r="G482" s="1" t="str">
        <f t="shared" si="14"/>
        <v>30</v>
      </c>
      <c r="H482" s="1" t="str">
        <f t="shared" si="15"/>
        <v>lbs</v>
      </c>
      <c r="I482" s="1" t="str">
        <f>IF(Table1[[#This Row],[Lifespan (Years)]]&lt;25, "&lt;25", IF(Table1[[#This Row],[Lifespan (Years)]]&lt;50, "25-49", IF(Table1[[#This Row],[Lifespan (Years)]]&lt;75, "50-74", IF(Table1[[#This Row],[Lifespan (Years)]]&lt;100, "75-99", "&gt;=100"))))</f>
        <v>&lt;25</v>
      </c>
      <c r="J482" s="14">
        <f>IF(Table1[[#This Row],[Weight Unit]]="oz",Table1[[#This Row],[Weight (Digits)]]/16, Table1[[#This Row],[Weight (Digits)]]/1)</f>
        <v>30</v>
      </c>
      <c r="K48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82" s="1" t="s">
        <v>724</v>
      </c>
      <c r="M482" s="1" t="str">
        <f>IF(COUNTIF(Table2[Animal],Table1[[#This Row],[Animal]]) = 1, "Previous Participant", "New Participant")</f>
        <v>Previous Participant</v>
      </c>
      <c r="N482" s="1" t="str">
        <f>_xlfn.XLOOKUP(Table1[[#This Row],[Region]],'Support - Tables'!$B$3:$B$10,'Support - Tables'!$D$3:$D$10,"Not Found",0)</f>
        <v>Road</v>
      </c>
      <c r="O482" s="6">
        <f>_xlfn.XLOOKUP(Table1[[#This Row],[Region]],'Support - Tables'!$B$3:$B$10,'Support - Tables'!$C$3:$C$10, "Not Found",0)</f>
        <v>450</v>
      </c>
      <c r="P482" s="6">
        <f>_xlfn.XLOOKUP(Table1[[#This Row],[Diet]],'Support - Tables'!$B$14:$B$16,'Support - Tables'!$C$14:$C$16, "Not Found", 0)</f>
        <v>400</v>
      </c>
      <c r="Q482" s="6">
        <f>Table1[[#This Row],[Revenue]]-Table1[[#This Row],[Cost]]</f>
        <v>50</v>
      </c>
      <c r="R482" s="6">
        <f>COUNTBLANK(Table1[[#This Row],[Diet]:[Region]])</f>
        <v>0</v>
      </c>
      <c r="S482" s="6"/>
      <c r="T482" s="6"/>
    </row>
    <row r="483" spans="1:20" x14ac:dyDescent="0.25">
      <c r="A483" s="2" t="s">
        <v>542</v>
      </c>
      <c r="B483" s="1" t="s">
        <v>13</v>
      </c>
      <c r="C483" s="1">
        <v>15</v>
      </c>
      <c r="D483" s="1" t="s">
        <v>706</v>
      </c>
      <c r="E483" s="1">
        <f>IF(Table1[[#This Row],[Lifespan Unit]]="months", Table1[[#This Row],[Lifespan]]/12,Table1[[#This Row],[Lifespan]])</f>
        <v>15</v>
      </c>
      <c r="F483" s="1" t="s">
        <v>249</v>
      </c>
      <c r="G483" s="1" t="str">
        <f t="shared" si="14"/>
        <v>22</v>
      </c>
      <c r="H483" s="1" t="str">
        <f t="shared" si="15"/>
        <v>lbs</v>
      </c>
      <c r="I483" s="1" t="str">
        <f>IF(Table1[[#This Row],[Lifespan (Years)]]&lt;25, "&lt;25", IF(Table1[[#This Row],[Lifespan (Years)]]&lt;50, "25-49", IF(Table1[[#This Row],[Lifespan (Years)]]&lt;75, "50-74", IF(Table1[[#This Row],[Lifespan (Years)]]&lt;100, "75-99", "&gt;=100"))))</f>
        <v>&lt;25</v>
      </c>
      <c r="J483" s="14">
        <f>IF(Table1[[#This Row],[Weight Unit]]="oz",Table1[[#This Row],[Weight (Digits)]]/16, Table1[[#This Row],[Weight (Digits)]]/1)</f>
        <v>22</v>
      </c>
      <c r="K48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83" s="1" t="s">
        <v>724</v>
      </c>
      <c r="M483" s="1" t="str">
        <f>IF(COUNTIF(Table2[Animal],Table1[[#This Row],[Animal]]) = 1, "Previous Participant", "New Participant")</f>
        <v>New Participant</v>
      </c>
      <c r="N483" s="1" t="str">
        <f>_xlfn.XLOOKUP(Table1[[#This Row],[Region]],'Support - Tables'!$B$3:$B$10,'Support - Tables'!$D$3:$D$10,"Not Found",0)</f>
        <v>Road</v>
      </c>
      <c r="O483" s="6">
        <f>_xlfn.XLOOKUP(Table1[[#This Row],[Region]],'Support - Tables'!$B$3:$B$10,'Support - Tables'!$C$3:$C$10, "Not Found",0)</f>
        <v>450</v>
      </c>
      <c r="P483" s="6">
        <f>_xlfn.XLOOKUP(Table1[[#This Row],[Diet]],'Support - Tables'!$B$14:$B$16,'Support - Tables'!$C$14:$C$16, "Not Found", 0)</f>
        <v>400</v>
      </c>
      <c r="Q483" s="6">
        <f>Table1[[#This Row],[Revenue]]-Table1[[#This Row],[Cost]]</f>
        <v>50</v>
      </c>
      <c r="R483" s="6">
        <f>COUNTBLANK(Table1[[#This Row],[Diet]:[Region]])</f>
        <v>0</v>
      </c>
      <c r="S483" s="6"/>
      <c r="T483" s="6"/>
    </row>
    <row r="484" spans="1:20" x14ac:dyDescent="0.25">
      <c r="A484" s="2" t="s">
        <v>543</v>
      </c>
      <c r="B484" s="1" t="s">
        <v>23</v>
      </c>
      <c r="C484" s="1">
        <v>50</v>
      </c>
      <c r="D484" s="1" t="s">
        <v>706</v>
      </c>
      <c r="E484" s="1">
        <f>IF(Table1[[#This Row],[Lifespan Unit]]="months", Table1[[#This Row],[Lifespan]]/12,Table1[[#This Row],[Lifespan]])</f>
        <v>50</v>
      </c>
      <c r="F484" s="1" t="s">
        <v>587</v>
      </c>
      <c r="G484" s="1" t="str">
        <f t="shared" si="14"/>
        <v>220</v>
      </c>
      <c r="H484" s="1" t="str">
        <f t="shared" si="15"/>
        <v>lbs</v>
      </c>
      <c r="I484" s="1" t="str">
        <f>IF(Table1[[#This Row],[Lifespan (Years)]]&lt;25, "&lt;25", IF(Table1[[#This Row],[Lifespan (Years)]]&lt;50, "25-49", IF(Table1[[#This Row],[Lifespan (Years)]]&lt;75, "50-74", IF(Table1[[#This Row],[Lifespan (Years)]]&lt;100, "75-99", "&gt;=100"))))</f>
        <v>50-74</v>
      </c>
      <c r="J484" s="14">
        <f>IF(Table1[[#This Row],[Weight Unit]]="oz",Table1[[#This Row],[Weight (Digits)]]/16, Table1[[#This Row],[Weight (Digits)]]/1)</f>
        <v>220</v>
      </c>
      <c r="K48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200-299</v>
      </c>
      <c r="L484" s="1" t="s">
        <v>6</v>
      </c>
      <c r="M484" s="1" t="str">
        <f>IF(COUNTIF(Table2[Animal],Table1[[#This Row],[Animal]]) = 1, "Previous Participant", "New Participant")</f>
        <v>Previous Participant</v>
      </c>
      <c r="N484" s="1" t="str">
        <f>_xlfn.XLOOKUP(Table1[[#This Row],[Region]],'Support - Tables'!$B$3:$B$10,'Support - Tables'!$D$3:$D$10,"Not Found",0)</f>
        <v>Air</v>
      </c>
      <c r="O484" s="6">
        <f>_xlfn.XLOOKUP(Table1[[#This Row],[Region]],'Support - Tables'!$B$3:$B$10,'Support - Tables'!$C$3:$C$10, "Not Found",0)</f>
        <v>450</v>
      </c>
      <c r="P484" s="6">
        <f>_xlfn.XLOOKUP(Table1[[#This Row],[Diet]],'Support - Tables'!$B$14:$B$16,'Support - Tables'!$C$14:$C$16, "Not Found", 0)</f>
        <v>300</v>
      </c>
      <c r="Q484" s="6">
        <f>Table1[[#This Row],[Revenue]]-Table1[[#This Row],[Cost]]</f>
        <v>150</v>
      </c>
      <c r="R484" s="6">
        <f>COUNTBLANK(Table1[[#This Row],[Diet]:[Region]])</f>
        <v>0</v>
      </c>
      <c r="S484" s="6"/>
      <c r="T484" s="6"/>
    </row>
    <row r="485" spans="1:20" x14ac:dyDescent="0.25">
      <c r="A485" s="2" t="s">
        <v>544</v>
      </c>
      <c r="B485" s="1" t="s">
        <v>15</v>
      </c>
      <c r="C485" s="1">
        <v>70</v>
      </c>
      <c r="D485" s="1" t="s">
        <v>706</v>
      </c>
      <c r="E485" s="1">
        <f>IF(Table1[[#This Row],[Lifespan Unit]]="months", Table1[[#This Row],[Lifespan]]/12,Table1[[#This Row],[Lifespan]])</f>
        <v>70</v>
      </c>
      <c r="F485" s="1" t="s">
        <v>606</v>
      </c>
      <c r="G485" s="1" t="str">
        <f t="shared" si="14"/>
        <v>15</v>
      </c>
      <c r="H485" s="1" t="str">
        <f t="shared" si="15"/>
        <v>lbs</v>
      </c>
      <c r="I485" s="1" t="str">
        <f>IF(Table1[[#This Row],[Lifespan (Years)]]&lt;25, "&lt;25", IF(Table1[[#This Row],[Lifespan (Years)]]&lt;50, "25-49", IF(Table1[[#This Row],[Lifespan (Years)]]&lt;75, "50-74", IF(Table1[[#This Row],[Lifespan (Years)]]&lt;100, "75-99", "&gt;=100"))))</f>
        <v>50-74</v>
      </c>
      <c r="J485" s="14">
        <f>IF(Table1[[#This Row],[Weight Unit]]="oz",Table1[[#This Row],[Weight (Digits)]]/16, Table1[[#This Row],[Weight (Digits)]]/1)</f>
        <v>15</v>
      </c>
      <c r="K48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85" s="1" t="s">
        <v>1</v>
      </c>
      <c r="M485" s="1" t="str">
        <f>IF(COUNTIF(Table2[Animal],Table1[[#This Row],[Animal]]) = 1, "Previous Participant", "New Participant")</f>
        <v>New Participant</v>
      </c>
      <c r="N485" s="1" t="str">
        <f>_xlfn.XLOOKUP(Table1[[#This Row],[Region]],'Support - Tables'!$B$3:$B$10,'Support - Tables'!$D$3:$D$10,"Not Found",0)</f>
        <v>Air</v>
      </c>
      <c r="O485" s="6">
        <f>_xlfn.XLOOKUP(Table1[[#This Row],[Region]],'Support - Tables'!$B$3:$B$10,'Support - Tables'!$C$3:$C$10, "Not Found",0)</f>
        <v>700</v>
      </c>
      <c r="P485" s="6">
        <f>_xlfn.XLOOKUP(Table1[[#This Row],[Diet]],'Support - Tables'!$B$14:$B$16,'Support - Tables'!$C$14:$C$16, "Not Found", 0)</f>
        <v>500</v>
      </c>
      <c r="Q485" s="6">
        <f>Table1[[#This Row],[Revenue]]-Table1[[#This Row],[Cost]]</f>
        <v>200</v>
      </c>
      <c r="R485" s="6">
        <f>COUNTBLANK(Table1[[#This Row],[Diet]:[Region]])</f>
        <v>0</v>
      </c>
      <c r="S485" s="6"/>
      <c r="T485" s="6"/>
    </row>
    <row r="486" spans="1:20" x14ac:dyDescent="0.25">
      <c r="A486" s="2" t="s">
        <v>545</v>
      </c>
      <c r="B486" s="1" t="s">
        <v>13</v>
      </c>
      <c r="C486" s="1">
        <v>15</v>
      </c>
      <c r="D486" s="1" t="s">
        <v>706</v>
      </c>
      <c r="E486" s="1">
        <f>IF(Table1[[#This Row],[Lifespan Unit]]="months", Table1[[#This Row],[Lifespan]]/12,Table1[[#This Row],[Lifespan]])</f>
        <v>15</v>
      </c>
      <c r="F486" s="1" t="s">
        <v>47</v>
      </c>
      <c r="G486" s="1" t="str">
        <f t="shared" si="14"/>
        <v>28</v>
      </c>
      <c r="H486" s="1" t="str">
        <f t="shared" si="15"/>
        <v>lbs</v>
      </c>
      <c r="I486" s="1" t="str">
        <f>IF(Table1[[#This Row],[Lifespan (Years)]]&lt;25, "&lt;25", IF(Table1[[#This Row],[Lifespan (Years)]]&lt;50, "25-49", IF(Table1[[#This Row],[Lifespan (Years)]]&lt;75, "50-74", IF(Table1[[#This Row],[Lifespan (Years)]]&lt;100, "75-99", "&gt;=100"))))</f>
        <v>&lt;25</v>
      </c>
      <c r="J486" s="14">
        <f>IF(Table1[[#This Row],[Weight Unit]]="oz",Table1[[#This Row],[Weight (Digits)]]/16, Table1[[#This Row],[Weight (Digits)]]/1)</f>
        <v>28</v>
      </c>
      <c r="K48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86" s="1" t="s">
        <v>5</v>
      </c>
      <c r="M486" s="1" t="str">
        <f>IF(COUNTIF(Table2[Animal],Table1[[#This Row],[Animal]]) = 1, "Previous Participant", "New Participant")</f>
        <v>Previous Participant</v>
      </c>
      <c r="N486" s="1" t="str">
        <f>_xlfn.XLOOKUP(Table1[[#This Row],[Region]],'Support - Tables'!$B$3:$B$10,'Support - Tables'!$D$3:$D$10,"Not Found",0)</f>
        <v>Boat</v>
      </c>
      <c r="O486" s="6">
        <f>_xlfn.XLOOKUP(Table1[[#This Row],[Region]],'Support - Tables'!$B$3:$B$10,'Support - Tables'!$C$3:$C$10, "Not Found",0)</f>
        <v>400</v>
      </c>
      <c r="P486" s="6">
        <f>_xlfn.XLOOKUP(Table1[[#This Row],[Diet]],'Support - Tables'!$B$14:$B$16,'Support - Tables'!$C$14:$C$16, "Not Found", 0)</f>
        <v>400</v>
      </c>
      <c r="Q486" s="6">
        <f>Table1[[#This Row],[Revenue]]-Table1[[#This Row],[Cost]]</f>
        <v>0</v>
      </c>
      <c r="R486" s="6">
        <f>COUNTBLANK(Table1[[#This Row],[Diet]:[Region]])</f>
        <v>0</v>
      </c>
      <c r="S486" s="6"/>
      <c r="T486" s="6"/>
    </row>
    <row r="487" spans="1:20" x14ac:dyDescent="0.25">
      <c r="A487" s="2" t="s">
        <v>546</v>
      </c>
      <c r="B487" s="1" t="s">
        <v>23</v>
      </c>
      <c r="C487" s="1">
        <v>50</v>
      </c>
      <c r="D487" s="1" t="s">
        <v>706</v>
      </c>
      <c r="E487" s="1">
        <f>IF(Table1[[#This Row],[Lifespan Unit]]="months", Table1[[#This Row],[Lifespan]]/12,Table1[[#This Row],[Lifespan]])</f>
        <v>50</v>
      </c>
      <c r="F487" s="1" t="s">
        <v>687</v>
      </c>
      <c r="G487" s="1" t="str">
        <f t="shared" si="14"/>
        <v>3,168</v>
      </c>
      <c r="H487" s="1" t="str">
        <f t="shared" si="15"/>
        <v>lbs</v>
      </c>
      <c r="I487" s="1" t="str">
        <f>IF(Table1[[#This Row],[Lifespan (Years)]]&lt;25, "&lt;25", IF(Table1[[#This Row],[Lifespan (Years)]]&lt;50, "25-49", IF(Table1[[#This Row],[Lifespan (Years)]]&lt;75, "50-74", IF(Table1[[#This Row],[Lifespan (Years)]]&lt;100, "75-99", "&gt;=100"))))</f>
        <v>50-74</v>
      </c>
      <c r="J487" s="14">
        <f>IF(Table1[[#This Row],[Weight Unit]]="oz",Table1[[#This Row],[Weight (Digits)]]/16, Table1[[#This Row],[Weight (Digits)]]/1)</f>
        <v>3168</v>
      </c>
      <c r="K48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487" s="1" t="s">
        <v>5</v>
      </c>
      <c r="M487" s="1" t="str">
        <f>IF(COUNTIF(Table2[Animal],Table1[[#This Row],[Animal]]) = 1, "Previous Participant", "New Participant")</f>
        <v>Previous Participant</v>
      </c>
      <c r="N487" s="1" t="str">
        <f>_xlfn.XLOOKUP(Table1[[#This Row],[Region]],'Support - Tables'!$B$3:$B$10,'Support - Tables'!$D$3:$D$10,"Not Found",0)</f>
        <v>Boat</v>
      </c>
      <c r="O487" s="6">
        <f>_xlfn.XLOOKUP(Table1[[#This Row],[Region]],'Support - Tables'!$B$3:$B$10,'Support - Tables'!$C$3:$C$10, "Not Found",0)</f>
        <v>400</v>
      </c>
      <c r="P487" s="6">
        <f>_xlfn.XLOOKUP(Table1[[#This Row],[Diet]],'Support - Tables'!$B$14:$B$16,'Support - Tables'!$C$14:$C$16, "Not Found", 0)</f>
        <v>300</v>
      </c>
      <c r="Q487" s="6">
        <f>Table1[[#This Row],[Revenue]]-Table1[[#This Row],[Cost]]</f>
        <v>100</v>
      </c>
      <c r="R487" s="6">
        <f>COUNTBLANK(Table1[[#This Row],[Diet]:[Region]])</f>
        <v>0</v>
      </c>
      <c r="S487" s="6"/>
      <c r="T487" s="6"/>
    </row>
    <row r="488" spans="1:20" x14ac:dyDescent="0.25">
      <c r="A488" s="2" t="s">
        <v>547</v>
      </c>
      <c r="B488" s="1" t="s">
        <v>15</v>
      </c>
      <c r="C488" s="1">
        <v>20</v>
      </c>
      <c r="D488" s="1" t="s">
        <v>706</v>
      </c>
      <c r="E488" s="1">
        <f>IF(Table1[[#This Row],[Lifespan Unit]]="months", Table1[[#This Row],[Lifespan]]/12,Table1[[#This Row],[Lifespan]])</f>
        <v>20</v>
      </c>
      <c r="F488" s="1" t="s">
        <v>585</v>
      </c>
      <c r="G488" s="1" t="str">
        <f t="shared" si="14"/>
        <v>309</v>
      </c>
      <c r="H488" s="1" t="str">
        <f t="shared" si="15"/>
        <v>lbs</v>
      </c>
      <c r="I488" s="1" t="str">
        <f>IF(Table1[[#This Row],[Lifespan (Years)]]&lt;25, "&lt;25", IF(Table1[[#This Row],[Lifespan (Years)]]&lt;50, "25-49", IF(Table1[[#This Row],[Lifespan (Years)]]&lt;75, "50-74", IF(Table1[[#This Row],[Lifespan (Years)]]&lt;100, "75-99", "&gt;=100"))))</f>
        <v>&lt;25</v>
      </c>
      <c r="J488" s="14">
        <f>IF(Table1[[#This Row],[Weight Unit]]="oz",Table1[[#This Row],[Weight (Digits)]]/16, Table1[[#This Row],[Weight (Digits)]]/1)</f>
        <v>309</v>
      </c>
      <c r="K48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300-399</v>
      </c>
      <c r="L488" s="1" t="s">
        <v>724</v>
      </c>
      <c r="M488" s="1" t="str">
        <f>IF(COUNTIF(Table2[Animal],Table1[[#This Row],[Animal]]) = 1, "Previous Participant", "New Participant")</f>
        <v>Previous Participant</v>
      </c>
      <c r="N488" s="1" t="str">
        <f>_xlfn.XLOOKUP(Table1[[#This Row],[Region]],'Support - Tables'!$B$3:$B$10,'Support - Tables'!$D$3:$D$10,"Not Found",0)</f>
        <v>Road</v>
      </c>
      <c r="O488" s="6">
        <f>_xlfn.XLOOKUP(Table1[[#This Row],[Region]],'Support - Tables'!$B$3:$B$10,'Support - Tables'!$C$3:$C$10, "Not Found",0)</f>
        <v>450</v>
      </c>
      <c r="P488" s="6">
        <f>_xlfn.XLOOKUP(Table1[[#This Row],[Diet]],'Support - Tables'!$B$14:$B$16,'Support - Tables'!$C$14:$C$16, "Not Found", 0)</f>
        <v>500</v>
      </c>
      <c r="Q488" s="6">
        <f>Table1[[#This Row],[Revenue]]-Table1[[#This Row],[Cost]]</f>
        <v>-50</v>
      </c>
      <c r="R488" s="6">
        <f>COUNTBLANK(Table1[[#This Row],[Diet]:[Region]])</f>
        <v>0</v>
      </c>
      <c r="S488" s="6"/>
      <c r="T488" s="6"/>
    </row>
    <row r="489" spans="1:20" x14ac:dyDescent="0.25">
      <c r="A489" s="2" t="s">
        <v>548</v>
      </c>
      <c r="B489" s="1" t="s">
        <v>13</v>
      </c>
      <c r="C489" s="1">
        <v>20</v>
      </c>
      <c r="D489" s="1" t="s">
        <v>706</v>
      </c>
      <c r="E489" s="1">
        <f>IF(Table1[[#This Row],[Lifespan Unit]]="months", Table1[[#This Row],[Lifespan]]/12,Table1[[#This Row],[Lifespan]])</f>
        <v>20</v>
      </c>
      <c r="F489" s="1" t="s">
        <v>611</v>
      </c>
      <c r="G489" s="1" t="str">
        <f t="shared" si="14"/>
        <v>176</v>
      </c>
      <c r="H489" s="1" t="str">
        <f t="shared" si="15"/>
        <v>lbs</v>
      </c>
      <c r="I489" s="1" t="str">
        <f>IF(Table1[[#This Row],[Lifespan (Years)]]&lt;25, "&lt;25", IF(Table1[[#This Row],[Lifespan (Years)]]&lt;50, "25-49", IF(Table1[[#This Row],[Lifespan (Years)]]&lt;75, "50-74", IF(Table1[[#This Row],[Lifespan (Years)]]&lt;100, "75-99", "&gt;=100"))))</f>
        <v>&lt;25</v>
      </c>
      <c r="J489" s="14">
        <f>IF(Table1[[#This Row],[Weight Unit]]="oz",Table1[[#This Row],[Weight (Digits)]]/16, Table1[[#This Row],[Weight (Digits)]]/1)</f>
        <v>176</v>
      </c>
      <c r="K48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489" s="1" t="s">
        <v>5</v>
      </c>
      <c r="M489" s="1" t="str">
        <f>IF(COUNTIF(Table2[Animal],Table1[[#This Row],[Animal]]) = 1, "Previous Participant", "New Participant")</f>
        <v>Previous Participant</v>
      </c>
      <c r="N489" s="1" t="str">
        <f>_xlfn.XLOOKUP(Table1[[#This Row],[Region]],'Support - Tables'!$B$3:$B$10,'Support - Tables'!$D$3:$D$10,"Not Found",0)</f>
        <v>Boat</v>
      </c>
      <c r="O489" s="6">
        <f>_xlfn.XLOOKUP(Table1[[#This Row],[Region]],'Support - Tables'!$B$3:$B$10,'Support - Tables'!$C$3:$C$10, "Not Found",0)</f>
        <v>400</v>
      </c>
      <c r="P489" s="6">
        <f>_xlfn.XLOOKUP(Table1[[#This Row],[Diet]],'Support - Tables'!$B$14:$B$16,'Support - Tables'!$C$14:$C$16, "Not Found", 0)</f>
        <v>400</v>
      </c>
      <c r="Q489" s="6">
        <f>Table1[[#This Row],[Revenue]]-Table1[[#This Row],[Cost]]</f>
        <v>0</v>
      </c>
      <c r="R489" s="6">
        <f>COUNTBLANK(Table1[[#This Row],[Diet]:[Region]])</f>
        <v>0</v>
      </c>
      <c r="S489" s="6"/>
      <c r="T489" s="6"/>
    </row>
    <row r="490" spans="1:20" x14ac:dyDescent="0.25">
      <c r="A490" s="2" t="s">
        <v>549</v>
      </c>
      <c r="B490" s="1" t="s">
        <v>23</v>
      </c>
      <c r="C490" s="1">
        <v>20</v>
      </c>
      <c r="D490" s="1" t="s">
        <v>706</v>
      </c>
      <c r="E490" s="1">
        <f>IF(Table1[[#This Row],[Lifespan Unit]]="months", Table1[[#This Row],[Lifespan]]/12,Table1[[#This Row],[Lifespan]])</f>
        <v>20</v>
      </c>
      <c r="F490" s="1" t="s">
        <v>645</v>
      </c>
      <c r="G490" s="1" t="str">
        <f t="shared" si="14"/>
        <v>265</v>
      </c>
      <c r="H490" s="1" t="str">
        <f t="shared" si="15"/>
        <v>lbs</v>
      </c>
      <c r="I490" s="1" t="str">
        <f>IF(Table1[[#This Row],[Lifespan (Years)]]&lt;25, "&lt;25", IF(Table1[[#This Row],[Lifespan (Years)]]&lt;50, "25-49", IF(Table1[[#This Row],[Lifespan (Years)]]&lt;75, "50-74", IF(Table1[[#This Row],[Lifespan (Years)]]&lt;100, "75-99", "&gt;=100"))))</f>
        <v>&lt;25</v>
      </c>
      <c r="J490" s="14">
        <f>IF(Table1[[#This Row],[Weight Unit]]="oz",Table1[[#This Row],[Weight (Digits)]]/16, Table1[[#This Row],[Weight (Digits)]]/1)</f>
        <v>265</v>
      </c>
      <c r="K49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200-299</v>
      </c>
      <c r="L490" s="1" t="s">
        <v>5</v>
      </c>
      <c r="M490" s="1" t="str">
        <f>IF(COUNTIF(Table2[Animal],Table1[[#This Row],[Animal]]) = 1, "Previous Participant", "New Participant")</f>
        <v>Previous Participant</v>
      </c>
      <c r="N490" s="1" t="str">
        <f>_xlfn.XLOOKUP(Table1[[#This Row],[Region]],'Support - Tables'!$B$3:$B$10,'Support - Tables'!$D$3:$D$10,"Not Found",0)</f>
        <v>Boat</v>
      </c>
      <c r="O490" s="6">
        <f>_xlfn.XLOOKUP(Table1[[#This Row],[Region]],'Support - Tables'!$B$3:$B$10,'Support - Tables'!$C$3:$C$10, "Not Found",0)</f>
        <v>400</v>
      </c>
      <c r="P490" s="6">
        <f>_xlfn.XLOOKUP(Table1[[#This Row],[Diet]],'Support - Tables'!$B$14:$B$16,'Support - Tables'!$C$14:$C$16, "Not Found", 0)</f>
        <v>300</v>
      </c>
      <c r="Q490" s="6">
        <f>Table1[[#This Row],[Revenue]]-Table1[[#This Row],[Cost]]</f>
        <v>100</v>
      </c>
      <c r="R490" s="6">
        <f>COUNTBLANK(Table1[[#This Row],[Diet]:[Region]])</f>
        <v>0</v>
      </c>
      <c r="S490" s="6"/>
      <c r="T490" s="6"/>
    </row>
    <row r="491" spans="1:20" x14ac:dyDescent="0.25">
      <c r="A491" s="2" t="s">
        <v>550</v>
      </c>
      <c r="B491" s="1" t="s">
        <v>15</v>
      </c>
      <c r="C491" s="1">
        <v>12</v>
      </c>
      <c r="D491" s="1" t="s">
        <v>706</v>
      </c>
      <c r="E491" s="1">
        <f>IF(Table1[[#This Row],[Lifespan Unit]]="months", Table1[[#This Row],[Lifespan]]/12,Table1[[#This Row],[Lifespan]])</f>
        <v>12</v>
      </c>
      <c r="F491" s="1" t="s">
        <v>62</v>
      </c>
      <c r="G491" s="1" t="str">
        <f t="shared" si="14"/>
        <v>55</v>
      </c>
      <c r="H491" s="1" t="str">
        <f t="shared" si="15"/>
        <v>lbs</v>
      </c>
      <c r="I491" s="1" t="str">
        <f>IF(Table1[[#This Row],[Lifespan (Years)]]&lt;25, "&lt;25", IF(Table1[[#This Row],[Lifespan (Years)]]&lt;50, "25-49", IF(Table1[[#This Row],[Lifespan (Years)]]&lt;75, "50-74", IF(Table1[[#This Row],[Lifespan (Years)]]&lt;100, "75-99", "&gt;=100"))))</f>
        <v>&lt;25</v>
      </c>
      <c r="J491" s="14">
        <f>IF(Table1[[#This Row],[Weight Unit]]="oz",Table1[[#This Row],[Weight (Digits)]]/16, Table1[[#This Row],[Weight (Digits)]]/1)</f>
        <v>55</v>
      </c>
      <c r="K49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91" s="1" t="s">
        <v>5</v>
      </c>
      <c r="M491" s="1" t="str">
        <f>IF(COUNTIF(Table2[Animal],Table1[[#This Row],[Animal]]) = 1, "Previous Participant", "New Participant")</f>
        <v>Previous Participant</v>
      </c>
      <c r="N491" s="1" t="str">
        <f>_xlfn.XLOOKUP(Table1[[#This Row],[Region]],'Support - Tables'!$B$3:$B$10,'Support - Tables'!$D$3:$D$10,"Not Found",0)</f>
        <v>Boat</v>
      </c>
      <c r="O491" s="6">
        <f>_xlfn.XLOOKUP(Table1[[#This Row],[Region]],'Support - Tables'!$B$3:$B$10,'Support - Tables'!$C$3:$C$10, "Not Found",0)</f>
        <v>400</v>
      </c>
      <c r="P491" s="6">
        <f>_xlfn.XLOOKUP(Table1[[#This Row],[Diet]],'Support - Tables'!$B$14:$B$16,'Support - Tables'!$C$14:$C$16, "Not Found", 0)</f>
        <v>500</v>
      </c>
      <c r="Q491" s="6">
        <f>Table1[[#This Row],[Revenue]]-Table1[[#This Row],[Cost]]</f>
        <v>-100</v>
      </c>
      <c r="R491" s="6">
        <f>COUNTBLANK(Table1[[#This Row],[Diet]:[Region]])</f>
        <v>0</v>
      </c>
      <c r="S491" s="6"/>
      <c r="T491" s="6"/>
    </row>
    <row r="492" spans="1:20" x14ac:dyDescent="0.25">
      <c r="A492" s="2" t="s">
        <v>551</v>
      </c>
      <c r="B492" s="1" t="s">
        <v>15</v>
      </c>
      <c r="C492" s="1">
        <v>15</v>
      </c>
      <c r="D492" s="1" t="s">
        <v>706</v>
      </c>
      <c r="E492" s="1">
        <f>IF(Table1[[#This Row],[Lifespan Unit]]="months", Table1[[#This Row],[Lifespan]]/12,Table1[[#This Row],[Lifespan]])</f>
        <v>15</v>
      </c>
      <c r="F492" s="1" t="s">
        <v>249</v>
      </c>
      <c r="G492" s="1" t="str">
        <f t="shared" si="14"/>
        <v>22</v>
      </c>
      <c r="H492" s="1" t="str">
        <f t="shared" si="15"/>
        <v>lbs</v>
      </c>
      <c r="I492" s="1" t="str">
        <f>IF(Table1[[#This Row],[Lifespan (Years)]]&lt;25, "&lt;25", IF(Table1[[#This Row],[Lifespan (Years)]]&lt;50, "25-49", IF(Table1[[#This Row],[Lifespan (Years)]]&lt;75, "50-74", IF(Table1[[#This Row],[Lifespan (Years)]]&lt;100, "75-99", "&gt;=100"))))</f>
        <v>&lt;25</v>
      </c>
      <c r="J492" s="14">
        <f>IF(Table1[[#This Row],[Weight Unit]]="oz",Table1[[#This Row],[Weight (Digits)]]/16, Table1[[#This Row],[Weight (Digits)]]/1)</f>
        <v>22</v>
      </c>
      <c r="K49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92" s="1" t="s">
        <v>725</v>
      </c>
      <c r="M492" s="1" t="str">
        <f>IF(COUNTIF(Table2[Animal],Table1[[#This Row],[Animal]]) = 1, "Previous Participant", "New Participant")</f>
        <v>Previous Participant</v>
      </c>
      <c r="N492" s="1" t="str">
        <f>_xlfn.XLOOKUP(Table1[[#This Row],[Region]],'Support - Tables'!$B$3:$B$10,'Support - Tables'!$D$3:$D$10,"Not Found",0)</f>
        <v>Air</v>
      </c>
      <c r="O492" s="6">
        <f>_xlfn.XLOOKUP(Table1[[#This Row],[Region]],'Support - Tables'!$B$3:$B$10,'Support - Tables'!$C$3:$C$10, "Not Found",0)</f>
        <v>600</v>
      </c>
      <c r="P492" s="6">
        <f>_xlfn.XLOOKUP(Table1[[#This Row],[Diet]],'Support - Tables'!$B$14:$B$16,'Support - Tables'!$C$14:$C$16, "Not Found", 0)</f>
        <v>500</v>
      </c>
      <c r="Q492" s="6">
        <f>Table1[[#This Row],[Revenue]]-Table1[[#This Row],[Cost]]</f>
        <v>100</v>
      </c>
      <c r="R492" s="6">
        <f>COUNTBLANK(Table1[[#This Row],[Diet]:[Region]])</f>
        <v>0</v>
      </c>
      <c r="S492" s="6"/>
      <c r="T492" s="6"/>
    </row>
    <row r="493" spans="1:20" x14ac:dyDescent="0.25">
      <c r="A493" s="2" t="s">
        <v>552</v>
      </c>
      <c r="B493" s="1" t="s">
        <v>23</v>
      </c>
      <c r="C493" s="1">
        <v>26</v>
      </c>
      <c r="D493" s="1" t="s">
        <v>706</v>
      </c>
      <c r="E493" s="1">
        <f>IF(Table1[[#This Row],[Lifespan Unit]]="months", Table1[[#This Row],[Lifespan]]/12,Table1[[#This Row],[Lifespan]])</f>
        <v>26</v>
      </c>
      <c r="F493" s="1" t="s">
        <v>32</v>
      </c>
      <c r="G493" s="1" t="str">
        <f t="shared" si="14"/>
        <v>44</v>
      </c>
      <c r="H493" s="1" t="str">
        <f t="shared" si="15"/>
        <v>lbs</v>
      </c>
      <c r="I493" s="1" t="str">
        <f>IF(Table1[[#This Row],[Lifespan (Years)]]&lt;25, "&lt;25", IF(Table1[[#This Row],[Lifespan (Years)]]&lt;50, "25-49", IF(Table1[[#This Row],[Lifespan (Years)]]&lt;75, "50-74", IF(Table1[[#This Row],[Lifespan (Years)]]&lt;100, "75-99", "&gt;=100"))))</f>
        <v>25-49</v>
      </c>
      <c r="J493" s="14">
        <f>IF(Table1[[#This Row],[Weight Unit]]="oz",Table1[[#This Row],[Weight (Digits)]]/16, Table1[[#This Row],[Weight (Digits)]]/1)</f>
        <v>44</v>
      </c>
      <c r="K49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93" s="1" t="s">
        <v>725</v>
      </c>
      <c r="M493" s="1" t="str">
        <f>IF(COUNTIF(Table2[Animal],Table1[[#This Row],[Animal]]) = 1, "Previous Participant", "New Participant")</f>
        <v>New Participant</v>
      </c>
      <c r="N493" s="1" t="str">
        <f>_xlfn.XLOOKUP(Table1[[#This Row],[Region]],'Support - Tables'!$B$3:$B$10,'Support - Tables'!$D$3:$D$10,"Not Found",0)</f>
        <v>Air</v>
      </c>
      <c r="O493" s="6">
        <f>_xlfn.XLOOKUP(Table1[[#This Row],[Region]],'Support - Tables'!$B$3:$B$10,'Support - Tables'!$C$3:$C$10, "Not Found",0)</f>
        <v>600</v>
      </c>
      <c r="P493" s="6">
        <f>_xlfn.XLOOKUP(Table1[[#This Row],[Diet]],'Support - Tables'!$B$14:$B$16,'Support - Tables'!$C$14:$C$16, "Not Found", 0)</f>
        <v>300</v>
      </c>
      <c r="Q493" s="6">
        <f>Table1[[#This Row],[Revenue]]-Table1[[#This Row],[Cost]]</f>
        <v>300</v>
      </c>
      <c r="R493" s="6">
        <f>COUNTBLANK(Table1[[#This Row],[Diet]:[Region]])</f>
        <v>0</v>
      </c>
      <c r="S493" s="6"/>
      <c r="T493" s="6"/>
    </row>
    <row r="494" spans="1:20" x14ac:dyDescent="0.25">
      <c r="A494" s="2" t="s">
        <v>553</v>
      </c>
      <c r="B494" s="1" t="s">
        <v>23</v>
      </c>
      <c r="C494" s="1">
        <v>2</v>
      </c>
      <c r="D494" s="1" t="s">
        <v>706</v>
      </c>
      <c r="E494" s="1">
        <f>IF(Table1[[#This Row],[Lifespan Unit]]="months", Table1[[#This Row],[Lifespan]]/12,Table1[[#This Row],[Lifespan]])</f>
        <v>2</v>
      </c>
      <c r="F494" s="1" t="s">
        <v>573</v>
      </c>
      <c r="G494" s="1" t="str">
        <f t="shared" si="14"/>
        <v/>
      </c>
      <c r="H494" s="1" t="str">
        <f t="shared" si="15"/>
        <v/>
      </c>
      <c r="I494" s="1" t="str">
        <f>IF(Table1[[#This Row],[Lifespan (Years)]]&lt;25, "&lt;25", IF(Table1[[#This Row],[Lifespan (Years)]]&lt;50, "25-49", IF(Table1[[#This Row],[Lifespan (Years)]]&lt;75, "50-74", IF(Table1[[#This Row],[Lifespan (Years)]]&lt;100, "75-99", "&gt;=100"))))</f>
        <v>&lt;25</v>
      </c>
      <c r="J494" s="14">
        <v>0</v>
      </c>
      <c r="K49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494" s="1" t="s">
        <v>724</v>
      </c>
      <c r="M494" s="1" t="str">
        <f>IF(COUNTIF(Table2[Animal],Table1[[#This Row],[Animal]]) = 1, "Previous Participant", "New Participant")</f>
        <v>Previous Participant</v>
      </c>
      <c r="N494" s="1" t="str">
        <f>_xlfn.XLOOKUP(Table1[[#This Row],[Region]],'Support - Tables'!$B$3:$B$10,'Support - Tables'!$D$3:$D$10,"Not Found",0)</f>
        <v>Road</v>
      </c>
      <c r="O494" s="6">
        <f>_xlfn.XLOOKUP(Table1[[#This Row],[Region]],'Support - Tables'!$B$3:$B$10,'Support - Tables'!$C$3:$C$10, "Not Found",0)</f>
        <v>450</v>
      </c>
      <c r="P494" s="6">
        <f>_xlfn.XLOOKUP(Table1[[#This Row],[Diet]],'Support - Tables'!$B$14:$B$16,'Support - Tables'!$C$14:$C$16, "Not Found", 0)</f>
        <v>300</v>
      </c>
      <c r="Q494" s="6">
        <f>Table1[[#This Row],[Revenue]]-Table1[[#This Row],[Cost]]</f>
        <v>150</v>
      </c>
      <c r="R494" s="6">
        <f>COUNTBLANK(Table1[[#This Row],[Diet]:[Region]])</f>
        <v>3</v>
      </c>
      <c r="S494" s="6"/>
      <c r="T494" s="6"/>
    </row>
    <row r="495" spans="1:20" x14ac:dyDescent="0.25">
      <c r="A495" s="2" t="s">
        <v>554</v>
      </c>
      <c r="B495" s="1" t="s">
        <v>13</v>
      </c>
      <c r="C495" s="1">
        <v>11</v>
      </c>
      <c r="D495" s="1" t="s">
        <v>706</v>
      </c>
      <c r="E495" s="1">
        <f>IF(Table1[[#This Row],[Lifespan Unit]]="months", Table1[[#This Row],[Lifespan]]/12,Table1[[#This Row],[Lifespan]])</f>
        <v>11</v>
      </c>
      <c r="F495" s="1" t="s">
        <v>688</v>
      </c>
      <c r="G495" s="1" t="str">
        <f t="shared" si="14"/>
        <v>0.2</v>
      </c>
      <c r="H495" s="1" t="str">
        <f t="shared" si="15"/>
        <v>oz</v>
      </c>
      <c r="I495" s="1" t="str">
        <f>IF(Table1[[#This Row],[Lifespan (Years)]]&lt;25, "&lt;25", IF(Table1[[#This Row],[Lifespan (Years)]]&lt;50, "25-49", IF(Table1[[#This Row],[Lifespan (Years)]]&lt;75, "50-74", IF(Table1[[#This Row],[Lifespan (Years)]]&lt;100, "75-99", "&gt;=100"))))</f>
        <v>&lt;25</v>
      </c>
      <c r="J495" s="14">
        <f>IF(Table1[[#This Row],[Weight Unit]]="oz",Table1[[#This Row],[Weight (Digits)]]/16, Table1[[#This Row],[Weight (Digits)]]/1)</f>
        <v>1.2500000000000001E-2</v>
      </c>
      <c r="K49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95" s="1" t="s">
        <v>3</v>
      </c>
      <c r="M495" s="1" t="str">
        <f>IF(COUNTIF(Table2[Animal],Table1[[#This Row],[Animal]]) = 1, "Previous Participant", "New Participant")</f>
        <v>Previous Participant</v>
      </c>
      <c r="N495" s="1" t="str">
        <f>_xlfn.XLOOKUP(Table1[[#This Row],[Region]],'Support - Tables'!$B$3:$B$10,'Support - Tables'!$D$3:$D$10,"Not Found",0)</f>
        <v>Air</v>
      </c>
      <c r="O495" s="6">
        <f>_xlfn.XLOOKUP(Table1[[#This Row],[Region]],'Support - Tables'!$B$3:$B$10,'Support - Tables'!$C$3:$C$10, "Not Found",0)</f>
        <v>350</v>
      </c>
      <c r="P495" s="6">
        <f>_xlfn.XLOOKUP(Table1[[#This Row],[Diet]],'Support - Tables'!$B$14:$B$16,'Support - Tables'!$C$14:$C$16, "Not Found", 0)</f>
        <v>400</v>
      </c>
      <c r="Q495" s="6">
        <f>Table1[[#This Row],[Revenue]]-Table1[[#This Row],[Cost]]</f>
        <v>-50</v>
      </c>
      <c r="R495" s="6">
        <f>COUNTBLANK(Table1[[#This Row],[Diet]:[Region]])</f>
        <v>0</v>
      </c>
      <c r="S495" s="6"/>
      <c r="T495" s="6"/>
    </row>
    <row r="496" spans="1:20" x14ac:dyDescent="0.25">
      <c r="A496" s="2" t="s">
        <v>555</v>
      </c>
      <c r="B496" s="1" t="s">
        <v>15</v>
      </c>
      <c r="C496" s="1">
        <v>10</v>
      </c>
      <c r="D496" s="1" t="s">
        <v>706</v>
      </c>
      <c r="E496" s="1">
        <f>IF(Table1[[#This Row],[Lifespan Unit]]="months", Table1[[#This Row],[Lifespan]]/12,Table1[[#This Row],[Lifespan]])</f>
        <v>10</v>
      </c>
      <c r="F496" s="1" t="s">
        <v>573</v>
      </c>
      <c r="G496" s="1" t="str">
        <f t="shared" si="14"/>
        <v/>
      </c>
      <c r="H496" s="1" t="str">
        <f t="shared" si="15"/>
        <v/>
      </c>
      <c r="I496" s="1" t="str">
        <f>IF(Table1[[#This Row],[Lifespan (Years)]]&lt;25, "&lt;25", IF(Table1[[#This Row],[Lifespan (Years)]]&lt;50, "25-49", IF(Table1[[#This Row],[Lifespan (Years)]]&lt;75, "50-74", IF(Table1[[#This Row],[Lifespan (Years)]]&lt;100, "75-99", "&gt;=100"))))</f>
        <v>&lt;25</v>
      </c>
      <c r="J496" s="14">
        <v>0</v>
      </c>
      <c r="K49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496" s="1" t="s">
        <v>724</v>
      </c>
      <c r="M496" s="1" t="str">
        <f>IF(COUNTIF(Table2[Animal],Table1[[#This Row],[Animal]]) = 1, "Previous Participant", "New Participant")</f>
        <v>Previous Participant</v>
      </c>
      <c r="N496" s="1" t="str">
        <f>_xlfn.XLOOKUP(Table1[[#This Row],[Region]],'Support - Tables'!$B$3:$B$10,'Support - Tables'!$D$3:$D$10,"Not Found",0)</f>
        <v>Road</v>
      </c>
      <c r="O496" s="6">
        <f>_xlfn.XLOOKUP(Table1[[#This Row],[Region]],'Support - Tables'!$B$3:$B$10,'Support - Tables'!$C$3:$C$10, "Not Found",0)</f>
        <v>450</v>
      </c>
      <c r="P496" s="6">
        <f>_xlfn.XLOOKUP(Table1[[#This Row],[Diet]],'Support - Tables'!$B$14:$B$16,'Support - Tables'!$C$14:$C$16, "Not Found", 0)</f>
        <v>500</v>
      </c>
      <c r="Q496" s="6">
        <f>Table1[[#This Row],[Revenue]]-Table1[[#This Row],[Cost]]</f>
        <v>-50</v>
      </c>
      <c r="R496" s="6">
        <f>COUNTBLANK(Table1[[#This Row],[Diet]:[Region]])</f>
        <v>3</v>
      </c>
      <c r="S496" s="6"/>
      <c r="T496" s="6"/>
    </row>
    <row r="497" spans="1:20" x14ac:dyDescent="0.25">
      <c r="A497" s="2" t="s">
        <v>556</v>
      </c>
      <c r="B497" s="1" t="s">
        <v>23</v>
      </c>
      <c r="C497" s="1">
        <v>20</v>
      </c>
      <c r="D497" s="1" t="s">
        <v>706</v>
      </c>
      <c r="E497" s="1">
        <f>IF(Table1[[#This Row],[Lifespan Unit]]="months", Table1[[#This Row],[Lifespan]]/12,Table1[[#This Row],[Lifespan]])</f>
        <v>20</v>
      </c>
      <c r="F497" s="1" t="s">
        <v>689</v>
      </c>
      <c r="G497" s="1" t="str">
        <f t="shared" si="14"/>
        <v>661</v>
      </c>
      <c r="H497" s="1" t="str">
        <f t="shared" si="15"/>
        <v>lbs</v>
      </c>
      <c r="I497" s="1" t="str">
        <f>IF(Table1[[#This Row],[Lifespan (Years)]]&lt;25, "&lt;25", IF(Table1[[#This Row],[Lifespan (Years)]]&lt;50, "25-49", IF(Table1[[#This Row],[Lifespan (Years)]]&lt;75, "50-74", IF(Table1[[#This Row],[Lifespan (Years)]]&lt;100, "75-99", "&gt;=100"))))</f>
        <v>&lt;25</v>
      </c>
      <c r="J497" s="14">
        <f>IF(Table1[[#This Row],[Weight Unit]]="oz",Table1[[#This Row],[Weight (Digits)]]/16, Table1[[#This Row],[Weight (Digits)]]/1)</f>
        <v>661</v>
      </c>
      <c r="K49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497" s="1" t="s">
        <v>2</v>
      </c>
      <c r="M497" s="1" t="str">
        <f>IF(COUNTIF(Table2[Animal],Table1[[#This Row],[Animal]]) = 1, "Previous Participant", "New Participant")</f>
        <v>New Participant</v>
      </c>
      <c r="N497" s="1" t="str">
        <f>_xlfn.XLOOKUP(Table1[[#This Row],[Region]],'Support - Tables'!$B$3:$B$10,'Support - Tables'!$D$3:$D$10,"Not Found",0)</f>
        <v>Air</v>
      </c>
      <c r="O497" s="6">
        <f>_xlfn.XLOOKUP(Table1[[#This Row],[Region]],'Support - Tables'!$B$3:$B$10,'Support - Tables'!$C$3:$C$10, "Not Found",0)</f>
        <v>600</v>
      </c>
      <c r="P497" s="6">
        <f>_xlfn.XLOOKUP(Table1[[#This Row],[Diet]],'Support - Tables'!$B$14:$B$16,'Support - Tables'!$C$14:$C$16, "Not Found", 0)</f>
        <v>300</v>
      </c>
      <c r="Q497" s="6">
        <f>Table1[[#This Row],[Revenue]]-Table1[[#This Row],[Cost]]</f>
        <v>300</v>
      </c>
      <c r="R497" s="6">
        <f>COUNTBLANK(Table1[[#This Row],[Diet]:[Region]])</f>
        <v>0</v>
      </c>
      <c r="S497" s="6"/>
      <c r="T497" s="6"/>
    </row>
    <row r="498" spans="1:20" x14ac:dyDescent="0.25">
      <c r="A498" s="2" t="s">
        <v>557</v>
      </c>
      <c r="B498" s="1" t="s">
        <v>13</v>
      </c>
      <c r="C498" s="1">
        <v>15</v>
      </c>
      <c r="D498" s="1" t="s">
        <v>706</v>
      </c>
      <c r="E498" s="1">
        <f>IF(Table1[[#This Row],[Lifespan Unit]]="months", Table1[[#This Row],[Lifespan]]/12,Table1[[#This Row],[Lifespan]])</f>
        <v>15</v>
      </c>
      <c r="F498" s="1" t="s">
        <v>373</v>
      </c>
      <c r="G498" s="1" t="str">
        <f t="shared" si="14"/>
        <v>7</v>
      </c>
      <c r="H498" s="1" t="str">
        <f t="shared" si="15"/>
        <v>lbs</v>
      </c>
      <c r="I498" s="1" t="str">
        <f>IF(Table1[[#This Row],[Lifespan (Years)]]&lt;25, "&lt;25", IF(Table1[[#This Row],[Lifespan (Years)]]&lt;50, "25-49", IF(Table1[[#This Row],[Lifespan (Years)]]&lt;75, "50-74", IF(Table1[[#This Row],[Lifespan (Years)]]&lt;100, "75-99", "&gt;=100"))))</f>
        <v>&lt;25</v>
      </c>
      <c r="J498" s="14">
        <f>IF(Table1[[#This Row],[Weight Unit]]="oz",Table1[[#This Row],[Weight (Digits)]]/16, Table1[[#This Row],[Weight (Digits)]]/1)</f>
        <v>7</v>
      </c>
      <c r="K49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98" s="1" t="s">
        <v>725</v>
      </c>
      <c r="M498" s="1" t="str">
        <f>IF(COUNTIF(Table2[Animal],Table1[[#This Row],[Animal]]) = 1, "Previous Participant", "New Participant")</f>
        <v>Previous Participant</v>
      </c>
      <c r="N498" s="1" t="str">
        <f>_xlfn.XLOOKUP(Table1[[#This Row],[Region]],'Support - Tables'!$B$3:$B$10,'Support - Tables'!$D$3:$D$10,"Not Found",0)</f>
        <v>Air</v>
      </c>
      <c r="O498" s="6">
        <f>_xlfn.XLOOKUP(Table1[[#This Row],[Region]],'Support - Tables'!$B$3:$B$10,'Support - Tables'!$C$3:$C$10, "Not Found",0)</f>
        <v>600</v>
      </c>
      <c r="P498" s="6">
        <f>_xlfn.XLOOKUP(Table1[[#This Row],[Diet]],'Support - Tables'!$B$14:$B$16,'Support - Tables'!$C$14:$C$16, "Not Found", 0)</f>
        <v>400</v>
      </c>
      <c r="Q498" s="6">
        <f>Table1[[#This Row],[Revenue]]-Table1[[#This Row],[Cost]]</f>
        <v>200</v>
      </c>
      <c r="R498" s="6">
        <f>COUNTBLANK(Table1[[#This Row],[Diet]:[Region]])</f>
        <v>0</v>
      </c>
      <c r="S498" s="6"/>
      <c r="T498" s="6"/>
    </row>
    <row r="499" spans="1:20" x14ac:dyDescent="0.25">
      <c r="A499" s="2" t="s">
        <v>558</v>
      </c>
      <c r="B499" s="1" t="s">
        <v>23</v>
      </c>
      <c r="C499" s="1">
        <v>30</v>
      </c>
      <c r="D499" s="1" t="s">
        <v>706</v>
      </c>
      <c r="E499" s="1">
        <f>IF(Table1[[#This Row],[Lifespan Unit]]="months", Table1[[#This Row],[Lifespan]]/12,Table1[[#This Row],[Lifespan]])</f>
        <v>30</v>
      </c>
      <c r="F499" s="1" t="s">
        <v>690</v>
      </c>
      <c r="G499" s="1" t="str">
        <f t="shared" si="14"/>
        <v>485</v>
      </c>
      <c r="H499" s="1" t="str">
        <f t="shared" si="15"/>
        <v>lbs</v>
      </c>
      <c r="I499" s="1" t="str">
        <f>IF(Table1[[#This Row],[Lifespan (Years)]]&lt;25, "&lt;25", IF(Table1[[#This Row],[Lifespan (Years)]]&lt;50, "25-49", IF(Table1[[#This Row],[Lifespan (Years)]]&lt;75, "50-74", IF(Table1[[#This Row],[Lifespan (Years)]]&lt;100, "75-99", "&gt;=100"))))</f>
        <v>25-49</v>
      </c>
      <c r="J499" s="14">
        <f>IF(Table1[[#This Row],[Weight Unit]]="oz",Table1[[#This Row],[Weight (Digits)]]/16, Table1[[#This Row],[Weight (Digits)]]/1)</f>
        <v>485</v>
      </c>
      <c r="K49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400-499</v>
      </c>
      <c r="L499" s="1" t="s">
        <v>6</v>
      </c>
      <c r="M499" s="1" t="str">
        <f>IF(COUNTIF(Table2[Animal],Table1[[#This Row],[Animal]]) = 1, "Previous Participant", "New Participant")</f>
        <v>Previous Participant</v>
      </c>
      <c r="N499" s="1" t="str">
        <f>_xlfn.XLOOKUP(Table1[[#This Row],[Region]],'Support - Tables'!$B$3:$B$10,'Support - Tables'!$D$3:$D$10,"Not Found",0)</f>
        <v>Air</v>
      </c>
      <c r="O499" s="6">
        <f>_xlfn.XLOOKUP(Table1[[#This Row],[Region]],'Support - Tables'!$B$3:$B$10,'Support - Tables'!$C$3:$C$10, "Not Found",0)</f>
        <v>450</v>
      </c>
      <c r="P499" s="6">
        <f>_xlfn.XLOOKUP(Table1[[#This Row],[Diet]],'Support - Tables'!$B$14:$B$16,'Support - Tables'!$C$14:$C$16, "Not Found", 0)</f>
        <v>300</v>
      </c>
      <c r="Q499" s="6">
        <f>Table1[[#This Row],[Revenue]]-Table1[[#This Row],[Cost]]</f>
        <v>150</v>
      </c>
      <c r="R499" s="6">
        <f>COUNTBLANK(Table1[[#This Row],[Diet]:[Region]])</f>
        <v>0</v>
      </c>
      <c r="S499" s="6"/>
      <c r="T499" s="6"/>
    </row>
    <row r="500" spans="1:20" x14ac:dyDescent="0.25">
      <c r="A500" s="2" t="s">
        <v>559</v>
      </c>
      <c r="B500" s="1" t="s">
        <v>23</v>
      </c>
      <c r="C500" s="1">
        <v>16</v>
      </c>
      <c r="D500" s="1" t="s">
        <v>706</v>
      </c>
      <c r="E500" s="1">
        <f>IF(Table1[[#This Row],[Lifespan Unit]]="months", Table1[[#This Row],[Lifespan]]/12,Table1[[#This Row],[Lifespan]])</f>
        <v>16</v>
      </c>
      <c r="F500" s="1" t="s">
        <v>691</v>
      </c>
      <c r="G500" s="1" t="str">
        <f t="shared" si="14"/>
        <v>331</v>
      </c>
      <c r="H500" s="1" t="str">
        <f t="shared" si="15"/>
        <v>lbs</v>
      </c>
      <c r="I500" s="1" t="str">
        <f>IF(Table1[[#This Row],[Lifespan (Years)]]&lt;25, "&lt;25", IF(Table1[[#This Row],[Lifespan (Years)]]&lt;50, "25-49", IF(Table1[[#This Row],[Lifespan (Years)]]&lt;75, "50-74", IF(Table1[[#This Row],[Lifespan (Years)]]&lt;100, "75-99", "&gt;=100"))))</f>
        <v>&lt;25</v>
      </c>
      <c r="J500" s="14">
        <f>IF(Table1[[#This Row],[Weight Unit]]="oz",Table1[[#This Row],[Weight (Digits)]]/16, Table1[[#This Row],[Weight (Digits)]]/1)</f>
        <v>331</v>
      </c>
      <c r="K50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300-399</v>
      </c>
      <c r="L500" s="1" t="s">
        <v>4</v>
      </c>
      <c r="M500" s="1" t="str">
        <f>IF(COUNTIF(Table2[Animal],Table1[[#This Row],[Animal]]) = 1, "Previous Participant", "New Participant")</f>
        <v>Previous Participant</v>
      </c>
      <c r="N500" s="1" t="str">
        <f>_xlfn.XLOOKUP(Table1[[#This Row],[Region]],'Support - Tables'!$B$3:$B$10,'Support - Tables'!$D$3:$D$10,"Not Found",0)</f>
        <v>Boat</v>
      </c>
      <c r="O500" s="6">
        <f>_xlfn.XLOOKUP(Table1[[#This Row],[Region]],'Support - Tables'!$B$3:$B$10,'Support - Tables'!$C$3:$C$10, "Not Found",0)</f>
        <v>200</v>
      </c>
      <c r="P500" s="6">
        <f>_xlfn.XLOOKUP(Table1[[#This Row],[Diet]],'Support - Tables'!$B$14:$B$16,'Support - Tables'!$C$14:$C$16, "Not Found", 0)</f>
        <v>300</v>
      </c>
      <c r="Q500" s="6">
        <f>Table1[[#This Row],[Revenue]]-Table1[[#This Row],[Cost]]</f>
        <v>-100</v>
      </c>
      <c r="R500" s="6">
        <f>COUNTBLANK(Table1[[#This Row],[Diet]:[Region]])</f>
        <v>0</v>
      </c>
      <c r="S500" s="6"/>
      <c r="T500" s="6"/>
    </row>
    <row r="501" spans="1:20" x14ac:dyDescent="0.25">
      <c r="A501" s="2" t="s">
        <v>560</v>
      </c>
      <c r="B501" s="1" t="s">
        <v>23</v>
      </c>
      <c r="C501" s="1">
        <v>25</v>
      </c>
      <c r="D501" s="1" t="s">
        <v>706</v>
      </c>
      <c r="E501" s="1">
        <f>IF(Table1[[#This Row],[Lifespan Unit]]="months", Table1[[#This Row],[Lifespan]]/12,Table1[[#This Row],[Lifespan]])</f>
        <v>25</v>
      </c>
      <c r="F501" s="1" t="s">
        <v>632</v>
      </c>
      <c r="G501" s="1" t="str">
        <f t="shared" si="14"/>
        <v>500</v>
      </c>
      <c r="H501" s="1" t="str">
        <f t="shared" si="15"/>
        <v>lbs</v>
      </c>
      <c r="I501" s="1" t="str">
        <f>IF(Table1[[#This Row],[Lifespan (Years)]]&lt;25, "&lt;25", IF(Table1[[#This Row],[Lifespan (Years)]]&lt;50, "25-49", IF(Table1[[#This Row],[Lifespan (Years)]]&lt;75, "50-74", IF(Table1[[#This Row],[Lifespan (Years)]]&lt;100, "75-99", "&gt;=100"))))</f>
        <v>25-49</v>
      </c>
      <c r="J501" s="14">
        <f>IF(Table1[[#This Row],[Weight Unit]]="oz",Table1[[#This Row],[Weight (Digits)]]/16, Table1[[#This Row],[Weight (Digits)]]/1)</f>
        <v>500</v>
      </c>
      <c r="K50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501" s="1" t="s">
        <v>724</v>
      </c>
      <c r="M501" s="1" t="str">
        <f>IF(COUNTIF(Table2[Animal],Table1[[#This Row],[Animal]]) = 1, "Previous Participant", "New Participant")</f>
        <v>Previous Participant</v>
      </c>
      <c r="N501" s="1" t="str">
        <f>_xlfn.XLOOKUP(Table1[[#This Row],[Region]],'Support - Tables'!$B$3:$B$10,'Support - Tables'!$D$3:$D$10,"Not Found",0)</f>
        <v>Road</v>
      </c>
      <c r="O501" s="6">
        <f>_xlfn.XLOOKUP(Table1[[#This Row],[Region]],'Support - Tables'!$B$3:$B$10,'Support - Tables'!$C$3:$C$10, "Not Found",0)</f>
        <v>450</v>
      </c>
      <c r="P501" s="6">
        <f>_xlfn.XLOOKUP(Table1[[#This Row],[Diet]],'Support - Tables'!$B$14:$B$16,'Support - Tables'!$C$14:$C$16, "Not Found", 0)</f>
        <v>300</v>
      </c>
      <c r="Q501" s="6">
        <f>Table1[[#This Row],[Revenue]]-Table1[[#This Row],[Cost]]</f>
        <v>150</v>
      </c>
      <c r="R501" s="6">
        <f>COUNTBLANK(Table1[[#This Row],[Diet]:[Region]])</f>
        <v>0</v>
      </c>
      <c r="S501" s="6"/>
      <c r="T501" s="6"/>
    </row>
  </sheetData>
  <phoneticPr fontId="1" type="noConversion"/>
  <pageMargins left="0.7" right="0.7" top="0.75" bottom="0.75" header="0.3" footer="0.3"/>
  <pageSetup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7566C-28A0-4B38-B6D6-6B53BC2FA3A8}">
  <sheetPr codeName="Sheet4">
    <tabColor rgb="FFFFFF00"/>
  </sheetPr>
  <dimension ref="A1:K403"/>
  <sheetViews>
    <sheetView showGridLines="0" zoomScaleNormal="100" workbookViewId="0">
      <selection activeCell="C20" sqref="C20"/>
    </sheetView>
  </sheetViews>
  <sheetFormatPr defaultRowHeight="15" x14ac:dyDescent="0.25"/>
  <cols>
    <col min="1" max="1" width="26.140625" bestFit="1" customWidth="1"/>
    <col min="2" max="2" width="15.28515625" customWidth="1"/>
    <col min="3" max="3" width="15.28515625" style="19" customWidth="1"/>
    <col min="4" max="6" width="15.28515625" style="17" customWidth="1"/>
    <col min="7" max="7" width="15.28515625" customWidth="1"/>
    <col min="8" max="8" width="15.28515625" style="17" customWidth="1"/>
    <col min="9" max="11" width="15.28515625" customWidth="1"/>
  </cols>
  <sheetData>
    <row r="1" spans="1:11" x14ac:dyDescent="0.25">
      <c r="A1" t="s">
        <v>9</v>
      </c>
      <c r="B1" s="1" t="s">
        <v>10</v>
      </c>
      <c r="C1" s="1" t="s">
        <v>715</v>
      </c>
      <c r="D1" s="1" t="s">
        <v>730</v>
      </c>
      <c r="E1" s="14" t="s">
        <v>714</v>
      </c>
      <c r="F1" s="14" t="s">
        <v>731</v>
      </c>
      <c r="G1" s="1" t="s">
        <v>0</v>
      </c>
      <c r="H1" s="1" t="s">
        <v>561</v>
      </c>
      <c r="I1" s="6" t="s">
        <v>696</v>
      </c>
      <c r="J1" s="6" t="s">
        <v>697</v>
      </c>
      <c r="K1" s="6" t="s">
        <v>700</v>
      </c>
    </row>
    <row r="2" spans="1:11" x14ac:dyDescent="0.25">
      <c r="A2" t="s">
        <v>12</v>
      </c>
      <c r="B2" t="str">
        <f>_xlfn.XLOOKUP(Table2[[#This Row],[Animal]],Table1[Animal],Table1[Diet],"Not Found",0)</f>
        <v>Omnivore</v>
      </c>
      <c r="C2" s="19">
        <f>_xlfn.XLOOKUP(Table2[[#This Row],[Animal]],Table1[Animal],Table1[Lifespan (Years)],"N/A",0)</f>
        <v>23</v>
      </c>
      <c r="D2" s="17" t="str">
        <f>_xlfn.XLOOKUP(Table2[[#This Row],[Animal]],Table1[Animal],Table1[Lifespan Group],"N/A",0)</f>
        <v>&lt;25</v>
      </c>
      <c r="E2" s="17">
        <f>_xlfn.XLOOKUP(Table2[[#This Row],[Animal]],Table1[Animal],Table1[Weight (lbs)],"N/A",0)</f>
        <v>130</v>
      </c>
      <c r="F2" s="17" t="str">
        <f>_xlfn.XLOOKUP(Table2[[#This Row],[Animal]],Table1[Animal],Table1[Weight Group],"N/A",0)</f>
        <v>100-199</v>
      </c>
      <c r="G2" t="str">
        <f>_xlfn.XLOOKUP(Table2[[#This Row],[Animal]],Table1[Animal],Table1[Region],"N/A",0)</f>
        <v>Europe &amp; Eurasia</v>
      </c>
      <c r="H2" s="17" t="str">
        <f>_xlfn.XLOOKUP(Table2[[#This Row],[Animal]],Table1[Animal],Table1[Transport],"N/A",0)</f>
        <v>Road</v>
      </c>
      <c r="I2">
        <f>_xlfn.XLOOKUP(Table2[[#This Row],[Animal]],Table1[Animal],Table1[Revenue],"N/A",0)</f>
        <v>450</v>
      </c>
      <c r="J2">
        <f>_xlfn.XLOOKUP(Table2[[#This Row],[Animal]],Table1[Animal],Table1[Cost],"N/A",0)</f>
        <v>400</v>
      </c>
      <c r="K2">
        <f>Table2[[#This Row],[Revenue]]-Table2[[#This Row],[Cost]]</f>
        <v>50</v>
      </c>
    </row>
    <row r="3" spans="1:11" x14ac:dyDescent="0.25">
      <c r="A3" t="s">
        <v>14</v>
      </c>
      <c r="B3" t="str">
        <f>_xlfn.XLOOKUP(Table2[[#This Row],[Animal]],Table1[Animal],Table1[Diet],"Not Found",0)</f>
        <v>Carnivore</v>
      </c>
      <c r="C3" s="19">
        <f>_xlfn.XLOOKUP(Table2[[#This Row],[Animal]],Table1[Animal],Table1[Lifespan (Years)],"N/A",0)</f>
        <v>15</v>
      </c>
      <c r="D3" s="17" t="str">
        <f>_xlfn.XLOOKUP(Table2[[#This Row],[Animal]],Table1[Animal],Table1[Lifespan Group],"N/A",0)</f>
        <v>&lt;25</v>
      </c>
      <c r="E3" s="17">
        <f>_xlfn.XLOOKUP(Table2[[#This Row],[Animal]],Table1[Animal],Table1[Weight (lbs)],"N/A",0)</f>
        <v>10</v>
      </c>
      <c r="F3" s="17" t="str">
        <f>_xlfn.XLOOKUP(Table2[[#This Row],[Animal]],Table1[Animal],Table1[Weight Group],"N/A",0)</f>
        <v>&lt;100</v>
      </c>
      <c r="G3" t="str">
        <f>_xlfn.XLOOKUP(Table2[[#This Row],[Animal]],Table1[Animal],Table1[Region],"N/A",0)</f>
        <v>North America</v>
      </c>
      <c r="H3" s="17" t="str">
        <f>_xlfn.XLOOKUP(Table2[[#This Row],[Animal]],Table1[Animal],Table1[Transport],"N/A",0)</f>
        <v>Boat</v>
      </c>
      <c r="I3">
        <f>_xlfn.XLOOKUP(Table2[[#This Row],[Animal]],Table1[Animal],Table1[Revenue],"N/A",0)</f>
        <v>400</v>
      </c>
      <c r="J3">
        <f>_xlfn.XLOOKUP(Table2[[#This Row],[Animal]],Table1[Animal],Table1[Cost],"N/A",0)</f>
        <v>500</v>
      </c>
      <c r="K3">
        <f>Table2[[#This Row],[Revenue]]-Table2[[#This Row],[Cost]]</f>
        <v>-100</v>
      </c>
    </row>
    <row r="4" spans="1:11" x14ac:dyDescent="0.25">
      <c r="A4" t="s">
        <v>20</v>
      </c>
      <c r="B4" t="str">
        <f>_xlfn.XLOOKUP(Table2[[#This Row],[Animal]],Table1[Animal],Table1[Diet],"Not Found",0)</f>
        <v>Omnivore</v>
      </c>
      <c r="C4" s="19">
        <f>_xlfn.XLOOKUP(Table2[[#This Row],[Animal]],Table1[Animal],Table1[Lifespan (Years)],"N/A",0)</f>
        <v>14</v>
      </c>
      <c r="D4" s="17" t="str">
        <f>_xlfn.XLOOKUP(Table2[[#This Row],[Animal]],Table1[Animal],Table1[Lifespan Group],"N/A",0)</f>
        <v>&lt;25</v>
      </c>
      <c r="E4" s="17">
        <f>_xlfn.XLOOKUP(Table2[[#This Row],[Animal]],Table1[Animal],Table1[Weight (lbs)],"N/A",0)</f>
        <v>60</v>
      </c>
      <c r="F4" s="17" t="str">
        <f>_xlfn.XLOOKUP(Table2[[#This Row],[Animal]],Table1[Animal],Table1[Weight Group],"N/A",0)</f>
        <v>&lt;100</v>
      </c>
      <c r="G4" t="str">
        <f>_xlfn.XLOOKUP(Table2[[#This Row],[Animal]],Table1[Animal],Table1[Region],"N/A",0)</f>
        <v>Europe &amp; Eurasia</v>
      </c>
      <c r="H4" s="17" t="str">
        <f>_xlfn.XLOOKUP(Table2[[#This Row],[Animal]],Table1[Animal],Table1[Transport],"N/A",0)</f>
        <v>Road</v>
      </c>
      <c r="I4">
        <f>_xlfn.XLOOKUP(Table2[[#This Row],[Animal]],Table1[Animal],Table1[Revenue],"N/A",0)</f>
        <v>450</v>
      </c>
      <c r="J4">
        <f>_xlfn.XLOOKUP(Table2[[#This Row],[Animal]],Table1[Animal],Table1[Cost],"N/A",0)</f>
        <v>400</v>
      </c>
      <c r="K4">
        <f>Table2[[#This Row],[Revenue]]-Table2[[#This Row],[Cost]]</f>
        <v>50</v>
      </c>
    </row>
    <row r="5" spans="1:11" x14ac:dyDescent="0.25">
      <c r="A5" t="s">
        <v>25</v>
      </c>
      <c r="B5" t="str">
        <f>_xlfn.XLOOKUP(Table2[[#This Row],[Animal]],Table1[Animal],Table1[Diet],"Not Found",0)</f>
        <v>Carnivore</v>
      </c>
      <c r="C5" s="19">
        <f>_xlfn.XLOOKUP(Table2[[#This Row],[Animal]],Table1[Animal],Table1[Lifespan (Years)],"N/A",0)</f>
        <v>15</v>
      </c>
      <c r="D5" s="17" t="str">
        <f>_xlfn.XLOOKUP(Table2[[#This Row],[Animal]],Table1[Animal],Table1[Lifespan Group],"N/A",0)</f>
        <v>&lt;25</v>
      </c>
      <c r="E5" s="17">
        <f>_xlfn.XLOOKUP(Table2[[#This Row],[Animal]],Table1[Animal],Table1[Weight (lbs)],"N/A",0)</f>
        <v>6.25E-2</v>
      </c>
      <c r="F5" s="17" t="str">
        <f>_xlfn.XLOOKUP(Table2[[#This Row],[Animal]],Table1[Animal],Table1[Weight Group],"N/A",0)</f>
        <v>&lt;100</v>
      </c>
      <c r="G5" t="str">
        <f>_xlfn.XLOOKUP(Table2[[#This Row],[Animal]],Table1[Animal],Table1[Region],"N/A",0)</f>
        <v>Europe &amp; Eurasia</v>
      </c>
      <c r="H5" s="17" t="str">
        <f>_xlfn.XLOOKUP(Table2[[#This Row],[Animal]],Table1[Animal],Table1[Transport],"N/A",0)</f>
        <v>Road</v>
      </c>
      <c r="I5">
        <f>_xlfn.XLOOKUP(Table2[[#This Row],[Animal]],Table1[Animal],Table1[Revenue],"N/A",0)</f>
        <v>450</v>
      </c>
      <c r="J5">
        <f>_xlfn.XLOOKUP(Table2[[#This Row],[Animal]],Table1[Animal],Table1[Cost],"N/A",0)</f>
        <v>500</v>
      </c>
      <c r="K5">
        <f>Table2[[#This Row],[Revenue]]-Table2[[#This Row],[Cost]]</f>
        <v>-50</v>
      </c>
    </row>
    <row r="6" spans="1:11" x14ac:dyDescent="0.25">
      <c r="A6" t="s">
        <v>27</v>
      </c>
      <c r="B6" t="str">
        <f>_xlfn.XLOOKUP(Table2[[#This Row],[Animal]],Table1[Animal],Table1[Diet],"Not Found",0)</f>
        <v>Carnivore</v>
      </c>
      <c r="C6" s="19">
        <f>_xlfn.XLOOKUP(Table2[[#This Row],[Animal]],Table1[Animal],Table1[Lifespan (Years)],"N/A",0)</f>
        <v>15</v>
      </c>
      <c r="D6" s="17" t="str">
        <f>_xlfn.XLOOKUP(Table2[[#This Row],[Animal]],Table1[Animal],Table1[Lifespan Group],"N/A",0)</f>
        <v>&lt;25</v>
      </c>
      <c r="E6" s="17">
        <f>_xlfn.XLOOKUP(Table2[[#This Row],[Animal]],Table1[Animal],Table1[Weight (lbs)],"N/A",0)</f>
        <v>4.4000000000000004</v>
      </c>
      <c r="F6" s="17" t="str">
        <f>_xlfn.XLOOKUP(Table2[[#This Row],[Animal]],Table1[Animal],Table1[Weight Group],"N/A",0)</f>
        <v>&lt;100</v>
      </c>
      <c r="G6" t="str">
        <f>_xlfn.XLOOKUP(Table2[[#This Row],[Animal]],Table1[Animal],Table1[Region],"N/A",0)</f>
        <v>North America</v>
      </c>
      <c r="H6" s="17" t="str">
        <f>_xlfn.XLOOKUP(Table2[[#This Row],[Animal]],Table1[Animal],Table1[Transport],"N/A",0)</f>
        <v>Boat</v>
      </c>
      <c r="I6">
        <f>_xlfn.XLOOKUP(Table2[[#This Row],[Animal]],Table1[Animal],Table1[Revenue],"N/A",0)</f>
        <v>400</v>
      </c>
      <c r="J6">
        <f>_xlfn.XLOOKUP(Table2[[#This Row],[Animal]],Table1[Animal],Table1[Cost],"N/A",0)</f>
        <v>500</v>
      </c>
      <c r="K6">
        <f>Table2[[#This Row],[Revenue]]-Table2[[#This Row],[Cost]]</f>
        <v>-100</v>
      </c>
    </row>
    <row r="7" spans="1:11" x14ac:dyDescent="0.25">
      <c r="A7" t="s">
        <v>28</v>
      </c>
      <c r="B7" t="str">
        <f>_xlfn.XLOOKUP(Table2[[#This Row],[Animal]],Table1[Animal],Table1[Diet],"Not Found",0)</f>
        <v>Carnivore</v>
      </c>
      <c r="C7" s="19">
        <f>_xlfn.XLOOKUP(Table2[[#This Row],[Animal]],Table1[Animal],Table1[Lifespan (Years)],"N/A",0)</f>
        <v>13</v>
      </c>
      <c r="D7" s="17" t="str">
        <f>_xlfn.XLOOKUP(Table2[[#This Row],[Animal]],Table1[Animal],Table1[Lifespan Group],"N/A",0)</f>
        <v>&lt;25</v>
      </c>
      <c r="E7" s="17">
        <f>_xlfn.XLOOKUP(Table2[[#This Row],[Animal]],Table1[Animal],Table1[Weight (lbs)],"N/A",0)</f>
        <v>39</v>
      </c>
      <c r="F7" s="17" t="str">
        <f>_xlfn.XLOOKUP(Table2[[#This Row],[Animal]],Table1[Animal],Table1[Weight Group],"N/A",0)</f>
        <v>&lt;100</v>
      </c>
      <c r="G7" t="str">
        <f>_xlfn.XLOOKUP(Table2[[#This Row],[Animal]],Table1[Animal],Table1[Region],"N/A",0)</f>
        <v>Africa &amp; MENA</v>
      </c>
      <c r="H7" s="17" t="str">
        <f>_xlfn.XLOOKUP(Table2[[#This Row],[Animal]],Table1[Animal],Table1[Transport],"N/A",0)</f>
        <v>Air</v>
      </c>
      <c r="I7">
        <f>_xlfn.XLOOKUP(Table2[[#This Row],[Animal]],Table1[Animal],Table1[Revenue],"N/A",0)</f>
        <v>600</v>
      </c>
      <c r="J7">
        <f>_xlfn.XLOOKUP(Table2[[#This Row],[Animal]],Table1[Animal],Table1[Cost],"N/A",0)</f>
        <v>500</v>
      </c>
      <c r="K7">
        <f>Table2[[#This Row],[Revenue]]-Table2[[#This Row],[Cost]]</f>
        <v>100</v>
      </c>
    </row>
    <row r="8" spans="1:11" x14ac:dyDescent="0.25">
      <c r="A8" t="s">
        <v>29</v>
      </c>
      <c r="B8" t="str">
        <f>_xlfn.XLOOKUP(Table2[[#This Row],[Animal]],Table1[Animal],Table1[Diet],"Not Found",0)</f>
        <v>Omnivore</v>
      </c>
      <c r="C8" s="19">
        <f>_xlfn.XLOOKUP(Table2[[#This Row],[Animal]],Table1[Animal],Table1[Lifespan (Years)],"N/A",0)</f>
        <v>12</v>
      </c>
      <c r="D8" s="17" t="str">
        <f>_xlfn.XLOOKUP(Table2[[#This Row],[Animal]],Table1[Animal],Table1[Lifespan Group],"N/A",0)</f>
        <v>&lt;25</v>
      </c>
      <c r="E8" s="17">
        <f>_xlfn.XLOOKUP(Table2[[#This Row],[Animal]],Table1[Animal],Table1[Weight (lbs)],"N/A",0)</f>
        <v>65</v>
      </c>
      <c r="F8" s="17" t="str">
        <f>_xlfn.XLOOKUP(Table2[[#This Row],[Animal]],Table1[Animal],Table1[Weight Group],"N/A",0)</f>
        <v>&lt;100</v>
      </c>
      <c r="G8" t="str">
        <f>_xlfn.XLOOKUP(Table2[[#This Row],[Animal]],Table1[Animal],Table1[Region],"N/A",0)</f>
        <v>Europe &amp; Eurasia</v>
      </c>
      <c r="H8" s="17" t="str">
        <f>_xlfn.XLOOKUP(Table2[[#This Row],[Animal]],Table1[Animal],Table1[Transport],"N/A",0)</f>
        <v>Road</v>
      </c>
      <c r="I8">
        <f>_xlfn.XLOOKUP(Table2[[#This Row],[Animal]],Table1[Animal],Table1[Revenue],"N/A",0)</f>
        <v>450</v>
      </c>
      <c r="J8">
        <f>_xlfn.XLOOKUP(Table2[[#This Row],[Animal]],Table1[Animal],Table1[Cost],"N/A",0)</f>
        <v>400</v>
      </c>
      <c r="K8">
        <f>Table2[[#This Row],[Revenue]]-Table2[[#This Row],[Cost]]</f>
        <v>50</v>
      </c>
    </row>
    <row r="9" spans="1:11" x14ac:dyDescent="0.25">
      <c r="A9" t="s">
        <v>31</v>
      </c>
      <c r="B9" t="str">
        <f>_xlfn.XLOOKUP(Table2[[#This Row],[Animal]],Table1[Animal],Table1[Diet],"Not Found",0)</f>
        <v>Omnivore</v>
      </c>
      <c r="C9" s="19">
        <f>_xlfn.XLOOKUP(Table2[[#This Row],[Animal]],Table1[Animal],Table1[Lifespan (Years)],"N/A",0)</f>
        <v>12</v>
      </c>
      <c r="D9" s="17" t="str">
        <f>_xlfn.XLOOKUP(Table2[[#This Row],[Animal]],Table1[Animal],Table1[Lifespan Group],"N/A",0)</f>
        <v>&lt;25</v>
      </c>
      <c r="E9" s="17">
        <f>_xlfn.XLOOKUP(Table2[[#This Row],[Animal]],Table1[Animal],Table1[Weight (lbs)],"N/A",0)</f>
        <v>44</v>
      </c>
      <c r="F9" s="17" t="str">
        <f>_xlfn.XLOOKUP(Table2[[#This Row],[Animal]],Table1[Animal],Table1[Weight Group],"N/A",0)</f>
        <v>&lt;100</v>
      </c>
      <c r="G9" t="str">
        <f>_xlfn.XLOOKUP(Table2[[#This Row],[Animal]],Table1[Animal],Table1[Region],"N/A",0)</f>
        <v>Asia Pacific</v>
      </c>
      <c r="H9" s="17" t="str">
        <f>_xlfn.XLOOKUP(Table2[[#This Row],[Animal]],Table1[Animal],Table1[Transport],"N/A",0)</f>
        <v>Air</v>
      </c>
      <c r="I9">
        <f>_xlfn.XLOOKUP(Table2[[#This Row],[Animal]],Table1[Animal],Table1[Revenue],"N/A",0)</f>
        <v>700</v>
      </c>
      <c r="J9">
        <f>_xlfn.XLOOKUP(Table2[[#This Row],[Animal]],Table1[Animal],Table1[Cost],"N/A",0)</f>
        <v>400</v>
      </c>
      <c r="K9">
        <f>Table2[[#This Row],[Revenue]]-Table2[[#This Row],[Cost]]</f>
        <v>300</v>
      </c>
    </row>
    <row r="10" spans="1:11" x14ac:dyDescent="0.25">
      <c r="A10" t="s">
        <v>33</v>
      </c>
      <c r="B10" t="str">
        <f>_xlfn.XLOOKUP(Table2[[#This Row],[Animal]],Table1[Animal],Table1[Diet],"Not Found",0)</f>
        <v>Omnivore</v>
      </c>
      <c r="C10" s="19">
        <f>_xlfn.XLOOKUP(Table2[[#This Row],[Animal]],Table1[Animal],Table1[Lifespan (Years)],"N/A",0)</f>
        <v>11</v>
      </c>
      <c r="D10" s="17" t="str">
        <f>_xlfn.XLOOKUP(Table2[[#This Row],[Animal]],Table1[Animal],Table1[Lifespan Group],"N/A",0)</f>
        <v>&lt;25</v>
      </c>
      <c r="E10" s="17">
        <f>_xlfn.XLOOKUP(Table2[[#This Row],[Animal]],Table1[Animal],Table1[Weight (lbs)],"N/A",0)</f>
        <v>140</v>
      </c>
      <c r="F10" s="17" t="str">
        <f>_xlfn.XLOOKUP(Table2[[#This Row],[Animal]],Table1[Animal],Table1[Weight Group],"N/A",0)</f>
        <v>100-199</v>
      </c>
      <c r="G10" t="str">
        <f>_xlfn.XLOOKUP(Table2[[#This Row],[Animal]],Table1[Animal],Table1[Region],"N/A",0)</f>
        <v>Africa &amp; MENA</v>
      </c>
      <c r="H10" s="17" t="str">
        <f>_xlfn.XLOOKUP(Table2[[#This Row],[Animal]],Table1[Animal],Table1[Transport],"N/A",0)</f>
        <v>Air</v>
      </c>
      <c r="I10">
        <f>_xlfn.XLOOKUP(Table2[[#This Row],[Animal]],Table1[Animal],Table1[Revenue],"N/A",0)</f>
        <v>600</v>
      </c>
      <c r="J10">
        <f>_xlfn.XLOOKUP(Table2[[#This Row],[Animal]],Table1[Animal],Table1[Cost],"N/A",0)</f>
        <v>400</v>
      </c>
      <c r="K10">
        <f>Table2[[#This Row],[Revenue]]-Table2[[#This Row],[Cost]]</f>
        <v>200</v>
      </c>
    </row>
    <row r="11" spans="1:11" x14ac:dyDescent="0.25">
      <c r="A11" t="s">
        <v>35</v>
      </c>
      <c r="B11" t="str">
        <f>_xlfn.XLOOKUP(Table2[[#This Row],[Animal]],Table1[Animal],Table1[Diet],"Not Found",0)</f>
        <v>Omnivore</v>
      </c>
      <c r="C11" s="19">
        <f>_xlfn.XLOOKUP(Table2[[#This Row],[Animal]],Table1[Animal],Table1[Lifespan (Years)],"N/A",0)</f>
        <v>10</v>
      </c>
      <c r="D11" s="17" t="str">
        <f>_xlfn.XLOOKUP(Table2[[#This Row],[Animal]],Table1[Animal],Table1[Lifespan Group],"N/A",0)</f>
        <v>&lt;25</v>
      </c>
      <c r="E11" s="17">
        <f>_xlfn.XLOOKUP(Table2[[#This Row],[Animal]],Table1[Animal],Table1[Weight (lbs)],"N/A",0)</f>
        <v>110</v>
      </c>
      <c r="F11" s="17" t="str">
        <f>_xlfn.XLOOKUP(Table2[[#This Row],[Animal]],Table1[Animal],Table1[Weight Group],"N/A",0)</f>
        <v>100-199</v>
      </c>
      <c r="G11" t="str">
        <f>_xlfn.XLOOKUP(Table2[[#This Row],[Animal]],Table1[Animal],Table1[Region],"N/A",0)</f>
        <v>Africa &amp; MENA</v>
      </c>
      <c r="H11" s="17" t="str">
        <f>_xlfn.XLOOKUP(Table2[[#This Row],[Animal]],Table1[Animal],Table1[Transport],"N/A",0)</f>
        <v>Air</v>
      </c>
      <c r="I11">
        <f>_xlfn.XLOOKUP(Table2[[#This Row],[Animal]],Table1[Animal],Table1[Revenue],"N/A",0)</f>
        <v>600</v>
      </c>
      <c r="J11">
        <f>_xlfn.XLOOKUP(Table2[[#This Row],[Animal]],Table1[Animal],Table1[Cost],"N/A",0)</f>
        <v>400</v>
      </c>
      <c r="K11">
        <f>Table2[[#This Row],[Revenue]]-Table2[[#This Row],[Cost]]</f>
        <v>200</v>
      </c>
    </row>
    <row r="12" spans="1:11" x14ac:dyDescent="0.25">
      <c r="A12" t="s">
        <v>39</v>
      </c>
      <c r="B12" t="str">
        <f>_xlfn.XLOOKUP(Table2[[#This Row],[Animal]],Table1[Animal],Table1[Diet],"Not Found",0)</f>
        <v>Carnivore</v>
      </c>
      <c r="C12" s="19">
        <f>_xlfn.XLOOKUP(Table2[[#This Row],[Animal]],Table1[Animal],Table1[Lifespan (Years)],"N/A",0)</f>
        <v>40</v>
      </c>
      <c r="D12" s="17" t="str">
        <f>_xlfn.XLOOKUP(Table2[[#This Row],[Animal]],Table1[Animal],Table1[Lifespan Group],"N/A",0)</f>
        <v>25-49</v>
      </c>
      <c r="E12" s="17">
        <f>_xlfn.XLOOKUP(Table2[[#This Row],[Animal]],Table1[Animal],Table1[Weight (lbs)],"N/A",0)</f>
        <v>17</v>
      </c>
      <c r="F12" s="17" t="str">
        <f>_xlfn.XLOOKUP(Table2[[#This Row],[Animal]],Table1[Animal],Table1[Weight Group],"N/A",0)</f>
        <v>&lt;100</v>
      </c>
      <c r="G12" t="str">
        <f>_xlfn.XLOOKUP(Table2[[#This Row],[Animal]],Table1[Animal],Table1[Region],"N/A",0)</f>
        <v>Africa &amp; MENA</v>
      </c>
      <c r="H12" s="17" t="str">
        <f>_xlfn.XLOOKUP(Table2[[#This Row],[Animal]],Table1[Animal],Table1[Transport],"N/A",0)</f>
        <v>Air</v>
      </c>
      <c r="I12">
        <f>_xlfn.XLOOKUP(Table2[[#This Row],[Animal]],Table1[Animal],Table1[Revenue],"N/A",0)</f>
        <v>600</v>
      </c>
      <c r="J12">
        <f>_xlfn.XLOOKUP(Table2[[#This Row],[Animal]],Table1[Animal],Table1[Cost],"N/A",0)</f>
        <v>500</v>
      </c>
      <c r="K12">
        <f>Table2[[#This Row],[Revenue]]-Table2[[#This Row],[Cost]]</f>
        <v>100</v>
      </c>
    </row>
    <row r="13" spans="1:11" x14ac:dyDescent="0.25">
      <c r="A13" t="s">
        <v>40</v>
      </c>
      <c r="B13" t="str">
        <f>_xlfn.XLOOKUP(Table2[[#This Row],[Animal]],Table1[Animal],Table1[Diet],"Not Found",0)</f>
        <v>Herbivore</v>
      </c>
      <c r="C13" s="19">
        <f>_xlfn.XLOOKUP(Table2[[#This Row],[Animal]],Table1[Animal],Table1[Lifespan (Years)],"N/A",0)</f>
        <v>255</v>
      </c>
      <c r="D13" s="17" t="str">
        <f>_xlfn.XLOOKUP(Table2[[#This Row],[Animal]],Table1[Animal],Table1[Lifespan Group],"N/A",0)</f>
        <v>&gt;=100</v>
      </c>
      <c r="E13" s="17">
        <f>_xlfn.XLOOKUP(Table2[[#This Row],[Animal]],Table1[Animal],Table1[Weight (lbs)],"N/A",0)</f>
        <v>330</v>
      </c>
      <c r="F13" s="17" t="str">
        <f>_xlfn.XLOOKUP(Table2[[#This Row],[Animal]],Table1[Animal],Table1[Weight Group],"N/A",0)</f>
        <v>300-399</v>
      </c>
      <c r="G13" t="str">
        <f>_xlfn.XLOOKUP(Table2[[#This Row],[Animal]],Table1[Animal],Table1[Region],"N/A",0)</f>
        <v>Africa &amp; MENA</v>
      </c>
      <c r="H13" s="17" t="str">
        <f>_xlfn.XLOOKUP(Table2[[#This Row],[Animal]],Table1[Animal],Table1[Transport],"N/A",0)</f>
        <v>Air</v>
      </c>
      <c r="I13">
        <f>_xlfn.XLOOKUP(Table2[[#This Row],[Animal]],Table1[Animal],Table1[Revenue],"N/A",0)</f>
        <v>600</v>
      </c>
      <c r="J13">
        <f>_xlfn.XLOOKUP(Table2[[#This Row],[Animal]],Table1[Animal],Table1[Cost],"N/A",0)</f>
        <v>300</v>
      </c>
      <c r="K13">
        <f>Table2[[#This Row],[Revenue]]-Table2[[#This Row],[Cost]]</f>
        <v>300</v>
      </c>
    </row>
    <row r="14" spans="1:11" x14ac:dyDescent="0.25">
      <c r="A14" t="s">
        <v>41</v>
      </c>
      <c r="B14" t="str">
        <f>_xlfn.XLOOKUP(Table2[[#This Row],[Animal]],Table1[Animal],Table1[Diet],"Not Found",0)</f>
        <v>Carnivore</v>
      </c>
      <c r="C14" s="19">
        <f>_xlfn.XLOOKUP(Table2[[#This Row],[Animal]],Table1[Animal],Table1[Lifespan (Years)],"N/A",0)</f>
        <v>60</v>
      </c>
      <c r="D14" s="17" t="str">
        <f>_xlfn.XLOOKUP(Table2[[#This Row],[Animal]],Table1[Animal],Table1[Lifespan Group],"N/A",0)</f>
        <v>50-74</v>
      </c>
      <c r="E14" s="17">
        <f>_xlfn.XLOOKUP(Table2[[#This Row],[Animal]],Table1[Animal],Table1[Weight (lbs)],"N/A",0)</f>
        <v>400</v>
      </c>
      <c r="F14" s="17" t="str">
        <f>_xlfn.XLOOKUP(Table2[[#This Row],[Animal]],Table1[Animal],Table1[Weight Group],"N/A",0)</f>
        <v>400-499</v>
      </c>
      <c r="G14" t="str">
        <f>_xlfn.XLOOKUP(Table2[[#This Row],[Animal]],Table1[Animal],Table1[Region],"N/A",0)</f>
        <v>Latin America</v>
      </c>
      <c r="H14" s="17" t="str">
        <f>_xlfn.XLOOKUP(Table2[[#This Row],[Animal]],Table1[Animal],Table1[Transport],"N/A",0)</f>
        <v>Boat</v>
      </c>
      <c r="I14">
        <f>_xlfn.XLOOKUP(Table2[[#This Row],[Animal]],Table1[Animal],Table1[Revenue],"N/A",0)</f>
        <v>200</v>
      </c>
      <c r="J14">
        <f>_xlfn.XLOOKUP(Table2[[#This Row],[Animal]],Table1[Animal],Table1[Cost],"N/A",0)</f>
        <v>500</v>
      </c>
      <c r="K14">
        <f>Table2[[#This Row],[Revenue]]-Table2[[#This Row],[Cost]]</f>
        <v>-300</v>
      </c>
    </row>
    <row r="15" spans="1:11" x14ac:dyDescent="0.25">
      <c r="A15" t="s">
        <v>42</v>
      </c>
      <c r="B15" t="str">
        <f>_xlfn.XLOOKUP(Table2[[#This Row],[Animal]],Table1[Animal],Table1[Diet],"Not Found",0)</f>
        <v>Omnivore</v>
      </c>
      <c r="C15" s="19">
        <f>_xlfn.XLOOKUP(Table2[[#This Row],[Animal]],Table1[Animal],Table1[Lifespan (Years)],"N/A",0)</f>
        <v>12</v>
      </c>
      <c r="D15" s="17" t="str">
        <f>_xlfn.XLOOKUP(Table2[[#This Row],[Animal]],Table1[Animal],Table1[Lifespan Group],"N/A",0)</f>
        <v>&lt;25</v>
      </c>
      <c r="E15" s="17">
        <f>_xlfn.XLOOKUP(Table2[[#This Row],[Animal]],Table1[Animal],Table1[Weight (lbs)],"N/A",0)</f>
        <v>40</v>
      </c>
      <c r="F15" s="17" t="str">
        <f>_xlfn.XLOOKUP(Table2[[#This Row],[Animal]],Table1[Animal],Table1[Weight Group],"N/A",0)</f>
        <v>&lt;100</v>
      </c>
      <c r="G15" t="str">
        <f>_xlfn.XLOOKUP(Table2[[#This Row],[Animal]],Table1[Animal],Table1[Region],"N/A",0)</f>
        <v>South Asia</v>
      </c>
      <c r="H15" s="17" t="str">
        <f>_xlfn.XLOOKUP(Table2[[#This Row],[Animal]],Table1[Animal],Table1[Transport],"N/A",0)</f>
        <v>Air</v>
      </c>
      <c r="I15">
        <f>_xlfn.XLOOKUP(Table2[[#This Row],[Animal]],Table1[Animal],Table1[Revenue],"N/A",0)</f>
        <v>450</v>
      </c>
      <c r="J15">
        <f>_xlfn.XLOOKUP(Table2[[#This Row],[Animal]],Table1[Animal],Table1[Cost],"N/A",0)</f>
        <v>400</v>
      </c>
      <c r="K15">
        <f>Table2[[#This Row],[Revenue]]-Table2[[#This Row],[Cost]]</f>
        <v>50</v>
      </c>
    </row>
    <row r="16" spans="1:11" x14ac:dyDescent="0.25">
      <c r="A16" t="s">
        <v>48</v>
      </c>
      <c r="B16" t="str">
        <f>_xlfn.XLOOKUP(Table2[[#This Row],[Animal]],Table1[Animal],Table1[Diet],"Not Found",0)</f>
        <v>Omnivore</v>
      </c>
      <c r="C16" s="19">
        <f>_xlfn.XLOOKUP(Table2[[#This Row],[Animal]],Table1[Animal],Table1[Lifespan (Years)],"N/A",0)</f>
        <v>15</v>
      </c>
      <c r="D16" s="17" t="str">
        <f>_xlfn.XLOOKUP(Table2[[#This Row],[Animal]],Table1[Animal],Table1[Lifespan Group],"N/A",0)</f>
        <v>&lt;25</v>
      </c>
      <c r="E16" s="17">
        <f>_xlfn.XLOOKUP(Table2[[#This Row],[Animal]],Table1[Animal],Table1[Weight (lbs)],"N/A",0)</f>
        <v>20</v>
      </c>
      <c r="F16" s="17" t="str">
        <f>_xlfn.XLOOKUP(Table2[[#This Row],[Animal]],Table1[Animal],Table1[Weight Group],"N/A",0)</f>
        <v>&lt;100</v>
      </c>
      <c r="G16" t="str">
        <f>_xlfn.XLOOKUP(Table2[[#This Row],[Animal]],Table1[Animal],Table1[Region],"N/A",0)</f>
        <v>North America</v>
      </c>
      <c r="H16" s="17" t="str">
        <f>_xlfn.XLOOKUP(Table2[[#This Row],[Animal]],Table1[Animal],Table1[Transport],"N/A",0)</f>
        <v>Boat</v>
      </c>
      <c r="I16">
        <f>_xlfn.XLOOKUP(Table2[[#This Row],[Animal]],Table1[Animal],Table1[Revenue],"N/A",0)</f>
        <v>400</v>
      </c>
      <c r="J16">
        <f>_xlfn.XLOOKUP(Table2[[#This Row],[Animal]],Table1[Animal],Table1[Cost],"N/A",0)</f>
        <v>400</v>
      </c>
      <c r="K16">
        <f>Table2[[#This Row],[Revenue]]-Table2[[#This Row],[Cost]]</f>
        <v>0</v>
      </c>
    </row>
    <row r="17" spans="1:11" x14ac:dyDescent="0.25">
      <c r="A17" t="s">
        <v>50</v>
      </c>
      <c r="B17" t="str">
        <f>_xlfn.XLOOKUP(Table2[[#This Row],[Animal]],Table1[Animal],Table1[Diet],"Not Found",0)</f>
        <v>Omnivore</v>
      </c>
      <c r="C17" s="19">
        <f>_xlfn.XLOOKUP(Table2[[#This Row],[Animal]],Table1[Animal],Table1[Lifespan (Years)],"N/A",0)</f>
        <v>11</v>
      </c>
      <c r="D17" s="17" t="str">
        <f>_xlfn.XLOOKUP(Table2[[#This Row],[Animal]],Table1[Animal],Table1[Lifespan Group],"N/A",0)</f>
        <v>&lt;25</v>
      </c>
      <c r="E17" s="17">
        <f>_xlfn.XLOOKUP(Table2[[#This Row],[Animal]],Table1[Animal],Table1[Weight (lbs)],"N/A",0)</f>
        <v>65</v>
      </c>
      <c r="F17" s="17" t="str">
        <f>_xlfn.XLOOKUP(Table2[[#This Row],[Animal]],Table1[Animal],Table1[Weight Group],"N/A",0)</f>
        <v>&lt;100</v>
      </c>
      <c r="G17" t="str">
        <f>_xlfn.XLOOKUP(Table2[[#This Row],[Animal]],Table1[Animal],Table1[Region],"N/A",0)</f>
        <v>Africa &amp; MENA</v>
      </c>
      <c r="H17" s="17" t="str">
        <f>_xlfn.XLOOKUP(Table2[[#This Row],[Animal]],Table1[Animal],Table1[Transport],"N/A",0)</f>
        <v>Air</v>
      </c>
      <c r="I17">
        <f>_xlfn.XLOOKUP(Table2[[#This Row],[Animal]],Table1[Animal],Table1[Revenue],"N/A",0)</f>
        <v>600</v>
      </c>
      <c r="J17">
        <f>_xlfn.XLOOKUP(Table2[[#This Row],[Animal]],Table1[Animal],Table1[Cost],"N/A",0)</f>
        <v>400</v>
      </c>
      <c r="K17">
        <f>Table2[[#This Row],[Revenue]]-Table2[[#This Row],[Cost]]</f>
        <v>200</v>
      </c>
    </row>
    <row r="18" spans="1:11" x14ac:dyDescent="0.25">
      <c r="A18" t="s">
        <v>51</v>
      </c>
      <c r="B18" t="str">
        <f>_xlfn.XLOOKUP(Table2[[#This Row],[Animal]],Table1[Animal],Table1[Diet],"Not Found",0)</f>
        <v>Omnivore</v>
      </c>
      <c r="C18" s="19">
        <f>_xlfn.XLOOKUP(Table2[[#This Row],[Animal]],Table1[Animal],Table1[Lifespan (Years)],"N/A",0)</f>
        <v>12</v>
      </c>
      <c r="D18" s="17" t="str">
        <f>_xlfn.XLOOKUP(Table2[[#This Row],[Animal]],Table1[Animal],Table1[Lifespan Group],"N/A",0)</f>
        <v>&lt;25</v>
      </c>
      <c r="E18" s="17">
        <f>_xlfn.XLOOKUP(Table2[[#This Row],[Animal]],Table1[Animal],Table1[Weight (lbs)],"N/A",0)</f>
        <v>80</v>
      </c>
      <c r="F18" s="17" t="str">
        <f>_xlfn.XLOOKUP(Table2[[#This Row],[Animal]],Table1[Animal],Table1[Weight Group],"N/A",0)</f>
        <v>&lt;100</v>
      </c>
      <c r="G18" t="str">
        <f>_xlfn.XLOOKUP(Table2[[#This Row],[Animal]],Table1[Animal],Table1[Region],"N/A",0)</f>
        <v>Europe &amp; Eurasia</v>
      </c>
      <c r="H18" s="17" t="str">
        <f>_xlfn.XLOOKUP(Table2[[#This Row],[Animal]],Table1[Animal],Table1[Transport],"N/A",0)</f>
        <v>Road</v>
      </c>
      <c r="I18">
        <f>_xlfn.XLOOKUP(Table2[[#This Row],[Animal]],Table1[Animal],Table1[Revenue],"N/A",0)</f>
        <v>450</v>
      </c>
      <c r="J18">
        <f>_xlfn.XLOOKUP(Table2[[#This Row],[Animal]],Table1[Animal],Table1[Cost],"N/A",0)</f>
        <v>400</v>
      </c>
      <c r="K18">
        <f>Table2[[#This Row],[Revenue]]-Table2[[#This Row],[Cost]]</f>
        <v>50</v>
      </c>
    </row>
    <row r="19" spans="1:11" x14ac:dyDescent="0.25">
      <c r="A19" t="s">
        <v>53</v>
      </c>
      <c r="B19" t="str">
        <f>_xlfn.XLOOKUP(Table2[[#This Row],[Animal]],Table1[Animal],Table1[Diet],"Not Found",0)</f>
        <v>Omnivore</v>
      </c>
      <c r="C19" s="19">
        <f>_xlfn.XLOOKUP(Table2[[#This Row],[Animal]],Table1[Animal],Table1[Lifespan (Years)],"N/A",0)</f>
        <v>12</v>
      </c>
      <c r="D19" s="17" t="str">
        <f>_xlfn.XLOOKUP(Table2[[#This Row],[Animal]],Table1[Animal],Table1[Lifespan Group],"N/A",0)</f>
        <v>&lt;25</v>
      </c>
      <c r="E19" s="17">
        <f>_xlfn.XLOOKUP(Table2[[#This Row],[Animal]],Table1[Animal],Table1[Weight (lbs)],"N/A",0)</f>
        <v>45</v>
      </c>
      <c r="F19" s="17" t="str">
        <f>_xlfn.XLOOKUP(Table2[[#This Row],[Animal]],Table1[Animal],Table1[Weight Group],"N/A",0)</f>
        <v>&lt;100</v>
      </c>
      <c r="G19" t="str">
        <f>_xlfn.XLOOKUP(Table2[[#This Row],[Animal]],Table1[Animal],Table1[Region],"N/A",0)</f>
        <v>South Asia</v>
      </c>
      <c r="H19" s="17" t="str">
        <f>_xlfn.XLOOKUP(Table2[[#This Row],[Animal]],Table1[Animal],Table1[Transport],"N/A",0)</f>
        <v>Air</v>
      </c>
      <c r="I19">
        <f>_xlfn.XLOOKUP(Table2[[#This Row],[Animal]],Table1[Animal],Table1[Revenue],"N/A",0)</f>
        <v>450</v>
      </c>
      <c r="J19">
        <f>_xlfn.XLOOKUP(Table2[[#This Row],[Animal]],Table1[Animal],Table1[Cost],"N/A",0)</f>
        <v>400</v>
      </c>
      <c r="K19">
        <f>Table2[[#This Row],[Revenue]]-Table2[[#This Row],[Cost]]</f>
        <v>50</v>
      </c>
    </row>
    <row r="20" spans="1:11" x14ac:dyDescent="0.25">
      <c r="A20" t="s">
        <v>55</v>
      </c>
      <c r="B20" t="str">
        <f>_xlfn.XLOOKUP(Table2[[#This Row],[Animal]],Table1[Animal],Table1[Diet],"Not Found",0)</f>
        <v>Omnivore</v>
      </c>
      <c r="C20" s="19">
        <f>_xlfn.XLOOKUP(Table2[[#This Row],[Animal]],Table1[Animal],Table1[Lifespan (Years)],"N/A",0)</f>
        <v>13</v>
      </c>
      <c r="D20" s="17" t="str">
        <f>_xlfn.XLOOKUP(Table2[[#This Row],[Animal]],Table1[Animal],Table1[Lifespan Group],"N/A",0)</f>
        <v>&lt;25</v>
      </c>
      <c r="E20" s="17">
        <f>_xlfn.XLOOKUP(Table2[[#This Row],[Animal]],Table1[Animal],Table1[Weight (lbs)],"N/A",0)</f>
        <v>150</v>
      </c>
      <c r="F20" s="17" t="str">
        <f>_xlfn.XLOOKUP(Table2[[#This Row],[Animal]],Table1[Animal],Table1[Weight Group],"N/A",0)</f>
        <v>100-199</v>
      </c>
      <c r="G20" t="str">
        <f>_xlfn.XLOOKUP(Table2[[#This Row],[Animal]],Table1[Animal],Table1[Region],"N/A",0)</f>
        <v>Europe &amp; Eurasia</v>
      </c>
      <c r="H20" s="17" t="str">
        <f>_xlfn.XLOOKUP(Table2[[#This Row],[Animal]],Table1[Animal],Table1[Transport],"N/A",0)</f>
        <v>Road</v>
      </c>
      <c r="I20">
        <f>_xlfn.XLOOKUP(Table2[[#This Row],[Animal]],Table1[Animal],Table1[Revenue],"N/A",0)</f>
        <v>450</v>
      </c>
      <c r="J20">
        <f>_xlfn.XLOOKUP(Table2[[#This Row],[Animal]],Table1[Animal],Table1[Cost],"N/A",0)</f>
        <v>400</v>
      </c>
      <c r="K20">
        <f>Table2[[#This Row],[Revenue]]-Table2[[#This Row],[Cost]]</f>
        <v>50</v>
      </c>
    </row>
    <row r="21" spans="1:11" x14ac:dyDescent="0.25">
      <c r="A21" t="s">
        <v>57</v>
      </c>
      <c r="B21" t="str">
        <f>_xlfn.XLOOKUP(Table2[[#This Row],[Animal]],Table1[Animal],Table1[Diet],"Not Found",0)</f>
        <v>Omnivore</v>
      </c>
      <c r="C21" s="19">
        <f>_xlfn.XLOOKUP(Table2[[#This Row],[Animal]],Table1[Animal],Table1[Lifespan (Years)],"N/A",0)</f>
        <v>15</v>
      </c>
      <c r="D21" s="17" t="str">
        <f>_xlfn.XLOOKUP(Table2[[#This Row],[Animal]],Table1[Animal],Table1[Lifespan Group],"N/A",0)</f>
        <v>&lt;25</v>
      </c>
      <c r="E21" s="17">
        <f>_xlfn.XLOOKUP(Table2[[#This Row],[Animal]],Table1[Animal],Table1[Weight (lbs)],"N/A",0)</f>
        <v>0</v>
      </c>
      <c r="F21" s="17" t="str">
        <f>_xlfn.XLOOKUP(Table2[[#This Row],[Animal]],Table1[Animal],Table1[Weight Group],"N/A",0)</f>
        <v>N/A</v>
      </c>
      <c r="G21" t="str">
        <f>_xlfn.XLOOKUP(Table2[[#This Row],[Animal]],Table1[Animal],Table1[Region],"N/A",0)</f>
        <v>Europe &amp; Eurasia</v>
      </c>
      <c r="H21" s="17" t="str">
        <f>_xlfn.XLOOKUP(Table2[[#This Row],[Animal]],Table1[Animal],Table1[Transport],"N/A",0)</f>
        <v>Road</v>
      </c>
      <c r="I21">
        <f>_xlfn.XLOOKUP(Table2[[#This Row],[Animal]],Table1[Animal],Table1[Revenue],"N/A",0)</f>
        <v>450</v>
      </c>
      <c r="J21">
        <f>_xlfn.XLOOKUP(Table2[[#This Row],[Animal]],Table1[Animal],Table1[Cost],"N/A",0)</f>
        <v>400</v>
      </c>
      <c r="K21">
        <f>Table2[[#This Row],[Revenue]]-Table2[[#This Row],[Cost]]</f>
        <v>50</v>
      </c>
    </row>
    <row r="22" spans="1:11" x14ac:dyDescent="0.25">
      <c r="A22" t="s">
        <v>58</v>
      </c>
      <c r="B22" t="str">
        <f>_xlfn.XLOOKUP(Table2[[#This Row],[Animal]],Table1[Animal],Table1[Diet],"Not Found",0)</f>
        <v>Omnivore</v>
      </c>
      <c r="C22" s="19">
        <f>_xlfn.XLOOKUP(Table2[[#This Row],[Animal]],Table1[Animal],Table1[Lifespan (Years)],"N/A",0)</f>
        <v>0.25</v>
      </c>
      <c r="D22" s="17" t="str">
        <f>_xlfn.XLOOKUP(Table2[[#This Row],[Animal]],Table1[Animal],Table1[Lifespan Group],"N/A",0)</f>
        <v>&lt;25</v>
      </c>
      <c r="E22" s="17">
        <f>_xlfn.XLOOKUP(Table2[[#This Row],[Animal]],Table1[Animal],Table1[Weight (lbs)],"N/A",0)</f>
        <v>0</v>
      </c>
      <c r="F22" s="17" t="str">
        <f>_xlfn.XLOOKUP(Table2[[#This Row],[Animal]],Table1[Animal],Table1[Weight Group],"N/A",0)</f>
        <v>N/A</v>
      </c>
      <c r="G22" t="str">
        <f>_xlfn.XLOOKUP(Table2[[#This Row],[Animal]],Table1[Animal],Table1[Region],"N/A",0)</f>
        <v>North America</v>
      </c>
      <c r="H22" s="17" t="str">
        <f>_xlfn.XLOOKUP(Table2[[#This Row],[Animal]],Table1[Animal],Table1[Transport],"N/A",0)</f>
        <v>Boat</v>
      </c>
      <c r="I22">
        <f>_xlfn.XLOOKUP(Table2[[#This Row],[Animal]],Table1[Animal],Table1[Revenue],"N/A",0)</f>
        <v>400</v>
      </c>
      <c r="J22">
        <f>_xlfn.XLOOKUP(Table2[[#This Row],[Animal]],Table1[Animal],Table1[Cost],"N/A",0)</f>
        <v>400</v>
      </c>
      <c r="K22">
        <f>Table2[[#This Row],[Revenue]]-Table2[[#This Row],[Cost]]</f>
        <v>0</v>
      </c>
    </row>
    <row r="23" spans="1:11" x14ac:dyDescent="0.25">
      <c r="A23" t="s">
        <v>59</v>
      </c>
      <c r="B23" t="str">
        <f>_xlfn.XLOOKUP(Table2[[#This Row],[Animal]],Table1[Animal],Table1[Diet],"Not Found",0)</f>
        <v>Omnivore</v>
      </c>
      <c r="C23" s="19">
        <f>_xlfn.XLOOKUP(Table2[[#This Row],[Animal]],Table1[Animal],Table1[Lifespan (Years)],"N/A",0)</f>
        <v>20</v>
      </c>
      <c r="D23" s="17" t="str">
        <f>_xlfn.XLOOKUP(Table2[[#This Row],[Animal]],Table1[Animal],Table1[Lifespan Group],"N/A",0)</f>
        <v>&lt;25</v>
      </c>
      <c r="E23" s="17">
        <f>_xlfn.XLOOKUP(Table2[[#This Row],[Animal]],Table1[Animal],Table1[Weight (lbs)],"N/A",0)</f>
        <v>40</v>
      </c>
      <c r="F23" s="17" t="str">
        <f>_xlfn.XLOOKUP(Table2[[#This Row],[Animal]],Table1[Animal],Table1[Weight Group],"N/A",0)</f>
        <v>&lt;100</v>
      </c>
      <c r="G23" t="str">
        <f>_xlfn.XLOOKUP(Table2[[#This Row],[Animal]],Table1[Animal],Table1[Region],"N/A",0)</f>
        <v>Africa &amp; MENA</v>
      </c>
      <c r="H23" s="17" t="str">
        <f>_xlfn.XLOOKUP(Table2[[#This Row],[Animal]],Table1[Animal],Table1[Transport],"N/A",0)</f>
        <v>Air</v>
      </c>
      <c r="I23">
        <f>_xlfn.XLOOKUP(Table2[[#This Row],[Animal]],Table1[Animal],Table1[Revenue],"N/A",0)</f>
        <v>600</v>
      </c>
      <c r="J23">
        <f>_xlfn.XLOOKUP(Table2[[#This Row],[Animal]],Table1[Animal],Table1[Cost],"N/A",0)</f>
        <v>400</v>
      </c>
      <c r="K23">
        <f>Table2[[#This Row],[Revenue]]-Table2[[#This Row],[Cost]]</f>
        <v>200</v>
      </c>
    </row>
    <row r="24" spans="1:11" x14ac:dyDescent="0.25">
      <c r="A24" t="s">
        <v>60</v>
      </c>
      <c r="B24" t="str">
        <f>_xlfn.XLOOKUP(Table2[[#This Row],[Animal]],Table1[Animal],Table1[Diet],"Not Found",0)</f>
        <v>Herbivore</v>
      </c>
      <c r="C24" s="19">
        <f>_xlfn.XLOOKUP(Table2[[#This Row],[Animal]],Table1[Animal],Table1[Lifespan (Years)],"N/A",0)</f>
        <v>25</v>
      </c>
      <c r="D24" s="17" t="str">
        <f>_xlfn.XLOOKUP(Table2[[#This Row],[Animal]],Table1[Animal],Table1[Lifespan Group],"N/A",0)</f>
        <v>25-49</v>
      </c>
      <c r="E24" s="17">
        <f>_xlfn.XLOOKUP(Table2[[#This Row],[Animal]],Table1[Animal],Table1[Weight (lbs)],"N/A",0)</f>
        <v>1100</v>
      </c>
      <c r="F24" s="17" t="str">
        <f>_xlfn.XLOOKUP(Table2[[#This Row],[Animal]],Table1[Animal],Table1[Weight Group],"N/A",0)</f>
        <v>&gt;=500</v>
      </c>
      <c r="G24" t="str">
        <f>_xlfn.XLOOKUP(Table2[[#This Row],[Animal]],Table1[Animal],Table1[Region],"N/A",0)</f>
        <v>Japan</v>
      </c>
      <c r="H24" s="17" t="str">
        <f>_xlfn.XLOOKUP(Table2[[#This Row],[Animal]],Table1[Animal],Table1[Transport],"N/A",0)</f>
        <v>Air</v>
      </c>
      <c r="I24">
        <f>_xlfn.XLOOKUP(Table2[[#This Row],[Animal]],Table1[Animal],Table1[Revenue],"N/A",0)</f>
        <v>350</v>
      </c>
      <c r="J24">
        <f>_xlfn.XLOOKUP(Table2[[#This Row],[Animal]],Table1[Animal],Table1[Cost],"N/A",0)</f>
        <v>300</v>
      </c>
      <c r="K24">
        <f>Table2[[#This Row],[Revenue]]-Table2[[#This Row],[Cost]]</f>
        <v>50</v>
      </c>
    </row>
    <row r="25" spans="1:11" x14ac:dyDescent="0.25">
      <c r="A25" t="s">
        <v>61</v>
      </c>
      <c r="B25" t="str">
        <f>_xlfn.XLOOKUP(Table2[[#This Row],[Animal]],Table1[Animal],Table1[Diet],"Not Found",0)</f>
        <v>Omnivore</v>
      </c>
      <c r="C25" s="19">
        <f>_xlfn.XLOOKUP(Table2[[#This Row],[Animal]],Table1[Animal],Table1[Lifespan (Years)],"N/A",0)</f>
        <v>12</v>
      </c>
      <c r="D25" s="17" t="str">
        <f>_xlfn.XLOOKUP(Table2[[#This Row],[Animal]],Table1[Animal],Table1[Lifespan Group],"N/A",0)</f>
        <v>&lt;25</v>
      </c>
      <c r="E25" s="17">
        <f>_xlfn.XLOOKUP(Table2[[#This Row],[Animal]],Table1[Animal],Table1[Weight (lbs)],"N/A",0)</f>
        <v>55</v>
      </c>
      <c r="F25" s="17" t="str">
        <f>_xlfn.XLOOKUP(Table2[[#This Row],[Animal]],Table1[Animal],Table1[Weight Group],"N/A",0)</f>
        <v>&lt;100</v>
      </c>
      <c r="G25" t="str">
        <f>_xlfn.XLOOKUP(Table2[[#This Row],[Animal]],Table1[Animal],Table1[Region],"N/A",0)</f>
        <v>North America</v>
      </c>
      <c r="H25" s="17" t="str">
        <f>_xlfn.XLOOKUP(Table2[[#This Row],[Animal]],Table1[Animal],Table1[Transport],"N/A",0)</f>
        <v>Boat</v>
      </c>
      <c r="I25">
        <f>_xlfn.XLOOKUP(Table2[[#This Row],[Animal]],Table1[Animal],Table1[Revenue],"N/A",0)</f>
        <v>400</v>
      </c>
      <c r="J25">
        <f>_xlfn.XLOOKUP(Table2[[#This Row],[Animal]],Table1[Animal],Table1[Cost],"N/A",0)</f>
        <v>400</v>
      </c>
      <c r="K25">
        <f>Table2[[#This Row],[Revenue]]-Table2[[#This Row],[Cost]]</f>
        <v>0</v>
      </c>
    </row>
    <row r="26" spans="1:11" x14ac:dyDescent="0.25">
      <c r="A26" t="s">
        <v>63</v>
      </c>
      <c r="B26" t="str">
        <f>_xlfn.XLOOKUP(Table2[[#This Row],[Animal]],Table1[Animal],Table1[Diet],"Not Found",0)</f>
        <v>Carnivore</v>
      </c>
      <c r="C26" s="19">
        <f>_xlfn.XLOOKUP(Table2[[#This Row],[Animal]],Table1[Animal],Table1[Lifespan (Years)],"N/A",0)</f>
        <v>10</v>
      </c>
      <c r="D26" s="17" t="str">
        <f>_xlfn.XLOOKUP(Table2[[#This Row],[Animal]],Table1[Animal],Table1[Lifespan Group],"N/A",0)</f>
        <v>&lt;25</v>
      </c>
      <c r="E26" s="17">
        <f>_xlfn.XLOOKUP(Table2[[#This Row],[Animal]],Table1[Animal],Table1[Weight (lbs)],"N/A",0)</f>
        <v>3</v>
      </c>
      <c r="F26" s="17" t="str">
        <f>_xlfn.XLOOKUP(Table2[[#This Row],[Animal]],Table1[Animal],Table1[Weight Group],"N/A",0)</f>
        <v>&lt;100</v>
      </c>
      <c r="G26" t="str">
        <f>_xlfn.XLOOKUP(Table2[[#This Row],[Animal]],Table1[Animal],Table1[Region],"N/A",0)</f>
        <v>Latin America</v>
      </c>
      <c r="H26" s="17" t="str">
        <f>_xlfn.XLOOKUP(Table2[[#This Row],[Animal]],Table1[Animal],Table1[Transport],"N/A",0)</f>
        <v>Boat</v>
      </c>
      <c r="I26">
        <f>_xlfn.XLOOKUP(Table2[[#This Row],[Animal]],Table1[Animal],Table1[Revenue],"N/A",0)</f>
        <v>200</v>
      </c>
      <c r="J26">
        <f>_xlfn.XLOOKUP(Table2[[#This Row],[Animal]],Table1[Animal],Table1[Cost],"N/A",0)</f>
        <v>500</v>
      </c>
      <c r="K26">
        <f>Table2[[#This Row],[Revenue]]-Table2[[#This Row],[Cost]]</f>
        <v>-300</v>
      </c>
    </row>
    <row r="27" spans="1:11" x14ac:dyDescent="0.25">
      <c r="A27" t="s">
        <v>64</v>
      </c>
      <c r="B27" t="str">
        <f>_xlfn.XLOOKUP(Table2[[#This Row],[Animal]],Table1[Animal],Table1[Diet],"Not Found",0)</f>
        <v>Herbivore</v>
      </c>
      <c r="C27" s="19">
        <f>_xlfn.XLOOKUP(Table2[[#This Row],[Animal]],Table1[Animal],Table1[Lifespan (Years)],"N/A",0)</f>
        <v>8</v>
      </c>
      <c r="D27" s="17" t="str">
        <f>_xlfn.XLOOKUP(Table2[[#This Row],[Animal]],Table1[Animal],Table1[Lifespan Group],"N/A",0)</f>
        <v>&lt;25</v>
      </c>
      <c r="E27" s="17">
        <f>_xlfn.XLOOKUP(Table2[[#This Row],[Animal]],Table1[Animal],Table1[Weight (lbs)],"N/A",0)</f>
        <v>9</v>
      </c>
      <c r="F27" s="17" t="str">
        <f>_xlfn.XLOOKUP(Table2[[#This Row],[Animal]],Table1[Animal],Table1[Weight Group],"N/A",0)</f>
        <v>&lt;100</v>
      </c>
      <c r="G27" t="str">
        <f>_xlfn.XLOOKUP(Table2[[#This Row],[Animal]],Table1[Animal],Table1[Region],"N/A",0)</f>
        <v>Latin America</v>
      </c>
      <c r="H27" s="17" t="str">
        <f>_xlfn.XLOOKUP(Table2[[#This Row],[Animal]],Table1[Animal],Table1[Transport],"N/A",0)</f>
        <v>Boat</v>
      </c>
      <c r="I27">
        <f>_xlfn.XLOOKUP(Table2[[#This Row],[Animal]],Table1[Animal],Table1[Revenue],"N/A",0)</f>
        <v>200</v>
      </c>
      <c r="J27">
        <f>_xlfn.XLOOKUP(Table2[[#This Row],[Animal]],Table1[Animal],Table1[Cost],"N/A",0)</f>
        <v>300</v>
      </c>
      <c r="K27">
        <f>Table2[[#This Row],[Revenue]]-Table2[[#This Row],[Cost]]</f>
        <v>-100</v>
      </c>
    </row>
    <row r="28" spans="1:11" x14ac:dyDescent="0.25">
      <c r="A28" t="s">
        <v>65</v>
      </c>
      <c r="B28" t="str">
        <f>_xlfn.XLOOKUP(Table2[[#This Row],[Animal]],Table1[Animal],Table1[Diet],"Not Found",0)</f>
        <v>Carnivore</v>
      </c>
      <c r="C28" s="19">
        <f>_xlfn.XLOOKUP(Table2[[#This Row],[Animal]],Table1[Animal],Table1[Lifespan (Years)],"N/A",0)</f>
        <v>10</v>
      </c>
      <c r="D28" s="17" t="str">
        <f>_xlfn.XLOOKUP(Table2[[#This Row],[Animal]],Table1[Animal],Table1[Lifespan Group],"N/A",0)</f>
        <v>&lt;25</v>
      </c>
      <c r="E28" s="17">
        <f>_xlfn.XLOOKUP(Table2[[#This Row],[Animal]],Table1[Animal],Table1[Weight (lbs)],"N/A",0)</f>
        <v>55</v>
      </c>
      <c r="F28" s="17" t="str">
        <f>_xlfn.XLOOKUP(Table2[[#This Row],[Animal]],Table1[Animal],Table1[Weight Group],"N/A",0)</f>
        <v>&lt;100</v>
      </c>
      <c r="G28" t="str">
        <f>_xlfn.XLOOKUP(Table2[[#This Row],[Animal]],Table1[Animal],Table1[Region],"N/A",0)</f>
        <v>Europe &amp; Eurasia</v>
      </c>
      <c r="H28" s="17" t="str">
        <f>_xlfn.XLOOKUP(Table2[[#This Row],[Animal]],Table1[Animal],Table1[Transport],"N/A",0)</f>
        <v>Road</v>
      </c>
      <c r="I28">
        <f>_xlfn.XLOOKUP(Table2[[#This Row],[Animal]],Table1[Animal],Table1[Revenue],"N/A",0)</f>
        <v>450</v>
      </c>
      <c r="J28">
        <f>_xlfn.XLOOKUP(Table2[[#This Row],[Animal]],Table1[Animal],Table1[Cost],"N/A",0)</f>
        <v>500</v>
      </c>
      <c r="K28">
        <f>Table2[[#This Row],[Revenue]]-Table2[[#This Row],[Cost]]</f>
        <v>-50</v>
      </c>
    </row>
    <row r="29" spans="1:11" x14ac:dyDescent="0.25">
      <c r="A29" t="s">
        <v>66</v>
      </c>
      <c r="B29" t="str">
        <f>_xlfn.XLOOKUP(Table2[[#This Row],[Animal]],Table1[Animal],Table1[Diet],"Not Found",0)</f>
        <v>Omnivore</v>
      </c>
      <c r="C29" s="19">
        <f>_xlfn.XLOOKUP(Table2[[#This Row],[Animal]],Table1[Animal],Table1[Lifespan (Years)],"N/A",0)</f>
        <v>12</v>
      </c>
      <c r="D29" s="17" t="str">
        <f>_xlfn.XLOOKUP(Table2[[#This Row],[Animal]],Table1[Animal],Table1[Lifespan Group],"N/A",0)</f>
        <v>&lt;25</v>
      </c>
      <c r="E29" s="17">
        <f>_xlfn.XLOOKUP(Table2[[#This Row],[Animal]],Table1[Animal],Table1[Weight (lbs)],"N/A",0)</f>
        <v>9</v>
      </c>
      <c r="F29" s="17" t="str">
        <f>_xlfn.XLOOKUP(Table2[[#This Row],[Animal]],Table1[Animal],Table1[Weight Group],"N/A",0)</f>
        <v>&lt;100</v>
      </c>
      <c r="G29" t="str">
        <f>_xlfn.XLOOKUP(Table2[[#This Row],[Animal]],Table1[Animal],Table1[Region],"N/A",0)</f>
        <v>North America</v>
      </c>
      <c r="H29" s="17" t="str">
        <f>_xlfn.XLOOKUP(Table2[[#This Row],[Animal]],Table1[Animal],Table1[Transport],"N/A",0)</f>
        <v>Boat</v>
      </c>
      <c r="I29">
        <f>_xlfn.XLOOKUP(Table2[[#This Row],[Animal]],Table1[Animal],Table1[Revenue],"N/A",0)</f>
        <v>400</v>
      </c>
      <c r="J29">
        <f>_xlfn.XLOOKUP(Table2[[#This Row],[Animal]],Table1[Animal],Table1[Cost],"N/A",0)</f>
        <v>400</v>
      </c>
      <c r="K29">
        <f>Table2[[#This Row],[Revenue]]-Table2[[#This Row],[Cost]]</f>
        <v>0</v>
      </c>
    </row>
    <row r="30" spans="1:11" x14ac:dyDescent="0.25">
      <c r="A30" t="s">
        <v>67</v>
      </c>
      <c r="B30" t="str">
        <f>_xlfn.XLOOKUP(Table2[[#This Row],[Animal]],Table1[Animal],Table1[Diet],"Not Found",0)</f>
        <v>Omnivore</v>
      </c>
      <c r="C30" s="19">
        <f>_xlfn.XLOOKUP(Table2[[#This Row],[Animal]],Table1[Animal],Table1[Lifespan (Years)],"N/A",0)</f>
        <v>25</v>
      </c>
      <c r="D30" s="17" t="str">
        <f>_xlfn.XLOOKUP(Table2[[#This Row],[Animal]],Table1[Animal],Table1[Lifespan Group],"N/A",0)</f>
        <v>25-49</v>
      </c>
      <c r="E30" s="17">
        <f>_xlfn.XLOOKUP(Table2[[#This Row],[Animal]],Table1[Animal],Table1[Weight (lbs)],"N/A",0)</f>
        <v>198</v>
      </c>
      <c r="F30" s="17" t="str">
        <f>_xlfn.XLOOKUP(Table2[[#This Row],[Animal]],Table1[Animal],Table1[Weight Group],"N/A",0)</f>
        <v>100-199</v>
      </c>
      <c r="G30" t="str">
        <f>_xlfn.XLOOKUP(Table2[[#This Row],[Animal]],Table1[Animal],Table1[Region],"N/A",0)</f>
        <v>North America</v>
      </c>
      <c r="H30" s="17" t="str">
        <f>_xlfn.XLOOKUP(Table2[[#This Row],[Animal]],Table1[Animal],Table1[Transport],"N/A",0)</f>
        <v>Boat</v>
      </c>
      <c r="I30">
        <f>_xlfn.XLOOKUP(Table2[[#This Row],[Animal]],Table1[Animal],Table1[Revenue],"N/A",0)</f>
        <v>400</v>
      </c>
      <c r="J30">
        <f>_xlfn.XLOOKUP(Table2[[#This Row],[Animal]],Table1[Animal],Table1[Cost],"N/A",0)</f>
        <v>400</v>
      </c>
      <c r="K30">
        <f>Table2[[#This Row],[Revenue]]-Table2[[#This Row],[Cost]]</f>
        <v>0</v>
      </c>
    </row>
    <row r="31" spans="1:11" x14ac:dyDescent="0.25">
      <c r="A31" t="s">
        <v>68</v>
      </c>
      <c r="B31" t="str">
        <f>_xlfn.XLOOKUP(Table2[[#This Row],[Animal]],Table1[Animal],Table1[Diet],"Not Found",0)</f>
        <v>Herbivore</v>
      </c>
      <c r="C31" s="19">
        <f>_xlfn.XLOOKUP(Table2[[#This Row],[Animal]],Table1[Animal],Table1[Lifespan (Years)],"N/A",0)</f>
        <v>70</v>
      </c>
      <c r="D31" s="17" t="str">
        <f>_xlfn.XLOOKUP(Table2[[#This Row],[Animal]],Table1[Animal],Table1[Lifespan Group],"N/A",0)</f>
        <v>50-74</v>
      </c>
      <c r="E31" s="17">
        <f>_xlfn.XLOOKUP(Table2[[#This Row],[Animal]],Table1[Animal],Table1[Weight (lbs)],"N/A",0)</f>
        <v>6500</v>
      </c>
      <c r="F31" s="17" t="str">
        <f>_xlfn.XLOOKUP(Table2[[#This Row],[Animal]],Table1[Animal],Table1[Weight Group],"N/A",0)</f>
        <v>&gt;=500</v>
      </c>
      <c r="G31" t="str">
        <f>_xlfn.XLOOKUP(Table2[[#This Row],[Animal]],Table1[Animal],Table1[Region],"N/A",0)</f>
        <v>Africa &amp; MENA</v>
      </c>
      <c r="H31" s="17" t="str">
        <f>_xlfn.XLOOKUP(Table2[[#This Row],[Animal]],Table1[Animal],Table1[Transport],"N/A",0)</f>
        <v>Air</v>
      </c>
      <c r="I31">
        <f>_xlfn.XLOOKUP(Table2[[#This Row],[Animal]],Table1[Animal],Table1[Revenue],"N/A",0)</f>
        <v>600</v>
      </c>
      <c r="J31">
        <f>_xlfn.XLOOKUP(Table2[[#This Row],[Animal]],Table1[Animal],Table1[Cost],"N/A",0)</f>
        <v>300</v>
      </c>
      <c r="K31">
        <f>Table2[[#This Row],[Revenue]]-Table2[[#This Row],[Cost]]</f>
        <v>300</v>
      </c>
    </row>
    <row r="32" spans="1:11" x14ac:dyDescent="0.25">
      <c r="A32" t="s">
        <v>70</v>
      </c>
      <c r="B32" t="str">
        <f>_xlfn.XLOOKUP(Table2[[#This Row],[Animal]],Table1[Animal],Table1[Diet],"Not Found",0)</f>
        <v>Omnivore</v>
      </c>
      <c r="C32" s="19">
        <f>_xlfn.XLOOKUP(Table2[[#This Row],[Animal]],Table1[Animal],Table1[Lifespan (Years)],"N/A",0)</f>
        <v>15</v>
      </c>
      <c r="D32" s="17" t="str">
        <f>_xlfn.XLOOKUP(Table2[[#This Row],[Animal]],Table1[Animal],Table1[Lifespan Group],"N/A",0)</f>
        <v>&lt;25</v>
      </c>
      <c r="E32" s="17">
        <f>_xlfn.XLOOKUP(Table2[[#This Row],[Animal]],Table1[Animal],Table1[Weight (lbs)],"N/A",0)</f>
        <v>45</v>
      </c>
      <c r="F32" s="17" t="str">
        <f>_xlfn.XLOOKUP(Table2[[#This Row],[Animal]],Table1[Animal],Table1[Weight Group],"N/A",0)</f>
        <v>&lt;100</v>
      </c>
      <c r="G32" t="str">
        <f>_xlfn.XLOOKUP(Table2[[#This Row],[Animal]],Table1[Animal],Table1[Region],"N/A",0)</f>
        <v>Africa &amp; MENA</v>
      </c>
      <c r="H32" s="17" t="str">
        <f>_xlfn.XLOOKUP(Table2[[#This Row],[Animal]],Table1[Animal],Table1[Transport],"N/A",0)</f>
        <v>Air</v>
      </c>
      <c r="I32">
        <f>_xlfn.XLOOKUP(Table2[[#This Row],[Animal]],Table1[Animal],Table1[Revenue],"N/A",0)</f>
        <v>600</v>
      </c>
      <c r="J32">
        <f>_xlfn.XLOOKUP(Table2[[#This Row],[Animal]],Table1[Animal],Table1[Cost],"N/A",0)</f>
        <v>400</v>
      </c>
      <c r="K32">
        <f>Table2[[#This Row],[Revenue]]-Table2[[#This Row],[Cost]]</f>
        <v>200</v>
      </c>
    </row>
    <row r="33" spans="1:11" x14ac:dyDescent="0.25">
      <c r="A33" t="s">
        <v>72</v>
      </c>
      <c r="B33" t="str">
        <f>_xlfn.XLOOKUP(Table2[[#This Row],[Animal]],Table1[Animal],Table1[Diet],"Not Found",0)</f>
        <v>Carnivore</v>
      </c>
      <c r="C33" s="19">
        <f>_xlfn.XLOOKUP(Table2[[#This Row],[Animal]],Table1[Animal],Table1[Lifespan (Years)],"N/A",0)</f>
        <v>14</v>
      </c>
      <c r="D33" s="17" t="str">
        <f>_xlfn.XLOOKUP(Table2[[#This Row],[Animal]],Table1[Animal],Table1[Lifespan Group],"N/A",0)</f>
        <v>&lt;25</v>
      </c>
      <c r="E33" s="17">
        <f>_xlfn.XLOOKUP(Table2[[#This Row],[Animal]],Table1[Animal],Table1[Weight (lbs)],"N/A",0)</f>
        <v>10</v>
      </c>
      <c r="F33" s="17" t="str">
        <f>_xlfn.XLOOKUP(Table2[[#This Row],[Animal]],Table1[Animal],Table1[Weight Group],"N/A",0)</f>
        <v>&lt;100</v>
      </c>
      <c r="G33" t="str">
        <f>_xlfn.XLOOKUP(Table2[[#This Row],[Animal]],Table1[Animal],Table1[Region],"N/A",0)</f>
        <v>Africa &amp; MENA</v>
      </c>
      <c r="H33" s="17" t="str">
        <f>_xlfn.XLOOKUP(Table2[[#This Row],[Animal]],Table1[Animal],Table1[Transport],"N/A",0)</f>
        <v>Air</v>
      </c>
      <c r="I33">
        <f>_xlfn.XLOOKUP(Table2[[#This Row],[Animal]],Table1[Animal],Table1[Revenue],"N/A",0)</f>
        <v>600</v>
      </c>
      <c r="J33">
        <f>_xlfn.XLOOKUP(Table2[[#This Row],[Animal]],Table1[Animal],Table1[Cost],"N/A",0)</f>
        <v>500</v>
      </c>
      <c r="K33">
        <f>Table2[[#This Row],[Revenue]]-Table2[[#This Row],[Cost]]</f>
        <v>100</v>
      </c>
    </row>
    <row r="34" spans="1:11" x14ac:dyDescent="0.25">
      <c r="A34" t="s">
        <v>73</v>
      </c>
      <c r="B34" t="str">
        <f>_xlfn.XLOOKUP(Table2[[#This Row],[Animal]],Table1[Animal],Table1[Diet],"Not Found",0)</f>
        <v>Omnivore</v>
      </c>
      <c r="C34" s="19">
        <f>_xlfn.XLOOKUP(Table2[[#This Row],[Animal]],Table1[Animal],Table1[Lifespan (Years)],"N/A",0)</f>
        <v>14</v>
      </c>
      <c r="D34" s="17" t="str">
        <f>_xlfn.XLOOKUP(Table2[[#This Row],[Animal]],Table1[Animal],Table1[Lifespan Group],"N/A",0)</f>
        <v>&lt;25</v>
      </c>
      <c r="E34" s="17">
        <f>_xlfn.XLOOKUP(Table2[[#This Row],[Animal]],Table1[Animal],Table1[Weight (lbs)],"N/A",0)</f>
        <v>70</v>
      </c>
      <c r="F34" s="17" t="str">
        <f>_xlfn.XLOOKUP(Table2[[#This Row],[Animal]],Table1[Animal],Table1[Weight Group],"N/A",0)</f>
        <v>&lt;100</v>
      </c>
      <c r="G34" t="str">
        <f>_xlfn.XLOOKUP(Table2[[#This Row],[Animal]],Table1[Animal],Table1[Region],"N/A",0)</f>
        <v>Europe &amp; Eurasia</v>
      </c>
      <c r="H34" s="17" t="str">
        <f>_xlfn.XLOOKUP(Table2[[#This Row],[Animal]],Table1[Animal],Table1[Transport],"N/A",0)</f>
        <v>Road</v>
      </c>
      <c r="I34">
        <f>_xlfn.XLOOKUP(Table2[[#This Row],[Animal]],Table1[Animal],Table1[Revenue],"N/A",0)</f>
        <v>450</v>
      </c>
      <c r="J34">
        <f>_xlfn.XLOOKUP(Table2[[#This Row],[Animal]],Table1[Animal],Table1[Cost],"N/A",0)</f>
        <v>400</v>
      </c>
      <c r="K34">
        <f>Table2[[#This Row],[Revenue]]-Table2[[#This Row],[Cost]]</f>
        <v>50</v>
      </c>
    </row>
    <row r="35" spans="1:11" x14ac:dyDescent="0.25">
      <c r="A35" t="s">
        <v>77</v>
      </c>
      <c r="B35" t="str">
        <f>_xlfn.XLOOKUP(Table2[[#This Row],[Animal]],Table1[Animal],Table1[Diet],"Not Found",0)</f>
        <v>Carnivore</v>
      </c>
      <c r="C35" s="19">
        <f>_xlfn.XLOOKUP(Table2[[#This Row],[Animal]],Table1[Animal],Table1[Lifespan (Years)],"N/A",0)</f>
        <v>15</v>
      </c>
      <c r="D35" s="17" t="str">
        <f>_xlfn.XLOOKUP(Table2[[#This Row],[Animal]],Table1[Animal],Table1[Lifespan Group],"N/A",0)</f>
        <v>&lt;25</v>
      </c>
      <c r="E35" s="17">
        <f>_xlfn.XLOOKUP(Table2[[#This Row],[Animal]],Table1[Animal],Table1[Weight (lbs)],"N/A",0)</f>
        <v>0.3125</v>
      </c>
      <c r="F35" s="17" t="str">
        <f>_xlfn.XLOOKUP(Table2[[#This Row],[Animal]],Table1[Animal],Table1[Weight Group],"N/A",0)</f>
        <v>&lt;100</v>
      </c>
      <c r="G35" t="str">
        <f>_xlfn.XLOOKUP(Table2[[#This Row],[Animal]],Table1[Animal],Table1[Region],"N/A",0)</f>
        <v>North America</v>
      </c>
      <c r="H35" s="17" t="str">
        <f>_xlfn.XLOOKUP(Table2[[#This Row],[Animal]],Table1[Animal],Table1[Transport],"N/A",0)</f>
        <v>Boat</v>
      </c>
      <c r="I35">
        <f>_xlfn.XLOOKUP(Table2[[#This Row],[Animal]],Table1[Animal],Table1[Revenue],"N/A",0)</f>
        <v>400</v>
      </c>
      <c r="J35">
        <f>_xlfn.XLOOKUP(Table2[[#This Row],[Animal]],Table1[Animal],Table1[Cost],"N/A",0)</f>
        <v>500</v>
      </c>
      <c r="K35">
        <f>Table2[[#This Row],[Revenue]]-Table2[[#This Row],[Cost]]</f>
        <v>-100</v>
      </c>
    </row>
    <row r="36" spans="1:11" x14ac:dyDescent="0.25">
      <c r="A36" t="s">
        <v>78</v>
      </c>
      <c r="B36" t="str">
        <f>_xlfn.XLOOKUP(Table2[[#This Row],[Animal]],Table1[Animal],Table1[Diet],"Not Found",0)</f>
        <v>Carnivore</v>
      </c>
      <c r="C36" s="19">
        <f>_xlfn.XLOOKUP(Table2[[#This Row],[Animal]],Table1[Animal],Table1[Lifespan (Years)],"N/A",0)</f>
        <v>20</v>
      </c>
      <c r="D36" s="17" t="str">
        <f>_xlfn.XLOOKUP(Table2[[#This Row],[Animal]],Table1[Animal],Table1[Lifespan Group],"N/A",0)</f>
        <v>&lt;25</v>
      </c>
      <c r="E36" s="17">
        <f>_xlfn.XLOOKUP(Table2[[#This Row],[Animal]],Table1[Animal],Table1[Weight (lbs)],"N/A",0)</f>
        <v>0.125</v>
      </c>
      <c r="F36" s="17" t="str">
        <f>_xlfn.XLOOKUP(Table2[[#This Row],[Animal]],Table1[Animal],Table1[Weight Group],"N/A",0)</f>
        <v>&lt;100</v>
      </c>
      <c r="G36" t="str">
        <f>_xlfn.XLOOKUP(Table2[[#This Row],[Animal]],Table1[Animal],Table1[Region],"N/A",0)</f>
        <v>Africa &amp; MENA</v>
      </c>
      <c r="H36" s="17" t="str">
        <f>_xlfn.XLOOKUP(Table2[[#This Row],[Animal]],Table1[Animal],Table1[Transport],"N/A",0)</f>
        <v>Air</v>
      </c>
      <c r="I36">
        <f>_xlfn.XLOOKUP(Table2[[#This Row],[Animal]],Table1[Animal],Table1[Revenue],"N/A",0)</f>
        <v>600</v>
      </c>
      <c r="J36">
        <f>_xlfn.XLOOKUP(Table2[[#This Row],[Animal]],Table1[Animal],Table1[Cost],"N/A",0)</f>
        <v>500</v>
      </c>
      <c r="K36">
        <f>Table2[[#This Row],[Revenue]]-Table2[[#This Row],[Cost]]</f>
        <v>100</v>
      </c>
    </row>
    <row r="37" spans="1:11" x14ac:dyDescent="0.25">
      <c r="A37" t="s">
        <v>79</v>
      </c>
      <c r="B37" t="str">
        <f>_xlfn.XLOOKUP(Table2[[#This Row],[Animal]],Table1[Animal],Table1[Diet],"Not Found",0)</f>
        <v>Omnivore</v>
      </c>
      <c r="C37" s="19">
        <f>_xlfn.XLOOKUP(Table2[[#This Row],[Animal]],Table1[Animal],Table1[Lifespan (Years)],"N/A",0)</f>
        <v>23</v>
      </c>
      <c r="D37" s="17" t="str">
        <f>_xlfn.XLOOKUP(Table2[[#This Row],[Animal]],Table1[Animal],Table1[Lifespan Group],"N/A",0)</f>
        <v>&lt;25</v>
      </c>
      <c r="E37" s="17">
        <f>_xlfn.XLOOKUP(Table2[[#This Row],[Animal]],Table1[Animal],Table1[Weight (lbs)],"N/A",0)</f>
        <v>4</v>
      </c>
      <c r="F37" s="17" t="str">
        <f>_xlfn.XLOOKUP(Table2[[#This Row],[Animal]],Table1[Animal],Table1[Weight Group],"N/A",0)</f>
        <v>&lt;100</v>
      </c>
      <c r="G37" t="str">
        <f>_xlfn.XLOOKUP(Table2[[#This Row],[Animal]],Table1[Animal],Table1[Region],"N/A",0)</f>
        <v>South Asia</v>
      </c>
      <c r="H37" s="17" t="str">
        <f>_xlfn.XLOOKUP(Table2[[#This Row],[Animal]],Table1[Animal],Table1[Transport],"N/A",0)</f>
        <v>Air</v>
      </c>
      <c r="I37">
        <f>_xlfn.XLOOKUP(Table2[[#This Row],[Animal]],Table1[Animal],Table1[Revenue],"N/A",0)</f>
        <v>450</v>
      </c>
      <c r="J37">
        <f>_xlfn.XLOOKUP(Table2[[#This Row],[Animal]],Table1[Animal],Table1[Cost],"N/A",0)</f>
        <v>400</v>
      </c>
      <c r="K37">
        <f>Table2[[#This Row],[Revenue]]-Table2[[#This Row],[Cost]]</f>
        <v>50</v>
      </c>
    </row>
    <row r="38" spans="1:11" x14ac:dyDescent="0.25">
      <c r="A38" t="s">
        <v>80</v>
      </c>
      <c r="B38" t="str">
        <f>_xlfn.XLOOKUP(Table2[[#This Row],[Animal]],Table1[Animal],Table1[Diet],"Not Found",0)</f>
        <v>Omnivore</v>
      </c>
      <c r="C38" s="19">
        <f>_xlfn.XLOOKUP(Table2[[#This Row],[Animal]],Table1[Animal],Table1[Lifespan (Years)],"N/A",0)</f>
        <v>40</v>
      </c>
      <c r="D38" s="17" t="str">
        <f>_xlfn.XLOOKUP(Table2[[#This Row],[Animal]],Table1[Animal],Table1[Lifespan Group],"N/A",0)</f>
        <v>25-49</v>
      </c>
      <c r="E38" s="17">
        <f>_xlfn.XLOOKUP(Table2[[#This Row],[Animal]],Table1[Animal],Table1[Weight (lbs)],"N/A",0)</f>
        <v>30</v>
      </c>
      <c r="F38" s="17" t="str">
        <f>_xlfn.XLOOKUP(Table2[[#This Row],[Animal]],Table1[Animal],Table1[Weight Group],"N/A",0)</f>
        <v>&lt;100</v>
      </c>
      <c r="G38" t="str">
        <f>_xlfn.XLOOKUP(Table2[[#This Row],[Animal]],Table1[Animal],Table1[Region],"N/A",0)</f>
        <v>Greater China</v>
      </c>
      <c r="H38" s="17" t="str">
        <f>_xlfn.XLOOKUP(Table2[[#This Row],[Animal]],Table1[Animal],Table1[Transport],"N/A",0)</f>
        <v>Air</v>
      </c>
      <c r="I38">
        <f>_xlfn.XLOOKUP(Table2[[#This Row],[Animal]],Table1[Animal],Table1[Revenue],"N/A",0)</f>
        <v>600</v>
      </c>
      <c r="J38">
        <f>_xlfn.XLOOKUP(Table2[[#This Row],[Animal]],Table1[Animal],Table1[Cost],"N/A",0)</f>
        <v>400</v>
      </c>
      <c r="K38">
        <f>Table2[[#This Row],[Revenue]]-Table2[[#This Row],[Cost]]</f>
        <v>200</v>
      </c>
    </row>
    <row r="39" spans="1:11" x14ac:dyDescent="0.25">
      <c r="A39" t="s">
        <v>81</v>
      </c>
      <c r="B39" t="str">
        <f>_xlfn.XLOOKUP(Table2[[#This Row],[Animal]],Table1[Animal],Table1[Diet],"Not Found",0)</f>
        <v>Herbivore</v>
      </c>
      <c r="C39" s="19">
        <f>_xlfn.XLOOKUP(Table2[[#This Row],[Animal]],Table1[Animal],Table1[Lifespan (Years)],"N/A",0)</f>
        <v>50</v>
      </c>
      <c r="D39" s="17" t="str">
        <f>_xlfn.XLOOKUP(Table2[[#This Row],[Animal]],Table1[Animal],Table1[Lifespan Group],"N/A",0)</f>
        <v>50-74</v>
      </c>
      <c r="E39" s="17">
        <f>_xlfn.XLOOKUP(Table2[[#This Row],[Animal]],Table1[Animal],Table1[Weight (lbs)],"N/A",0)</f>
        <v>1322</v>
      </c>
      <c r="F39" s="17" t="str">
        <f>_xlfn.XLOOKUP(Table2[[#This Row],[Animal]],Table1[Animal],Table1[Weight Group],"N/A",0)</f>
        <v>&gt;=500</v>
      </c>
      <c r="G39" t="str">
        <f>_xlfn.XLOOKUP(Table2[[#This Row],[Animal]],Table1[Animal],Table1[Region],"N/A",0)</f>
        <v>Latin America</v>
      </c>
      <c r="H39" s="17" t="str">
        <f>_xlfn.XLOOKUP(Table2[[#This Row],[Animal]],Table1[Animal],Table1[Transport],"N/A",0)</f>
        <v>Boat</v>
      </c>
      <c r="I39">
        <f>_xlfn.XLOOKUP(Table2[[#This Row],[Animal]],Table1[Animal],Table1[Revenue],"N/A",0)</f>
        <v>200</v>
      </c>
      <c r="J39">
        <f>_xlfn.XLOOKUP(Table2[[#This Row],[Animal]],Table1[Animal],Table1[Cost],"N/A",0)</f>
        <v>300</v>
      </c>
      <c r="K39">
        <f>Table2[[#This Row],[Revenue]]-Table2[[#This Row],[Cost]]</f>
        <v>-100</v>
      </c>
    </row>
    <row r="40" spans="1:11" x14ac:dyDescent="0.25">
      <c r="A40" t="s">
        <v>83</v>
      </c>
      <c r="B40" t="str">
        <f>_xlfn.XLOOKUP(Table2[[#This Row],[Animal]],Table1[Animal],Table1[Diet],"Not Found",0)</f>
        <v>Carnivore</v>
      </c>
      <c r="C40" s="19">
        <f>_xlfn.XLOOKUP(Table2[[#This Row],[Animal]],Table1[Animal],Table1[Lifespan (Years)],"N/A",0)</f>
        <v>15</v>
      </c>
      <c r="D40" s="17" t="str">
        <f>_xlfn.XLOOKUP(Table2[[#This Row],[Animal]],Table1[Animal],Table1[Lifespan Group],"N/A",0)</f>
        <v>&lt;25</v>
      </c>
      <c r="E40" s="17">
        <f>_xlfn.XLOOKUP(Table2[[#This Row],[Animal]],Table1[Animal],Table1[Weight (lbs)],"N/A",0)</f>
        <v>12</v>
      </c>
      <c r="F40" s="17" t="str">
        <f>_xlfn.XLOOKUP(Table2[[#This Row],[Animal]],Table1[Animal],Table1[Weight Group],"N/A",0)</f>
        <v>&lt;100</v>
      </c>
      <c r="G40" t="str">
        <f>_xlfn.XLOOKUP(Table2[[#This Row],[Animal]],Table1[Animal],Table1[Region],"N/A",0)</f>
        <v>North America</v>
      </c>
      <c r="H40" s="17" t="str">
        <f>_xlfn.XLOOKUP(Table2[[#This Row],[Animal]],Table1[Animal],Table1[Transport],"N/A",0)</f>
        <v>Boat</v>
      </c>
      <c r="I40">
        <f>_xlfn.XLOOKUP(Table2[[#This Row],[Animal]],Table1[Animal],Table1[Revenue],"N/A",0)</f>
        <v>400</v>
      </c>
      <c r="J40">
        <f>_xlfn.XLOOKUP(Table2[[#This Row],[Animal]],Table1[Animal],Table1[Cost],"N/A",0)</f>
        <v>500</v>
      </c>
      <c r="K40">
        <f>Table2[[#This Row],[Revenue]]-Table2[[#This Row],[Cost]]</f>
        <v>-100</v>
      </c>
    </row>
    <row r="41" spans="1:11" x14ac:dyDescent="0.25">
      <c r="A41" t="s">
        <v>85</v>
      </c>
      <c r="B41" t="str">
        <f>_xlfn.XLOOKUP(Table2[[#This Row],[Animal]],Table1[Animal],Table1[Diet],"Not Found",0)</f>
        <v>Omnivore</v>
      </c>
      <c r="C41" s="19">
        <f>_xlfn.XLOOKUP(Table2[[#This Row],[Animal]],Table1[Animal],Table1[Lifespan (Years)],"N/A",0)</f>
        <v>7</v>
      </c>
      <c r="D41" s="17" t="str">
        <f>_xlfn.XLOOKUP(Table2[[#This Row],[Animal]],Table1[Animal],Table1[Lifespan Group],"N/A",0)</f>
        <v>&lt;25</v>
      </c>
      <c r="E41" s="17">
        <f>_xlfn.XLOOKUP(Table2[[#This Row],[Animal]],Table1[Animal],Table1[Weight (lbs)],"N/A",0)</f>
        <v>0.4</v>
      </c>
      <c r="F41" s="17" t="str">
        <f>_xlfn.XLOOKUP(Table2[[#This Row],[Animal]],Table1[Animal],Table1[Weight Group],"N/A",0)</f>
        <v>&lt;100</v>
      </c>
      <c r="G41" t="str">
        <f>_xlfn.XLOOKUP(Table2[[#This Row],[Animal]],Table1[Animal],Table1[Region],"N/A",0)</f>
        <v>Europe &amp; Eurasia</v>
      </c>
      <c r="H41" s="17" t="str">
        <f>_xlfn.XLOOKUP(Table2[[#This Row],[Animal]],Table1[Animal],Table1[Transport],"N/A",0)</f>
        <v>Road</v>
      </c>
      <c r="I41">
        <f>_xlfn.XLOOKUP(Table2[[#This Row],[Animal]],Table1[Animal],Table1[Revenue],"N/A",0)</f>
        <v>450</v>
      </c>
      <c r="J41">
        <f>_xlfn.XLOOKUP(Table2[[#This Row],[Animal]],Table1[Animal],Table1[Cost],"N/A",0)</f>
        <v>400</v>
      </c>
      <c r="K41">
        <f>Table2[[#This Row],[Revenue]]-Table2[[#This Row],[Cost]]</f>
        <v>50</v>
      </c>
    </row>
    <row r="42" spans="1:11" x14ac:dyDescent="0.25">
      <c r="A42" t="s">
        <v>88</v>
      </c>
      <c r="B42" t="str">
        <f>_xlfn.XLOOKUP(Table2[[#This Row],[Animal]],Table1[Animal],Table1[Diet],"Not Found",0)</f>
        <v>Omnivore</v>
      </c>
      <c r="C42" s="19">
        <f>_xlfn.XLOOKUP(Table2[[#This Row],[Animal]],Table1[Animal],Table1[Lifespan (Years)],"N/A",0)</f>
        <v>20</v>
      </c>
      <c r="D42" s="17" t="str">
        <f>_xlfn.XLOOKUP(Table2[[#This Row],[Animal]],Table1[Animal],Table1[Lifespan Group],"N/A",0)</f>
        <v>&lt;25</v>
      </c>
      <c r="E42" s="17">
        <f>_xlfn.XLOOKUP(Table2[[#This Row],[Animal]],Table1[Animal],Table1[Weight (lbs)],"N/A",0)</f>
        <v>0</v>
      </c>
      <c r="F42" s="17" t="str">
        <f>_xlfn.XLOOKUP(Table2[[#This Row],[Animal]],Table1[Animal],Table1[Weight Group],"N/A",0)</f>
        <v>N/A</v>
      </c>
      <c r="G42" t="str">
        <f>_xlfn.XLOOKUP(Table2[[#This Row],[Animal]],Table1[Animal],Table1[Region],"N/A",0)</f>
        <v>North America</v>
      </c>
      <c r="H42" s="17" t="str">
        <f>_xlfn.XLOOKUP(Table2[[#This Row],[Animal]],Table1[Animal],Table1[Transport],"N/A",0)</f>
        <v>Boat</v>
      </c>
      <c r="I42">
        <f>_xlfn.XLOOKUP(Table2[[#This Row],[Animal]],Table1[Animal],Table1[Revenue],"N/A",0)</f>
        <v>400</v>
      </c>
      <c r="J42">
        <f>_xlfn.XLOOKUP(Table2[[#This Row],[Animal]],Table1[Animal],Table1[Cost],"N/A",0)</f>
        <v>400</v>
      </c>
      <c r="K42">
        <f>Table2[[#This Row],[Revenue]]-Table2[[#This Row],[Cost]]</f>
        <v>0</v>
      </c>
    </row>
    <row r="43" spans="1:11" x14ac:dyDescent="0.25">
      <c r="A43" t="s">
        <v>89</v>
      </c>
      <c r="B43" t="str">
        <f>_xlfn.XLOOKUP(Table2[[#This Row],[Animal]],Table1[Animal],Table1[Diet],"Not Found",0)</f>
        <v>Carnivore</v>
      </c>
      <c r="C43" s="19">
        <f>_xlfn.XLOOKUP(Table2[[#This Row],[Animal]],Table1[Animal],Table1[Lifespan (Years)],"N/A",0)</f>
        <v>15</v>
      </c>
      <c r="D43" s="17" t="str">
        <f>_xlfn.XLOOKUP(Table2[[#This Row],[Animal]],Table1[Animal],Table1[Lifespan Group],"N/A",0)</f>
        <v>&lt;25</v>
      </c>
      <c r="E43" s="17">
        <f>_xlfn.XLOOKUP(Table2[[#This Row],[Animal]],Table1[Animal],Table1[Weight (lbs)],"N/A",0)</f>
        <v>0</v>
      </c>
      <c r="F43" s="17" t="str">
        <f>_xlfn.XLOOKUP(Table2[[#This Row],[Animal]],Table1[Animal],Table1[Weight Group],"N/A",0)</f>
        <v>N/A</v>
      </c>
      <c r="G43" t="str">
        <f>_xlfn.XLOOKUP(Table2[[#This Row],[Animal]],Table1[Animal],Table1[Region],"N/A",0)</f>
        <v>Asia Pacific</v>
      </c>
      <c r="H43" s="17" t="str">
        <f>_xlfn.XLOOKUP(Table2[[#This Row],[Animal]],Table1[Animal],Table1[Transport],"N/A",0)</f>
        <v>Air</v>
      </c>
      <c r="I43">
        <f>_xlfn.XLOOKUP(Table2[[#This Row],[Animal]],Table1[Animal],Table1[Revenue],"N/A",0)</f>
        <v>700</v>
      </c>
      <c r="J43">
        <f>_xlfn.XLOOKUP(Table2[[#This Row],[Animal]],Table1[Animal],Table1[Cost],"N/A",0)</f>
        <v>500</v>
      </c>
      <c r="K43">
        <f>Table2[[#This Row],[Revenue]]-Table2[[#This Row],[Cost]]</f>
        <v>200</v>
      </c>
    </row>
    <row r="44" spans="1:11" x14ac:dyDescent="0.25">
      <c r="A44" t="s">
        <v>90</v>
      </c>
      <c r="B44" t="str">
        <f>_xlfn.XLOOKUP(Table2[[#This Row],[Animal]],Table1[Animal],Table1[Diet],"Not Found",0)</f>
        <v>Omnivore</v>
      </c>
      <c r="C44" s="19">
        <f>_xlfn.XLOOKUP(Table2[[#This Row],[Animal]],Table1[Animal],Table1[Lifespan (Years)],"N/A",0)</f>
        <v>12</v>
      </c>
      <c r="D44" s="17" t="str">
        <f>_xlfn.XLOOKUP(Table2[[#This Row],[Animal]],Table1[Animal],Table1[Lifespan Group],"N/A",0)</f>
        <v>&lt;25</v>
      </c>
      <c r="E44" s="17">
        <f>_xlfn.XLOOKUP(Table2[[#This Row],[Animal]],Table1[Animal],Table1[Weight (lbs)],"N/A",0)</f>
        <v>24</v>
      </c>
      <c r="F44" s="17" t="str">
        <f>_xlfn.XLOOKUP(Table2[[#This Row],[Animal]],Table1[Animal],Table1[Weight Group],"N/A",0)</f>
        <v>&lt;100</v>
      </c>
      <c r="G44" t="str">
        <f>_xlfn.XLOOKUP(Table2[[#This Row],[Animal]],Table1[Animal],Table1[Region],"N/A",0)</f>
        <v>North America</v>
      </c>
      <c r="H44" s="17" t="str">
        <f>_xlfn.XLOOKUP(Table2[[#This Row],[Animal]],Table1[Animal],Table1[Transport],"N/A",0)</f>
        <v>Boat</v>
      </c>
      <c r="I44">
        <f>_xlfn.XLOOKUP(Table2[[#This Row],[Animal]],Table1[Animal],Table1[Revenue],"N/A",0)</f>
        <v>400</v>
      </c>
      <c r="J44">
        <f>_xlfn.XLOOKUP(Table2[[#This Row],[Animal]],Table1[Animal],Table1[Cost],"N/A",0)</f>
        <v>400</v>
      </c>
      <c r="K44">
        <f>Table2[[#This Row],[Revenue]]-Table2[[#This Row],[Cost]]</f>
        <v>0</v>
      </c>
    </row>
    <row r="45" spans="1:11" x14ac:dyDescent="0.25">
      <c r="A45" t="s">
        <v>92</v>
      </c>
      <c r="B45" t="str">
        <f>_xlfn.XLOOKUP(Table2[[#This Row],[Animal]],Table1[Animal],Table1[Diet],"Not Found",0)</f>
        <v>Carnivore</v>
      </c>
      <c r="C45" s="19">
        <f>_xlfn.XLOOKUP(Table2[[#This Row],[Animal]],Table1[Animal],Table1[Lifespan (Years)],"N/A",0)</f>
        <v>100</v>
      </c>
      <c r="D45" s="17" t="str">
        <f>_xlfn.XLOOKUP(Table2[[#This Row],[Animal]],Table1[Animal],Table1[Lifespan Group],"N/A",0)</f>
        <v>&gt;=100</v>
      </c>
      <c r="E45" s="17">
        <f>_xlfn.XLOOKUP(Table2[[#This Row],[Animal]],Table1[Animal],Table1[Weight (lbs)],"N/A",0)</f>
        <v>0</v>
      </c>
      <c r="F45" s="17" t="str">
        <f>_xlfn.XLOOKUP(Table2[[#This Row],[Animal]],Table1[Animal],Table1[Weight Group],"N/A",0)</f>
        <v>N/A</v>
      </c>
      <c r="G45" t="str">
        <f>_xlfn.XLOOKUP(Table2[[#This Row],[Animal]],Table1[Animal],Table1[Region],"N/A",0)</f>
        <v>Europe &amp; Eurasia</v>
      </c>
      <c r="H45" s="17" t="str">
        <f>_xlfn.XLOOKUP(Table2[[#This Row],[Animal]],Table1[Animal],Table1[Transport],"N/A",0)</f>
        <v>Road</v>
      </c>
      <c r="I45">
        <f>_xlfn.XLOOKUP(Table2[[#This Row],[Animal]],Table1[Animal],Table1[Revenue],"N/A",0)</f>
        <v>450</v>
      </c>
      <c r="J45">
        <f>_xlfn.XLOOKUP(Table2[[#This Row],[Animal]],Table1[Animal],Table1[Cost],"N/A",0)</f>
        <v>500</v>
      </c>
      <c r="K45">
        <f>Table2[[#This Row],[Revenue]]-Table2[[#This Row],[Cost]]</f>
        <v>-50</v>
      </c>
    </row>
    <row r="46" spans="1:11" x14ac:dyDescent="0.25">
      <c r="A46" t="s">
        <v>93</v>
      </c>
      <c r="B46" t="str">
        <f>_xlfn.XLOOKUP(Table2[[#This Row],[Animal]],Table1[Animal],Table1[Diet],"Not Found",0)</f>
        <v>Omnivore</v>
      </c>
      <c r="C46" s="19">
        <f>_xlfn.XLOOKUP(Table2[[#This Row],[Animal]],Table1[Animal],Table1[Lifespan (Years)],"N/A",0)</f>
        <v>12</v>
      </c>
      <c r="D46" s="17" t="str">
        <f>_xlfn.XLOOKUP(Table2[[#This Row],[Animal]],Table1[Animal],Table1[Lifespan Group],"N/A",0)</f>
        <v>&lt;25</v>
      </c>
      <c r="E46" s="17">
        <f>_xlfn.XLOOKUP(Table2[[#This Row],[Animal]],Table1[Animal],Table1[Weight (lbs)],"N/A",0)</f>
        <v>60</v>
      </c>
      <c r="F46" s="17" t="str">
        <f>_xlfn.XLOOKUP(Table2[[#This Row],[Animal]],Table1[Animal],Table1[Weight Group],"N/A",0)</f>
        <v>&lt;100</v>
      </c>
      <c r="G46" t="str">
        <f>_xlfn.XLOOKUP(Table2[[#This Row],[Animal]],Table1[Animal],Table1[Region],"N/A",0)</f>
        <v>Greater China</v>
      </c>
      <c r="H46" s="17" t="str">
        <f>_xlfn.XLOOKUP(Table2[[#This Row],[Animal]],Table1[Animal],Table1[Transport],"N/A",0)</f>
        <v>Air</v>
      </c>
      <c r="I46">
        <f>_xlfn.XLOOKUP(Table2[[#This Row],[Animal]],Table1[Animal],Table1[Revenue],"N/A",0)</f>
        <v>600</v>
      </c>
      <c r="J46">
        <f>_xlfn.XLOOKUP(Table2[[#This Row],[Animal]],Table1[Animal],Table1[Cost],"N/A",0)</f>
        <v>400</v>
      </c>
      <c r="K46">
        <f>Table2[[#This Row],[Revenue]]-Table2[[#This Row],[Cost]]</f>
        <v>200</v>
      </c>
    </row>
    <row r="47" spans="1:11" x14ac:dyDescent="0.25">
      <c r="A47" t="s">
        <v>94</v>
      </c>
      <c r="B47" t="str">
        <f>_xlfn.XLOOKUP(Table2[[#This Row],[Animal]],Table1[Animal],Table1[Diet],"Not Found",0)</f>
        <v>Omnivore</v>
      </c>
      <c r="C47" s="19">
        <f>_xlfn.XLOOKUP(Table2[[#This Row],[Animal]],Table1[Animal],Table1[Lifespan (Years)],"N/A",0)</f>
        <v>30</v>
      </c>
      <c r="D47" s="17" t="str">
        <f>_xlfn.XLOOKUP(Table2[[#This Row],[Animal]],Table1[Animal],Table1[Lifespan Group],"N/A",0)</f>
        <v>25-49</v>
      </c>
      <c r="E47" s="17">
        <f>_xlfn.XLOOKUP(Table2[[#This Row],[Animal]],Table1[Animal],Table1[Weight (lbs)],"N/A",0)</f>
        <v>4.3750000000000004E-3</v>
      </c>
      <c r="F47" s="17" t="str">
        <f>_xlfn.XLOOKUP(Table2[[#This Row],[Animal]],Table1[Animal],Table1[Weight Group],"N/A",0)</f>
        <v>&lt;100</v>
      </c>
      <c r="G47" t="str">
        <f>_xlfn.XLOOKUP(Table2[[#This Row],[Animal]],Table1[Animal],Table1[Region],"N/A",0)</f>
        <v>Europe &amp; Eurasia</v>
      </c>
      <c r="H47" s="17" t="str">
        <f>_xlfn.XLOOKUP(Table2[[#This Row],[Animal]],Table1[Animal],Table1[Transport],"N/A",0)</f>
        <v>Road</v>
      </c>
      <c r="I47">
        <f>_xlfn.XLOOKUP(Table2[[#This Row],[Animal]],Table1[Animal],Table1[Revenue],"N/A",0)</f>
        <v>450</v>
      </c>
      <c r="J47">
        <f>_xlfn.XLOOKUP(Table2[[#This Row],[Animal]],Table1[Animal],Table1[Cost],"N/A",0)</f>
        <v>400</v>
      </c>
      <c r="K47">
        <f>Table2[[#This Row],[Revenue]]-Table2[[#This Row],[Cost]]</f>
        <v>50</v>
      </c>
    </row>
    <row r="48" spans="1:11" x14ac:dyDescent="0.25">
      <c r="A48" t="s">
        <v>95</v>
      </c>
      <c r="B48" t="str">
        <f>_xlfn.XLOOKUP(Table2[[#This Row],[Animal]],Table1[Animal],Table1[Diet],"Not Found",0)</f>
        <v>Omnivore</v>
      </c>
      <c r="C48" s="19">
        <f>_xlfn.XLOOKUP(Table2[[#This Row],[Animal]],Table1[Animal],Table1[Lifespan (Years)],"N/A",0)</f>
        <v>14</v>
      </c>
      <c r="D48" s="17" t="str">
        <f>_xlfn.XLOOKUP(Table2[[#This Row],[Animal]],Table1[Animal],Table1[Lifespan Group],"N/A",0)</f>
        <v>&lt;25</v>
      </c>
      <c r="E48" s="17">
        <f>_xlfn.XLOOKUP(Table2[[#This Row],[Animal]],Table1[Animal],Table1[Weight (lbs)],"N/A",0)</f>
        <v>75</v>
      </c>
      <c r="F48" s="17" t="str">
        <f>_xlfn.XLOOKUP(Table2[[#This Row],[Animal]],Table1[Animal],Table1[Weight Group],"N/A",0)</f>
        <v>&lt;100</v>
      </c>
      <c r="G48" t="str">
        <f>_xlfn.XLOOKUP(Table2[[#This Row],[Animal]],Table1[Animal],Table1[Region],"N/A",0)</f>
        <v>Africa &amp; MENA</v>
      </c>
      <c r="H48" s="17" t="str">
        <f>_xlfn.XLOOKUP(Table2[[#This Row],[Animal]],Table1[Animal],Table1[Transport],"N/A",0)</f>
        <v>Air</v>
      </c>
      <c r="I48">
        <f>_xlfn.XLOOKUP(Table2[[#This Row],[Animal]],Table1[Animal],Table1[Revenue],"N/A",0)</f>
        <v>600</v>
      </c>
      <c r="J48">
        <f>_xlfn.XLOOKUP(Table2[[#This Row],[Animal]],Table1[Animal],Table1[Cost],"N/A",0)</f>
        <v>400</v>
      </c>
      <c r="K48">
        <f>Table2[[#This Row],[Revenue]]-Table2[[#This Row],[Cost]]</f>
        <v>200</v>
      </c>
    </row>
    <row r="49" spans="1:11" x14ac:dyDescent="0.25">
      <c r="A49" t="s">
        <v>97</v>
      </c>
      <c r="B49" t="str">
        <f>_xlfn.XLOOKUP(Table2[[#This Row],[Animal]],Table1[Animal],Table1[Diet],"Not Found",0)</f>
        <v>Omnivore</v>
      </c>
      <c r="C49" s="19">
        <f>_xlfn.XLOOKUP(Table2[[#This Row],[Animal]],Table1[Animal],Table1[Lifespan (Years)],"N/A",0)</f>
        <v>15</v>
      </c>
      <c r="D49" s="17" t="str">
        <f>_xlfn.XLOOKUP(Table2[[#This Row],[Animal]],Table1[Animal],Table1[Lifespan Group],"N/A",0)</f>
        <v>&lt;25</v>
      </c>
      <c r="E49" s="17">
        <f>_xlfn.XLOOKUP(Table2[[#This Row],[Animal]],Table1[Animal],Table1[Weight (lbs)],"N/A",0)</f>
        <v>30</v>
      </c>
      <c r="F49" s="17" t="str">
        <f>_xlfn.XLOOKUP(Table2[[#This Row],[Animal]],Table1[Animal],Table1[Weight Group],"N/A",0)</f>
        <v>&lt;100</v>
      </c>
      <c r="G49" t="str">
        <f>_xlfn.XLOOKUP(Table2[[#This Row],[Animal]],Table1[Animal],Table1[Region],"N/A",0)</f>
        <v>Africa &amp; MENA</v>
      </c>
      <c r="H49" s="17" t="str">
        <f>_xlfn.XLOOKUP(Table2[[#This Row],[Animal]],Table1[Animal],Table1[Transport],"N/A",0)</f>
        <v>Air</v>
      </c>
      <c r="I49">
        <f>_xlfn.XLOOKUP(Table2[[#This Row],[Animal]],Table1[Animal],Table1[Revenue],"N/A",0)</f>
        <v>600</v>
      </c>
      <c r="J49">
        <f>_xlfn.XLOOKUP(Table2[[#This Row],[Animal]],Table1[Animal],Table1[Cost],"N/A",0)</f>
        <v>400</v>
      </c>
      <c r="K49">
        <f>Table2[[#This Row],[Revenue]]-Table2[[#This Row],[Cost]]</f>
        <v>200</v>
      </c>
    </row>
    <row r="50" spans="1:11" x14ac:dyDescent="0.25">
      <c r="A50" t="s">
        <v>99</v>
      </c>
      <c r="B50" t="str">
        <f>_xlfn.XLOOKUP(Table2[[#This Row],[Animal]],Table1[Animal],Table1[Diet],"Not Found",0)</f>
        <v>Omnivore</v>
      </c>
      <c r="C50" s="19">
        <f>_xlfn.XLOOKUP(Table2[[#This Row],[Animal]],Table1[Animal],Table1[Lifespan (Years)],"N/A",0)</f>
        <v>14</v>
      </c>
      <c r="D50" s="17" t="str">
        <f>_xlfn.XLOOKUP(Table2[[#This Row],[Animal]],Table1[Animal],Table1[Lifespan Group],"N/A",0)</f>
        <v>&lt;25</v>
      </c>
      <c r="E50" s="17">
        <f>_xlfn.XLOOKUP(Table2[[#This Row],[Animal]],Table1[Animal],Table1[Weight (lbs)],"N/A",0)</f>
        <v>60</v>
      </c>
      <c r="F50" s="17" t="str">
        <f>_xlfn.XLOOKUP(Table2[[#This Row],[Animal]],Table1[Animal],Table1[Weight Group],"N/A",0)</f>
        <v>&lt;100</v>
      </c>
      <c r="G50" t="str">
        <f>_xlfn.XLOOKUP(Table2[[#This Row],[Animal]],Table1[Animal],Table1[Region],"N/A",0)</f>
        <v>Africa &amp; MENA</v>
      </c>
      <c r="H50" s="17" t="str">
        <f>_xlfn.XLOOKUP(Table2[[#This Row],[Animal]],Table1[Animal],Table1[Transport],"N/A",0)</f>
        <v>Air</v>
      </c>
      <c r="I50">
        <f>_xlfn.XLOOKUP(Table2[[#This Row],[Animal]],Table1[Animal],Table1[Revenue],"N/A",0)</f>
        <v>600</v>
      </c>
      <c r="J50">
        <f>_xlfn.XLOOKUP(Table2[[#This Row],[Animal]],Table1[Animal],Table1[Cost],"N/A",0)</f>
        <v>400</v>
      </c>
      <c r="K50">
        <f>Table2[[#This Row],[Revenue]]-Table2[[#This Row],[Cost]]</f>
        <v>200</v>
      </c>
    </row>
    <row r="51" spans="1:11" x14ac:dyDescent="0.25">
      <c r="A51" t="s">
        <v>102</v>
      </c>
      <c r="B51" t="str">
        <f>_xlfn.XLOOKUP(Table2[[#This Row],[Animal]],Table1[Animal],Table1[Diet],"Not Found",0)</f>
        <v>Omnivore</v>
      </c>
      <c r="C51" s="19">
        <f>_xlfn.XLOOKUP(Table2[[#This Row],[Animal]],Table1[Animal],Table1[Lifespan (Years)],"N/A",0)</f>
        <v>16</v>
      </c>
      <c r="D51" s="17" t="str">
        <f>_xlfn.XLOOKUP(Table2[[#This Row],[Animal]],Table1[Animal],Table1[Lifespan Group],"N/A",0)</f>
        <v>&lt;25</v>
      </c>
      <c r="E51" s="17">
        <f>_xlfn.XLOOKUP(Table2[[#This Row],[Animal]],Table1[Animal],Table1[Weight (lbs)],"N/A",0)</f>
        <v>23</v>
      </c>
      <c r="F51" s="17" t="str">
        <f>_xlfn.XLOOKUP(Table2[[#This Row],[Animal]],Table1[Animal],Table1[Weight Group],"N/A",0)</f>
        <v>&lt;100</v>
      </c>
      <c r="G51" t="str">
        <f>_xlfn.XLOOKUP(Table2[[#This Row],[Animal]],Table1[Animal],Table1[Region],"N/A",0)</f>
        <v>Africa &amp; MENA</v>
      </c>
      <c r="H51" s="17" t="str">
        <f>_xlfn.XLOOKUP(Table2[[#This Row],[Animal]],Table1[Animal],Table1[Transport],"N/A",0)</f>
        <v>Air</v>
      </c>
      <c r="I51">
        <f>_xlfn.XLOOKUP(Table2[[#This Row],[Animal]],Table1[Animal],Table1[Revenue],"N/A",0)</f>
        <v>600</v>
      </c>
      <c r="J51">
        <f>_xlfn.XLOOKUP(Table2[[#This Row],[Animal]],Table1[Animal],Table1[Cost],"N/A",0)</f>
        <v>400</v>
      </c>
      <c r="K51">
        <f>Table2[[#This Row],[Revenue]]-Table2[[#This Row],[Cost]]</f>
        <v>200</v>
      </c>
    </row>
    <row r="52" spans="1:11" x14ac:dyDescent="0.25">
      <c r="A52" t="s">
        <v>104</v>
      </c>
      <c r="B52" t="str">
        <f>_xlfn.XLOOKUP(Table2[[#This Row],[Animal]],Table1[Animal],Table1[Diet],"Not Found",0)</f>
        <v>Carnivore</v>
      </c>
      <c r="C52" s="19">
        <f>_xlfn.XLOOKUP(Table2[[#This Row],[Animal]],Table1[Animal],Table1[Lifespan (Years)],"N/A",0)</f>
        <v>25</v>
      </c>
      <c r="D52" s="17" t="str">
        <f>_xlfn.XLOOKUP(Table2[[#This Row],[Animal]],Table1[Animal],Table1[Lifespan Group],"N/A",0)</f>
        <v>25-49</v>
      </c>
      <c r="E52" s="17">
        <f>_xlfn.XLOOKUP(Table2[[#This Row],[Animal]],Table1[Animal],Table1[Weight (lbs)],"N/A",0)</f>
        <v>309</v>
      </c>
      <c r="F52" s="17" t="str">
        <f>_xlfn.XLOOKUP(Table2[[#This Row],[Animal]],Table1[Animal],Table1[Weight Group],"N/A",0)</f>
        <v>300-399</v>
      </c>
      <c r="G52" t="str">
        <f>_xlfn.XLOOKUP(Table2[[#This Row],[Animal]],Table1[Animal],Table1[Region],"N/A",0)</f>
        <v>North America</v>
      </c>
      <c r="H52" s="17" t="str">
        <f>_xlfn.XLOOKUP(Table2[[#This Row],[Animal]],Table1[Animal],Table1[Transport],"N/A",0)</f>
        <v>Boat</v>
      </c>
      <c r="I52">
        <f>_xlfn.XLOOKUP(Table2[[#This Row],[Animal]],Table1[Animal],Table1[Revenue],"N/A",0)</f>
        <v>400</v>
      </c>
      <c r="J52">
        <f>_xlfn.XLOOKUP(Table2[[#This Row],[Animal]],Table1[Animal],Table1[Cost],"N/A",0)</f>
        <v>500</v>
      </c>
      <c r="K52">
        <f>Table2[[#This Row],[Revenue]]-Table2[[#This Row],[Cost]]</f>
        <v>-100</v>
      </c>
    </row>
    <row r="53" spans="1:11" x14ac:dyDescent="0.25">
      <c r="A53" t="s">
        <v>105</v>
      </c>
      <c r="B53" t="str">
        <f>_xlfn.XLOOKUP(Table2[[#This Row],[Animal]],Table1[Animal],Table1[Diet],"Not Found",0)</f>
        <v>Omnivore</v>
      </c>
      <c r="C53" s="19">
        <f>_xlfn.XLOOKUP(Table2[[#This Row],[Animal]],Table1[Animal],Table1[Lifespan (Years)],"N/A",0)</f>
        <v>8</v>
      </c>
      <c r="D53" s="17" t="str">
        <f>_xlfn.XLOOKUP(Table2[[#This Row],[Animal]],Table1[Animal],Table1[Lifespan Group],"N/A",0)</f>
        <v>&lt;25</v>
      </c>
      <c r="E53" s="17">
        <f>_xlfn.XLOOKUP(Table2[[#This Row],[Animal]],Table1[Animal],Table1[Weight (lbs)],"N/A",0)</f>
        <v>88</v>
      </c>
      <c r="F53" s="17" t="str">
        <f>_xlfn.XLOOKUP(Table2[[#This Row],[Animal]],Table1[Animal],Table1[Weight Group],"N/A",0)</f>
        <v>&lt;100</v>
      </c>
      <c r="G53" t="str">
        <f>_xlfn.XLOOKUP(Table2[[#This Row],[Animal]],Table1[Animal],Table1[Region],"N/A",0)</f>
        <v>Europe &amp; Eurasia</v>
      </c>
      <c r="H53" s="17" t="str">
        <f>_xlfn.XLOOKUP(Table2[[#This Row],[Animal]],Table1[Animal],Table1[Transport],"N/A",0)</f>
        <v>Road</v>
      </c>
      <c r="I53">
        <f>_xlfn.XLOOKUP(Table2[[#This Row],[Animal]],Table1[Animal],Table1[Revenue],"N/A",0)</f>
        <v>450</v>
      </c>
      <c r="J53">
        <f>_xlfn.XLOOKUP(Table2[[#This Row],[Animal]],Table1[Animal],Table1[Cost],"N/A",0)</f>
        <v>400</v>
      </c>
      <c r="K53">
        <f>Table2[[#This Row],[Revenue]]-Table2[[#This Row],[Cost]]</f>
        <v>50</v>
      </c>
    </row>
    <row r="54" spans="1:11" x14ac:dyDescent="0.25">
      <c r="A54" t="s">
        <v>110</v>
      </c>
      <c r="B54" t="str">
        <f>_xlfn.XLOOKUP(Table2[[#This Row],[Animal]],Table1[Animal],Table1[Diet],"Not Found",0)</f>
        <v>Carnivore</v>
      </c>
      <c r="C54" s="19">
        <f>_xlfn.XLOOKUP(Table2[[#This Row],[Animal]],Table1[Animal],Table1[Lifespan (Years)],"N/A",0)</f>
        <v>20</v>
      </c>
      <c r="D54" s="17" t="str">
        <f>_xlfn.XLOOKUP(Table2[[#This Row],[Animal]],Table1[Animal],Table1[Lifespan Group],"N/A",0)</f>
        <v>&lt;25</v>
      </c>
      <c r="E54" s="17">
        <f>_xlfn.XLOOKUP(Table2[[#This Row],[Animal]],Table1[Animal],Table1[Weight (lbs)],"N/A",0)</f>
        <v>18</v>
      </c>
      <c r="F54" s="17" t="str">
        <f>_xlfn.XLOOKUP(Table2[[#This Row],[Animal]],Table1[Animal],Table1[Weight Group],"N/A",0)</f>
        <v>&lt;100</v>
      </c>
      <c r="G54" t="str">
        <f>_xlfn.XLOOKUP(Table2[[#This Row],[Animal]],Table1[Animal],Table1[Region],"N/A",0)</f>
        <v>Europe &amp; Eurasia</v>
      </c>
      <c r="H54" s="17" t="str">
        <f>_xlfn.XLOOKUP(Table2[[#This Row],[Animal]],Table1[Animal],Table1[Transport],"N/A",0)</f>
        <v>Road</v>
      </c>
      <c r="I54">
        <f>_xlfn.XLOOKUP(Table2[[#This Row],[Animal]],Table1[Animal],Table1[Revenue],"N/A",0)</f>
        <v>450</v>
      </c>
      <c r="J54">
        <f>_xlfn.XLOOKUP(Table2[[#This Row],[Animal]],Table1[Animal],Table1[Cost],"N/A",0)</f>
        <v>500</v>
      </c>
      <c r="K54">
        <f>Table2[[#This Row],[Revenue]]-Table2[[#This Row],[Cost]]</f>
        <v>-50</v>
      </c>
    </row>
    <row r="55" spans="1:11" x14ac:dyDescent="0.25">
      <c r="A55" t="s">
        <v>111</v>
      </c>
      <c r="B55" t="str">
        <f>_xlfn.XLOOKUP(Table2[[#This Row],[Animal]],Table1[Animal],Table1[Diet],"Not Found",0)</f>
        <v>Herbivore</v>
      </c>
      <c r="C55" s="19">
        <f>_xlfn.XLOOKUP(Table2[[#This Row],[Animal]],Table1[Animal],Table1[Lifespan (Years)],"N/A",0)</f>
        <v>20</v>
      </c>
      <c r="D55" s="17" t="str">
        <f>_xlfn.XLOOKUP(Table2[[#This Row],[Animal]],Table1[Animal],Table1[Lifespan Group],"N/A",0)</f>
        <v>&lt;25</v>
      </c>
      <c r="E55" s="17">
        <f>_xlfn.XLOOKUP(Table2[[#This Row],[Animal]],Table1[Animal],Table1[Weight (lbs)],"N/A",0)</f>
        <v>2200</v>
      </c>
      <c r="F55" s="17" t="str">
        <f>_xlfn.XLOOKUP(Table2[[#This Row],[Animal]],Table1[Animal],Table1[Weight Group],"N/A",0)</f>
        <v>&gt;=500</v>
      </c>
      <c r="G55" t="str">
        <f>_xlfn.XLOOKUP(Table2[[#This Row],[Animal]],Table1[Animal],Table1[Region],"N/A",0)</f>
        <v>Africa &amp; MENA</v>
      </c>
      <c r="H55" s="17" t="str">
        <f>_xlfn.XLOOKUP(Table2[[#This Row],[Animal]],Table1[Animal],Table1[Transport],"N/A",0)</f>
        <v>Air</v>
      </c>
      <c r="I55">
        <f>_xlfn.XLOOKUP(Table2[[#This Row],[Animal]],Table1[Animal],Table1[Revenue],"N/A",0)</f>
        <v>600</v>
      </c>
      <c r="J55">
        <f>_xlfn.XLOOKUP(Table2[[#This Row],[Animal]],Table1[Animal],Table1[Cost],"N/A",0)</f>
        <v>300</v>
      </c>
      <c r="K55">
        <f>Table2[[#This Row],[Revenue]]-Table2[[#This Row],[Cost]]</f>
        <v>300</v>
      </c>
    </row>
    <row r="56" spans="1:11" x14ac:dyDescent="0.25">
      <c r="A56" t="s">
        <v>112</v>
      </c>
      <c r="B56" t="str">
        <f>_xlfn.XLOOKUP(Table2[[#This Row],[Animal]],Table1[Animal],Table1[Diet],"Not Found",0)</f>
        <v>Omnivore</v>
      </c>
      <c r="C56" s="19">
        <f>_xlfn.XLOOKUP(Table2[[#This Row],[Animal]],Table1[Animal],Table1[Lifespan (Years)],"N/A",0)</f>
        <v>30</v>
      </c>
      <c r="D56" s="17" t="str">
        <f>_xlfn.XLOOKUP(Table2[[#This Row],[Animal]],Table1[Animal],Table1[Lifespan Group],"N/A",0)</f>
        <v>25-49</v>
      </c>
      <c r="E56" s="17">
        <f>_xlfn.XLOOKUP(Table2[[#This Row],[Animal]],Table1[Animal],Table1[Weight (lbs)],"N/A",0)</f>
        <v>220</v>
      </c>
      <c r="F56" s="17" t="str">
        <f>_xlfn.XLOOKUP(Table2[[#This Row],[Animal]],Table1[Animal],Table1[Weight Group],"N/A",0)</f>
        <v>200-299</v>
      </c>
      <c r="G56" t="str">
        <f>_xlfn.XLOOKUP(Table2[[#This Row],[Animal]],Table1[Animal],Table1[Region],"N/A",0)</f>
        <v>Latin America</v>
      </c>
      <c r="H56" s="17" t="str">
        <f>_xlfn.XLOOKUP(Table2[[#This Row],[Animal]],Table1[Animal],Table1[Transport],"N/A",0)</f>
        <v>Boat</v>
      </c>
      <c r="I56">
        <f>_xlfn.XLOOKUP(Table2[[#This Row],[Animal]],Table1[Animal],Table1[Revenue],"N/A",0)</f>
        <v>200</v>
      </c>
      <c r="J56">
        <f>_xlfn.XLOOKUP(Table2[[#This Row],[Animal]],Table1[Animal],Table1[Cost],"N/A",0)</f>
        <v>400</v>
      </c>
      <c r="K56">
        <f>Table2[[#This Row],[Revenue]]-Table2[[#This Row],[Cost]]</f>
        <v>-200</v>
      </c>
    </row>
    <row r="57" spans="1:11" x14ac:dyDescent="0.25">
      <c r="A57" t="s">
        <v>113</v>
      </c>
      <c r="B57" t="str">
        <f>_xlfn.XLOOKUP(Table2[[#This Row],[Animal]],Table1[Animal],Table1[Diet],"Not Found",0)</f>
        <v>Herbivore</v>
      </c>
      <c r="C57" s="19">
        <f>_xlfn.XLOOKUP(Table2[[#This Row],[Animal]],Table1[Animal],Table1[Lifespan (Years)],"N/A",0)</f>
        <v>50</v>
      </c>
      <c r="D57" s="17" t="str">
        <f>_xlfn.XLOOKUP(Table2[[#This Row],[Animal]],Table1[Animal],Table1[Lifespan Group],"N/A",0)</f>
        <v>50-74</v>
      </c>
      <c r="E57" s="17">
        <f>_xlfn.XLOOKUP(Table2[[#This Row],[Animal]],Table1[Animal],Table1[Weight (lbs)],"N/A",0)</f>
        <v>1800</v>
      </c>
      <c r="F57" s="17" t="str">
        <f>_xlfn.XLOOKUP(Table2[[#This Row],[Animal]],Table1[Animal],Table1[Weight Group],"N/A",0)</f>
        <v>&gt;=500</v>
      </c>
      <c r="G57" t="str">
        <f>_xlfn.XLOOKUP(Table2[[#This Row],[Animal]],Table1[Animal],Table1[Region],"N/A",0)</f>
        <v>Greater China</v>
      </c>
      <c r="H57" s="17" t="str">
        <f>_xlfn.XLOOKUP(Table2[[#This Row],[Animal]],Table1[Animal],Table1[Transport],"N/A",0)</f>
        <v>Air</v>
      </c>
      <c r="I57">
        <f>_xlfn.XLOOKUP(Table2[[#This Row],[Animal]],Table1[Animal],Table1[Revenue],"N/A",0)</f>
        <v>600</v>
      </c>
      <c r="J57">
        <f>_xlfn.XLOOKUP(Table2[[#This Row],[Animal]],Table1[Animal],Table1[Cost],"N/A",0)</f>
        <v>300</v>
      </c>
      <c r="K57">
        <f>Table2[[#This Row],[Revenue]]-Table2[[#This Row],[Cost]]</f>
        <v>300</v>
      </c>
    </row>
    <row r="58" spans="1:11" x14ac:dyDescent="0.25">
      <c r="A58" t="s">
        <v>114</v>
      </c>
      <c r="B58" t="str">
        <f>_xlfn.XLOOKUP(Table2[[#This Row],[Animal]],Table1[Animal],Table1[Diet],"Not Found",0)</f>
        <v>Omnivore</v>
      </c>
      <c r="C58" s="19">
        <f>_xlfn.XLOOKUP(Table2[[#This Row],[Animal]],Table1[Animal],Table1[Lifespan (Years)],"N/A",0)</f>
        <v>11</v>
      </c>
      <c r="D58" s="17" t="str">
        <f>_xlfn.XLOOKUP(Table2[[#This Row],[Animal]],Table1[Animal],Table1[Lifespan Group],"N/A",0)</f>
        <v>&lt;25</v>
      </c>
      <c r="E58" s="17">
        <f>_xlfn.XLOOKUP(Table2[[#This Row],[Animal]],Table1[Animal],Table1[Weight (lbs)],"N/A",0)</f>
        <v>150</v>
      </c>
      <c r="F58" s="17" t="str">
        <f>_xlfn.XLOOKUP(Table2[[#This Row],[Animal]],Table1[Animal],Table1[Weight Group],"N/A",0)</f>
        <v>100-199</v>
      </c>
      <c r="G58" t="str">
        <f>_xlfn.XLOOKUP(Table2[[#This Row],[Animal]],Table1[Animal],Table1[Region],"N/A",0)</f>
        <v>North America</v>
      </c>
      <c r="H58" s="17" t="str">
        <f>_xlfn.XLOOKUP(Table2[[#This Row],[Animal]],Table1[Animal],Table1[Transport],"N/A",0)</f>
        <v>Boat</v>
      </c>
      <c r="I58">
        <f>_xlfn.XLOOKUP(Table2[[#This Row],[Animal]],Table1[Animal],Table1[Revenue],"N/A",0)</f>
        <v>400</v>
      </c>
      <c r="J58">
        <f>_xlfn.XLOOKUP(Table2[[#This Row],[Animal]],Table1[Animal],Table1[Cost],"N/A",0)</f>
        <v>400</v>
      </c>
      <c r="K58">
        <f>Table2[[#This Row],[Revenue]]-Table2[[#This Row],[Cost]]</f>
        <v>0</v>
      </c>
    </row>
    <row r="59" spans="1:11" x14ac:dyDescent="0.25">
      <c r="A59" t="s">
        <v>115</v>
      </c>
      <c r="B59" t="str">
        <f>_xlfn.XLOOKUP(Table2[[#This Row],[Animal]],Table1[Animal],Table1[Diet],"Not Found",0)</f>
        <v>Carnivore</v>
      </c>
      <c r="C59" s="19">
        <f>_xlfn.XLOOKUP(Table2[[#This Row],[Animal]],Table1[Animal],Table1[Lifespan (Years)],"N/A",0)</f>
        <v>3</v>
      </c>
      <c r="D59" s="17" t="str">
        <f>_xlfn.XLOOKUP(Table2[[#This Row],[Animal]],Table1[Animal],Table1[Lifespan Group],"N/A",0)</f>
        <v>&lt;25</v>
      </c>
      <c r="E59" s="17">
        <f>_xlfn.XLOOKUP(Table2[[#This Row],[Animal]],Table1[Animal],Table1[Weight (lbs)],"N/A",0)</f>
        <v>0</v>
      </c>
      <c r="F59" s="17" t="str">
        <f>_xlfn.XLOOKUP(Table2[[#This Row],[Animal]],Table1[Animal],Table1[Weight Group],"N/A",0)</f>
        <v>N/A</v>
      </c>
      <c r="G59" t="str">
        <f>_xlfn.XLOOKUP(Table2[[#This Row],[Animal]],Table1[Animal],Table1[Region],"N/A",0)</f>
        <v>North America</v>
      </c>
      <c r="H59" s="17" t="str">
        <f>_xlfn.XLOOKUP(Table2[[#This Row],[Animal]],Table1[Animal],Table1[Transport],"N/A",0)</f>
        <v>Boat</v>
      </c>
      <c r="I59">
        <f>_xlfn.XLOOKUP(Table2[[#This Row],[Animal]],Table1[Animal],Table1[Revenue],"N/A",0)</f>
        <v>400</v>
      </c>
      <c r="J59">
        <f>_xlfn.XLOOKUP(Table2[[#This Row],[Animal]],Table1[Animal],Table1[Cost],"N/A",0)</f>
        <v>500</v>
      </c>
      <c r="K59">
        <f>Table2[[#This Row],[Revenue]]-Table2[[#This Row],[Cost]]</f>
        <v>-100</v>
      </c>
    </row>
    <row r="60" spans="1:11" x14ac:dyDescent="0.25">
      <c r="A60" t="s">
        <v>116</v>
      </c>
      <c r="B60" t="str">
        <f>_xlfn.XLOOKUP(Table2[[#This Row],[Animal]],Table1[Animal],Table1[Diet],"Not Found",0)</f>
        <v>Omnivore</v>
      </c>
      <c r="C60" s="19">
        <f>_xlfn.XLOOKUP(Table2[[#This Row],[Animal]],Table1[Animal],Table1[Lifespan (Years)],"N/A",0)</f>
        <v>12</v>
      </c>
      <c r="D60" s="17" t="str">
        <f>_xlfn.XLOOKUP(Table2[[#This Row],[Animal]],Table1[Animal],Table1[Lifespan Group],"N/A",0)</f>
        <v>&lt;25</v>
      </c>
      <c r="E60" s="17">
        <f>_xlfn.XLOOKUP(Table2[[#This Row],[Animal]],Table1[Animal],Table1[Weight (lbs)],"N/A",0)</f>
        <v>110</v>
      </c>
      <c r="F60" s="17" t="str">
        <f>_xlfn.XLOOKUP(Table2[[#This Row],[Animal]],Table1[Animal],Table1[Weight Group],"N/A",0)</f>
        <v>100-199</v>
      </c>
      <c r="G60" t="str">
        <f>_xlfn.XLOOKUP(Table2[[#This Row],[Animal]],Table1[Animal],Table1[Region],"N/A",0)</f>
        <v>North America</v>
      </c>
      <c r="H60" s="17" t="str">
        <f>_xlfn.XLOOKUP(Table2[[#This Row],[Animal]],Table1[Animal],Table1[Transport],"N/A",0)</f>
        <v>Boat</v>
      </c>
      <c r="I60">
        <f>_xlfn.XLOOKUP(Table2[[#This Row],[Animal]],Table1[Animal],Table1[Revenue],"N/A",0)</f>
        <v>400</v>
      </c>
      <c r="J60">
        <f>_xlfn.XLOOKUP(Table2[[#This Row],[Animal]],Table1[Animal],Table1[Cost],"N/A",0)</f>
        <v>400</v>
      </c>
      <c r="K60">
        <f>Table2[[#This Row],[Revenue]]-Table2[[#This Row],[Cost]]</f>
        <v>0</v>
      </c>
    </row>
    <row r="61" spans="1:11" x14ac:dyDescent="0.25">
      <c r="A61" t="s">
        <v>117</v>
      </c>
      <c r="B61" t="str">
        <f>_xlfn.XLOOKUP(Table2[[#This Row],[Animal]],Table1[Animal],Table1[Diet],"Not Found",0)</f>
        <v>Carnivore</v>
      </c>
      <c r="C61" s="19">
        <f>_xlfn.XLOOKUP(Table2[[#This Row],[Animal]],Table1[Animal],Table1[Lifespan (Years)],"N/A",0)</f>
        <v>45</v>
      </c>
      <c r="D61" s="17" t="str">
        <f>_xlfn.XLOOKUP(Table2[[#This Row],[Animal]],Table1[Animal],Table1[Lifespan Group],"N/A",0)</f>
        <v>25-49</v>
      </c>
      <c r="E61" s="17">
        <f>_xlfn.XLOOKUP(Table2[[#This Row],[Animal]],Table1[Animal],Table1[Weight (lbs)],"N/A",0)</f>
        <v>220000</v>
      </c>
      <c r="F61" s="17" t="str">
        <f>_xlfn.XLOOKUP(Table2[[#This Row],[Animal]],Table1[Animal],Table1[Weight Group],"N/A",0)</f>
        <v>&gt;=500</v>
      </c>
      <c r="G61" t="str">
        <f>_xlfn.XLOOKUP(Table2[[#This Row],[Animal]],Table1[Animal],Table1[Region],"N/A",0)</f>
        <v>North America</v>
      </c>
      <c r="H61" s="17" t="str">
        <f>_xlfn.XLOOKUP(Table2[[#This Row],[Animal]],Table1[Animal],Table1[Transport],"N/A",0)</f>
        <v>Boat</v>
      </c>
      <c r="I61">
        <f>_xlfn.XLOOKUP(Table2[[#This Row],[Animal]],Table1[Animal],Table1[Revenue],"N/A",0)</f>
        <v>400</v>
      </c>
      <c r="J61">
        <f>_xlfn.XLOOKUP(Table2[[#This Row],[Animal]],Table1[Animal],Table1[Cost],"N/A",0)</f>
        <v>500</v>
      </c>
      <c r="K61">
        <f>Table2[[#This Row],[Revenue]]-Table2[[#This Row],[Cost]]</f>
        <v>-100</v>
      </c>
    </row>
    <row r="62" spans="1:11" x14ac:dyDescent="0.25">
      <c r="A62" t="s">
        <v>118</v>
      </c>
      <c r="B62" t="str">
        <f>_xlfn.XLOOKUP(Table2[[#This Row],[Animal]],Table1[Animal],Table1[Diet],"Not Found",0)</f>
        <v>Omnivore</v>
      </c>
      <c r="C62" s="19">
        <f>_xlfn.XLOOKUP(Table2[[#This Row],[Animal]],Table1[Animal],Table1[Lifespan (Years)],"N/A",0)</f>
        <v>12</v>
      </c>
      <c r="D62" s="17" t="str">
        <f>_xlfn.XLOOKUP(Table2[[#This Row],[Animal]],Table1[Animal],Table1[Lifespan Group],"N/A",0)</f>
        <v>&lt;25</v>
      </c>
      <c r="E62" s="17">
        <f>_xlfn.XLOOKUP(Table2[[#This Row],[Animal]],Table1[Animal],Table1[Weight (lbs)],"N/A",0)</f>
        <v>80</v>
      </c>
      <c r="F62" s="17" t="str">
        <f>_xlfn.XLOOKUP(Table2[[#This Row],[Animal]],Table1[Animal],Table1[Weight Group],"N/A",0)</f>
        <v>&lt;100</v>
      </c>
      <c r="G62" t="str">
        <f>_xlfn.XLOOKUP(Table2[[#This Row],[Animal]],Table1[Animal],Table1[Region],"N/A",0)</f>
        <v>Asia Pacific</v>
      </c>
      <c r="H62" s="17" t="str">
        <f>_xlfn.XLOOKUP(Table2[[#This Row],[Animal]],Table1[Animal],Table1[Transport],"N/A",0)</f>
        <v>Air</v>
      </c>
      <c r="I62">
        <f>_xlfn.XLOOKUP(Table2[[#This Row],[Animal]],Table1[Animal],Table1[Revenue],"N/A",0)</f>
        <v>700</v>
      </c>
      <c r="J62">
        <f>_xlfn.XLOOKUP(Table2[[#This Row],[Animal]],Table1[Animal],Table1[Cost],"N/A",0)</f>
        <v>400</v>
      </c>
      <c r="K62">
        <f>Table2[[#This Row],[Revenue]]-Table2[[#This Row],[Cost]]</f>
        <v>300</v>
      </c>
    </row>
    <row r="63" spans="1:11" x14ac:dyDescent="0.25">
      <c r="A63" t="s">
        <v>119</v>
      </c>
      <c r="B63" t="str">
        <f>_xlfn.XLOOKUP(Table2[[#This Row],[Animal]],Table1[Animal],Table1[Diet],"Not Found",0)</f>
        <v>Carnivore</v>
      </c>
      <c r="C63" s="19">
        <f>_xlfn.XLOOKUP(Table2[[#This Row],[Animal]],Table1[Animal],Table1[Lifespan (Years)],"N/A",0)</f>
        <v>15</v>
      </c>
      <c r="D63" s="17" t="str">
        <f>_xlfn.XLOOKUP(Table2[[#This Row],[Animal]],Table1[Animal],Table1[Lifespan Group],"N/A",0)</f>
        <v>&lt;25</v>
      </c>
      <c r="E63" s="17">
        <f>_xlfn.XLOOKUP(Table2[[#This Row],[Animal]],Table1[Animal],Table1[Weight (lbs)],"N/A",0)</f>
        <v>9</v>
      </c>
      <c r="F63" s="17" t="str">
        <f>_xlfn.XLOOKUP(Table2[[#This Row],[Animal]],Table1[Animal],Table1[Weight Group],"N/A",0)</f>
        <v>&lt;100</v>
      </c>
      <c r="G63" t="str">
        <f>_xlfn.XLOOKUP(Table2[[#This Row],[Animal]],Table1[Animal],Table1[Region],"N/A",0)</f>
        <v>Europe &amp; Eurasia</v>
      </c>
      <c r="H63" s="17" t="str">
        <f>_xlfn.XLOOKUP(Table2[[#This Row],[Animal]],Table1[Animal],Table1[Transport],"N/A",0)</f>
        <v>Road</v>
      </c>
      <c r="I63">
        <f>_xlfn.XLOOKUP(Table2[[#This Row],[Animal]],Table1[Animal],Table1[Revenue],"N/A",0)</f>
        <v>450</v>
      </c>
      <c r="J63">
        <f>_xlfn.XLOOKUP(Table2[[#This Row],[Animal]],Table1[Animal],Table1[Cost],"N/A",0)</f>
        <v>500</v>
      </c>
      <c r="K63">
        <f>Table2[[#This Row],[Revenue]]-Table2[[#This Row],[Cost]]</f>
        <v>-50</v>
      </c>
    </row>
    <row r="64" spans="1:11" x14ac:dyDescent="0.25">
      <c r="A64" t="s">
        <v>122</v>
      </c>
      <c r="B64" t="str">
        <f>_xlfn.XLOOKUP(Table2[[#This Row],[Animal]],Table1[Animal],Table1[Diet],"Not Found",0)</f>
        <v>Carnivore</v>
      </c>
      <c r="C64" s="19">
        <f>_xlfn.XLOOKUP(Table2[[#This Row],[Animal]],Table1[Animal],Table1[Lifespan (Years)],"N/A",0)</f>
        <v>13</v>
      </c>
      <c r="D64" s="17" t="str">
        <f>_xlfn.XLOOKUP(Table2[[#This Row],[Animal]],Table1[Animal],Table1[Lifespan Group],"N/A",0)</f>
        <v>&lt;25</v>
      </c>
      <c r="E64" s="17">
        <f>_xlfn.XLOOKUP(Table2[[#This Row],[Animal]],Table1[Animal],Table1[Weight (lbs)],"N/A",0)</f>
        <v>10</v>
      </c>
      <c r="F64" s="17" t="str">
        <f>_xlfn.XLOOKUP(Table2[[#This Row],[Animal]],Table1[Animal],Table1[Weight Group],"N/A",0)</f>
        <v>&lt;100</v>
      </c>
      <c r="G64" t="str">
        <f>_xlfn.XLOOKUP(Table2[[#This Row],[Animal]],Table1[Animal],Table1[Region],"N/A",0)</f>
        <v>Europe &amp; Eurasia</v>
      </c>
      <c r="H64" s="17" t="str">
        <f>_xlfn.XLOOKUP(Table2[[#This Row],[Animal]],Table1[Animal],Table1[Transport],"N/A",0)</f>
        <v>Road</v>
      </c>
      <c r="I64">
        <f>_xlfn.XLOOKUP(Table2[[#This Row],[Animal]],Table1[Animal],Table1[Revenue],"N/A",0)</f>
        <v>450</v>
      </c>
      <c r="J64">
        <f>_xlfn.XLOOKUP(Table2[[#This Row],[Animal]],Table1[Animal],Table1[Cost],"N/A",0)</f>
        <v>500</v>
      </c>
      <c r="K64">
        <f>Table2[[#This Row],[Revenue]]-Table2[[#This Row],[Cost]]</f>
        <v>-50</v>
      </c>
    </row>
    <row r="65" spans="1:11" x14ac:dyDescent="0.25">
      <c r="A65" t="s">
        <v>123</v>
      </c>
      <c r="B65" t="str">
        <f>_xlfn.XLOOKUP(Table2[[#This Row],[Animal]],Table1[Animal],Table1[Diet],"Not Found",0)</f>
        <v>Herbivore</v>
      </c>
      <c r="C65" s="19">
        <f>_xlfn.XLOOKUP(Table2[[#This Row],[Animal]],Table1[Animal],Table1[Lifespan (Years)],"N/A",0)</f>
        <v>18</v>
      </c>
      <c r="D65" s="17" t="str">
        <f>_xlfn.XLOOKUP(Table2[[#This Row],[Animal]],Table1[Animal],Table1[Lifespan Group],"N/A",0)</f>
        <v>&lt;25</v>
      </c>
      <c r="E65" s="17">
        <f>_xlfn.XLOOKUP(Table2[[#This Row],[Animal]],Table1[Animal],Table1[Weight (lbs)],"N/A",0)</f>
        <v>330</v>
      </c>
      <c r="F65" s="17" t="str">
        <f>_xlfn.XLOOKUP(Table2[[#This Row],[Animal]],Table1[Animal],Table1[Weight Group],"N/A",0)</f>
        <v>300-399</v>
      </c>
      <c r="G65" t="str">
        <f>_xlfn.XLOOKUP(Table2[[#This Row],[Animal]],Table1[Animal],Table1[Region],"N/A",0)</f>
        <v>Greater China</v>
      </c>
      <c r="H65" s="17" t="str">
        <f>_xlfn.XLOOKUP(Table2[[#This Row],[Animal]],Table1[Animal],Table1[Transport],"N/A",0)</f>
        <v>Air</v>
      </c>
      <c r="I65">
        <f>_xlfn.XLOOKUP(Table2[[#This Row],[Animal]],Table1[Animal],Table1[Revenue],"N/A",0)</f>
        <v>600</v>
      </c>
      <c r="J65">
        <f>_xlfn.XLOOKUP(Table2[[#This Row],[Animal]],Table1[Animal],Table1[Cost],"N/A",0)</f>
        <v>300</v>
      </c>
      <c r="K65">
        <f>Table2[[#This Row],[Revenue]]-Table2[[#This Row],[Cost]]</f>
        <v>300</v>
      </c>
    </row>
    <row r="66" spans="1:11" x14ac:dyDescent="0.25">
      <c r="A66" t="s">
        <v>125</v>
      </c>
      <c r="B66" t="str">
        <f>_xlfn.XLOOKUP(Table2[[#This Row],[Animal]],Table1[Animal],Table1[Diet],"Not Found",0)</f>
        <v>Carnivore</v>
      </c>
      <c r="C66" s="19">
        <f>_xlfn.XLOOKUP(Table2[[#This Row],[Animal]],Table1[Animal],Table1[Lifespan (Years)],"N/A",0)</f>
        <v>17</v>
      </c>
      <c r="D66" s="17" t="str">
        <f>_xlfn.XLOOKUP(Table2[[#This Row],[Animal]],Table1[Animal],Table1[Lifespan Group],"N/A",0)</f>
        <v>&lt;25</v>
      </c>
      <c r="E66" s="17">
        <f>_xlfn.XLOOKUP(Table2[[#This Row],[Animal]],Table1[Animal],Table1[Weight (lbs)],"N/A",0)</f>
        <v>2</v>
      </c>
      <c r="F66" s="17" t="str">
        <f>_xlfn.XLOOKUP(Table2[[#This Row],[Animal]],Table1[Animal],Table1[Weight Group],"N/A",0)</f>
        <v>&lt;100</v>
      </c>
      <c r="G66" t="str">
        <f>_xlfn.XLOOKUP(Table2[[#This Row],[Animal]],Table1[Animal],Table1[Region],"N/A",0)</f>
        <v>North America</v>
      </c>
      <c r="H66" s="17" t="str">
        <f>_xlfn.XLOOKUP(Table2[[#This Row],[Animal]],Table1[Animal],Table1[Transport],"N/A",0)</f>
        <v>Boat</v>
      </c>
      <c r="I66">
        <f>_xlfn.XLOOKUP(Table2[[#This Row],[Animal]],Table1[Animal],Table1[Revenue],"N/A",0)</f>
        <v>400</v>
      </c>
      <c r="J66">
        <f>_xlfn.XLOOKUP(Table2[[#This Row],[Animal]],Table1[Animal],Table1[Cost],"N/A",0)</f>
        <v>500</v>
      </c>
      <c r="K66">
        <f>Table2[[#This Row],[Revenue]]-Table2[[#This Row],[Cost]]</f>
        <v>-100</v>
      </c>
    </row>
    <row r="67" spans="1:11" x14ac:dyDescent="0.25">
      <c r="A67" t="s">
        <v>126</v>
      </c>
      <c r="B67" t="str">
        <f>_xlfn.XLOOKUP(Table2[[#This Row],[Animal]],Table1[Animal],Table1[Diet],"Not Found",0)</f>
        <v>Omnivore</v>
      </c>
      <c r="C67" s="19">
        <f>_xlfn.XLOOKUP(Table2[[#This Row],[Animal]],Table1[Animal],Table1[Lifespan (Years)],"N/A",0)</f>
        <v>20</v>
      </c>
      <c r="D67" s="17" t="str">
        <f>_xlfn.XLOOKUP(Table2[[#This Row],[Animal]],Table1[Animal],Table1[Lifespan Group],"N/A",0)</f>
        <v>&lt;25</v>
      </c>
      <c r="E67" s="17">
        <f>_xlfn.XLOOKUP(Table2[[#This Row],[Animal]],Table1[Animal],Table1[Weight (lbs)],"N/A",0)</f>
        <v>45</v>
      </c>
      <c r="F67" s="17" t="str">
        <f>_xlfn.XLOOKUP(Table2[[#This Row],[Animal]],Table1[Animal],Table1[Weight Group],"N/A",0)</f>
        <v>&lt;100</v>
      </c>
      <c r="G67" t="str">
        <f>_xlfn.XLOOKUP(Table2[[#This Row],[Animal]],Table1[Animal],Table1[Region],"N/A",0)</f>
        <v>Europe &amp; Eurasia</v>
      </c>
      <c r="H67" s="17" t="str">
        <f>_xlfn.XLOOKUP(Table2[[#This Row],[Animal]],Table1[Animal],Table1[Transport],"N/A",0)</f>
        <v>Road</v>
      </c>
      <c r="I67">
        <f>_xlfn.XLOOKUP(Table2[[#This Row],[Animal]],Table1[Animal],Table1[Revenue],"N/A",0)</f>
        <v>450</v>
      </c>
      <c r="J67">
        <f>_xlfn.XLOOKUP(Table2[[#This Row],[Animal]],Table1[Animal],Table1[Cost],"N/A",0)</f>
        <v>400</v>
      </c>
      <c r="K67">
        <f>Table2[[#This Row],[Revenue]]-Table2[[#This Row],[Cost]]</f>
        <v>50</v>
      </c>
    </row>
    <row r="68" spans="1:11" x14ac:dyDescent="0.25">
      <c r="A68" t="s">
        <v>127</v>
      </c>
      <c r="B68" t="str">
        <f>_xlfn.XLOOKUP(Table2[[#This Row],[Animal]],Table1[Animal],Table1[Diet],"Not Found",0)</f>
        <v>Omnivore</v>
      </c>
      <c r="C68" s="19">
        <f>_xlfn.XLOOKUP(Table2[[#This Row],[Animal]],Table1[Animal],Table1[Lifespan (Years)],"N/A",0)</f>
        <v>15</v>
      </c>
      <c r="D68" s="17" t="str">
        <f>_xlfn.XLOOKUP(Table2[[#This Row],[Animal]],Table1[Animal],Table1[Lifespan Group],"N/A",0)</f>
        <v>&lt;25</v>
      </c>
      <c r="E68" s="17">
        <f>_xlfn.XLOOKUP(Table2[[#This Row],[Animal]],Table1[Animal],Table1[Weight (lbs)],"N/A",0)</f>
        <v>12</v>
      </c>
      <c r="F68" s="17" t="str">
        <f>_xlfn.XLOOKUP(Table2[[#This Row],[Animal]],Table1[Animal],Table1[Weight Group],"N/A",0)</f>
        <v>&lt;100</v>
      </c>
      <c r="G68" t="str">
        <f>_xlfn.XLOOKUP(Table2[[#This Row],[Animal]],Table1[Animal],Table1[Region],"N/A",0)</f>
        <v>Africa &amp; MENA</v>
      </c>
      <c r="H68" s="17" t="str">
        <f>_xlfn.XLOOKUP(Table2[[#This Row],[Animal]],Table1[Animal],Table1[Transport],"N/A",0)</f>
        <v>Air</v>
      </c>
      <c r="I68">
        <f>_xlfn.XLOOKUP(Table2[[#This Row],[Animal]],Table1[Animal],Table1[Revenue],"N/A",0)</f>
        <v>600</v>
      </c>
      <c r="J68">
        <f>_xlfn.XLOOKUP(Table2[[#This Row],[Animal]],Table1[Animal],Table1[Cost],"N/A",0)</f>
        <v>400</v>
      </c>
      <c r="K68">
        <f>Table2[[#This Row],[Revenue]]-Table2[[#This Row],[Cost]]</f>
        <v>200</v>
      </c>
    </row>
    <row r="69" spans="1:11" x14ac:dyDescent="0.25">
      <c r="A69" t="s">
        <v>128</v>
      </c>
      <c r="B69" t="str">
        <f>_xlfn.XLOOKUP(Table2[[#This Row],[Animal]],Table1[Animal],Table1[Diet],"Not Found",0)</f>
        <v>Omnivore</v>
      </c>
      <c r="C69" s="19">
        <f>_xlfn.XLOOKUP(Table2[[#This Row],[Animal]],Table1[Animal],Table1[Lifespan (Years)],"N/A",0)</f>
        <v>40</v>
      </c>
      <c r="D69" s="17" t="str">
        <f>_xlfn.XLOOKUP(Table2[[#This Row],[Animal]],Table1[Animal],Table1[Lifespan Group],"N/A",0)</f>
        <v>25-49</v>
      </c>
      <c r="E69" s="17">
        <f>_xlfn.XLOOKUP(Table2[[#This Row],[Animal]],Table1[Animal],Table1[Weight (lbs)],"N/A",0)</f>
        <v>66</v>
      </c>
      <c r="F69" s="17" t="str">
        <f>_xlfn.XLOOKUP(Table2[[#This Row],[Animal]],Table1[Animal],Table1[Weight Group],"N/A",0)</f>
        <v>&lt;100</v>
      </c>
      <c r="G69" t="str">
        <f>_xlfn.XLOOKUP(Table2[[#This Row],[Animal]],Table1[Animal],Table1[Region],"N/A",0)</f>
        <v>North America</v>
      </c>
      <c r="H69" s="17" t="str">
        <f>_xlfn.XLOOKUP(Table2[[#This Row],[Animal]],Table1[Animal],Table1[Transport],"N/A",0)</f>
        <v>Boat</v>
      </c>
      <c r="I69">
        <f>_xlfn.XLOOKUP(Table2[[#This Row],[Animal]],Table1[Animal],Table1[Revenue],"N/A",0)</f>
        <v>400</v>
      </c>
      <c r="J69">
        <f>_xlfn.XLOOKUP(Table2[[#This Row],[Animal]],Table1[Animal],Table1[Cost],"N/A",0)</f>
        <v>400</v>
      </c>
      <c r="K69">
        <f>Table2[[#This Row],[Revenue]]-Table2[[#This Row],[Cost]]</f>
        <v>0</v>
      </c>
    </row>
    <row r="70" spans="1:11" x14ac:dyDescent="0.25">
      <c r="A70" t="s">
        <v>129</v>
      </c>
      <c r="B70" t="str">
        <f>_xlfn.XLOOKUP(Table2[[#This Row],[Animal]],Table1[Animal],Table1[Diet],"Not Found",0)</f>
        <v>Herbivore</v>
      </c>
      <c r="C70" s="19">
        <f>_xlfn.XLOOKUP(Table2[[#This Row],[Animal]],Table1[Animal],Table1[Lifespan (Years)],"N/A",0)</f>
        <v>70</v>
      </c>
      <c r="D70" s="17" t="str">
        <f>_xlfn.XLOOKUP(Table2[[#This Row],[Animal]],Table1[Animal],Table1[Lifespan Group],"N/A",0)</f>
        <v>50-74</v>
      </c>
      <c r="E70" s="17">
        <f>_xlfn.XLOOKUP(Table2[[#This Row],[Animal]],Table1[Animal],Table1[Weight (lbs)],"N/A",0)</f>
        <v>6500</v>
      </c>
      <c r="F70" s="17" t="str">
        <f>_xlfn.XLOOKUP(Table2[[#This Row],[Animal]],Table1[Animal],Table1[Weight Group],"N/A",0)</f>
        <v>&gt;=500</v>
      </c>
      <c r="G70" t="str">
        <f>_xlfn.XLOOKUP(Table2[[#This Row],[Animal]],Table1[Animal],Table1[Region],"N/A",0)</f>
        <v>Africa &amp; MENA</v>
      </c>
      <c r="H70" s="17" t="str">
        <f>_xlfn.XLOOKUP(Table2[[#This Row],[Animal]],Table1[Animal],Table1[Transport],"N/A",0)</f>
        <v>Air</v>
      </c>
      <c r="I70">
        <f>_xlfn.XLOOKUP(Table2[[#This Row],[Animal]],Table1[Animal],Table1[Revenue],"N/A",0)</f>
        <v>600</v>
      </c>
      <c r="J70">
        <f>_xlfn.XLOOKUP(Table2[[#This Row],[Animal]],Table1[Animal],Table1[Cost],"N/A",0)</f>
        <v>300</v>
      </c>
      <c r="K70">
        <f>Table2[[#This Row],[Revenue]]-Table2[[#This Row],[Cost]]</f>
        <v>300</v>
      </c>
    </row>
    <row r="71" spans="1:11" x14ac:dyDescent="0.25">
      <c r="A71" t="s">
        <v>130</v>
      </c>
      <c r="B71" t="str">
        <f>_xlfn.XLOOKUP(Table2[[#This Row],[Animal]],Table1[Animal],Table1[Diet],"Not Found",0)</f>
        <v>Omnivore</v>
      </c>
      <c r="C71" s="19">
        <f>_xlfn.XLOOKUP(Table2[[#This Row],[Animal]],Table1[Animal],Table1[Lifespan (Years)],"N/A",0)</f>
        <v>15</v>
      </c>
      <c r="D71" s="17" t="str">
        <f>_xlfn.XLOOKUP(Table2[[#This Row],[Animal]],Table1[Animal],Table1[Lifespan Group],"N/A",0)</f>
        <v>&lt;25</v>
      </c>
      <c r="E71" s="17">
        <f>_xlfn.XLOOKUP(Table2[[#This Row],[Animal]],Table1[Animal],Table1[Weight (lbs)],"N/A",0)</f>
        <v>25</v>
      </c>
      <c r="F71" s="17" t="str">
        <f>_xlfn.XLOOKUP(Table2[[#This Row],[Animal]],Table1[Animal],Table1[Weight Group],"N/A",0)</f>
        <v>&lt;100</v>
      </c>
      <c r="G71" t="str">
        <f>_xlfn.XLOOKUP(Table2[[#This Row],[Animal]],Table1[Animal],Table1[Region],"N/A",0)</f>
        <v>South Asia</v>
      </c>
      <c r="H71" s="17" t="str">
        <f>_xlfn.XLOOKUP(Table2[[#This Row],[Animal]],Table1[Animal],Table1[Transport],"N/A",0)</f>
        <v>Air</v>
      </c>
      <c r="I71">
        <f>_xlfn.XLOOKUP(Table2[[#This Row],[Animal]],Table1[Animal],Table1[Revenue],"N/A",0)</f>
        <v>450</v>
      </c>
      <c r="J71">
        <f>_xlfn.XLOOKUP(Table2[[#This Row],[Animal]],Table1[Animal],Table1[Cost],"N/A",0)</f>
        <v>400</v>
      </c>
      <c r="K71">
        <f>Table2[[#This Row],[Revenue]]-Table2[[#This Row],[Cost]]</f>
        <v>50</v>
      </c>
    </row>
    <row r="72" spans="1:11" x14ac:dyDescent="0.25">
      <c r="A72" t="s">
        <v>132</v>
      </c>
      <c r="B72" t="str">
        <f>_xlfn.XLOOKUP(Table2[[#This Row],[Animal]],Table1[Animal],Table1[Diet],"Not Found",0)</f>
        <v>Omnivore</v>
      </c>
      <c r="C72" s="19">
        <f>_xlfn.XLOOKUP(Table2[[#This Row],[Animal]],Table1[Animal],Table1[Lifespan (Years)],"N/A",0)</f>
        <v>35</v>
      </c>
      <c r="D72" s="17" t="str">
        <f>_xlfn.XLOOKUP(Table2[[#This Row],[Animal]],Table1[Animal],Table1[Lifespan Group],"N/A",0)</f>
        <v>25-49</v>
      </c>
      <c r="E72" s="17">
        <f>_xlfn.XLOOKUP(Table2[[#This Row],[Animal]],Table1[Animal],Table1[Weight (lbs)],"N/A",0)</f>
        <v>440</v>
      </c>
      <c r="F72" s="17" t="str">
        <f>_xlfn.XLOOKUP(Table2[[#This Row],[Animal]],Table1[Animal],Table1[Weight Group],"N/A",0)</f>
        <v>400-499</v>
      </c>
      <c r="G72" t="str">
        <f>_xlfn.XLOOKUP(Table2[[#This Row],[Animal]],Table1[Animal],Table1[Region],"N/A",0)</f>
        <v>North America</v>
      </c>
      <c r="H72" s="17" t="str">
        <f>_xlfn.XLOOKUP(Table2[[#This Row],[Animal]],Table1[Animal],Table1[Transport],"N/A",0)</f>
        <v>Boat</v>
      </c>
      <c r="I72">
        <f>_xlfn.XLOOKUP(Table2[[#This Row],[Animal]],Table1[Animal],Table1[Revenue],"N/A",0)</f>
        <v>400</v>
      </c>
      <c r="J72">
        <f>_xlfn.XLOOKUP(Table2[[#This Row],[Animal]],Table1[Animal],Table1[Cost],"N/A",0)</f>
        <v>400</v>
      </c>
      <c r="K72">
        <f>Table2[[#This Row],[Revenue]]-Table2[[#This Row],[Cost]]</f>
        <v>0</v>
      </c>
    </row>
    <row r="73" spans="1:11" x14ac:dyDescent="0.25">
      <c r="A73" t="s">
        <v>133</v>
      </c>
      <c r="B73" t="str">
        <f>_xlfn.XLOOKUP(Table2[[#This Row],[Animal]],Table1[Animal],Table1[Diet],"Not Found",0)</f>
        <v>Omnivore</v>
      </c>
      <c r="C73" s="19">
        <f>_xlfn.XLOOKUP(Table2[[#This Row],[Animal]],Table1[Animal],Table1[Lifespan (Years)],"N/A",0)</f>
        <v>11</v>
      </c>
      <c r="D73" s="17" t="str">
        <f>_xlfn.XLOOKUP(Table2[[#This Row],[Animal]],Table1[Animal],Table1[Lifespan Group],"N/A",0)</f>
        <v>&lt;25</v>
      </c>
      <c r="E73" s="17">
        <f>_xlfn.XLOOKUP(Table2[[#This Row],[Animal]],Table1[Animal],Table1[Weight (lbs)],"N/A",0)</f>
        <v>70</v>
      </c>
      <c r="F73" s="17" t="str">
        <f>_xlfn.XLOOKUP(Table2[[#This Row],[Animal]],Table1[Animal],Table1[Weight Group],"N/A",0)</f>
        <v>&lt;100</v>
      </c>
      <c r="G73" t="str">
        <f>_xlfn.XLOOKUP(Table2[[#This Row],[Animal]],Table1[Animal],Table1[Region],"N/A",0)</f>
        <v>Europe &amp; Eurasia</v>
      </c>
      <c r="H73" s="17" t="str">
        <f>_xlfn.XLOOKUP(Table2[[#This Row],[Animal]],Table1[Animal],Table1[Transport],"N/A",0)</f>
        <v>Road</v>
      </c>
      <c r="I73">
        <f>_xlfn.XLOOKUP(Table2[[#This Row],[Animal]],Table1[Animal],Table1[Revenue],"N/A",0)</f>
        <v>450</v>
      </c>
      <c r="J73">
        <f>_xlfn.XLOOKUP(Table2[[#This Row],[Animal]],Table1[Animal],Table1[Cost],"N/A",0)</f>
        <v>400</v>
      </c>
      <c r="K73">
        <f>Table2[[#This Row],[Revenue]]-Table2[[#This Row],[Cost]]</f>
        <v>50</v>
      </c>
    </row>
    <row r="74" spans="1:11" x14ac:dyDescent="0.25">
      <c r="A74" t="s">
        <v>134</v>
      </c>
      <c r="B74" t="str">
        <f>_xlfn.XLOOKUP(Table2[[#This Row],[Animal]],Table1[Animal],Table1[Diet],"Not Found",0)</f>
        <v>Omnivore</v>
      </c>
      <c r="C74" s="19">
        <f>_xlfn.XLOOKUP(Table2[[#This Row],[Animal]],Table1[Animal],Table1[Lifespan (Years)],"N/A",0)</f>
        <v>16</v>
      </c>
      <c r="D74" s="17" t="str">
        <f>_xlfn.XLOOKUP(Table2[[#This Row],[Animal]],Table1[Animal],Table1[Lifespan Group],"N/A",0)</f>
        <v>&lt;25</v>
      </c>
      <c r="E74" s="17">
        <f>_xlfn.XLOOKUP(Table2[[#This Row],[Animal]],Table1[Animal],Table1[Weight (lbs)],"N/A",0)</f>
        <v>38</v>
      </c>
      <c r="F74" s="17" t="str">
        <f>_xlfn.XLOOKUP(Table2[[#This Row],[Animal]],Table1[Animal],Table1[Weight Group],"N/A",0)</f>
        <v>&lt;100</v>
      </c>
      <c r="G74" t="str">
        <f>_xlfn.XLOOKUP(Table2[[#This Row],[Animal]],Table1[Animal],Table1[Region],"N/A",0)</f>
        <v>Latin America</v>
      </c>
      <c r="H74" s="17" t="str">
        <f>_xlfn.XLOOKUP(Table2[[#This Row],[Animal]],Table1[Animal],Table1[Transport],"N/A",0)</f>
        <v>Boat</v>
      </c>
      <c r="I74">
        <f>_xlfn.XLOOKUP(Table2[[#This Row],[Animal]],Table1[Animal],Table1[Revenue],"N/A",0)</f>
        <v>200</v>
      </c>
      <c r="J74">
        <f>_xlfn.XLOOKUP(Table2[[#This Row],[Animal]],Table1[Animal],Table1[Cost],"N/A",0)</f>
        <v>400</v>
      </c>
      <c r="K74">
        <f>Table2[[#This Row],[Revenue]]-Table2[[#This Row],[Cost]]</f>
        <v>-200</v>
      </c>
    </row>
    <row r="75" spans="1:11" x14ac:dyDescent="0.25">
      <c r="A75" t="s">
        <v>136</v>
      </c>
      <c r="B75" t="str">
        <f>_xlfn.XLOOKUP(Table2[[#This Row],[Animal]],Table1[Animal],Table1[Diet],"Not Found",0)</f>
        <v>Omnivore</v>
      </c>
      <c r="C75" s="19">
        <f>_xlfn.XLOOKUP(Table2[[#This Row],[Animal]],Table1[Animal],Table1[Lifespan (Years)],"N/A",0)</f>
        <v>14</v>
      </c>
      <c r="D75" s="17" t="str">
        <f>_xlfn.XLOOKUP(Table2[[#This Row],[Animal]],Table1[Animal],Table1[Lifespan Group],"N/A",0)</f>
        <v>&lt;25</v>
      </c>
      <c r="E75" s="17">
        <f>_xlfn.XLOOKUP(Table2[[#This Row],[Animal]],Table1[Animal],Table1[Weight (lbs)],"N/A",0)</f>
        <v>20</v>
      </c>
      <c r="F75" s="17" t="str">
        <f>_xlfn.XLOOKUP(Table2[[#This Row],[Animal]],Table1[Animal],Table1[Weight Group],"N/A",0)</f>
        <v>&lt;100</v>
      </c>
      <c r="G75" t="str">
        <f>_xlfn.XLOOKUP(Table2[[#This Row],[Animal]],Table1[Animal],Table1[Region],"N/A",0)</f>
        <v>North America</v>
      </c>
      <c r="H75" s="17" t="str">
        <f>_xlfn.XLOOKUP(Table2[[#This Row],[Animal]],Table1[Animal],Table1[Transport],"N/A",0)</f>
        <v>Boat</v>
      </c>
      <c r="I75">
        <f>_xlfn.XLOOKUP(Table2[[#This Row],[Animal]],Table1[Animal],Table1[Revenue],"N/A",0)</f>
        <v>400</v>
      </c>
      <c r="J75">
        <f>_xlfn.XLOOKUP(Table2[[#This Row],[Animal]],Table1[Animal],Table1[Cost],"N/A",0)</f>
        <v>400</v>
      </c>
      <c r="K75">
        <f>Table2[[#This Row],[Revenue]]-Table2[[#This Row],[Cost]]</f>
        <v>0</v>
      </c>
    </row>
    <row r="76" spans="1:11" x14ac:dyDescent="0.25">
      <c r="A76" t="s">
        <v>138</v>
      </c>
      <c r="B76" t="str">
        <f>_xlfn.XLOOKUP(Table2[[#This Row],[Animal]],Table1[Animal],Table1[Diet],"Not Found",0)</f>
        <v>Omnivore</v>
      </c>
      <c r="C76" s="19">
        <f>_xlfn.XLOOKUP(Table2[[#This Row],[Animal]],Table1[Animal],Table1[Lifespan (Years)],"N/A",0)</f>
        <v>6</v>
      </c>
      <c r="D76" s="17" t="str">
        <f>_xlfn.XLOOKUP(Table2[[#This Row],[Animal]],Table1[Animal],Table1[Lifespan Group],"N/A",0)</f>
        <v>&lt;25</v>
      </c>
      <c r="E76" s="17">
        <f>_xlfn.XLOOKUP(Table2[[#This Row],[Animal]],Table1[Animal],Table1[Weight (lbs)],"N/A",0)</f>
        <v>6.25E-2</v>
      </c>
      <c r="F76" s="17" t="str">
        <f>_xlfn.XLOOKUP(Table2[[#This Row],[Animal]],Table1[Animal],Table1[Weight Group],"N/A",0)</f>
        <v>&lt;100</v>
      </c>
      <c r="G76" t="str">
        <f>_xlfn.XLOOKUP(Table2[[#This Row],[Animal]],Table1[Animal],Table1[Region],"N/A",0)</f>
        <v>North America</v>
      </c>
      <c r="H76" s="17" t="str">
        <f>_xlfn.XLOOKUP(Table2[[#This Row],[Animal]],Table1[Animal],Table1[Transport],"N/A",0)</f>
        <v>Boat</v>
      </c>
      <c r="I76">
        <f>_xlfn.XLOOKUP(Table2[[#This Row],[Animal]],Table1[Animal],Table1[Revenue],"N/A",0)</f>
        <v>400</v>
      </c>
      <c r="J76">
        <f>_xlfn.XLOOKUP(Table2[[#This Row],[Animal]],Table1[Animal],Table1[Cost],"N/A",0)</f>
        <v>400</v>
      </c>
      <c r="K76">
        <f>Table2[[#This Row],[Revenue]]-Table2[[#This Row],[Cost]]</f>
        <v>0</v>
      </c>
    </row>
    <row r="77" spans="1:11" x14ac:dyDescent="0.25">
      <c r="A77" t="s">
        <v>139</v>
      </c>
      <c r="B77" t="str">
        <f>_xlfn.XLOOKUP(Table2[[#This Row],[Animal]],Table1[Animal],Table1[Diet],"Not Found",0)</f>
        <v>Herbivore</v>
      </c>
      <c r="C77" s="19">
        <f>_xlfn.XLOOKUP(Table2[[#This Row],[Animal]],Table1[Animal],Table1[Lifespan (Years)],"N/A",0)</f>
        <v>22</v>
      </c>
      <c r="D77" s="17" t="str">
        <f>_xlfn.XLOOKUP(Table2[[#This Row],[Animal]],Table1[Animal],Table1[Lifespan Group],"N/A",0)</f>
        <v>&lt;25</v>
      </c>
      <c r="E77" s="17">
        <f>_xlfn.XLOOKUP(Table2[[#This Row],[Animal]],Table1[Animal],Table1[Weight (lbs)],"N/A",0)</f>
        <v>1323</v>
      </c>
      <c r="F77" s="17" t="str">
        <f>_xlfn.XLOOKUP(Table2[[#This Row],[Animal]],Table1[Animal],Table1[Weight Group],"N/A",0)</f>
        <v>&gt;=500</v>
      </c>
      <c r="G77" t="str">
        <f>_xlfn.XLOOKUP(Table2[[#This Row],[Animal]],Table1[Animal],Table1[Region],"N/A",0)</f>
        <v>North America</v>
      </c>
      <c r="H77" s="17" t="str">
        <f>_xlfn.XLOOKUP(Table2[[#This Row],[Animal]],Table1[Animal],Table1[Transport],"N/A",0)</f>
        <v>Boat</v>
      </c>
      <c r="I77">
        <f>_xlfn.XLOOKUP(Table2[[#This Row],[Animal]],Table1[Animal],Table1[Revenue],"N/A",0)</f>
        <v>400</v>
      </c>
      <c r="J77">
        <f>_xlfn.XLOOKUP(Table2[[#This Row],[Animal]],Table1[Animal],Table1[Cost],"N/A",0)</f>
        <v>300</v>
      </c>
      <c r="K77">
        <f>Table2[[#This Row],[Revenue]]-Table2[[#This Row],[Cost]]</f>
        <v>100</v>
      </c>
    </row>
    <row r="78" spans="1:11" x14ac:dyDescent="0.25">
      <c r="A78" t="s">
        <v>140</v>
      </c>
      <c r="B78" t="str">
        <f>_xlfn.XLOOKUP(Table2[[#This Row],[Animal]],Table1[Animal],Table1[Diet],"Not Found",0)</f>
        <v>Omnivore</v>
      </c>
      <c r="C78" s="19">
        <f>_xlfn.XLOOKUP(Table2[[#This Row],[Animal]],Table1[Animal],Table1[Lifespan (Years)],"N/A",0)</f>
        <v>10</v>
      </c>
      <c r="D78" s="17" t="str">
        <f>_xlfn.XLOOKUP(Table2[[#This Row],[Animal]],Table1[Animal],Table1[Lifespan Group],"N/A",0)</f>
        <v>&lt;25</v>
      </c>
      <c r="E78" s="17">
        <f>_xlfn.XLOOKUP(Table2[[#This Row],[Animal]],Table1[Animal],Table1[Weight (lbs)],"N/A",0)</f>
        <v>130</v>
      </c>
      <c r="F78" s="17" t="str">
        <f>_xlfn.XLOOKUP(Table2[[#This Row],[Animal]],Table1[Animal],Table1[Weight Group],"N/A",0)</f>
        <v>100-199</v>
      </c>
      <c r="G78" t="str">
        <f>_xlfn.XLOOKUP(Table2[[#This Row],[Animal]],Table1[Animal],Table1[Region],"N/A",0)</f>
        <v>Greater China</v>
      </c>
      <c r="H78" s="17" t="str">
        <f>_xlfn.XLOOKUP(Table2[[#This Row],[Animal]],Table1[Animal],Table1[Transport],"N/A",0)</f>
        <v>Air</v>
      </c>
      <c r="I78">
        <f>_xlfn.XLOOKUP(Table2[[#This Row],[Animal]],Table1[Animal],Table1[Revenue],"N/A",0)</f>
        <v>600</v>
      </c>
      <c r="J78">
        <f>_xlfn.XLOOKUP(Table2[[#This Row],[Animal]],Table1[Animal],Table1[Cost],"N/A",0)</f>
        <v>400</v>
      </c>
      <c r="K78">
        <f>Table2[[#This Row],[Revenue]]-Table2[[#This Row],[Cost]]</f>
        <v>200</v>
      </c>
    </row>
    <row r="79" spans="1:11" x14ac:dyDescent="0.25">
      <c r="A79" t="s">
        <v>143</v>
      </c>
      <c r="B79" t="str">
        <f>_xlfn.XLOOKUP(Table2[[#This Row],[Animal]],Table1[Animal],Table1[Diet],"Not Found",0)</f>
        <v>Omnivore</v>
      </c>
      <c r="C79" s="19">
        <f>_xlfn.XLOOKUP(Table2[[#This Row],[Animal]],Table1[Animal],Table1[Lifespan (Years)],"N/A",0)</f>
        <v>15</v>
      </c>
      <c r="D79" s="17" t="str">
        <f>_xlfn.XLOOKUP(Table2[[#This Row],[Animal]],Table1[Animal],Table1[Lifespan Group],"N/A",0)</f>
        <v>&lt;25</v>
      </c>
      <c r="E79" s="17">
        <f>_xlfn.XLOOKUP(Table2[[#This Row],[Animal]],Table1[Animal],Table1[Weight (lbs)],"N/A",0)</f>
        <v>62</v>
      </c>
      <c r="F79" s="17" t="str">
        <f>_xlfn.XLOOKUP(Table2[[#This Row],[Animal]],Table1[Animal],Table1[Weight Group],"N/A",0)</f>
        <v>&lt;100</v>
      </c>
      <c r="G79" t="str">
        <f>_xlfn.XLOOKUP(Table2[[#This Row],[Animal]],Table1[Animal],Table1[Region],"N/A",0)</f>
        <v>Greater China</v>
      </c>
      <c r="H79" s="17" t="str">
        <f>_xlfn.XLOOKUP(Table2[[#This Row],[Animal]],Table1[Animal],Table1[Transport],"N/A",0)</f>
        <v>Air</v>
      </c>
      <c r="I79">
        <f>_xlfn.XLOOKUP(Table2[[#This Row],[Animal]],Table1[Animal],Table1[Revenue],"N/A",0)</f>
        <v>600</v>
      </c>
      <c r="J79">
        <f>_xlfn.XLOOKUP(Table2[[#This Row],[Animal]],Table1[Animal],Table1[Cost],"N/A",0)</f>
        <v>400</v>
      </c>
      <c r="K79">
        <f>Table2[[#This Row],[Revenue]]-Table2[[#This Row],[Cost]]</f>
        <v>200</v>
      </c>
    </row>
    <row r="80" spans="1:11" x14ac:dyDescent="0.25">
      <c r="A80" t="s">
        <v>145</v>
      </c>
      <c r="B80" t="str">
        <f>_xlfn.XLOOKUP(Table2[[#This Row],[Animal]],Table1[Animal],Table1[Diet],"Not Found",0)</f>
        <v>Omnivore</v>
      </c>
      <c r="C80" s="19">
        <f>_xlfn.XLOOKUP(Table2[[#This Row],[Animal]],Table1[Animal],Table1[Lifespan (Years)],"N/A",0)</f>
        <v>14</v>
      </c>
      <c r="D80" s="17" t="str">
        <f>_xlfn.XLOOKUP(Table2[[#This Row],[Animal]],Table1[Animal],Table1[Lifespan Group],"N/A",0)</f>
        <v>&lt;25</v>
      </c>
      <c r="E80" s="17">
        <f>_xlfn.XLOOKUP(Table2[[#This Row],[Animal]],Table1[Animal],Table1[Weight (lbs)],"N/A",0)</f>
        <v>55</v>
      </c>
      <c r="F80" s="17" t="str">
        <f>_xlfn.XLOOKUP(Table2[[#This Row],[Animal]],Table1[Animal],Table1[Weight Group],"N/A",0)</f>
        <v>&lt;100</v>
      </c>
      <c r="G80" t="str">
        <f>_xlfn.XLOOKUP(Table2[[#This Row],[Animal]],Table1[Animal],Table1[Region],"N/A",0)</f>
        <v>North America</v>
      </c>
      <c r="H80" s="17" t="str">
        <f>_xlfn.XLOOKUP(Table2[[#This Row],[Animal]],Table1[Animal],Table1[Transport],"N/A",0)</f>
        <v>Boat</v>
      </c>
      <c r="I80">
        <f>_xlfn.XLOOKUP(Table2[[#This Row],[Animal]],Table1[Animal],Table1[Revenue],"N/A",0)</f>
        <v>400</v>
      </c>
      <c r="J80">
        <f>_xlfn.XLOOKUP(Table2[[#This Row],[Animal]],Table1[Animal],Table1[Cost],"N/A",0)</f>
        <v>400</v>
      </c>
      <c r="K80">
        <f>Table2[[#This Row],[Revenue]]-Table2[[#This Row],[Cost]]</f>
        <v>0</v>
      </c>
    </row>
    <row r="81" spans="1:11" x14ac:dyDescent="0.25">
      <c r="A81" t="s">
        <v>146</v>
      </c>
      <c r="B81" t="str">
        <f>_xlfn.XLOOKUP(Table2[[#This Row],[Animal]],Table1[Animal],Table1[Diet],"Not Found",0)</f>
        <v>Carnivore</v>
      </c>
      <c r="C81" s="19">
        <f>_xlfn.XLOOKUP(Table2[[#This Row],[Animal]],Table1[Animal],Table1[Lifespan (Years)],"N/A",0)</f>
        <v>10</v>
      </c>
      <c r="D81" s="17" t="str">
        <f>_xlfn.XLOOKUP(Table2[[#This Row],[Animal]],Table1[Animal],Table1[Lifespan Group],"N/A",0)</f>
        <v>&lt;25</v>
      </c>
      <c r="E81" s="17">
        <f>_xlfn.XLOOKUP(Table2[[#This Row],[Animal]],Table1[Animal],Table1[Weight (lbs)],"N/A",0)</f>
        <v>0.65625</v>
      </c>
      <c r="F81" s="17" t="str">
        <f>_xlfn.XLOOKUP(Table2[[#This Row],[Animal]],Table1[Animal],Table1[Weight Group],"N/A",0)</f>
        <v>&lt;100</v>
      </c>
      <c r="G81" t="str">
        <f>_xlfn.XLOOKUP(Table2[[#This Row],[Animal]],Table1[Animal],Table1[Region],"N/A",0)</f>
        <v>South Asia</v>
      </c>
      <c r="H81" s="17" t="str">
        <f>_xlfn.XLOOKUP(Table2[[#This Row],[Animal]],Table1[Animal],Table1[Transport],"N/A",0)</f>
        <v>Air</v>
      </c>
      <c r="I81">
        <f>_xlfn.XLOOKUP(Table2[[#This Row],[Animal]],Table1[Animal],Table1[Revenue],"N/A",0)</f>
        <v>450</v>
      </c>
      <c r="J81">
        <f>_xlfn.XLOOKUP(Table2[[#This Row],[Animal]],Table1[Animal],Table1[Cost],"N/A",0)</f>
        <v>500</v>
      </c>
      <c r="K81">
        <f>Table2[[#This Row],[Revenue]]-Table2[[#This Row],[Cost]]</f>
        <v>-50</v>
      </c>
    </row>
    <row r="82" spans="1:11" x14ac:dyDescent="0.25">
      <c r="A82" t="s">
        <v>147</v>
      </c>
      <c r="B82" t="str">
        <f>_xlfn.XLOOKUP(Table2[[#This Row],[Animal]],Table1[Animal],Table1[Diet],"Not Found",0)</f>
        <v>Herbivore</v>
      </c>
      <c r="C82" s="19">
        <f>_xlfn.XLOOKUP(Table2[[#This Row],[Animal]],Table1[Animal],Table1[Lifespan (Years)],"N/A",0)</f>
        <v>1</v>
      </c>
      <c r="D82" s="17" t="str">
        <f>_xlfn.XLOOKUP(Table2[[#This Row],[Animal]],Table1[Animal],Table1[Lifespan Group],"N/A",0)</f>
        <v>&lt;25</v>
      </c>
      <c r="E82" s="17">
        <f>_xlfn.XLOOKUP(Table2[[#This Row],[Animal]],Table1[Animal],Table1[Weight (lbs)],"N/A",0)</f>
        <v>0</v>
      </c>
      <c r="F82" s="17" t="str">
        <f>_xlfn.XLOOKUP(Table2[[#This Row],[Animal]],Table1[Animal],Table1[Weight Group],"N/A",0)</f>
        <v>N/A</v>
      </c>
      <c r="G82" t="str">
        <f>_xlfn.XLOOKUP(Table2[[#This Row],[Animal]],Table1[Animal],Table1[Region],"N/A",0)</f>
        <v>Europe &amp; Eurasia</v>
      </c>
      <c r="H82" s="17" t="str">
        <f>_xlfn.XLOOKUP(Table2[[#This Row],[Animal]],Table1[Animal],Table1[Transport],"N/A",0)</f>
        <v>Road</v>
      </c>
      <c r="I82">
        <f>_xlfn.XLOOKUP(Table2[[#This Row],[Animal]],Table1[Animal],Table1[Revenue],"N/A",0)</f>
        <v>450</v>
      </c>
      <c r="J82">
        <f>_xlfn.XLOOKUP(Table2[[#This Row],[Animal]],Table1[Animal],Table1[Cost],"N/A",0)</f>
        <v>300</v>
      </c>
      <c r="K82">
        <f>Table2[[#This Row],[Revenue]]-Table2[[#This Row],[Cost]]</f>
        <v>150</v>
      </c>
    </row>
    <row r="83" spans="1:11" x14ac:dyDescent="0.25">
      <c r="A83" t="s">
        <v>149</v>
      </c>
      <c r="B83" t="str">
        <f>_xlfn.XLOOKUP(Table2[[#This Row],[Animal]],Table1[Animal],Table1[Diet],"Not Found",0)</f>
        <v>Carnivore</v>
      </c>
      <c r="C83" s="19">
        <f>_xlfn.XLOOKUP(Table2[[#This Row],[Animal]],Table1[Animal],Table1[Lifespan (Years)],"N/A",0)</f>
        <v>15</v>
      </c>
      <c r="D83" s="17" t="str">
        <f>_xlfn.XLOOKUP(Table2[[#This Row],[Animal]],Table1[Animal],Table1[Lifespan Group],"N/A",0)</f>
        <v>&lt;25</v>
      </c>
      <c r="E83" s="17">
        <f>_xlfn.XLOOKUP(Table2[[#This Row],[Animal]],Table1[Animal],Table1[Weight (lbs)],"N/A",0)</f>
        <v>4.3749999999999997E-2</v>
      </c>
      <c r="F83" s="17" t="str">
        <f>_xlfn.XLOOKUP(Table2[[#This Row],[Animal]],Table1[Animal],Table1[Weight Group],"N/A",0)</f>
        <v>&lt;100</v>
      </c>
      <c r="G83" t="str">
        <f>_xlfn.XLOOKUP(Table2[[#This Row],[Animal]],Table1[Animal],Table1[Region],"N/A",0)</f>
        <v>Europe &amp; Eurasia</v>
      </c>
      <c r="H83" s="17" t="str">
        <f>_xlfn.XLOOKUP(Table2[[#This Row],[Animal]],Table1[Animal],Table1[Transport],"N/A",0)</f>
        <v>Road</v>
      </c>
      <c r="I83">
        <f>_xlfn.XLOOKUP(Table2[[#This Row],[Animal]],Table1[Animal],Table1[Revenue],"N/A",0)</f>
        <v>450</v>
      </c>
      <c r="J83">
        <f>_xlfn.XLOOKUP(Table2[[#This Row],[Animal]],Table1[Animal],Table1[Cost],"N/A",0)</f>
        <v>500</v>
      </c>
      <c r="K83">
        <f>Table2[[#This Row],[Revenue]]-Table2[[#This Row],[Cost]]</f>
        <v>-50</v>
      </c>
    </row>
    <row r="84" spans="1:11" x14ac:dyDescent="0.25">
      <c r="A84" t="s">
        <v>150</v>
      </c>
      <c r="B84" t="str">
        <f>_xlfn.XLOOKUP(Table2[[#This Row],[Animal]],Table1[Animal],Table1[Diet],"Not Found",0)</f>
        <v>Herbivore</v>
      </c>
      <c r="C84" s="19">
        <f>_xlfn.XLOOKUP(Table2[[#This Row],[Animal]],Table1[Animal],Table1[Lifespan (Years)],"N/A",0)</f>
        <v>40</v>
      </c>
      <c r="D84" s="17" t="str">
        <f>_xlfn.XLOOKUP(Table2[[#This Row],[Animal]],Table1[Animal],Table1[Lifespan Group],"N/A",0)</f>
        <v>25-49</v>
      </c>
      <c r="E84" s="17">
        <f>_xlfn.XLOOKUP(Table2[[#This Row],[Animal]],Table1[Animal],Table1[Weight (lbs)],"N/A",0)</f>
        <v>0</v>
      </c>
      <c r="F84" s="17" t="str">
        <f>_xlfn.XLOOKUP(Table2[[#This Row],[Animal]],Table1[Animal],Table1[Weight Group],"N/A",0)</f>
        <v>N/A</v>
      </c>
      <c r="G84" t="str">
        <f>_xlfn.XLOOKUP(Table2[[#This Row],[Animal]],Table1[Animal],Table1[Region],"N/A",0)</f>
        <v>Greater China</v>
      </c>
      <c r="H84" s="17" t="str">
        <f>_xlfn.XLOOKUP(Table2[[#This Row],[Animal]],Table1[Animal],Table1[Transport],"N/A",0)</f>
        <v>Air</v>
      </c>
      <c r="I84">
        <f>_xlfn.XLOOKUP(Table2[[#This Row],[Animal]],Table1[Animal],Table1[Revenue],"N/A",0)</f>
        <v>600</v>
      </c>
      <c r="J84">
        <f>_xlfn.XLOOKUP(Table2[[#This Row],[Animal]],Table1[Animal],Table1[Cost],"N/A",0)</f>
        <v>300</v>
      </c>
      <c r="K84">
        <f>Table2[[#This Row],[Revenue]]-Table2[[#This Row],[Cost]]</f>
        <v>300</v>
      </c>
    </row>
    <row r="85" spans="1:11" x14ac:dyDescent="0.25">
      <c r="A85" t="s">
        <v>151</v>
      </c>
      <c r="B85" t="str">
        <f>_xlfn.XLOOKUP(Table2[[#This Row],[Animal]],Table1[Animal],Table1[Diet],"Not Found",0)</f>
        <v>Omnivore</v>
      </c>
      <c r="C85" s="19">
        <f>_xlfn.XLOOKUP(Table2[[#This Row],[Animal]],Table1[Animal],Table1[Lifespan (Years)],"N/A",0)</f>
        <v>12</v>
      </c>
      <c r="D85" s="17" t="str">
        <f>_xlfn.XLOOKUP(Table2[[#This Row],[Animal]],Table1[Animal],Table1[Lifespan Group],"N/A",0)</f>
        <v>&lt;25</v>
      </c>
      <c r="E85" s="17">
        <f>_xlfn.XLOOKUP(Table2[[#This Row],[Animal]],Table1[Animal],Table1[Weight (lbs)],"N/A",0)</f>
        <v>0</v>
      </c>
      <c r="F85" s="17" t="str">
        <f>_xlfn.XLOOKUP(Table2[[#This Row],[Animal]],Table1[Animal],Table1[Weight Group],"N/A",0)</f>
        <v>N/A</v>
      </c>
      <c r="G85" t="str">
        <f>_xlfn.XLOOKUP(Table2[[#This Row],[Animal]],Table1[Animal],Table1[Region],"N/A",0)</f>
        <v>North America</v>
      </c>
      <c r="H85" s="17" t="str">
        <f>_xlfn.XLOOKUP(Table2[[#This Row],[Animal]],Table1[Animal],Table1[Transport],"N/A",0)</f>
        <v>Boat</v>
      </c>
      <c r="I85">
        <f>_xlfn.XLOOKUP(Table2[[#This Row],[Animal]],Table1[Animal],Table1[Revenue],"N/A",0)</f>
        <v>400</v>
      </c>
      <c r="J85">
        <f>_xlfn.XLOOKUP(Table2[[#This Row],[Animal]],Table1[Animal],Table1[Cost],"N/A",0)</f>
        <v>400</v>
      </c>
      <c r="K85">
        <f>Table2[[#This Row],[Revenue]]-Table2[[#This Row],[Cost]]</f>
        <v>0</v>
      </c>
    </row>
    <row r="86" spans="1:11" x14ac:dyDescent="0.25">
      <c r="A86" t="s">
        <v>153</v>
      </c>
      <c r="B86" t="str">
        <f>_xlfn.XLOOKUP(Table2[[#This Row],[Animal]],Table1[Animal],Table1[Diet],"Not Found",0)</f>
        <v>Carnivore</v>
      </c>
      <c r="C86" s="19">
        <f>_xlfn.XLOOKUP(Table2[[#This Row],[Animal]],Table1[Animal],Table1[Lifespan (Years)],"N/A",0)</f>
        <v>30</v>
      </c>
      <c r="D86" s="17" t="str">
        <f>_xlfn.XLOOKUP(Table2[[#This Row],[Animal]],Table1[Animal],Table1[Lifespan Group],"N/A",0)</f>
        <v>25-49</v>
      </c>
      <c r="E86" s="17">
        <f>_xlfn.XLOOKUP(Table2[[#This Row],[Animal]],Table1[Animal],Table1[Weight (lbs)],"N/A",0)</f>
        <v>3</v>
      </c>
      <c r="F86" s="17" t="str">
        <f>_xlfn.XLOOKUP(Table2[[#This Row],[Animal]],Table1[Animal],Table1[Weight Group],"N/A",0)</f>
        <v>&lt;100</v>
      </c>
      <c r="G86" t="str">
        <f>_xlfn.XLOOKUP(Table2[[#This Row],[Animal]],Table1[Animal],Table1[Region],"N/A",0)</f>
        <v>Africa &amp; MENA</v>
      </c>
      <c r="H86" s="17" t="str">
        <f>_xlfn.XLOOKUP(Table2[[#This Row],[Animal]],Table1[Animal],Table1[Transport],"N/A",0)</f>
        <v>Air</v>
      </c>
      <c r="I86">
        <f>_xlfn.XLOOKUP(Table2[[#This Row],[Animal]],Table1[Animal],Table1[Revenue],"N/A",0)</f>
        <v>600</v>
      </c>
      <c r="J86">
        <f>_xlfn.XLOOKUP(Table2[[#This Row],[Animal]],Table1[Animal],Table1[Cost],"N/A",0)</f>
        <v>500</v>
      </c>
      <c r="K86">
        <f>Table2[[#This Row],[Revenue]]-Table2[[#This Row],[Cost]]</f>
        <v>100</v>
      </c>
    </row>
    <row r="87" spans="1:11" x14ac:dyDescent="0.25">
      <c r="A87" t="s">
        <v>154</v>
      </c>
      <c r="B87" t="str">
        <f>_xlfn.XLOOKUP(Table2[[#This Row],[Animal]],Table1[Animal],Table1[Diet],"Not Found",0)</f>
        <v>Omnivore</v>
      </c>
      <c r="C87" s="19">
        <f>_xlfn.XLOOKUP(Table2[[#This Row],[Animal]],Table1[Animal],Table1[Lifespan (Years)],"N/A",0)</f>
        <v>14</v>
      </c>
      <c r="D87" s="17" t="str">
        <f>_xlfn.XLOOKUP(Table2[[#This Row],[Animal]],Table1[Animal],Table1[Lifespan Group],"N/A",0)</f>
        <v>&lt;25</v>
      </c>
      <c r="E87" s="17">
        <f>_xlfn.XLOOKUP(Table2[[#This Row],[Animal]],Table1[Animal],Table1[Weight (lbs)],"N/A",0)</f>
        <v>14</v>
      </c>
      <c r="F87" s="17" t="str">
        <f>_xlfn.XLOOKUP(Table2[[#This Row],[Animal]],Table1[Animal],Table1[Weight Group],"N/A",0)</f>
        <v>&lt;100</v>
      </c>
      <c r="G87" t="str">
        <f>_xlfn.XLOOKUP(Table2[[#This Row],[Animal]],Table1[Animal],Table1[Region],"N/A",0)</f>
        <v>South Asia</v>
      </c>
      <c r="H87" s="17" t="str">
        <f>_xlfn.XLOOKUP(Table2[[#This Row],[Animal]],Table1[Animal],Table1[Transport],"N/A",0)</f>
        <v>Air</v>
      </c>
      <c r="I87">
        <f>_xlfn.XLOOKUP(Table2[[#This Row],[Animal]],Table1[Animal],Table1[Revenue],"N/A",0)</f>
        <v>450</v>
      </c>
      <c r="J87">
        <f>_xlfn.XLOOKUP(Table2[[#This Row],[Animal]],Table1[Animal],Table1[Cost],"N/A",0)</f>
        <v>400</v>
      </c>
      <c r="K87">
        <f>Table2[[#This Row],[Revenue]]-Table2[[#This Row],[Cost]]</f>
        <v>50</v>
      </c>
    </row>
    <row r="88" spans="1:11" x14ac:dyDescent="0.25">
      <c r="A88" t="s">
        <v>155</v>
      </c>
      <c r="B88" t="str">
        <f>_xlfn.XLOOKUP(Table2[[#This Row],[Animal]],Table1[Animal],Table1[Diet],"Not Found",0)</f>
        <v>Herbivore</v>
      </c>
      <c r="C88" s="19">
        <f>_xlfn.XLOOKUP(Table2[[#This Row],[Animal]],Table1[Animal],Table1[Lifespan (Years)],"N/A",0)</f>
        <v>50</v>
      </c>
      <c r="D88" s="17" t="str">
        <f>_xlfn.XLOOKUP(Table2[[#This Row],[Animal]],Table1[Animal],Table1[Lifespan Group],"N/A",0)</f>
        <v>50-74</v>
      </c>
      <c r="E88" s="17">
        <f>_xlfn.XLOOKUP(Table2[[#This Row],[Animal]],Table1[Animal],Table1[Weight (lbs)],"N/A",0)</f>
        <v>660</v>
      </c>
      <c r="F88" s="17" t="str">
        <f>_xlfn.XLOOKUP(Table2[[#This Row],[Animal]],Table1[Animal],Table1[Weight Group],"N/A",0)</f>
        <v>&gt;=500</v>
      </c>
      <c r="G88" t="str">
        <f>_xlfn.XLOOKUP(Table2[[#This Row],[Animal]],Table1[Animal],Table1[Region],"N/A",0)</f>
        <v>North America</v>
      </c>
      <c r="H88" s="17" t="str">
        <f>_xlfn.XLOOKUP(Table2[[#This Row],[Animal]],Table1[Animal],Table1[Transport],"N/A",0)</f>
        <v>Boat</v>
      </c>
      <c r="I88">
        <f>_xlfn.XLOOKUP(Table2[[#This Row],[Animal]],Table1[Animal],Table1[Revenue],"N/A",0)</f>
        <v>400</v>
      </c>
      <c r="J88">
        <f>_xlfn.XLOOKUP(Table2[[#This Row],[Animal]],Table1[Animal],Table1[Cost],"N/A",0)</f>
        <v>300</v>
      </c>
      <c r="K88">
        <f>Table2[[#This Row],[Revenue]]-Table2[[#This Row],[Cost]]</f>
        <v>100</v>
      </c>
    </row>
    <row r="89" spans="1:11" x14ac:dyDescent="0.25">
      <c r="A89" t="s">
        <v>156</v>
      </c>
      <c r="B89" t="str">
        <f>_xlfn.XLOOKUP(Table2[[#This Row],[Animal]],Table1[Animal],Table1[Diet],"Not Found",0)</f>
        <v>Herbivore</v>
      </c>
      <c r="C89" s="19">
        <f>_xlfn.XLOOKUP(Table2[[#This Row],[Animal]],Table1[Animal],Table1[Lifespan (Years)],"N/A",0)</f>
        <v>10</v>
      </c>
      <c r="D89" s="17" t="str">
        <f>_xlfn.XLOOKUP(Table2[[#This Row],[Animal]],Table1[Animal],Table1[Lifespan Group],"N/A",0)</f>
        <v>&lt;25</v>
      </c>
      <c r="E89" s="17">
        <f>_xlfn.XLOOKUP(Table2[[#This Row],[Animal]],Table1[Animal],Table1[Weight (lbs)],"N/A",0)</f>
        <v>66</v>
      </c>
      <c r="F89" s="17" t="str">
        <f>_xlfn.XLOOKUP(Table2[[#This Row],[Animal]],Table1[Animal],Table1[Weight Group],"N/A",0)</f>
        <v>&lt;100</v>
      </c>
      <c r="G89" t="str">
        <f>_xlfn.XLOOKUP(Table2[[#This Row],[Animal]],Table1[Animal],Table1[Region],"N/A",0)</f>
        <v>Latin America</v>
      </c>
      <c r="H89" s="17" t="str">
        <f>_xlfn.XLOOKUP(Table2[[#This Row],[Animal]],Table1[Animal],Table1[Transport],"N/A",0)</f>
        <v>Boat</v>
      </c>
      <c r="I89">
        <f>_xlfn.XLOOKUP(Table2[[#This Row],[Animal]],Table1[Animal],Table1[Revenue],"N/A",0)</f>
        <v>200</v>
      </c>
      <c r="J89">
        <f>_xlfn.XLOOKUP(Table2[[#This Row],[Animal]],Table1[Animal],Table1[Cost],"N/A",0)</f>
        <v>300</v>
      </c>
      <c r="K89">
        <f>Table2[[#This Row],[Revenue]]-Table2[[#This Row],[Cost]]</f>
        <v>-100</v>
      </c>
    </row>
    <row r="90" spans="1:11" x14ac:dyDescent="0.25">
      <c r="A90" t="s">
        <v>157</v>
      </c>
      <c r="B90" t="str">
        <f>_xlfn.XLOOKUP(Table2[[#This Row],[Animal]],Table1[Animal],Table1[Diet],"Not Found",0)</f>
        <v>Carnivore</v>
      </c>
      <c r="C90" s="19">
        <f>_xlfn.XLOOKUP(Table2[[#This Row],[Animal]],Table1[Animal],Table1[Lifespan (Years)],"N/A",0)</f>
        <v>15</v>
      </c>
      <c r="D90" s="17" t="str">
        <f>_xlfn.XLOOKUP(Table2[[#This Row],[Animal]],Table1[Animal],Table1[Lifespan Group],"N/A",0)</f>
        <v>&lt;25</v>
      </c>
      <c r="E90" s="17">
        <f>_xlfn.XLOOKUP(Table2[[#This Row],[Animal]],Table1[Animal],Table1[Weight (lbs)],"N/A",0)</f>
        <v>24</v>
      </c>
      <c r="F90" s="17" t="str">
        <f>_xlfn.XLOOKUP(Table2[[#This Row],[Animal]],Table1[Animal],Table1[Weight Group],"N/A",0)</f>
        <v>&lt;100</v>
      </c>
      <c r="G90" t="str">
        <f>_xlfn.XLOOKUP(Table2[[#This Row],[Animal]],Table1[Animal],Table1[Region],"N/A",0)</f>
        <v>Europe &amp; Eurasia</v>
      </c>
      <c r="H90" s="17" t="str">
        <f>_xlfn.XLOOKUP(Table2[[#This Row],[Animal]],Table1[Animal],Table1[Transport],"N/A",0)</f>
        <v>Road</v>
      </c>
      <c r="I90">
        <f>_xlfn.XLOOKUP(Table2[[#This Row],[Animal]],Table1[Animal],Table1[Revenue],"N/A",0)</f>
        <v>450</v>
      </c>
      <c r="J90">
        <f>_xlfn.XLOOKUP(Table2[[#This Row],[Animal]],Table1[Animal],Table1[Cost],"N/A",0)</f>
        <v>500</v>
      </c>
      <c r="K90">
        <f>Table2[[#This Row],[Revenue]]-Table2[[#This Row],[Cost]]</f>
        <v>-50</v>
      </c>
    </row>
    <row r="91" spans="1:11" x14ac:dyDescent="0.25">
      <c r="A91" t="s">
        <v>158</v>
      </c>
      <c r="B91" t="str">
        <f>_xlfn.XLOOKUP(Table2[[#This Row],[Animal]],Table1[Animal],Table1[Diet],"Not Found",0)</f>
        <v>Omnivore</v>
      </c>
      <c r="C91" s="19">
        <f>_xlfn.XLOOKUP(Table2[[#This Row],[Animal]],Table1[Animal],Table1[Lifespan (Years)],"N/A",0)</f>
        <v>60</v>
      </c>
      <c r="D91" s="17" t="str">
        <f>_xlfn.XLOOKUP(Table2[[#This Row],[Animal]],Table1[Animal],Table1[Lifespan Group],"N/A",0)</f>
        <v>50-74</v>
      </c>
      <c r="E91" s="17">
        <f>_xlfn.XLOOKUP(Table2[[#This Row],[Animal]],Table1[Animal],Table1[Weight (lbs)],"N/A",0)</f>
        <v>55</v>
      </c>
      <c r="F91" s="17" t="str">
        <f>_xlfn.XLOOKUP(Table2[[#This Row],[Animal]],Table1[Animal],Table1[Weight Group],"N/A",0)</f>
        <v>&lt;100</v>
      </c>
      <c r="G91" t="str">
        <f>_xlfn.XLOOKUP(Table2[[#This Row],[Animal]],Table1[Animal],Table1[Region],"N/A",0)</f>
        <v>Europe &amp; Eurasia</v>
      </c>
      <c r="H91" s="17" t="str">
        <f>_xlfn.XLOOKUP(Table2[[#This Row],[Animal]],Table1[Animal],Table1[Transport],"N/A",0)</f>
        <v>Road</v>
      </c>
      <c r="I91">
        <f>_xlfn.XLOOKUP(Table2[[#This Row],[Animal]],Table1[Animal],Table1[Revenue],"N/A",0)</f>
        <v>450</v>
      </c>
      <c r="J91">
        <f>_xlfn.XLOOKUP(Table2[[#This Row],[Animal]],Table1[Animal],Table1[Cost],"N/A",0)</f>
        <v>400</v>
      </c>
      <c r="K91">
        <f>Table2[[#This Row],[Revenue]]-Table2[[#This Row],[Cost]]</f>
        <v>50</v>
      </c>
    </row>
    <row r="92" spans="1:11" x14ac:dyDescent="0.25">
      <c r="A92" t="s">
        <v>159</v>
      </c>
      <c r="B92" t="str">
        <f>_xlfn.XLOOKUP(Table2[[#This Row],[Animal]],Table1[Animal],Table1[Diet],"Not Found",0)</f>
        <v>Herbivore</v>
      </c>
      <c r="C92" s="19">
        <f>_xlfn.XLOOKUP(Table2[[#This Row],[Animal]],Table1[Animal],Table1[Lifespan (Years)],"N/A",0)</f>
        <v>3</v>
      </c>
      <c r="D92" s="17" t="str">
        <f>_xlfn.XLOOKUP(Table2[[#This Row],[Animal]],Table1[Animal],Table1[Lifespan Group],"N/A",0)</f>
        <v>&lt;25</v>
      </c>
      <c r="E92" s="17">
        <f>_xlfn.XLOOKUP(Table2[[#This Row],[Animal]],Table1[Animal],Table1[Weight (lbs)],"N/A",0)</f>
        <v>0</v>
      </c>
      <c r="F92" s="17" t="str">
        <f>_xlfn.XLOOKUP(Table2[[#This Row],[Animal]],Table1[Animal],Table1[Weight Group],"N/A",0)</f>
        <v>N/A</v>
      </c>
      <c r="G92" t="str">
        <f>_xlfn.XLOOKUP(Table2[[#This Row],[Animal]],Table1[Animal],Table1[Region],"N/A",0)</f>
        <v>South Asia</v>
      </c>
      <c r="H92" s="17" t="str">
        <f>_xlfn.XLOOKUP(Table2[[#This Row],[Animal]],Table1[Animal],Table1[Transport],"N/A",0)</f>
        <v>Air</v>
      </c>
      <c r="I92">
        <f>_xlfn.XLOOKUP(Table2[[#This Row],[Animal]],Table1[Animal],Table1[Revenue],"N/A",0)</f>
        <v>450</v>
      </c>
      <c r="J92">
        <f>_xlfn.XLOOKUP(Table2[[#This Row],[Animal]],Table1[Animal],Table1[Cost],"N/A",0)</f>
        <v>300</v>
      </c>
      <c r="K92">
        <f>Table2[[#This Row],[Revenue]]-Table2[[#This Row],[Cost]]</f>
        <v>150</v>
      </c>
    </row>
    <row r="93" spans="1:11" x14ac:dyDescent="0.25">
      <c r="A93" t="s">
        <v>160</v>
      </c>
      <c r="B93" t="str">
        <f>_xlfn.XLOOKUP(Table2[[#This Row],[Animal]],Table1[Animal],Table1[Diet],"Not Found",0)</f>
        <v>Carnivore</v>
      </c>
      <c r="C93" s="19">
        <f>_xlfn.XLOOKUP(Table2[[#This Row],[Animal]],Table1[Animal],Table1[Lifespan (Years)],"N/A",0)</f>
        <v>20</v>
      </c>
      <c r="D93" s="17" t="str">
        <f>_xlfn.XLOOKUP(Table2[[#This Row],[Animal]],Table1[Animal],Table1[Lifespan Group],"N/A",0)</f>
        <v>&lt;25</v>
      </c>
      <c r="E93" s="17">
        <f>_xlfn.XLOOKUP(Table2[[#This Row],[Animal]],Table1[Animal],Table1[Weight (lbs)],"N/A",0)</f>
        <v>0</v>
      </c>
      <c r="F93" s="17" t="str">
        <f>_xlfn.XLOOKUP(Table2[[#This Row],[Animal]],Table1[Animal],Table1[Weight Group],"N/A",0)</f>
        <v>N/A</v>
      </c>
      <c r="G93" t="str">
        <f>_xlfn.XLOOKUP(Table2[[#This Row],[Animal]],Table1[Animal],Table1[Region],"N/A",0)</f>
        <v>South Asia</v>
      </c>
      <c r="H93" s="17" t="str">
        <f>_xlfn.XLOOKUP(Table2[[#This Row],[Animal]],Table1[Animal],Table1[Transport],"N/A",0)</f>
        <v>Air</v>
      </c>
      <c r="I93">
        <f>_xlfn.XLOOKUP(Table2[[#This Row],[Animal]],Table1[Animal],Table1[Revenue],"N/A",0)</f>
        <v>450</v>
      </c>
      <c r="J93">
        <f>_xlfn.XLOOKUP(Table2[[#This Row],[Animal]],Table1[Animal],Table1[Cost],"N/A",0)</f>
        <v>500</v>
      </c>
      <c r="K93">
        <f>Table2[[#This Row],[Revenue]]-Table2[[#This Row],[Cost]]</f>
        <v>-50</v>
      </c>
    </row>
    <row r="94" spans="1:11" x14ac:dyDescent="0.25">
      <c r="A94" t="s">
        <v>162</v>
      </c>
      <c r="B94" t="str">
        <f>_xlfn.XLOOKUP(Table2[[#This Row],[Animal]],Table1[Animal],Table1[Diet],"Not Found",0)</f>
        <v>Carnivore</v>
      </c>
      <c r="C94" s="19">
        <f>_xlfn.XLOOKUP(Table2[[#This Row],[Animal]],Table1[Animal],Table1[Lifespan (Years)],"N/A",0)</f>
        <v>5</v>
      </c>
      <c r="D94" s="17" t="str">
        <f>_xlfn.XLOOKUP(Table2[[#This Row],[Animal]],Table1[Animal],Table1[Lifespan Group],"N/A",0)</f>
        <v>&lt;25</v>
      </c>
      <c r="E94" s="17">
        <f>_xlfn.XLOOKUP(Table2[[#This Row],[Animal]],Table1[Animal],Table1[Weight (lbs)],"N/A",0)</f>
        <v>0</v>
      </c>
      <c r="F94" s="17" t="str">
        <f>_xlfn.XLOOKUP(Table2[[#This Row],[Animal]],Table1[Animal],Table1[Weight Group],"N/A",0)</f>
        <v>N/A</v>
      </c>
      <c r="G94" t="str">
        <f>_xlfn.XLOOKUP(Table2[[#This Row],[Animal]],Table1[Animal],Table1[Region],"N/A",0)</f>
        <v>North America</v>
      </c>
      <c r="H94" s="17" t="str">
        <f>_xlfn.XLOOKUP(Table2[[#This Row],[Animal]],Table1[Animal],Table1[Transport],"N/A",0)</f>
        <v>Boat</v>
      </c>
      <c r="I94">
        <f>_xlfn.XLOOKUP(Table2[[#This Row],[Animal]],Table1[Animal],Table1[Revenue],"N/A",0)</f>
        <v>400</v>
      </c>
      <c r="J94">
        <f>_xlfn.XLOOKUP(Table2[[#This Row],[Animal]],Table1[Animal],Table1[Cost],"N/A",0)</f>
        <v>500</v>
      </c>
      <c r="K94">
        <f>Table2[[#This Row],[Revenue]]-Table2[[#This Row],[Cost]]</f>
        <v>-100</v>
      </c>
    </row>
    <row r="95" spans="1:11" x14ac:dyDescent="0.25">
      <c r="A95" t="s">
        <v>163</v>
      </c>
      <c r="B95" t="str">
        <f>_xlfn.XLOOKUP(Table2[[#This Row],[Animal]],Table1[Animal],Table1[Diet],"Not Found",0)</f>
        <v>Omnivore</v>
      </c>
      <c r="C95" s="19">
        <f>_xlfn.XLOOKUP(Table2[[#This Row],[Animal]],Table1[Animal],Table1[Lifespan (Years)],"N/A",0)</f>
        <v>15</v>
      </c>
      <c r="D95" s="17" t="str">
        <f>_xlfn.XLOOKUP(Table2[[#This Row],[Animal]],Table1[Animal],Table1[Lifespan Group],"N/A",0)</f>
        <v>&lt;25</v>
      </c>
      <c r="E95" s="17">
        <f>_xlfn.XLOOKUP(Table2[[#This Row],[Animal]],Table1[Animal],Table1[Weight (lbs)],"N/A",0)</f>
        <v>75</v>
      </c>
      <c r="F95" s="17" t="str">
        <f>_xlfn.XLOOKUP(Table2[[#This Row],[Animal]],Table1[Animal],Table1[Weight Group],"N/A",0)</f>
        <v>&lt;100</v>
      </c>
      <c r="G95" t="str">
        <f>_xlfn.XLOOKUP(Table2[[#This Row],[Animal]],Table1[Animal],Table1[Region],"N/A",0)</f>
        <v>North America</v>
      </c>
      <c r="H95" s="17" t="str">
        <f>_xlfn.XLOOKUP(Table2[[#This Row],[Animal]],Table1[Animal],Table1[Transport],"N/A",0)</f>
        <v>Boat</v>
      </c>
      <c r="I95">
        <f>_xlfn.XLOOKUP(Table2[[#This Row],[Animal]],Table1[Animal],Table1[Revenue],"N/A",0)</f>
        <v>400</v>
      </c>
      <c r="J95">
        <f>_xlfn.XLOOKUP(Table2[[#This Row],[Animal]],Table1[Animal],Table1[Cost],"N/A",0)</f>
        <v>400</v>
      </c>
      <c r="K95">
        <f>Table2[[#This Row],[Revenue]]-Table2[[#This Row],[Cost]]</f>
        <v>0</v>
      </c>
    </row>
    <row r="96" spans="1:11" x14ac:dyDescent="0.25">
      <c r="A96" t="s">
        <v>164</v>
      </c>
      <c r="B96" t="str">
        <f>_xlfn.XLOOKUP(Table2[[#This Row],[Animal]],Table1[Animal],Table1[Diet],"Not Found",0)</f>
        <v>Omnivore</v>
      </c>
      <c r="C96" s="19">
        <f>_xlfn.XLOOKUP(Table2[[#This Row],[Animal]],Table1[Animal],Table1[Lifespan (Years)],"N/A",0)</f>
        <v>8</v>
      </c>
      <c r="D96" s="17" t="str">
        <f>_xlfn.XLOOKUP(Table2[[#This Row],[Animal]],Table1[Animal],Table1[Lifespan Group],"N/A",0)</f>
        <v>&lt;25</v>
      </c>
      <c r="E96" s="17">
        <f>_xlfn.XLOOKUP(Table2[[#This Row],[Animal]],Table1[Animal],Table1[Weight (lbs)],"N/A",0)</f>
        <v>0.02</v>
      </c>
      <c r="F96" s="17" t="str">
        <f>_xlfn.XLOOKUP(Table2[[#This Row],[Animal]],Table1[Animal],Table1[Weight Group],"N/A",0)</f>
        <v>&lt;100</v>
      </c>
      <c r="G96" t="str">
        <f>_xlfn.XLOOKUP(Table2[[#This Row],[Animal]],Table1[Animal],Table1[Region],"N/A",0)</f>
        <v>North America</v>
      </c>
      <c r="H96" s="17" t="str">
        <f>_xlfn.XLOOKUP(Table2[[#This Row],[Animal]],Table1[Animal],Table1[Transport],"N/A",0)</f>
        <v>Boat</v>
      </c>
      <c r="I96">
        <f>_xlfn.XLOOKUP(Table2[[#This Row],[Animal]],Table1[Animal],Table1[Revenue],"N/A",0)</f>
        <v>400</v>
      </c>
      <c r="J96">
        <f>_xlfn.XLOOKUP(Table2[[#This Row],[Animal]],Table1[Animal],Table1[Cost],"N/A",0)</f>
        <v>400</v>
      </c>
      <c r="K96">
        <f>Table2[[#This Row],[Revenue]]-Table2[[#This Row],[Cost]]</f>
        <v>0</v>
      </c>
    </row>
    <row r="97" spans="1:11" x14ac:dyDescent="0.25">
      <c r="A97" t="s">
        <v>165</v>
      </c>
      <c r="B97" t="str">
        <f>_xlfn.XLOOKUP(Table2[[#This Row],[Animal]],Table1[Animal],Table1[Diet],"Not Found",0)</f>
        <v>Herbivore</v>
      </c>
      <c r="C97" s="19">
        <f>_xlfn.XLOOKUP(Table2[[#This Row],[Animal]],Table1[Animal],Table1[Lifespan (Years)],"N/A",0)</f>
        <v>22</v>
      </c>
      <c r="D97" s="17" t="str">
        <f>_xlfn.XLOOKUP(Table2[[#This Row],[Animal]],Table1[Animal],Table1[Lifespan Group],"N/A",0)</f>
        <v>&lt;25</v>
      </c>
      <c r="E97" s="17">
        <f>_xlfn.XLOOKUP(Table2[[#This Row],[Animal]],Table1[Animal],Table1[Weight (lbs)],"N/A",0)</f>
        <v>110</v>
      </c>
      <c r="F97" s="17" t="str">
        <f>_xlfn.XLOOKUP(Table2[[#This Row],[Animal]],Table1[Animal],Table1[Weight Group],"N/A",0)</f>
        <v>100-199</v>
      </c>
      <c r="G97" t="str">
        <f>_xlfn.XLOOKUP(Table2[[#This Row],[Animal]],Table1[Animal],Table1[Region],"N/A",0)</f>
        <v>Europe &amp; Eurasia</v>
      </c>
      <c r="H97" s="17" t="str">
        <f>_xlfn.XLOOKUP(Table2[[#This Row],[Animal]],Table1[Animal],Table1[Transport],"N/A",0)</f>
        <v>Road</v>
      </c>
      <c r="I97">
        <f>_xlfn.XLOOKUP(Table2[[#This Row],[Animal]],Table1[Animal],Table1[Revenue],"N/A",0)</f>
        <v>450</v>
      </c>
      <c r="J97">
        <f>_xlfn.XLOOKUP(Table2[[#This Row],[Animal]],Table1[Animal],Table1[Cost],"N/A",0)</f>
        <v>300</v>
      </c>
      <c r="K97">
        <f>Table2[[#This Row],[Revenue]]-Table2[[#This Row],[Cost]]</f>
        <v>150</v>
      </c>
    </row>
    <row r="98" spans="1:11" x14ac:dyDescent="0.25">
      <c r="A98" t="s">
        <v>166</v>
      </c>
      <c r="B98" t="str">
        <f>_xlfn.XLOOKUP(Table2[[#This Row],[Animal]],Table1[Animal],Table1[Diet],"Not Found",0)</f>
        <v>Carnivore</v>
      </c>
      <c r="C98" s="19">
        <f>_xlfn.XLOOKUP(Table2[[#This Row],[Animal]],Table1[Animal],Table1[Lifespan (Years)],"N/A",0)</f>
        <v>12</v>
      </c>
      <c r="D98" s="17" t="str">
        <f>_xlfn.XLOOKUP(Table2[[#This Row],[Animal]],Table1[Animal],Table1[Lifespan Group],"N/A",0)</f>
        <v>&lt;25</v>
      </c>
      <c r="E98" s="17">
        <f>_xlfn.XLOOKUP(Table2[[#This Row],[Animal]],Table1[Animal],Table1[Weight (lbs)],"N/A",0)</f>
        <v>88</v>
      </c>
      <c r="F98" s="17" t="str">
        <f>_xlfn.XLOOKUP(Table2[[#This Row],[Animal]],Table1[Animal],Table1[Weight Group],"N/A",0)</f>
        <v>&lt;100</v>
      </c>
      <c r="G98" t="str">
        <f>_xlfn.XLOOKUP(Table2[[#This Row],[Animal]],Table1[Animal],Table1[Region],"N/A",0)</f>
        <v>North America</v>
      </c>
      <c r="H98" s="17" t="str">
        <f>_xlfn.XLOOKUP(Table2[[#This Row],[Animal]],Table1[Animal],Table1[Transport],"N/A",0)</f>
        <v>Boat</v>
      </c>
      <c r="I98">
        <f>_xlfn.XLOOKUP(Table2[[#This Row],[Animal]],Table1[Animal],Table1[Revenue],"N/A",0)</f>
        <v>400</v>
      </c>
      <c r="J98">
        <f>_xlfn.XLOOKUP(Table2[[#This Row],[Animal]],Table1[Animal],Table1[Cost],"N/A",0)</f>
        <v>500</v>
      </c>
      <c r="K98">
        <f>Table2[[#This Row],[Revenue]]-Table2[[#This Row],[Cost]]</f>
        <v>-100</v>
      </c>
    </row>
    <row r="99" spans="1:11" x14ac:dyDescent="0.25">
      <c r="A99" t="s">
        <v>167</v>
      </c>
      <c r="B99" t="str">
        <f>_xlfn.XLOOKUP(Table2[[#This Row],[Animal]],Table1[Animal],Table1[Diet],"Not Found",0)</f>
        <v>Omnivore</v>
      </c>
      <c r="C99" s="19">
        <f>_xlfn.XLOOKUP(Table2[[#This Row],[Animal]],Table1[Animal],Table1[Lifespan (Years)],"N/A",0)</f>
        <v>13</v>
      </c>
      <c r="D99" s="17" t="str">
        <f>_xlfn.XLOOKUP(Table2[[#This Row],[Animal]],Table1[Animal],Table1[Lifespan Group],"N/A",0)</f>
        <v>&lt;25</v>
      </c>
      <c r="E99" s="17">
        <f>_xlfn.XLOOKUP(Table2[[#This Row],[Animal]],Table1[Animal],Table1[Weight (lbs)],"N/A",0)</f>
        <v>75</v>
      </c>
      <c r="F99" s="17" t="str">
        <f>_xlfn.XLOOKUP(Table2[[#This Row],[Animal]],Table1[Animal],Table1[Weight Group],"N/A",0)</f>
        <v>&lt;100</v>
      </c>
      <c r="G99" t="str">
        <f>_xlfn.XLOOKUP(Table2[[#This Row],[Animal]],Table1[Animal],Table1[Region],"N/A",0)</f>
        <v>Europe &amp; Eurasia</v>
      </c>
      <c r="H99" s="17" t="str">
        <f>_xlfn.XLOOKUP(Table2[[#This Row],[Animal]],Table1[Animal],Table1[Transport],"N/A",0)</f>
        <v>Road</v>
      </c>
      <c r="I99">
        <f>_xlfn.XLOOKUP(Table2[[#This Row],[Animal]],Table1[Animal],Table1[Revenue],"N/A",0)</f>
        <v>450</v>
      </c>
      <c r="J99">
        <f>_xlfn.XLOOKUP(Table2[[#This Row],[Animal]],Table1[Animal],Table1[Cost],"N/A",0)</f>
        <v>400</v>
      </c>
      <c r="K99">
        <f>Table2[[#This Row],[Revenue]]-Table2[[#This Row],[Cost]]</f>
        <v>50</v>
      </c>
    </row>
    <row r="100" spans="1:11" x14ac:dyDescent="0.25">
      <c r="A100" t="s">
        <v>168</v>
      </c>
      <c r="B100" t="str">
        <f>_xlfn.XLOOKUP(Table2[[#This Row],[Animal]],Table1[Animal],Table1[Diet],"Not Found",0)</f>
        <v>Omnivore</v>
      </c>
      <c r="C100" s="19">
        <f>_xlfn.XLOOKUP(Table2[[#This Row],[Animal]],Table1[Animal],Table1[Lifespan (Years)],"N/A",0)</f>
        <v>4</v>
      </c>
      <c r="D100" s="17" t="str">
        <f>_xlfn.XLOOKUP(Table2[[#This Row],[Animal]],Table1[Animal],Table1[Lifespan Group],"N/A",0)</f>
        <v>&lt;25</v>
      </c>
      <c r="E100" s="17">
        <f>_xlfn.XLOOKUP(Table2[[#This Row],[Animal]],Table1[Animal],Table1[Weight (lbs)],"N/A",0)</f>
        <v>2.2000000000000002</v>
      </c>
      <c r="F100" s="17" t="str">
        <f>_xlfn.XLOOKUP(Table2[[#This Row],[Animal]],Table1[Animal],Table1[Weight Group],"N/A",0)</f>
        <v>&lt;100</v>
      </c>
      <c r="G100" t="str">
        <f>_xlfn.XLOOKUP(Table2[[#This Row],[Animal]],Table1[Animal],Table1[Region],"N/A",0)</f>
        <v>Europe &amp; Eurasia</v>
      </c>
      <c r="H100" s="17" t="str">
        <f>_xlfn.XLOOKUP(Table2[[#This Row],[Animal]],Table1[Animal],Table1[Transport],"N/A",0)</f>
        <v>Road</v>
      </c>
      <c r="I100">
        <f>_xlfn.XLOOKUP(Table2[[#This Row],[Animal]],Table1[Animal],Table1[Revenue],"N/A",0)</f>
        <v>450</v>
      </c>
      <c r="J100">
        <f>_xlfn.XLOOKUP(Table2[[#This Row],[Animal]],Table1[Animal],Table1[Cost],"N/A",0)</f>
        <v>400</v>
      </c>
      <c r="K100">
        <f>Table2[[#This Row],[Revenue]]-Table2[[#This Row],[Cost]]</f>
        <v>50</v>
      </c>
    </row>
    <row r="101" spans="1:11" x14ac:dyDescent="0.25">
      <c r="A101" t="s">
        <v>169</v>
      </c>
      <c r="B101" t="str">
        <f>_xlfn.XLOOKUP(Table2[[#This Row],[Animal]],Table1[Animal],Table1[Diet],"Not Found",0)</f>
        <v>Omnivore</v>
      </c>
      <c r="C101" s="19">
        <f>_xlfn.XLOOKUP(Table2[[#This Row],[Animal]],Table1[Animal],Table1[Lifespan (Years)],"N/A",0)</f>
        <v>18</v>
      </c>
      <c r="D101" s="17" t="str">
        <f>_xlfn.XLOOKUP(Table2[[#This Row],[Animal]],Table1[Animal],Table1[Lifespan Group],"N/A",0)</f>
        <v>&lt;25</v>
      </c>
      <c r="E101" s="17">
        <f>_xlfn.XLOOKUP(Table2[[#This Row],[Animal]],Table1[Animal],Table1[Weight (lbs)],"N/A",0)</f>
        <v>6</v>
      </c>
      <c r="F101" s="17" t="str">
        <f>_xlfn.XLOOKUP(Table2[[#This Row],[Animal]],Table1[Animal],Table1[Weight Group],"N/A",0)</f>
        <v>&lt;100</v>
      </c>
      <c r="G101" t="str">
        <f>_xlfn.XLOOKUP(Table2[[#This Row],[Animal]],Table1[Animal],Table1[Region],"N/A",0)</f>
        <v>North America</v>
      </c>
      <c r="H101" s="17" t="str">
        <f>_xlfn.XLOOKUP(Table2[[#This Row],[Animal]],Table1[Animal],Table1[Transport],"N/A",0)</f>
        <v>Boat</v>
      </c>
      <c r="I101">
        <f>_xlfn.XLOOKUP(Table2[[#This Row],[Animal]],Table1[Animal],Table1[Revenue],"N/A",0)</f>
        <v>400</v>
      </c>
      <c r="J101">
        <f>_xlfn.XLOOKUP(Table2[[#This Row],[Animal]],Table1[Animal],Table1[Cost],"N/A",0)</f>
        <v>400</v>
      </c>
      <c r="K101">
        <f>Table2[[#This Row],[Revenue]]-Table2[[#This Row],[Cost]]</f>
        <v>0</v>
      </c>
    </row>
    <row r="102" spans="1:11" x14ac:dyDescent="0.25">
      <c r="A102" t="s">
        <v>171</v>
      </c>
      <c r="B102" t="str">
        <f>_xlfn.XLOOKUP(Table2[[#This Row],[Animal]],Table1[Animal],Table1[Diet],"Not Found",0)</f>
        <v>Omnivore</v>
      </c>
      <c r="C102" s="19">
        <f>_xlfn.XLOOKUP(Table2[[#This Row],[Animal]],Table1[Animal],Table1[Lifespan (Years)],"N/A",0)</f>
        <v>60</v>
      </c>
      <c r="D102" s="17" t="str">
        <f>_xlfn.XLOOKUP(Table2[[#This Row],[Animal]],Table1[Animal],Table1[Lifespan Group],"N/A",0)</f>
        <v>50-74</v>
      </c>
      <c r="E102" s="17">
        <f>_xlfn.XLOOKUP(Table2[[#This Row],[Animal]],Table1[Animal],Table1[Weight (lbs)],"N/A",0)</f>
        <v>57</v>
      </c>
      <c r="F102" s="17" t="str">
        <f>_xlfn.XLOOKUP(Table2[[#This Row],[Animal]],Table1[Animal],Table1[Weight Group],"N/A",0)</f>
        <v>&lt;100</v>
      </c>
      <c r="G102" t="str">
        <f>_xlfn.XLOOKUP(Table2[[#This Row],[Animal]],Table1[Animal],Table1[Region],"N/A",0)</f>
        <v>Europe &amp; Eurasia</v>
      </c>
      <c r="H102" s="17" t="str">
        <f>_xlfn.XLOOKUP(Table2[[#This Row],[Animal]],Table1[Animal],Table1[Transport],"N/A",0)</f>
        <v>Road</v>
      </c>
      <c r="I102">
        <f>_xlfn.XLOOKUP(Table2[[#This Row],[Animal]],Table1[Animal],Table1[Revenue],"N/A",0)</f>
        <v>450</v>
      </c>
      <c r="J102">
        <f>_xlfn.XLOOKUP(Table2[[#This Row],[Animal]],Table1[Animal],Table1[Cost],"N/A",0)</f>
        <v>400</v>
      </c>
      <c r="K102">
        <f>Table2[[#This Row],[Revenue]]-Table2[[#This Row],[Cost]]</f>
        <v>50</v>
      </c>
    </row>
    <row r="103" spans="1:11" x14ac:dyDescent="0.25">
      <c r="A103" t="s">
        <v>172</v>
      </c>
      <c r="B103" t="str">
        <f>_xlfn.XLOOKUP(Table2[[#This Row],[Animal]],Table1[Animal],Table1[Diet],"Not Found",0)</f>
        <v>Herbivore</v>
      </c>
      <c r="C103" s="19">
        <f>_xlfn.XLOOKUP(Table2[[#This Row],[Animal]],Table1[Animal],Table1[Lifespan (Years)],"N/A",0)</f>
        <v>18</v>
      </c>
      <c r="D103" s="17" t="str">
        <f>_xlfn.XLOOKUP(Table2[[#This Row],[Animal]],Table1[Animal],Table1[Lifespan Group],"N/A",0)</f>
        <v>&lt;25</v>
      </c>
      <c r="E103" s="17">
        <f>_xlfn.XLOOKUP(Table2[[#This Row],[Animal]],Table1[Animal],Table1[Weight (lbs)],"N/A",0)</f>
        <v>0.875</v>
      </c>
      <c r="F103" s="17" t="str">
        <f>_xlfn.XLOOKUP(Table2[[#This Row],[Animal]],Table1[Animal],Table1[Weight Group],"N/A",0)</f>
        <v>&lt;100</v>
      </c>
      <c r="G103" t="str">
        <f>_xlfn.XLOOKUP(Table2[[#This Row],[Animal]],Table1[Animal],Table1[Region],"N/A",0)</f>
        <v>Europe &amp; Eurasia</v>
      </c>
      <c r="H103" s="17" t="str">
        <f>_xlfn.XLOOKUP(Table2[[#This Row],[Animal]],Table1[Animal],Table1[Transport],"N/A",0)</f>
        <v>Road</v>
      </c>
      <c r="I103">
        <f>_xlfn.XLOOKUP(Table2[[#This Row],[Animal]],Table1[Animal],Table1[Revenue],"N/A",0)</f>
        <v>450</v>
      </c>
      <c r="J103">
        <f>_xlfn.XLOOKUP(Table2[[#This Row],[Animal]],Table1[Animal],Table1[Cost],"N/A",0)</f>
        <v>300</v>
      </c>
      <c r="K103">
        <f>Table2[[#This Row],[Revenue]]-Table2[[#This Row],[Cost]]</f>
        <v>150</v>
      </c>
    </row>
    <row r="104" spans="1:11" x14ac:dyDescent="0.25">
      <c r="A104" t="s">
        <v>173</v>
      </c>
      <c r="B104" t="str">
        <f>_xlfn.XLOOKUP(Table2[[#This Row],[Animal]],Table1[Animal],Table1[Diet],"Not Found",0)</f>
        <v>Omnivore</v>
      </c>
      <c r="C104" s="19">
        <f>_xlfn.XLOOKUP(Table2[[#This Row],[Animal]],Table1[Animal],Table1[Lifespan (Years)],"N/A",0)</f>
        <v>13</v>
      </c>
      <c r="D104" s="17" t="str">
        <f>_xlfn.XLOOKUP(Table2[[#This Row],[Animal]],Table1[Animal],Table1[Lifespan Group],"N/A",0)</f>
        <v>&lt;25</v>
      </c>
      <c r="E104" s="17">
        <f>_xlfn.XLOOKUP(Table2[[#This Row],[Animal]],Table1[Animal],Table1[Weight (lbs)],"N/A",0)</f>
        <v>10</v>
      </c>
      <c r="F104" s="17" t="str">
        <f>_xlfn.XLOOKUP(Table2[[#This Row],[Animal]],Table1[Animal],Table1[Weight Group],"N/A",0)</f>
        <v>&lt;100</v>
      </c>
      <c r="G104" t="str">
        <f>_xlfn.XLOOKUP(Table2[[#This Row],[Animal]],Table1[Animal],Table1[Region],"N/A",0)</f>
        <v>Asia Pacific</v>
      </c>
      <c r="H104" s="17" t="str">
        <f>_xlfn.XLOOKUP(Table2[[#This Row],[Animal]],Table1[Animal],Table1[Transport],"N/A",0)</f>
        <v>Air</v>
      </c>
      <c r="I104">
        <f>_xlfn.XLOOKUP(Table2[[#This Row],[Animal]],Table1[Animal],Table1[Revenue],"N/A",0)</f>
        <v>700</v>
      </c>
      <c r="J104">
        <f>_xlfn.XLOOKUP(Table2[[#This Row],[Animal]],Table1[Animal],Table1[Cost],"N/A",0)</f>
        <v>400</v>
      </c>
      <c r="K104">
        <f>Table2[[#This Row],[Revenue]]-Table2[[#This Row],[Cost]]</f>
        <v>300</v>
      </c>
    </row>
    <row r="105" spans="1:11" x14ac:dyDescent="0.25">
      <c r="A105" t="s">
        <v>175</v>
      </c>
      <c r="B105" t="str">
        <f>_xlfn.XLOOKUP(Table2[[#This Row],[Animal]],Table1[Animal],Table1[Diet],"Not Found",0)</f>
        <v>Omnivore</v>
      </c>
      <c r="C105" s="19">
        <f>_xlfn.XLOOKUP(Table2[[#This Row],[Animal]],Table1[Animal],Table1[Lifespan (Years)],"N/A",0)</f>
        <v>8</v>
      </c>
      <c r="D105" s="17" t="str">
        <f>_xlfn.XLOOKUP(Table2[[#This Row],[Animal]],Table1[Animal],Table1[Lifespan Group],"N/A",0)</f>
        <v>&lt;25</v>
      </c>
      <c r="E105" s="17">
        <f>_xlfn.XLOOKUP(Table2[[#This Row],[Animal]],Table1[Animal],Table1[Weight (lbs)],"N/A",0)</f>
        <v>0.125</v>
      </c>
      <c r="F105" s="17" t="str">
        <f>_xlfn.XLOOKUP(Table2[[#This Row],[Animal]],Table1[Animal],Table1[Weight Group],"N/A",0)</f>
        <v>&lt;100</v>
      </c>
      <c r="G105" t="str">
        <f>_xlfn.XLOOKUP(Table2[[#This Row],[Animal]],Table1[Animal],Table1[Region],"N/A",0)</f>
        <v>Japan</v>
      </c>
      <c r="H105" s="17" t="str">
        <f>_xlfn.XLOOKUP(Table2[[#This Row],[Animal]],Table1[Animal],Table1[Transport],"N/A",0)</f>
        <v>Air</v>
      </c>
      <c r="I105">
        <f>_xlfn.XLOOKUP(Table2[[#This Row],[Animal]],Table1[Animal],Table1[Revenue],"N/A",0)</f>
        <v>350</v>
      </c>
      <c r="J105">
        <f>_xlfn.XLOOKUP(Table2[[#This Row],[Animal]],Table1[Animal],Table1[Cost],"N/A",0)</f>
        <v>400</v>
      </c>
      <c r="K105">
        <f>Table2[[#This Row],[Revenue]]-Table2[[#This Row],[Cost]]</f>
        <v>-50</v>
      </c>
    </row>
    <row r="106" spans="1:11" x14ac:dyDescent="0.25">
      <c r="A106" t="s">
        <v>177</v>
      </c>
      <c r="B106" t="str">
        <f>_xlfn.XLOOKUP(Table2[[#This Row],[Animal]],Table1[Animal],Table1[Diet],"Not Found",0)</f>
        <v>Omnivore</v>
      </c>
      <c r="C106" s="19">
        <f>_xlfn.XLOOKUP(Table2[[#This Row],[Animal]],Table1[Animal],Table1[Lifespan (Years)],"N/A",0)</f>
        <v>60</v>
      </c>
      <c r="D106" s="17" t="str">
        <f>_xlfn.XLOOKUP(Table2[[#This Row],[Animal]],Table1[Animal],Table1[Lifespan Group],"N/A",0)</f>
        <v>50-74</v>
      </c>
      <c r="E106" s="17">
        <f>_xlfn.XLOOKUP(Table2[[#This Row],[Animal]],Table1[Animal],Table1[Weight (lbs)],"N/A",0)</f>
        <v>0</v>
      </c>
      <c r="F106" s="17" t="str">
        <f>_xlfn.XLOOKUP(Table2[[#This Row],[Animal]],Table1[Animal],Table1[Weight Group],"N/A",0)</f>
        <v>N/A</v>
      </c>
      <c r="G106" t="str">
        <f>_xlfn.XLOOKUP(Table2[[#This Row],[Animal]],Table1[Animal],Table1[Region],"N/A",0)</f>
        <v>Africa &amp; MENA</v>
      </c>
      <c r="H106" s="17" t="str">
        <f>_xlfn.XLOOKUP(Table2[[#This Row],[Animal]],Table1[Animal],Table1[Transport],"N/A",0)</f>
        <v>Air</v>
      </c>
      <c r="I106">
        <f>_xlfn.XLOOKUP(Table2[[#This Row],[Animal]],Table1[Animal],Table1[Revenue],"N/A",0)</f>
        <v>600</v>
      </c>
      <c r="J106">
        <f>_xlfn.XLOOKUP(Table2[[#This Row],[Animal]],Table1[Animal],Table1[Cost],"N/A",0)</f>
        <v>400</v>
      </c>
      <c r="K106">
        <f>Table2[[#This Row],[Revenue]]-Table2[[#This Row],[Cost]]</f>
        <v>200</v>
      </c>
    </row>
    <row r="107" spans="1:11" x14ac:dyDescent="0.25">
      <c r="A107" t="s">
        <v>178</v>
      </c>
      <c r="B107" t="str">
        <f>_xlfn.XLOOKUP(Table2[[#This Row],[Animal]],Table1[Animal],Table1[Diet],"Not Found",0)</f>
        <v>Carnivore</v>
      </c>
      <c r="C107" s="19">
        <f>_xlfn.XLOOKUP(Table2[[#This Row],[Animal]],Table1[Animal],Table1[Lifespan (Years)],"N/A",0)</f>
        <v>17</v>
      </c>
      <c r="D107" s="17" t="str">
        <f>_xlfn.XLOOKUP(Table2[[#This Row],[Animal]],Table1[Animal],Table1[Lifespan Group],"N/A",0)</f>
        <v>&lt;25</v>
      </c>
      <c r="E107" s="17">
        <f>_xlfn.XLOOKUP(Table2[[#This Row],[Animal]],Table1[Animal],Table1[Weight (lbs)],"N/A",0)</f>
        <v>24</v>
      </c>
      <c r="F107" s="17" t="str">
        <f>_xlfn.XLOOKUP(Table2[[#This Row],[Animal]],Table1[Animal],Table1[Weight Group],"N/A",0)</f>
        <v>&lt;100</v>
      </c>
      <c r="G107" t="str">
        <f>_xlfn.XLOOKUP(Table2[[#This Row],[Animal]],Table1[Animal],Table1[Region],"N/A",0)</f>
        <v>North America</v>
      </c>
      <c r="H107" s="17" t="str">
        <f>_xlfn.XLOOKUP(Table2[[#This Row],[Animal]],Table1[Animal],Table1[Transport],"N/A",0)</f>
        <v>Boat</v>
      </c>
      <c r="I107">
        <f>_xlfn.XLOOKUP(Table2[[#This Row],[Animal]],Table1[Animal],Table1[Revenue],"N/A",0)</f>
        <v>400</v>
      </c>
      <c r="J107">
        <f>_xlfn.XLOOKUP(Table2[[#This Row],[Animal]],Table1[Animal],Table1[Cost],"N/A",0)</f>
        <v>500</v>
      </c>
      <c r="K107">
        <f>Table2[[#This Row],[Revenue]]-Table2[[#This Row],[Cost]]</f>
        <v>-100</v>
      </c>
    </row>
    <row r="108" spans="1:11" x14ac:dyDescent="0.25">
      <c r="A108" t="s">
        <v>179</v>
      </c>
      <c r="B108" t="str">
        <f>_xlfn.XLOOKUP(Table2[[#This Row],[Animal]],Table1[Animal],Table1[Diet],"Not Found",0)</f>
        <v>Omnivore</v>
      </c>
      <c r="C108" s="19">
        <f>_xlfn.XLOOKUP(Table2[[#This Row],[Animal]],Table1[Animal],Table1[Lifespan (Years)],"N/A",0)</f>
        <v>8</v>
      </c>
      <c r="D108" s="17" t="str">
        <f>_xlfn.XLOOKUP(Table2[[#This Row],[Animal]],Table1[Animal],Table1[Lifespan Group],"N/A",0)</f>
        <v>&lt;25</v>
      </c>
      <c r="E108" s="17">
        <f>_xlfn.XLOOKUP(Table2[[#This Row],[Animal]],Table1[Animal],Table1[Weight (lbs)],"N/A",0)</f>
        <v>0</v>
      </c>
      <c r="F108" s="17" t="str">
        <f>_xlfn.XLOOKUP(Table2[[#This Row],[Animal]],Table1[Animal],Table1[Weight Group],"N/A",0)</f>
        <v>N/A</v>
      </c>
      <c r="G108" t="str">
        <f>_xlfn.XLOOKUP(Table2[[#This Row],[Animal]],Table1[Animal],Table1[Region],"N/A",0)</f>
        <v>North America</v>
      </c>
      <c r="H108" s="17" t="str">
        <f>_xlfn.XLOOKUP(Table2[[#This Row],[Animal]],Table1[Animal],Table1[Transport],"N/A",0)</f>
        <v>Boat</v>
      </c>
      <c r="I108">
        <f>_xlfn.XLOOKUP(Table2[[#This Row],[Animal]],Table1[Animal],Table1[Revenue],"N/A",0)</f>
        <v>400</v>
      </c>
      <c r="J108">
        <f>_xlfn.XLOOKUP(Table2[[#This Row],[Animal]],Table1[Animal],Table1[Cost],"N/A",0)</f>
        <v>400</v>
      </c>
      <c r="K108">
        <f>Table2[[#This Row],[Revenue]]-Table2[[#This Row],[Cost]]</f>
        <v>0</v>
      </c>
    </row>
    <row r="109" spans="1:11" x14ac:dyDescent="0.25">
      <c r="A109" t="s">
        <v>180</v>
      </c>
      <c r="B109" t="str">
        <f>_xlfn.XLOOKUP(Table2[[#This Row],[Animal]],Table1[Animal],Table1[Diet],"Not Found",0)</f>
        <v>Omnivore</v>
      </c>
      <c r="C109" s="19">
        <f>_xlfn.XLOOKUP(Table2[[#This Row],[Animal]],Table1[Animal],Table1[Lifespan (Years)],"N/A",0)</f>
        <v>15</v>
      </c>
      <c r="D109" s="17" t="str">
        <f>_xlfn.XLOOKUP(Table2[[#This Row],[Animal]],Table1[Animal],Table1[Lifespan Group],"N/A",0)</f>
        <v>&lt;25</v>
      </c>
      <c r="E109" s="17">
        <f>_xlfn.XLOOKUP(Table2[[#This Row],[Animal]],Table1[Animal],Table1[Weight (lbs)],"N/A",0)</f>
        <v>6</v>
      </c>
      <c r="F109" s="17" t="str">
        <f>_xlfn.XLOOKUP(Table2[[#This Row],[Animal]],Table1[Animal],Table1[Weight Group],"N/A",0)</f>
        <v>&lt;100</v>
      </c>
      <c r="G109" t="str">
        <f>_xlfn.XLOOKUP(Table2[[#This Row],[Animal]],Table1[Animal],Table1[Region],"N/A",0)</f>
        <v>Europe &amp; Eurasia</v>
      </c>
      <c r="H109" s="17" t="str">
        <f>_xlfn.XLOOKUP(Table2[[#This Row],[Animal]],Table1[Animal],Table1[Transport],"N/A",0)</f>
        <v>Road</v>
      </c>
      <c r="I109">
        <f>_xlfn.XLOOKUP(Table2[[#This Row],[Animal]],Table1[Animal],Table1[Revenue],"N/A",0)</f>
        <v>450</v>
      </c>
      <c r="J109">
        <f>_xlfn.XLOOKUP(Table2[[#This Row],[Animal]],Table1[Animal],Table1[Cost],"N/A",0)</f>
        <v>400</v>
      </c>
      <c r="K109">
        <f>Table2[[#This Row],[Revenue]]-Table2[[#This Row],[Cost]]</f>
        <v>50</v>
      </c>
    </row>
    <row r="110" spans="1:11" x14ac:dyDescent="0.25">
      <c r="A110" t="s">
        <v>181</v>
      </c>
      <c r="B110" t="str">
        <f>_xlfn.XLOOKUP(Table2[[#This Row],[Animal]],Table1[Animal],Table1[Diet],"Not Found",0)</f>
        <v>Omnivore</v>
      </c>
      <c r="C110" s="19">
        <f>_xlfn.XLOOKUP(Table2[[#This Row],[Animal]],Table1[Animal],Table1[Lifespan (Years)],"N/A",0)</f>
        <v>1.5</v>
      </c>
      <c r="D110" s="17" t="str">
        <f>_xlfn.XLOOKUP(Table2[[#This Row],[Animal]],Table1[Animal],Table1[Lifespan Group],"N/A",0)</f>
        <v>&lt;25</v>
      </c>
      <c r="E110" s="17">
        <f>_xlfn.XLOOKUP(Table2[[#This Row],[Animal]],Table1[Animal],Table1[Weight (lbs)],"N/A",0)</f>
        <v>0</v>
      </c>
      <c r="F110" s="17" t="str">
        <f>_xlfn.XLOOKUP(Table2[[#This Row],[Animal]],Table1[Animal],Table1[Weight Group],"N/A",0)</f>
        <v>N/A</v>
      </c>
      <c r="G110" t="str">
        <f>_xlfn.XLOOKUP(Table2[[#This Row],[Animal]],Table1[Animal],Table1[Region],"N/A",0)</f>
        <v>Japan</v>
      </c>
      <c r="H110" s="17" t="str">
        <f>_xlfn.XLOOKUP(Table2[[#This Row],[Animal]],Table1[Animal],Table1[Transport],"N/A",0)</f>
        <v>Air</v>
      </c>
      <c r="I110">
        <f>_xlfn.XLOOKUP(Table2[[#This Row],[Animal]],Table1[Animal],Table1[Revenue],"N/A",0)</f>
        <v>350</v>
      </c>
      <c r="J110">
        <f>_xlfn.XLOOKUP(Table2[[#This Row],[Animal]],Table1[Animal],Table1[Cost],"N/A",0)</f>
        <v>400</v>
      </c>
      <c r="K110">
        <f>Table2[[#This Row],[Revenue]]-Table2[[#This Row],[Cost]]</f>
        <v>-50</v>
      </c>
    </row>
    <row r="111" spans="1:11" x14ac:dyDescent="0.25">
      <c r="A111" t="s">
        <v>182</v>
      </c>
      <c r="B111" t="str">
        <f>_xlfn.XLOOKUP(Table2[[#This Row],[Animal]],Table1[Animal],Table1[Diet],"Not Found",0)</f>
        <v>Omnivore</v>
      </c>
      <c r="C111" s="19">
        <f>_xlfn.XLOOKUP(Table2[[#This Row],[Animal]],Table1[Animal],Table1[Lifespan (Years)],"N/A",0)</f>
        <v>10</v>
      </c>
      <c r="D111" s="17" t="str">
        <f>_xlfn.XLOOKUP(Table2[[#This Row],[Animal]],Table1[Animal],Table1[Lifespan Group],"N/A",0)</f>
        <v>&lt;25</v>
      </c>
      <c r="E111" s="17">
        <f>_xlfn.XLOOKUP(Table2[[#This Row],[Animal]],Table1[Animal],Table1[Weight (lbs)],"N/A",0)</f>
        <v>20</v>
      </c>
      <c r="F111" s="17" t="str">
        <f>_xlfn.XLOOKUP(Table2[[#This Row],[Animal]],Table1[Animal],Table1[Weight Group],"N/A",0)</f>
        <v>&lt;100</v>
      </c>
      <c r="G111" t="str">
        <f>_xlfn.XLOOKUP(Table2[[#This Row],[Animal]],Table1[Animal],Table1[Region],"N/A",0)</f>
        <v>Greater China</v>
      </c>
      <c r="H111" s="17" t="str">
        <f>_xlfn.XLOOKUP(Table2[[#This Row],[Animal]],Table1[Animal],Table1[Transport],"N/A",0)</f>
        <v>Air</v>
      </c>
      <c r="I111">
        <f>_xlfn.XLOOKUP(Table2[[#This Row],[Animal]],Table1[Animal],Table1[Revenue],"N/A",0)</f>
        <v>600</v>
      </c>
      <c r="J111">
        <f>_xlfn.XLOOKUP(Table2[[#This Row],[Animal]],Table1[Animal],Table1[Cost],"N/A",0)</f>
        <v>400</v>
      </c>
      <c r="K111">
        <f>Table2[[#This Row],[Revenue]]-Table2[[#This Row],[Cost]]</f>
        <v>200</v>
      </c>
    </row>
    <row r="112" spans="1:11" x14ac:dyDescent="0.25">
      <c r="A112" t="s">
        <v>183</v>
      </c>
      <c r="B112" t="str">
        <f>_xlfn.XLOOKUP(Table2[[#This Row],[Animal]],Table1[Animal],Table1[Diet],"Not Found",0)</f>
        <v>Omnivore</v>
      </c>
      <c r="C112" s="19">
        <f>_xlfn.XLOOKUP(Table2[[#This Row],[Animal]],Table1[Animal],Table1[Lifespan (Years)],"N/A",0)</f>
        <v>13</v>
      </c>
      <c r="D112" s="17" t="str">
        <f>_xlfn.XLOOKUP(Table2[[#This Row],[Animal]],Table1[Animal],Table1[Lifespan Group],"N/A",0)</f>
        <v>&lt;25</v>
      </c>
      <c r="E112" s="17">
        <f>_xlfn.XLOOKUP(Table2[[#This Row],[Animal]],Table1[Animal],Table1[Weight (lbs)],"N/A",0)</f>
        <v>75</v>
      </c>
      <c r="F112" s="17" t="str">
        <f>_xlfn.XLOOKUP(Table2[[#This Row],[Animal]],Table1[Animal],Table1[Weight Group],"N/A",0)</f>
        <v>&lt;100</v>
      </c>
      <c r="G112" t="str">
        <f>_xlfn.XLOOKUP(Table2[[#This Row],[Animal]],Table1[Animal],Table1[Region],"N/A",0)</f>
        <v>North America</v>
      </c>
      <c r="H112" s="17" t="str">
        <f>_xlfn.XLOOKUP(Table2[[#This Row],[Animal]],Table1[Animal],Table1[Transport],"N/A",0)</f>
        <v>Boat</v>
      </c>
      <c r="I112">
        <f>_xlfn.XLOOKUP(Table2[[#This Row],[Animal]],Table1[Animal],Table1[Revenue],"N/A",0)</f>
        <v>400</v>
      </c>
      <c r="J112">
        <f>_xlfn.XLOOKUP(Table2[[#This Row],[Animal]],Table1[Animal],Table1[Cost],"N/A",0)</f>
        <v>400</v>
      </c>
      <c r="K112">
        <f>Table2[[#This Row],[Revenue]]-Table2[[#This Row],[Cost]]</f>
        <v>0</v>
      </c>
    </row>
    <row r="113" spans="1:11" x14ac:dyDescent="0.25">
      <c r="A113" t="s">
        <v>184</v>
      </c>
      <c r="B113" t="str">
        <f>_xlfn.XLOOKUP(Table2[[#This Row],[Animal]],Table1[Animal],Table1[Diet],"Not Found",0)</f>
        <v>Carnivore</v>
      </c>
      <c r="C113" s="19">
        <f>_xlfn.XLOOKUP(Table2[[#This Row],[Animal]],Table1[Animal],Table1[Lifespan (Years)],"N/A",0)</f>
        <v>10</v>
      </c>
      <c r="D113" s="17" t="str">
        <f>_xlfn.XLOOKUP(Table2[[#This Row],[Animal]],Table1[Animal],Table1[Lifespan Group],"N/A",0)</f>
        <v>&lt;25</v>
      </c>
      <c r="E113" s="17">
        <f>_xlfn.XLOOKUP(Table2[[#This Row],[Animal]],Table1[Animal],Table1[Weight (lbs)],"N/A",0)</f>
        <v>4.3749999999999997E-2</v>
      </c>
      <c r="F113" s="17" t="str">
        <f>_xlfn.XLOOKUP(Table2[[#This Row],[Animal]],Table1[Animal],Table1[Weight Group],"N/A",0)</f>
        <v>&lt;100</v>
      </c>
      <c r="G113" t="str">
        <f>_xlfn.XLOOKUP(Table2[[#This Row],[Animal]],Table1[Animal],Table1[Region],"N/A",0)</f>
        <v>North America</v>
      </c>
      <c r="H113" s="17" t="str">
        <f>_xlfn.XLOOKUP(Table2[[#This Row],[Animal]],Table1[Animal],Table1[Transport],"N/A",0)</f>
        <v>Boat</v>
      </c>
      <c r="I113">
        <f>_xlfn.XLOOKUP(Table2[[#This Row],[Animal]],Table1[Animal],Table1[Revenue],"N/A",0)</f>
        <v>400</v>
      </c>
      <c r="J113">
        <f>_xlfn.XLOOKUP(Table2[[#This Row],[Animal]],Table1[Animal],Table1[Cost],"N/A",0)</f>
        <v>500</v>
      </c>
      <c r="K113">
        <f>Table2[[#This Row],[Revenue]]-Table2[[#This Row],[Cost]]</f>
        <v>-100</v>
      </c>
    </row>
    <row r="114" spans="1:11" x14ac:dyDescent="0.25">
      <c r="A114" t="s">
        <v>185</v>
      </c>
      <c r="B114" t="str">
        <f>_xlfn.XLOOKUP(Table2[[#This Row],[Animal]],Table1[Animal],Table1[Diet],"Not Found",0)</f>
        <v>Omnivore</v>
      </c>
      <c r="C114" s="19">
        <f>_xlfn.XLOOKUP(Table2[[#This Row],[Animal]],Table1[Animal],Table1[Lifespan (Years)],"N/A",0)</f>
        <v>25</v>
      </c>
      <c r="D114" s="17" t="str">
        <f>_xlfn.XLOOKUP(Table2[[#This Row],[Animal]],Table1[Animal],Table1[Lifespan Group],"N/A",0)</f>
        <v>25-49</v>
      </c>
      <c r="E114" s="17">
        <f>_xlfn.XLOOKUP(Table2[[#This Row],[Animal]],Table1[Animal],Table1[Weight (lbs)],"N/A",0)</f>
        <v>6.6</v>
      </c>
      <c r="F114" s="17" t="str">
        <f>_xlfn.XLOOKUP(Table2[[#This Row],[Animal]],Table1[Animal],Table1[Weight Group],"N/A",0)</f>
        <v>&lt;100</v>
      </c>
      <c r="G114" t="str">
        <f>_xlfn.XLOOKUP(Table2[[#This Row],[Animal]],Table1[Animal],Table1[Region],"N/A",0)</f>
        <v>Africa &amp; MENA</v>
      </c>
      <c r="H114" s="17" t="str">
        <f>_xlfn.XLOOKUP(Table2[[#This Row],[Animal]],Table1[Animal],Table1[Transport],"N/A",0)</f>
        <v>Air</v>
      </c>
      <c r="I114">
        <f>_xlfn.XLOOKUP(Table2[[#This Row],[Animal]],Table1[Animal],Table1[Revenue],"N/A",0)</f>
        <v>600</v>
      </c>
      <c r="J114">
        <f>_xlfn.XLOOKUP(Table2[[#This Row],[Animal]],Table1[Animal],Table1[Cost],"N/A",0)</f>
        <v>400</v>
      </c>
      <c r="K114">
        <f>Table2[[#This Row],[Revenue]]-Table2[[#This Row],[Cost]]</f>
        <v>200</v>
      </c>
    </row>
    <row r="115" spans="1:11" x14ac:dyDescent="0.25">
      <c r="A115" t="s">
        <v>186</v>
      </c>
      <c r="B115" t="str">
        <f>_xlfn.XLOOKUP(Table2[[#This Row],[Animal]],Table1[Animal],Table1[Diet],"Not Found",0)</f>
        <v>Carnivore</v>
      </c>
      <c r="C115" s="19">
        <f>_xlfn.XLOOKUP(Table2[[#This Row],[Animal]],Table1[Animal],Table1[Lifespan (Years)],"N/A",0)</f>
        <v>4</v>
      </c>
      <c r="D115" s="17" t="str">
        <f>_xlfn.XLOOKUP(Table2[[#This Row],[Animal]],Table1[Animal],Table1[Lifespan Group],"N/A",0)</f>
        <v>&lt;25</v>
      </c>
      <c r="E115" s="17">
        <f>_xlfn.XLOOKUP(Table2[[#This Row],[Animal]],Table1[Animal],Table1[Weight (lbs)],"N/A",0)</f>
        <v>4.3749999999999997E-2</v>
      </c>
      <c r="F115" s="17" t="str">
        <f>_xlfn.XLOOKUP(Table2[[#This Row],[Animal]],Table1[Animal],Table1[Weight Group],"N/A",0)</f>
        <v>&lt;100</v>
      </c>
      <c r="G115" t="str">
        <f>_xlfn.XLOOKUP(Table2[[#This Row],[Animal]],Table1[Animal],Table1[Region],"N/A",0)</f>
        <v>South Asia</v>
      </c>
      <c r="H115" s="17" t="str">
        <f>_xlfn.XLOOKUP(Table2[[#This Row],[Animal]],Table1[Animal],Table1[Transport],"N/A",0)</f>
        <v>Air</v>
      </c>
      <c r="I115">
        <f>_xlfn.XLOOKUP(Table2[[#This Row],[Animal]],Table1[Animal],Table1[Revenue],"N/A",0)</f>
        <v>450</v>
      </c>
      <c r="J115">
        <f>_xlfn.XLOOKUP(Table2[[#This Row],[Animal]],Table1[Animal],Table1[Cost],"N/A",0)</f>
        <v>500</v>
      </c>
      <c r="K115">
        <f>Table2[[#This Row],[Revenue]]-Table2[[#This Row],[Cost]]</f>
        <v>-50</v>
      </c>
    </row>
    <row r="116" spans="1:11" x14ac:dyDescent="0.25">
      <c r="A116" t="s">
        <v>187</v>
      </c>
      <c r="B116" t="str">
        <f>_xlfn.XLOOKUP(Table2[[#This Row],[Animal]],Table1[Animal],Table1[Diet],"Not Found",0)</f>
        <v>Herbivore</v>
      </c>
      <c r="C116" s="19">
        <f>_xlfn.XLOOKUP(Table2[[#This Row],[Animal]],Table1[Animal],Table1[Lifespan (Years)],"N/A",0)</f>
        <v>30</v>
      </c>
      <c r="D116" s="17" t="str">
        <f>_xlfn.XLOOKUP(Table2[[#This Row],[Animal]],Table1[Animal],Table1[Lifespan Group],"N/A",0)</f>
        <v>25-49</v>
      </c>
      <c r="E116" s="17">
        <f>_xlfn.XLOOKUP(Table2[[#This Row],[Animal]],Table1[Animal],Table1[Weight (lbs)],"N/A",0)</f>
        <v>800</v>
      </c>
      <c r="F116" s="17" t="str">
        <f>_xlfn.XLOOKUP(Table2[[#This Row],[Animal]],Table1[Animal],Table1[Weight Group],"N/A",0)</f>
        <v>&gt;=500</v>
      </c>
      <c r="G116" t="str">
        <f>_xlfn.XLOOKUP(Table2[[#This Row],[Animal]],Table1[Animal],Table1[Region],"N/A",0)</f>
        <v>Greater China</v>
      </c>
      <c r="H116" s="17" t="str">
        <f>_xlfn.XLOOKUP(Table2[[#This Row],[Animal]],Table1[Animal],Table1[Transport],"N/A",0)</f>
        <v>Air</v>
      </c>
      <c r="I116">
        <f>_xlfn.XLOOKUP(Table2[[#This Row],[Animal]],Table1[Animal],Table1[Revenue],"N/A",0)</f>
        <v>600</v>
      </c>
      <c r="J116">
        <f>_xlfn.XLOOKUP(Table2[[#This Row],[Animal]],Table1[Animal],Table1[Cost],"N/A",0)</f>
        <v>300</v>
      </c>
      <c r="K116">
        <f>Table2[[#This Row],[Revenue]]-Table2[[#This Row],[Cost]]</f>
        <v>300</v>
      </c>
    </row>
    <row r="117" spans="1:11" x14ac:dyDescent="0.25">
      <c r="A117" t="s">
        <v>188</v>
      </c>
      <c r="B117" t="str">
        <f>_xlfn.XLOOKUP(Table2[[#This Row],[Animal]],Table1[Animal],Table1[Diet],"Not Found",0)</f>
        <v>Omnivore</v>
      </c>
      <c r="C117" s="19">
        <f>_xlfn.XLOOKUP(Table2[[#This Row],[Animal]],Table1[Animal],Table1[Lifespan (Years)],"N/A",0)</f>
        <v>15</v>
      </c>
      <c r="D117" s="17" t="str">
        <f>_xlfn.XLOOKUP(Table2[[#This Row],[Animal]],Table1[Animal],Table1[Lifespan Group],"N/A",0)</f>
        <v>&lt;25</v>
      </c>
      <c r="E117" s="17">
        <f>_xlfn.XLOOKUP(Table2[[#This Row],[Animal]],Table1[Animal],Table1[Weight (lbs)],"N/A",0)</f>
        <v>0.48125000000000001</v>
      </c>
      <c r="F117" s="17" t="str">
        <f>_xlfn.XLOOKUP(Table2[[#This Row],[Animal]],Table1[Animal],Table1[Weight Group],"N/A",0)</f>
        <v>&lt;100</v>
      </c>
      <c r="G117" t="str">
        <f>_xlfn.XLOOKUP(Table2[[#This Row],[Animal]],Table1[Animal],Table1[Region],"N/A",0)</f>
        <v>North America</v>
      </c>
      <c r="H117" s="17" t="str">
        <f>_xlfn.XLOOKUP(Table2[[#This Row],[Animal]],Table1[Animal],Table1[Transport],"N/A",0)</f>
        <v>Boat</v>
      </c>
      <c r="I117">
        <f>_xlfn.XLOOKUP(Table2[[#This Row],[Animal]],Table1[Animal],Table1[Revenue],"N/A",0)</f>
        <v>400</v>
      </c>
      <c r="J117">
        <f>_xlfn.XLOOKUP(Table2[[#This Row],[Animal]],Table1[Animal],Table1[Cost],"N/A",0)</f>
        <v>400</v>
      </c>
      <c r="K117">
        <f>Table2[[#This Row],[Revenue]]-Table2[[#This Row],[Cost]]</f>
        <v>0</v>
      </c>
    </row>
    <row r="118" spans="1:11" x14ac:dyDescent="0.25">
      <c r="A118" t="s">
        <v>189</v>
      </c>
      <c r="B118" t="str">
        <f>_xlfn.XLOOKUP(Table2[[#This Row],[Animal]],Table1[Animal],Table1[Diet],"Not Found",0)</f>
        <v>Carnivore</v>
      </c>
      <c r="C118" s="19">
        <f>_xlfn.XLOOKUP(Table2[[#This Row],[Animal]],Table1[Animal],Table1[Lifespan (Years)],"N/A",0)</f>
        <v>20</v>
      </c>
      <c r="D118" s="17" t="str">
        <f>_xlfn.XLOOKUP(Table2[[#This Row],[Animal]],Table1[Animal],Table1[Lifespan Group],"N/A",0)</f>
        <v>&lt;25</v>
      </c>
      <c r="E118" s="17">
        <f>_xlfn.XLOOKUP(Table2[[#This Row],[Animal]],Table1[Animal],Table1[Weight (lbs)],"N/A",0)</f>
        <v>64</v>
      </c>
      <c r="F118" s="17" t="str">
        <f>_xlfn.XLOOKUP(Table2[[#This Row],[Animal]],Table1[Animal],Table1[Weight Group],"N/A",0)</f>
        <v>&lt;100</v>
      </c>
      <c r="G118" t="str">
        <f>_xlfn.XLOOKUP(Table2[[#This Row],[Animal]],Table1[Animal],Table1[Region],"N/A",0)</f>
        <v>North America</v>
      </c>
      <c r="H118" s="17" t="str">
        <f>_xlfn.XLOOKUP(Table2[[#This Row],[Animal]],Table1[Animal],Table1[Transport],"N/A",0)</f>
        <v>Boat</v>
      </c>
      <c r="I118">
        <f>_xlfn.XLOOKUP(Table2[[#This Row],[Animal]],Table1[Animal],Table1[Revenue],"N/A",0)</f>
        <v>400</v>
      </c>
      <c r="J118">
        <f>_xlfn.XLOOKUP(Table2[[#This Row],[Animal]],Table1[Animal],Table1[Cost],"N/A",0)</f>
        <v>500</v>
      </c>
      <c r="K118">
        <f>Table2[[#This Row],[Revenue]]-Table2[[#This Row],[Cost]]</f>
        <v>-100</v>
      </c>
    </row>
    <row r="119" spans="1:11" x14ac:dyDescent="0.25">
      <c r="A119" t="s">
        <v>190</v>
      </c>
      <c r="B119" t="str">
        <f>_xlfn.XLOOKUP(Table2[[#This Row],[Animal]],Table1[Animal],Table1[Diet],"Not Found",0)</f>
        <v>Herbivore</v>
      </c>
      <c r="C119" s="19">
        <f>_xlfn.XLOOKUP(Table2[[#This Row],[Animal]],Table1[Animal],Table1[Lifespan (Years)],"N/A",0)</f>
        <v>20</v>
      </c>
      <c r="D119" s="17" t="str">
        <f>_xlfn.XLOOKUP(Table2[[#This Row],[Animal]],Table1[Animal],Table1[Lifespan Group],"N/A",0)</f>
        <v>&lt;25</v>
      </c>
      <c r="E119" s="17">
        <f>_xlfn.XLOOKUP(Table2[[#This Row],[Animal]],Table1[Animal],Table1[Weight (lbs)],"N/A",0)</f>
        <v>881</v>
      </c>
      <c r="F119" s="17" t="str">
        <f>_xlfn.XLOOKUP(Table2[[#This Row],[Animal]],Table1[Animal],Table1[Weight Group],"N/A",0)</f>
        <v>&gt;=500</v>
      </c>
      <c r="G119" t="str">
        <f>_xlfn.XLOOKUP(Table2[[#This Row],[Animal]],Table1[Animal],Table1[Region],"N/A",0)</f>
        <v>North America</v>
      </c>
      <c r="H119" s="17" t="str">
        <f>_xlfn.XLOOKUP(Table2[[#This Row],[Animal]],Table1[Animal],Table1[Transport],"N/A",0)</f>
        <v>Boat</v>
      </c>
      <c r="I119">
        <f>_xlfn.XLOOKUP(Table2[[#This Row],[Animal]],Table1[Animal],Table1[Revenue],"N/A",0)</f>
        <v>400</v>
      </c>
      <c r="J119">
        <f>_xlfn.XLOOKUP(Table2[[#This Row],[Animal]],Table1[Animal],Table1[Cost],"N/A",0)</f>
        <v>300</v>
      </c>
      <c r="K119">
        <f>Table2[[#This Row],[Revenue]]-Table2[[#This Row],[Cost]]</f>
        <v>100</v>
      </c>
    </row>
    <row r="120" spans="1:11" x14ac:dyDescent="0.25">
      <c r="A120" t="s">
        <v>191</v>
      </c>
      <c r="B120" t="str">
        <f>_xlfn.XLOOKUP(Table2[[#This Row],[Animal]],Table1[Animal],Table1[Diet],"Not Found",0)</f>
        <v>Carnivore</v>
      </c>
      <c r="C120" s="19">
        <f>_xlfn.XLOOKUP(Table2[[#This Row],[Animal]],Table1[Animal],Table1[Lifespan (Years)],"N/A",0)</f>
        <v>15</v>
      </c>
      <c r="D120" s="17" t="str">
        <f>_xlfn.XLOOKUP(Table2[[#This Row],[Animal]],Table1[Animal],Table1[Lifespan Group],"N/A",0)</f>
        <v>&lt;25</v>
      </c>
      <c r="E120" s="17">
        <f>_xlfn.XLOOKUP(Table2[[#This Row],[Animal]],Table1[Animal],Table1[Weight (lbs)],"N/A",0)</f>
        <v>15</v>
      </c>
      <c r="F120" s="17" t="str">
        <f>_xlfn.XLOOKUP(Table2[[#This Row],[Animal]],Table1[Animal],Table1[Weight Group],"N/A",0)</f>
        <v>&lt;100</v>
      </c>
      <c r="G120" t="str">
        <f>_xlfn.XLOOKUP(Table2[[#This Row],[Animal]],Table1[Animal],Table1[Region],"N/A",0)</f>
        <v>North America</v>
      </c>
      <c r="H120" s="17" t="str">
        <f>_xlfn.XLOOKUP(Table2[[#This Row],[Animal]],Table1[Animal],Table1[Transport],"N/A",0)</f>
        <v>Boat</v>
      </c>
      <c r="I120">
        <f>_xlfn.XLOOKUP(Table2[[#This Row],[Animal]],Table1[Animal],Table1[Revenue],"N/A",0)</f>
        <v>400</v>
      </c>
      <c r="J120">
        <f>_xlfn.XLOOKUP(Table2[[#This Row],[Animal]],Table1[Animal],Table1[Cost],"N/A",0)</f>
        <v>500</v>
      </c>
      <c r="K120">
        <f>Table2[[#This Row],[Revenue]]-Table2[[#This Row],[Cost]]</f>
        <v>-100</v>
      </c>
    </row>
    <row r="121" spans="1:11" x14ac:dyDescent="0.25">
      <c r="A121" t="s">
        <v>192</v>
      </c>
      <c r="B121" t="str">
        <f>_xlfn.XLOOKUP(Table2[[#This Row],[Animal]],Table1[Animal],Table1[Diet],"Not Found",0)</f>
        <v>Carnivore</v>
      </c>
      <c r="C121" s="19">
        <f>_xlfn.XLOOKUP(Table2[[#This Row],[Animal]],Table1[Animal],Table1[Lifespan (Years)],"N/A",0)</f>
        <v>100</v>
      </c>
      <c r="D121" s="17" t="str">
        <f>_xlfn.XLOOKUP(Table2[[#This Row],[Animal]],Table1[Animal],Table1[Lifespan Group],"N/A",0)</f>
        <v>&gt;=100</v>
      </c>
      <c r="E121" s="17">
        <f>_xlfn.XLOOKUP(Table2[[#This Row],[Animal]],Table1[Animal],Table1[Weight (lbs)],"N/A",0)</f>
        <v>0.21875</v>
      </c>
      <c r="F121" s="17" t="str">
        <f>_xlfn.XLOOKUP(Table2[[#This Row],[Animal]],Table1[Animal],Table1[Weight Group],"N/A",0)</f>
        <v>&lt;100</v>
      </c>
      <c r="G121" t="str">
        <f>_xlfn.XLOOKUP(Table2[[#This Row],[Animal]],Table1[Animal],Table1[Region],"N/A",0)</f>
        <v>Greater China</v>
      </c>
      <c r="H121" s="17" t="str">
        <f>_xlfn.XLOOKUP(Table2[[#This Row],[Animal]],Table1[Animal],Table1[Transport],"N/A",0)</f>
        <v>Air</v>
      </c>
      <c r="I121">
        <f>_xlfn.XLOOKUP(Table2[[#This Row],[Animal]],Table1[Animal],Table1[Revenue],"N/A",0)</f>
        <v>600</v>
      </c>
      <c r="J121">
        <f>_xlfn.XLOOKUP(Table2[[#This Row],[Animal]],Table1[Animal],Table1[Cost],"N/A",0)</f>
        <v>500</v>
      </c>
      <c r="K121">
        <f>Table2[[#This Row],[Revenue]]-Table2[[#This Row],[Cost]]</f>
        <v>100</v>
      </c>
    </row>
    <row r="122" spans="1:11" x14ac:dyDescent="0.25">
      <c r="A122" t="s">
        <v>193</v>
      </c>
      <c r="B122" t="str">
        <f>_xlfn.XLOOKUP(Table2[[#This Row],[Animal]],Table1[Animal],Table1[Diet],"Not Found",0)</f>
        <v>Carnivore</v>
      </c>
      <c r="C122" s="19">
        <f>_xlfn.XLOOKUP(Table2[[#This Row],[Animal]],Table1[Animal],Table1[Lifespan (Years)],"N/A",0)</f>
        <v>30</v>
      </c>
      <c r="D122" s="17" t="str">
        <f>_xlfn.XLOOKUP(Table2[[#This Row],[Animal]],Table1[Animal],Table1[Lifespan Group],"N/A",0)</f>
        <v>25-49</v>
      </c>
      <c r="E122" s="17">
        <f>_xlfn.XLOOKUP(Table2[[#This Row],[Animal]],Table1[Animal],Table1[Weight (lbs)],"N/A",0)</f>
        <v>7</v>
      </c>
      <c r="F122" s="17" t="str">
        <f>_xlfn.XLOOKUP(Table2[[#This Row],[Animal]],Table1[Animal],Table1[Weight Group],"N/A",0)</f>
        <v>&lt;100</v>
      </c>
      <c r="G122" t="str">
        <f>_xlfn.XLOOKUP(Table2[[#This Row],[Animal]],Table1[Animal],Table1[Region],"N/A",0)</f>
        <v>North America</v>
      </c>
      <c r="H122" s="17" t="str">
        <f>_xlfn.XLOOKUP(Table2[[#This Row],[Animal]],Table1[Animal],Table1[Transport],"N/A",0)</f>
        <v>Boat</v>
      </c>
      <c r="I122">
        <f>_xlfn.XLOOKUP(Table2[[#This Row],[Animal]],Table1[Animal],Table1[Revenue],"N/A",0)</f>
        <v>400</v>
      </c>
      <c r="J122">
        <f>_xlfn.XLOOKUP(Table2[[#This Row],[Animal]],Table1[Animal],Table1[Cost],"N/A",0)</f>
        <v>500</v>
      </c>
      <c r="K122">
        <f>Table2[[#This Row],[Revenue]]-Table2[[#This Row],[Cost]]</f>
        <v>-100</v>
      </c>
    </row>
    <row r="123" spans="1:11" x14ac:dyDescent="0.25">
      <c r="A123" t="s">
        <v>194</v>
      </c>
      <c r="B123" t="str">
        <f>_xlfn.XLOOKUP(Table2[[#This Row],[Animal]],Table1[Animal],Table1[Diet],"Not Found",0)</f>
        <v>Omnivore</v>
      </c>
      <c r="C123" s="19">
        <f>_xlfn.XLOOKUP(Table2[[#This Row],[Animal]],Table1[Animal],Table1[Lifespan (Years)],"N/A",0)</f>
        <v>30</v>
      </c>
      <c r="D123" s="17" t="str">
        <f>_xlfn.XLOOKUP(Table2[[#This Row],[Animal]],Table1[Animal],Table1[Lifespan Group],"N/A",0)</f>
        <v>25-49</v>
      </c>
      <c r="E123" s="17">
        <f>_xlfn.XLOOKUP(Table2[[#This Row],[Animal]],Table1[Animal],Table1[Weight (lbs)],"N/A",0)</f>
        <v>8.1999999999999993</v>
      </c>
      <c r="F123" s="17" t="str">
        <f>_xlfn.XLOOKUP(Table2[[#This Row],[Animal]],Table1[Animal],Table1[Weight Group],"N/A",0)</f>
        <v>&lt;100</v>
      </c>
      <c r="G123" t="str">
        <f>_xlfn.XLOOKUP(Table2[[#This Row],[Animal]],Table1[Animal],Table1[Region],"N/A",0)</f>
        <v>Europe &amp; Eurasia</v>
      </c>
      <c r="H123" s="17" t="str">
        <f>_xlfn.XLOOKUP(Table2[[#This Row],[Animal]],Table1[Animal],Table1[Transport],"N/A",0)</f>
        <v>Road</v>
      </c>
      <c r="I123">
        <f>_xlfn.XLOOKUP(Table2[[#This Row],[Animal]],Table1[Animal],Table1[Revenue],"N/A",0)</f>
        <v>450</v>
      </c>
      <c r="J123">
        <f>_xlfn.XLOOKUP(Table2[[#This Row],[Animal]],Table1[Animal],Table1[Cost],"N/A",0)</f>
        <v>400</v>
      </c>
      <c r="K123">
        <f>Table2[[#This Row],[Revenue]]-Table2[[#This Row],[Cost]]</f>
        <v>50</v>
      </c>
    </row>
    <row r="124" spans="1:11" x14ac:dyDescent="0.25">
      <c r="A124" t="s">
        <v>195</v>
      </c>
      <c r="B124" t="str">
        <f>_xlfn.XLOOKUP(Table2[[#This Row],[Animal]],Table1[Animal],Table1[Diet],"Not Found",0)</f>
        <v>Carnivore</v>
      </c>
      <c r="C124" s="19">
        <f>_xlfn.XLOOKUP(Table2[[#This Row],[Animal]],Table1[Animal],Table1[Lifespan (Years)],"N/A",0)</f>
        <v>20</v>
      </c>
      <c r="D124" s="17" t="str">
        <f>_xlfn.XLOOKUP(Table2[[#This Row],[Animal]],Table1[Animal],Table1[Lifespan Group],"N/A",0)</f>
        <v>&lt;25</v>
      </c>
      <c r="E124" s="17">
        <f>_xlfn.XLOOKUP(Table2[[#This Row],[Animal]],Table1[Animal],Table1[Weight (lbs)],"N/A",0)</f>
        <v>6.6</v>
      </c>
      <c r="F124" s="17" t="str">
        <f>_xlfn.XLOOKUP(Table2[[#This Row],[Animal]],Table1[Animal],Table1[Weight Group],"N/A",0)</f>
        <v>&lt;100</v>
      </c>
      <c r="G124" t="str">
        <f>_xlfn.XLOOKUP(Table2[[#This Row],[Animal]],Table1[Animal],Table1[Region],"N/A",0)</f>
        <v>North America</v>
      </c>
      <c r="H124" s="17" t="str">
        <f>_xlfn.XLOOKUP(Table2[[#This Row],[Animal]],Table1[Animal],Table1[Transport],"N/A",0)</f>
        <v>Boat</v>
      </c>
      <c r="I124">
        <f>_xlfn.XLOOKUP(Table2[[#This Row],[Animal]],Table1[Animal],Table1[Revenue],"N/A",0)</f>
        <v>400</v>
      </c>
      <c r="J124">
        <f>_xlfn.XLOOKUP(Table2[[#This Row],[Animal]],Table1[Animal],Table1[Cost],"N/A",0)</f>
        <v>500</v>
      </c>
      <c r="K124">
        <f>Table2[[#This Row],[Revenue]]-Table2[[#This Row],[Cost]]</f>
        <v>-100</v>
      </c>
    </row>
    <row r="125" spans="1:11" x14ac:dyDescent="0.25">
      <c r="A125" t="s">
        <v>196</v>
      </c>
      <c r="B125" t="str">
        <f>_xlfn.XLOOKUP(Table2[[#This Row],[Animal]],Table1[Animal],Table1[Diet],"Not Found",0)</f>
        <v>Carnivore</v>
      </c>
      <c r="C125" s="19">
        <f>_xlfn.XLOOKUP(Table2[[#This Row],[Animal]],Table1[Animal],Table1[Lifespan (Years)],"N/A",0)</f>
        <v>70</v>
      </c>
      <c r="D125" s="17" t="str">
        <f>_xlfn.XLOOKUP(Table2[[#This Row],[Animal]],Table1[Animal],Table1[Lifespan Group],"N/A",0)</f>
        <v>50-74</v>
      </c>
      <c r="E125" s="17">
        <f>_xlfn.XLOOKUP(Table2[[#This Row],[Animal]],Table1[Animal],Table1[Weight (lbs)],"N/A",0)</f>
        <v>40</v>
      </c>
      <c r="F125" s="17" t="str">
        <f>_xlfn.XLOOKUP(Table2[[#This Row],[Animal]],Table1[Animal],Table1[Weight Group],"N/A",0)</f>
        <v>&lt;100</v>
      </c>
      <c r="G125" t="str">
        <f>_xlfn.XLOOKUP(Table2[[#This Row],[Animal]],Table1[Animal],Table1[Region],"N/A",0)</f>
        <v>Europe &amp; Eurasia</v>
      </c>
      <c r="H125" s="17" t="str">
        <f>_xlfn.XLOOKUP(Table2[[#This Row],[Animal]],Table1[Animal],Table1[Transport],"N/A",0)</f>
        <v>Road</v>
      </c>
      <c r="I125">
        <f>_xlfn.XLOOKUP(Table2[[#This Row],[Animal]],Table1[Animal],Table1[Revenue],"N/A",0)</f>
        <v>450</v>
      </c>
      <c r="J125">
        <f>_xlfn.XLOOKUP(Table2[[#This Row],[Animal]],Table1[Animal],Table1[Cost],"N/A",0)</f>
        <v>500</v>
      </c>
      <c r="K125">
        <f>Table2[[#This Row],[Revenue]]-Table2[[#This Row],[Cost]]</f>
        <v>-50</v>
      </c>
    </row>
    <row r="126" spans="1:11" x14ac:dyDescent="0.25">
      <c r="A126" t="s">
        <v>197</v>
      </c>
      <c r="B126" t="str">
        <f>_xlfn.XLOOKUP(Table2[[#This Row],[Animal]],Table1[Animal],Table1[Diet],"Not Found",0)</f>
        <v>Omnivore</v>
      </c>
      <c r="C126" s="19">
        <f>_xlfn.XLOOKUP(Table2[[#This Row],[Animal]],Table1[Animal],Table1[Lifespan (Years)],"N/A",0)</f>
        <v>14</v>
      </c>
      <c r="D126" s="17" t="str">
        <f>_xlfn.XLOOKUP(Table2[[#This Row],[Animal]],Table1[Animal],Table1[Lifespan Group],"N/A",0)</f>
        <v>&lt;25</v>
      </c>
      <c r="E126" s="17">
        <f>_xlfn.XLOOKUP(Table2[[#This Row],[Animal]],Table1[Animal],Table1[Weight (lbs)],"N/A",0)</f>
        <v>75</v>
      </c>
      <c r="F126" s="17" t="str">
        <f>_xlfn.XLOOKUP(Table2[[#This Row],[Animal]],Table1[Animal],Table1[Weight Group],"N/A",0)</f>
        <v>&lt;100</v>
      </c>
      <c r="G126" t="str">
        <f>_xlfn.XLOOKUP(Table2[[#This Row],[Animal]],Table1[Animal],Table1[Region],"N/A",0)</f>
        <v>Europe &amp; Eurasia</v>
      </c>
      <c r="H126" s="17" t="str">
        <f>_xlfn.XLOOKUP(Table2[[#This Row],[Animal]],Table1[Animal],Table1[Transport],"N/A",0)</f>
        <v>Road</v>
      </c>
      <c r="I126">
        <f>_xlfn.XLOOKUP(Table2[[#This Row],[Animal]],Table1[Animal],Table1[Revenue],"N/A",0)</f>
        <v>450</v>
      </c>
      <c r="J126">
        <f>_xlfn.XLOOKUP(Table2[[#This Row],[Animal]],Table1[Animal],Table1[Cost],"N/A",0)</f>
        <v>400</v>
      </c>
      <c r="K126">
        <f>Table2[[#This Row],[Revenue]]-Table2[[#This Row],[Cost]]</f>
        <v>50</v>
      </c>
    </row>
    <row r="127" spans="1:11" x14ac:dyDescent="0.25">
      <c r="A127" t="s">
        <v>198</v>
      </c>
      <c r="B127" t="str">
        <f>_xlfn.XLOOKUP(Table2[[#This Row],[Animal]],Table1[Animal],Table1[Diet],"Not Found",0)</f>
        <v>Carnivore</v>
      </c>
      <c r="C127" s="19">
        <f>_xlfn.XLOOKUP(Table2[[#This Row],[Animal]],Table1[Animal],Table1[Lifespan (Years)],"N/A",0)</f>
        <v>3</v>
      </c>
      <c r="D127" s="17" t="str">
        <f>_xlfn.XLOOKUP(Table2[[#This Row],[Animal]],Table1[Animal],Table1[Lifespan Group],"N/A",0)</f>
        <v>&lt;25</v>
      </c>
      <c r="E127" s="17">
        <f>_xlfn.XLOOKUP(Table2[[#This Row],[Animal]],Table1[Animal],Table1[Weight (lbs)],"N/A",0)</f>
        <v>6.6</v>
      </c>
      <c r="F127" s="17" t="str">
        <f>_xlfn.XLOOKUP(Table2[[#This Row],[Animal]],Table1[Animal],Table1[Weight Group],"N/A",0)</f>
        <v>&lt;100</v>
      </c>
      <c r="G127" t="str">
        <f>_xlfn.XLOOKUP(Table2[[#This Row],[Animal]],Table1[Animal],Table1[Region],"N/A",0)</f>
        <v>North America</v>
      </c>
      <c r="H127" s="17" t="str">
        <f>_xlfn.XLOOKUP(Table2[[#This Row],[Animal]],Table1[Animal],Table1[Transport],"N/A",0)</f>
        <v>Boat</v>
      </c>
      <c r="I127">
        <f>_xlfn.XLOOKUP(Table2[[#This Row],[Animal]],Table1[Animal],Table1[Revenue],"N/A",0)</f>
        <v>400</v>
      </c>
      <c r="J127">
        <f>_xlfn.XLOOKUP(Table2[[#This Row],[Animal]],Table1[Animal],Table1[Cost],"N/A",0)</f>
        <v>500</v>
      </c>
      <c r="K127">
        <f>Table2[[#This Row],[Revenue]]-Table2[[#This Row],[Cost]]</f>
        <v>-100</v>
      </c>
    </row>
    <row r="128" spans="1:11" x14ac:dyDescent="0.25">
      <c r="A128" t="s">
        <v>199</v>
      </c>
      <c r="B128" t="str">
        <f>_xlfn.XLOOKUP(Table2[[#This Row],[Animal]],Table1[Animal],Table1[Diet],"Not Found",0)</f>
        <v>Omnivore</v>
      </c>
      <c r="C128" s="19">
        <f>_xlfn.XLOOKUP(Table2[[#This Row],[Animal]],Table1[Animal],Table1[Lifespan (Years)],"N/A",0)</f>
        <v>15</v>
      </c>
      <c r="D128" s="17" t="str">
        <f>_xlfn.XLOOKUP(Table2[[#This Row],[Animal]],Table1[Animal],Table1[Lifespan Group],"N/A",0)</f>
        <v>&lt;25</v>
      </c>
      <c r="E128" s="17">
        <f>_xlfn.XLOOKUP(Table2[[#This Row],[Animal]],Table1[Animal],Table1[Weight (lbs)],"N/A",0)</f>
        <v>9</v>
      </c>
      <c r="F128" s="17" t="str">
        <f>_xlfn.XLOOKUP(Table2[[#This Row],[Animal]],Table1[Animal],Table1[Weight Group],"N/A",0)</f>
        <v>&lt;100</v>
      </c>
      <c r="G128" t="str">
        <f>_xlfn.XLOOKUP(Table2[[#This Row],[Animal]],Table1[Animal],Table1[Region],"N/A",0)</f>
        <v>South Asia</v>
      </c>
      <c r="H128" s="17" t="str">
        <f>_xlfn.XLOOKUP(Table2[[#This Row],[Animal]],Table1[Animal],Table1[Transport],"N/A",0)</f>
        <v>Air</v>
      </c>
      <c r="I128">
        <f>_xlfn.XLOOKUP(Table2[[#This Row],[Animal]],Table1[Animal],Table1[Revenue],"N/A",0)</f>
        <v>450</v>
      </c>
      <c r="J128">
        <f>_xlfn.XLOOKUP(Table2[[#This Row],[Animal]],Table1[Animal],Table1[Cost],"N/A",0)</f>
        <v>400</v>
      </c>
      <c r="K128">
        <f>Table2[[#This Row],[Revenue]]-Table2[[#This Row],[Cost]]</f>
        <v>50</v>
      </c>
    </row>
    <row r="129" spans="1:11" x14ac:dyDescent="0.25">
      <c r="A129" t="s">
        <v>202</v>
      </c>
      <c r="B129" t="str">
        <f>_xlfn.XLOOKUP(Table2[[#This Row],[Animal]],Table1[Animal],Table1[Diet],"Not Found",0)</f>
        <v>Herbivore</v>
      </c>
      <c r="C129" s="19">
        <f>_xlfn.XLOOKUP(Table2[[#This Row],[Animal]],Table1[Animal],Table1[Lifespan (Years)],"N/A",0)</f>
        <v>60</v>
      </c>
      <c r="D129" s="17" t="str">
        <f>_xlfn.XLOOKUP(Table2[[#This Row],[Animal]],Table1[Animal],Table1[Lifespan Group],"N/A",0)</f>
        <v>50-74</v>
      </c>
      <c r="E129" s="17">
        <f>_xlfn.XLOOKUP(Table2[[#This Row],[Animal]],Table1[Animal],Table1[Weight (lbs)],"N/A",0)</f>
        <v>8</v>
      </c>
      <c r="F129" s="17" t="str">
        <f>_xlfn.XLOOKUP(Table2[[#This Row],[Animal]],Table1[Animal],Table1[Weight Group],"N/A",0)</f>
        <v>&lt;100</v>
      </c>
      <c r="G129" t="str">
        <f>_xlfn.XLOOKUP(Table2[[#This Row],[Animal]],Table1[Animal],Table1[Region],"N/A",0)</f>
        <v>Europe &amp; Eurasia</v>
      </c>
      <c r="H129" s="17" t="str">
        <f>_xlfn.XLOOKUP(Table2[[#This Row],[Animal]],Table1[Animal],Table1[Transport],"N/A",0)</f>
        <v>Road</v>
      </c>
      <c r="I129">
        <f>_xlfn.XLOOKUP(Table2[[#This Row],[Animal]],Table1[Animal],Table1[Revenue],"N/A",0)</f>
        <v>450</v>
      </c>
      <c r="J129">
        <f>_xlfn.XLOOKUP(Table2[[#This Row],[Animal]],Table1[Animal],Table1[Cost],"N/A",0)</f>
        <v>300</v>
      </c>
      <c r="K129">
        <f>Table2[[#This Row],[Revenue]]-Table2[[#This Row],[Cost]]</f>
        <v>150</v>
      </c>
    </row>
    <row r="130" spans="1:11" x14ac:dyDescent="0.25">
      <c r="A130" t="s">
        <v>203</v>
      </c>
      <c r="B130" t="str">
        <f>_xlfn.XLOOKUP(Table2[[#This Row],[Animal]],Table1[Animal],Table1[Diet],"Not Found",0)</f>
        <v>Carnivore</v>
      </c>
      <c r="C130" s="19">
        <f>_xlfn.XLOOKUP(Table2[[#This Row],[Animal]],Table1[Animal],Table1[Lifespan (Years)],"N/A",0)</f>
        <v>15</v>
      </c>
      <c r="D130" s="17" t="str">
        <f>_xlfn.XLOOKUP(Table2[[#This Row],[Animal]],Table1[Animal],Table1[Lifespan Group],"N/A",0)</f>
        <v>&lt;25</v>
      </c>
      <c r="E130" s="17">
        <f>_xlfn.XLOOKUP(Table2[[#This Row],[Animal]],Table1[Animal],Table1[Weight (lbs)],"N/A",0)</f>
        <v>28</v>
      </c>
      <c r="F130" s="17" t="str">
        <f>_xlfn.XLOOKUP(Table2[[#This Row],[Animal]],Table1[Animal],Table1[Weight Group],"N/A",0)</f>
        <v>&lt;100</v>
      </c>
      <c r="G130" t="str">
        <f>_xlfn.XLOOKUP(Table2[[#This Row],[Animal]],Table1[Animal],Table1[Region],"N/A",0)</f>
        <v>North America</v>
      </c>
      <c r="H130" s="17" t="str">
        <f>_xlfn.XLOOKUP(Table2[[#This Row],[Animal]],Table1[Animal],Table1[Transport],"N/A",0)</f>
        <v>Boat</v>
      </c>
      <c r="I130">
        <f>_xlfn.XLOOKUP(Table2[[#This Row],[Animal]],Table1[Animal],Table1[Revenue],"N/A",0)</f>
        <v>400</v>
      </c>
      <c r="J130">
        <f>_xlfn.XLOOKUP(Table2[[#This Row],[Animal]],Table1[Animal],Table1[Cost],"N/A",0)</f>
        <v>500</v>
      </c>
      <c r="K130">
        <f>Table2[[#This Row],[Revenue]]-Table2[[#This Row],[Cost]]</f>
        <v>-100</v>
      </c>
    </row>
    <row r="131" spans="1:11" x14ac:dyDescent="0.25">
      <c r="A131" t="s">
        <v>204</v>
      </c>
      <c r="B131" t="str">
        <f>_xlfn.XLOOKUP(Table2[[#This Row],[Animal]],Table1[Animal],Table1[Diet],"Not Found",0)</f>
        <v>Omnivore</v>
      </c>
      <c r="C131" s="19">
        <f>_xlfn.XLOOKUP(Table2[[#This Row],[Animal]],Table1[Animal],Table1[Lifespan (Years)],"N/A",0)</f>
        <v>15</v>
      </c>
      <c r="D131" s="17" t="str">
        <f>_xlfn.XLOOKUP(Table2[[#This Row],[Animal]],Table1[Animal],Table1[Lifespan Group],"N/A",0)</f>
        <v>&lt;25</v>
      </c>
      <c r="E131" s="17">
        <f>_xlfn.XLOOKUP(Table2[[#This Row],[Animal]],Table1[Animal],Table1[Weight (lbs)],"N/A",0)</f>
        <v>0</v>
      </c>
      <c r="F131" s="17" t="str">
        <f>_xlfn.XLOOKUP(Table2[[#This Row],[Animal]],Table1[Animal],Table1[Weight Group],"N/A",0)</f>
        <v>N/A</v>
      </c>
      <c r="G131" t="str">
        <f>_xlfn.XLOOKUP(Table2[[#This Row],[Animal]],Table1[Animal],Table1[Region],"N/A",0)</f>
        <v>Africa &amp; MENA</v>
      </c>
      <c r="H131" s="17" t="str">
        <f>_xlfn.XLOOKUP(Table2[[#This Row],[Animal]],Table1[Animal],Table1[Transport],"N/A",0)</f>
        <v>Air</v>
      </c>
      <c r="I131">
        <f>_xlfn.XLOOKUP(Table2[[#This Row],[Animal]],Table1[Animal],Table1[Revenue],"N/A",0)</f>
        <v>600</v>
      </c>
      <c r="J131">
        <f>_xlfn.XLOOKUP(Table2[[#This Row],[Animal]],Table1[Animal],Table1[Cost],"N/A",0)</f>
        <v>400</v>
      </c>
      <c r="K131">
        <f>Table2[[#This Row],[Revenue]]-Table2[[#This Row],[Cost]]</f>
        <v>200</v>
      </c>
    </row>
    <row r="132" spans="1:11" x14ac:dyDescent="0.25">
      <c r="A132" t="s">
        <v>206</v>
      </c>
      <c r="B132" t="str">
        <f>_xlfn.XLOOKUP(Table2[[#This Row],[Animal]],Table1[Animal],Table1[Diet],"Not Found",0)</f>
        <v>Omnivore</v>
      </c>
      <c r="C132" s="19">
        <f>_xlfn.XLOOKUP(Table2[[#This Row],[Animal]],Table1[Animal],Table1[Lifespan (Years)],"N/A",0)</f>
        <v>30</v>
      </c>
      <c r="D132" s="17" t="str">
        <f>_xlfn.XLOOKUP(Table2[[#This Row],[Animal]],Table1[Animal],Table1[Lifespan Group],"N/A",0)</f>
        <v>25-49</v>
      </c>
      <c r="E132" s="17">
        <f>_xlfn.XLOOKUP(Table2[[#This Row],[Animal]],Table1[Animal],Table1[Weight (lbs)],"N/A",0)</f>
        <v>44</v>
      </c>
      <c r="F132" s="17" t="str">
        <f>_xlfn.XLOOKUP(Table2[[#This Row],[Animal]],Table1[Animal],Table1[Weight Group],"N/A",0)</f>
        <v>&lt;100</v>
      </c>
      <c r="G132" t="str">
        <f>_xlfn.XLOOKUP(Table2[[#This Row],[Animal]],Table1[Animal],Table1[Region],"N/A",0)</f>
        <v>North America</v>
      </c>
      <c r="H132" s="17" t="str">
        <f>_xlfn.XLOOKUP(Table2[[#This Row],[Animal]],Table1[Animal],Table1[Transport],"N/A",0)</f>
        <v>Boat</v>
      </c>
      <c r="I132">
        <f>_xlfn.XLOOKUP(Table2[[#This Row],[Animal]],Table1[Animal],Table1[Revenue],"N/A",0)</f>
        <v>400</v>
      </c>
      <c r="J132">
        <f>_xlfn.XLOOKUP(Table2[[#This Row],[Animal]],Table1[Animal],Table1[Cost],"N/A",0)</f>
        <v>400</v>
      </c>
      <c r="K132">
        <f>Table2[[#This Row],[Revenue]]-Table2[[#This Row],[Cost]]</f>
        <v>0</v>
      </c>
    </row>
    <row r="133" spans="1:11" x14ac:dyDescent="0.25">
      <c r="A133" t="s">
        <v>207</v>
      </c>
      <c r="B133" t="str">
        <f>_xlfn.XLOOKUP(Table2[[#This Row],[Animal]],Table1[Animal],Table1[Diet],"Not Found",0)</f>
        <v>Omnivore</v>
      </c>
      <c r="C133" s="19">
        <f>_xlfn.XLOOKUP(Table2[[#This Row],[Animal]],Table1[Animal],Table1[Lifespan (Years)],"N/A",0)</f>
        <v>13</v>
      </c>
      <c r="D133" s="17" t="str">
        <f>_xlfn.XLOOKUP(Table2[[#This Row],[Animal]],Table1[Animal],Table1[Lifespan Group],"N/A",0)</f>
        <v>&lt;25</v>
      </c>
      <c r="E133" s="17">
        <f>_xlfn.XLOOKUP(Table2[[#This Row],[Animal]],Table1[Animal],Table1[Weight (lbs)],"N/A",0)</f>
        <v>100</v>
      </c>
      <c r="F133" s="17" t="str">
        <f>_xlfn.XLOOKUP(Table2[[#This Row],[Animal]],Table1[Animal],Table1[Weight Group],"N/A",0)</f>
        <v>100-199</v>
      </c>
      <c r="G133" t="str">
        <f>_xlfn.XLOOKUP(Table2[[#This Row],[Animal]],Table1[Animal],Table1[Region],"N/A",0)</f>
        <v>South Asia</v>
      </c>
      <c r="H133" s="17" t="str">
        <f>_xlfn.XLOOKUP(Table2[[#This Row],[Animal]],Table1[Animal],Table1[Transport],"N/A",0)</f>
        <v>Air</v>
      </c>
      <c r="I133">
        <f>_xlfn.XLOOKUP(Table2[[#This Row],[Animal]],Table1[Animal],Table1[Revenue],"N/A",0)</f>
        <v>450</v>
      </c>
      <c r="J133">
        <f>_xlfn.XLOOKUP(Table2[[#This Row],[Animal]],Table1[Animal],Table1[Cost],"N/A",0)</f>
        <v>400</v>
      </c>
      <c r="K133">
        <f>Table2[[#This Row],[Revenue]]-Table2[[#This Row],[Cost]]</f>
        <v>50</v>
      </c>
    </row>
    <row r="134" spans="1:11" x14ac:dyDescent="0.25">
      <c r="A134" t="s">
        <v>209</v>
      </c>
      <c r="B134" t="str">
        <f>_xlfn.XLOOKUP(Table2[[#This Row],[Animal]],Table1[Animal],Table1[Diet],"Not Found",0)</f>
        <v>Omnivore</v>
      </c>
      <c r="C134" s="19">
        <f>_xlfn.XLOOKUP(Table2[[#This Row],[Animal]],Table1[Animal],Table1[Lifespan (Years)],"N/A",0)</f>
        <v>12</v>
      </c>
      <c r="D134" s="17" t="str">
        <f>_xlfn.XLOOKUP(Table2[[#This Row],[Animal]],Table1[Animal],Table1[Lifespan Group],"N/A",0)</f>
        <v>&lt;25</v>
      </c>
      <c r="E134" s="17">
        <f>_xlfn.XLOOKUP(Table2[[#This Row],[Animal]],Table1[Animal],Table1[Weight (lbs)],"N/A",0)</f>
        <v>100</v>
      </c>
      <c r="F134" s="17" t="str">
        <f>_xlfn.XLOOKUP(Table2[[#This Row],[Animal]],Table1[Animal],Table1[Weight Group],"N/A",0)</f>
        <v>100-199</v>
      </c>
      <c r="G134" t="str">
        <f>_xlfn.XLOOKUP(Table2[[#This Row],[Animal]],Table1[Animal],Table1[Region],"N/A",0)</f>
        <v>North America</v>
      </c>
      <c r="H134" s="17" t="str">
        <f>_xlfn.XLOOKUP(Table2[[#This Row],[Animal]],Table1[Animal],Table1[Transport],"N/A",0)</f>
        <v>Boat</v>
      </c>
      <c r="I134">
        <f>_xlfn.XLOOKUP(Table2[[#This Row],[Animal]],Table1[Animal],Table1[Revenue],"N/A",0)</f>
        <v>400</v>
      </c>
      <c r="J134">
        <f>_xlfn.XLOOKUP(Table2[[#This Row],[Animal]],Table1[Animal],Table1[Cost],"N/A",0)</f>
        <v>400</v>
      </c>
      <c r="K134">
        <f>Table2[[#This Row],[Revenue]]-Table2[[#This Row],[Cost]]</f>
        <v>0</v>
      </c>
    </row>
    <row r="135" spans="1:11" x14ac:dyDescent="0.25">
      <c r="A135" t="s">
        <v>210</v>
      </c>
      <c r="B135" t="str">
        <f>_xlfn.XLOOKUP(Table2[[#This Row],[Animal]],Table1[Animal],Table1[Diet],"Not Found",0)</f>
        <v>Carnivore</v>
      </c>
      <c r="C135" s="19">
        <f>_xlfn.XLOOKUP(Table2[[#This Row],[Animal]],Table1[Animal],Table1[Lifespan (Years)],"N/A",0)</f>
        <v>45</v>
      </c>
      <c r="D135" s="17" t="str">
        <f>_xlfn.XLOOKUP(Table2[[#This Row],[Animal]],Table1[Animal],Table1[Lifespan Group],"N/A",0)</f>
        <v>25-49</v>
      </c>
      <c r="E135" s="17">
        <f>_xlfn.XLOOKUP(Table2[[#This Row],[Animal]],Table1[Animal],Table1[Weight (lbs)],"N/A",0)</f>
        <v>220</v>
      </c>
      <c r="F135" s="17" t="str">
        <f>_xlfn.XLOOKUP(Table2[[#This Row],[Animal]],Table1[Animal],Table1[Weight Group],"N/A",0)</f>
        <v>200-299</v>
      </c>
      <c r="G135" t="str">
        <f>_xlfn.XLOOKUP(Table2[[#This Row],[Animal]],Table1[Animal],Table1[Region],"N/A",0)</f>
        <v>North America</v>
      </c>
      <c r="H135" s="17" t="str">
        <f>_xlfn.XLOOKUP(Table2[[#This Row],[Animal]],Table1[Animal],Table1[Transport],"N/A",0)</f>
        <v>Boat</v>
      </c>
      <c r="I135">
        <f>_xlfn.XLOOKUP(Table2[[#This Row],[Animal]],Table1[Animal],Table1[Revenue],"N/A",0)</f>
        <v>400</v>
      </c>
      <c r="J135">
        <f>_xlfn.XLOOKUP(Table2[[#This Row],[Animal]],Table1[Animal],Table1[Cost],"N/A",0)</f>
        <v>500</v>
      </c>
      <c r="K135">
        <f>Table2[[#This Row],[Revenue]]-Table2[[#This Row],[Cost]]</f>
        <v>-100</v>
      </c>
    </row>
    <row r="136" spans="1:11" x14ac:dyDescent="0.25">
      <c r="A136" t="s">
        <v>211</v>
      </c>
      <c r="B136" t="str">
        <f>_xlfn.XLOOKUP(Table2[[#This Row],[Animal]],Table1[Animal],Table1[Diet],"Not Found",0)</f>
        <v>Herbivore</v>
      </c>
      <c r="C136" s="19">
        <f>_xlfn.XLOOKUP(Table2[[#This Row],[Animal]],Table1[Animal],Table1[Lifespan (Years)],"N/A",0)</f>
        <v>30</v>
      </c>
      <c r="D136" s="17" t="str">
        <f>_xlfn.XLOOKUP(Table2[[#This Row],[Animal]],Table1[Animal],Table1[Lifespan Group],"N/A",0)</f>
        <v>25-49</v>
      </c>
      <c r="E136" s="17">
        <f>_xlfn.XLOOKUP(Table2[[#This Row],[Animal]],Table1[Animal],Table1[Weight (lbs)],"N/A",0)</f>
        <v>441</v>
      </c>
      <c r="F136" s="17" t="str">
        <f>_xlfn.XLOOKUP(Table2[[#This Row],[Animal]],Table1[Animal],Table1[Weight Group],"N/A",0)</f>
        <v>400-499</v>
      </c>
      <c r="G136" t="str">
        <f>_xlfn.XLOOKUP(Table2[[#This Row],[Animal]],Table1[Animal],Table1[Region],"N/A",0)</f>
        <v>North America</v>
      </c>
      <c r="H136" s="17" t="str">
        <f>_xlfn.XLOOKUP(Table2[[#This Row],[Animal]],Table1[Animal],Table1[Transport],"N/A",0)</f>
        <v>Boat</v>
      </c>
      <c r="I136">
        <f>_xlfn.XLOOKUP(Table2[[#This Row],[Animal]],Table1[Animal],Table1[Revenue],"N/A",0)</f>
        <v>400</v>
      </c>
      <c r="J136">
        <f>_xlfn.XLOOKUP(Table2[[#This Row],[Animal]],Table1[Animal],Table1[Cost],"N/A",0)</f>
        <v>300</v>
      </c>
      <c r="K136">
        <f>Table2[[#This Row],[Revenue]]-Table2[[#This Row],[Cost]]</f>
        <v>100</v>
      </c>
    </row>
    <row r="137" spans="1:11" x14ac:dyDescent="0.25">
      <c r="A137" t="s">
        <v>213</v>
      </c>
      <c r="B137" t="str">
        <f>_xlfn.XLOOKUP(Table2[[#This Row],[Animal]],Table1[Animal],Table1[Diet],"Not Found",0)</f>
        <v>Carnivore</v>
      </c>
      <c r="C137" s="19">
        <f>_xlfn.XLOOKUP(Table2[[#This Row],[Animal]],Table1[Animal],Table1[Lifespan (Years)],"N/A",0)</f>
        <v>6</v>
      </c>
      <c r="D137" s="17" t="str">
        <f>_xlfn.XLOOKUP(Table2[[#This Row],[Animal]],Table1[Animal],Table1[Lifespan Group],"N/A",0)</f>
        <v>&lt;25</v>
      </c>
      <c r="E137" s="17">
        <f>_xlfn.XLOOKUP(Table2[[#This Row],[Animal]],Table1[Animal],Table1[Weight (lbs)],"N/A",0)</f>
        <v>0</v>
      </c>
      <c r="F137" s="17" t="str">
        <f>_xlfn.XLOOKUP(Table2[[#This Row],[Animal]],Table1[Animal],Table1[Weight Group],"N/A",0)</f>
        <v>N/A</v>
      </c>
      <c r="G137" t="str">
        <f>_xlfn.XLOOKUP(Table2[[#This Row],[Animal]],Table1[Animal],Table1[Region],"N/A",0)</f>
        <v>Latin America</v>
      </c>
      <c r="H137" s="17" t="str">
        <f>_xlfn.XLOOKUP(Table2[[#This Row],[Animal]],Table1[Animal],Table1[Transport],"N/A",0)</f>
        <v>Boat</v>
      </c>
      <c r="I137">
        <f>_xlfn.XLOOKUP(Table2[[#This Row],[Animal]],Table1[Animal],Table1[Revenue],"N/A",0)</f>
        <v>200</v>
      </c>
      <c r="J137">
        <f>_xlfn.XLOOKUP(Table2[[#This Row],[Animal]],Table1[Animal],Table1[Cost],"N/A",0)</f>
        <v>500</v>
      </c>
      <c r="K137">
        <f>Table2[[#This Row],[Revenue]]-Table2[[#This Row],[Cost]]</f>
        <v>-300</v>
      </c>
    </row>
    <row r="138" spans="1:11" x14ac:dyDescent="0.25">
      <c r="A138" t="s">
        <v>215</v>
      </c>
      <c r="B138" t="str">
        <f>_xlfn.XLOOKUP(Table2[[#This Row],[Animal]],Table1[Animal],Table1[Diet],"Not Found",0)</f>
        <v>Carnivore</v>
      </c>
      <c r="C138" s="19">
        <f>_xlfn.XLOOKUP(Table2[[#This Row],[Animal]],Table1[Animal],Table1[Lifespan (Years)],"N/A",0)</f>
        <v>25</v>
      </c>
      <c r="D138" s="17" t="str">
        <f>_xlfn.XLOOKUP(Table2[[#This Row],[Animal]],Table1[Animal],Table1[Lifespan Group],"N/A",0)</f>
        <v>25-49</v>
      </c>
      <c r="E138" s="17">
        <f>_xlfn.XLOOKUP(Table2[[#This Row],[Animal]],Table1[Animal],Table1[Weight (lbs)],"N/A",0)</f>
        <v>176</v>
      </c>
      <c r="F138" s="17" t="str">
        <f>_xlfn.XLOOKUP(Table2[[#This Row],[Animal]],Table1[Animal],Table1[Weight Group],"N/A",0)</f>
        <v>100-199</v>
      </c>
      <c r="G138" t="str">
        <f>_xlfn.XLOOKUP(Table2[[#This Row],[Animal]],Table1[Animal],Table1[Region],"N/A",0)</f>
        <v>Latin America</v>
      </c>
      <c r="H138" s="17" t="str">
        <f>_xlfn.XLOOKUP(Table2[[#This Row],[Animal]],Table1[Animal],Table1[Transport],"N/A",0)</f>
        <v>Boat</v>
      </c>
      <c r="I138">
        <f>_xlfn.XLOOKUP(Table2[[#This Row],[Animal]],Table1[Animal],Table1[Revenue],"N/A",0)</f>
        <v>200</v>
      </c>
      <c r="J138">
        <f>_xlfn.XLOOKUP(Table2[[#This Row],[Animal]],Table1[Animal],Table1[Cost],"N/A",0)</f>
        <v>500</v>
      </c>
      <c r="K138">
        <f>Table2[[#This Row],[Revenue]]-Table2[[#This Row],[Cost]]</f>
        <v>-300</v>
      </c>
    </row>
    <row r="139" spans="1:11" x14ac:dyDescent="0.25">
      <c r="A139" t="s">
        <v>216</v>
      </c>
      <c r="B139" t="str">
        <f>_xlfn.XLOOKUP(Table2[[#This Row],[Animal]],Table1[Animal],Table1[Diet],"Not Found",0)</f>
        <v>Omnivore</v>
      </c>
      <c r="C139" s="19">
        <f>_xlfn.XLOOKUP(Table2[[#This Row],[Animal]],Table1[Animal],Table1[Lifespan (Years)],"N/A",0)</f>
        <v>30</v>
      </c>
      <c r="D139" s="17" t="str">
        <f>_xlfn.XLOOKUP(Table2[[#This Row],[Animal]],Table1[Animal],Table1[Lifespan Group],"N/A",0)</f>
        <v>25-49</v>
      </c>
      <c r="E139" s="17">
        <f>_xlfn.XLOOKUP(Table2[[#This Row],[Animal]],Table1[Animal],Table1[Weight (lbs)],"N/A",0)</f>
        <v>1.1000000000000001</v>
      </c>
      <c r="F139" s="17" t="str">
        <f>_xlfn.XLOOKUP(Table2[[#This Row],[Animal]],Table1[Animal],Table1[Weight Group],"N/A",0)</f>
        <v>&lt;100</v>
      </c>
      <c r="G139" t="str">
        <f>_xlfn.XLOOKUP(Table2[[#This Row],[Animal]],Table1[Animal],Table1[Region],"N/A",0)</f>
        <v>Europe &amp; Eurasia</v>
      </c>
      <c r="H139" s="17" t="str">
        <f>_xlfn.XLOOKUP(Table2[[#This Row],[Animal]],Table1[Animal],Table1[Transport],"N/A",0)</f>
        <v>Road</v>
      </c>
      <c r="I139">
        <f>_xlfn.XLOOKUP(Table2[[#This Row],[Animal]],Table1[Animal],Table1[Revenue],"N/A",0)</f>
        <v>450</v>
      </c>
      <c r="J139">
        <f>_xlfn.XLOOKUP(Table2[[#This Row],[Animal]],Table1[Animal],Table1[Cost],"N/A",0)</f>
        <v>400</v>
      </c>
      <c r="K139">
        <f>Table2[[#This Row],[Revenue]]-Table2[[#This Row],[Cost]]</f>
        <v>50</v>
      </c>
    </row>
    <row r="140" spans="1:11" x14ac:dyDescent="0.25">
      <c r="A140" t="s">
        <v>217</v>
      </c>
      <c r="B140" t="str">
        <f>_xlfn.XLOOKUP(Table2[[#This Row],[Animal]],Table1[Animal],Table1[Diet],"Not Found",0)</f>
        <v>Omnivore</v>
      </c>
      <c r="C140" s="19">
        <f>_xlfn.XLOOKUP(Table2[[#This Row],[Animal]],Table1[Animal],Table1[Lifespan (Years)],"N/A",0)</f>
        <v>3</v>
      </c>
      <c r="D140" s="17" t="str">
        <f>_xlfn.XLOOKUP(Table2[[#This Row],[Animal]],Table1[Animal],Table1[Lifespan Group],"N/A",0)</f>
        <v>&lt;25</v>
      </c>
      <c r="E140" s="17">
        <f>_xlfn.XLOOKUP(Table2[[#This Row],[Animal]],Table1[Animal],Table1[Weight (lbs)],"N/A",0)</f>
        <v>4.3750000000000004E-3</v>
      </c>
      <c r="F140" s="17" t="str">
        <f>_xlfn.XLOOKUP(Table2[[#This Row],[Animal]],Table1[Animal],Table1[Weight Group],"N/A",0)</f>
        <v>&lt;100</v>
      </c>
      <c r="G140" t="str">
        <f>_xlfn.XLOOKUP(Table2[[#This Row],[Animal]],Table1[Animal],Table1[Region],"N/A",0)</f>
        <v>Asia Pacific</v>
      </c>
      <c r="H140" s="17" t="str">
        <f>_xlfn.XLOOKUP(Table2[[#This Row],[Animal]],Table1[Animal],Table1[Transport],"N/A",0)</f>
        <v>Air</v>
      </c>
      <c r="I140">
        <f>_xlfn.XLOOKUP(Table2[[#This Row],[Animal]],Table1[Animal],Table1[Revenue],"N/A",0)</f>
        <v>700</v>
      </c>
      <c r="J140">
        <f>_xlfn.XLOOKUP(Table2[[#This Row],[Animal]],Table1[Animal],Table1[Cost],"N/A",0)</f>
        <v>400</v>
      </c>
      <c r="K140">
        <f>Table2[[#This Row],[Revenue]]-Table2[[#This Row],[Cost]]</f>
        <v>300</v>
      </c>
    </row>
    <row r="141" spans="1:11" x14ac:dyDescent="0.25">
      <c r="A141" t="s">
        <v>218</v>
      </c>
      <c r="B141" t="str">
        <f>_xlfn.XLOOKUP(Table2[[#This Row],[Animal]],Table1[Animal],Table1[Diet],"Not Found",0)</f>
        <v>Carnivore</v>
      </c>
      <c r="C141" s="19">
        <f>_xlfn.XLOOKUP(Table2[[#This Row],[Animal]],Table1[Animal],Table1[Lifespan (Years)],"N/A",0)</f>
        <v>40</v>
      </c>
      <c r="D141" s="17" t="str">
        <f>_xlfn.XLOOKUP(Table2[[#This Row],[Animal]],Table1[Animal],Table1[Lifespan Group],"N/A",0)</f>
        <v>25-49</v>
      </c>
      <c r="E141" s="17">
        <f>_xlfn.XLOOKUP(Table2[[#This Row],[Animal]],Table1[Animal],Table1[Weight (lbs)],"N/A",0)</f>
        <v>9</v>
      </c>
      <c r="F141" s="17" t="str">
        <f>_xlfn.XLOOKUP(Table2[[#This Row],[Animal]],Table1[Animal],Table1[Weight Group],"N/A",0)</f>
        <v>&lt;100</v>
      </c>
      <c r="G141" t="str">
        <f>_xlfn.XLOOKUP(Table2[[#This Row],[Animal]],Table1[Animal],Table1[Region],"N/A",0)</f>
        <v>Europe &amp; Eurasia</v>
      </c>
      <c r="H141" s="17" t="str">
        <f>_xlfn.XLOOKUP(Table2[[#This Row],[Animal]],Table1[Animal],Table1[Transport],"N/A",0)</f>
        <v>Road</v>
      </c>
      <c r="I141">
        <f>_xlfn.XLOOKUP(Table2[[#This Row],[Animal]],Table1[Animal],Table1[Revenue],"N/A",0)</f>
        <v>450</v>
      </c>
      <c r="J141">
        <f>_xlfn.XLOOKUP(Table2[[#This Row],[Animal]],Table1[Animal],Table1[Cost],"N/A",0)</f>
        <v>500</v>
      </c>
      <c r="K141">
        <f>Table2[[#This Row],[Revenue]]-Table2[[#This Row],[Cost]]</f>
        <v>-50</v>
      </c>
    </row>
    <row r="142" spans="1:11" x14ac:dyDescent="0.25">
      <c r="A142" t="s">
        <v>219</v>
      </c>
      <c r="B142" t="str">
        <f>_xlfn.XLOOKUP(Table2[[#This Row],[Animal]],Table1[Animal],Table1[Diet],"Not Found",0)</f>
        <v>Carnivore</v>
      </c>
      <c r="C142" s="19">
        <f>_xlfn.XLOOKUP(Table2[[#This Row],[Animal]],Table1[Animal],Table1[Lifespan (Years)],"N/A",0)</f>
        <v>15</v>
      </c>
      <c r="D142" s="17" t="str">
        <f>_xlfn.XLOOKUP(Table2[[#This Row],[Animal]],Table1[Animal],Table1[Lifespan Group],"N/A",0)</f>
        <v>&lt;25</v>
      </c>
      <c r="E142" s="17">
        <f>_xlfn.XLOOKUP(Table2[[#This Row],[Animal]],Table1[Animal],Table1[Weight (lbs)],"N/A",0)</f>
        <v>1.0625000000000001E-2</v>
      </c>
      <c r="F142" s="17" t="str">
        <f>_xlfn.XLOOKUP(Table2[[#This Row],[Animal]],Table1[Animal],Table1[Weight Group],"N/A",0)</f>
        <v>&lt;100</v>
      </c>
      <c r="G142" t="str">
        <f>_xlfn.XLOOKUP(Table2[[#This Row],[Animal]],Table1[Animal],Table1[Region],"N/A",0)</f>
        <v>Europe &amp; Eurasia</v>
      </c>
      <c r="H142" s="17" t="str">
        <f>_xlfn.XLOOKUP(Table2[[#This Row],[Animal]],Table1[Animal],Table1[Transport],"N/A",0)</f>
        <v>Road</v>
      </c>
      <c r="I142">
        <f>_xlfn.XLOOKUP(Table2[[#This Row],[Animal]],Table1[Animal],Table1[Revenue],"N/A",0)</f>
        <v>450</v>
      </c>
      <c r="J142">
        <f>_xlfn.XLOOKUP(Table2[[#This Row],[Animal]],Table1[Animal],Table1[Cost],"N/A",0)</f>
        <v>500</v>
      </c>
      <c r="K142">
        <f>Table2[[#This Row],[Revenue]]-Table2[[#This Row],[Cost]]</f>
        <v>-50</v>
      </c>
    </row>
    <row r="143" spans="1:11" x14ac:dyDescent="0.25">
      <c r="A143" t="s">
        <v>222</v>
      </c>
      <c r="B143" t="str">
        <f>_xlfn.XLOOKUP(Table2[[#This Row],[Animal]],Table1[Animal],Table1[Diet],"Not Found",0)</f>
        <v>Herbivore</v>
      </c>
      <c r="C143" s="19">
        <f>_xlfn.XLOOKUP(Table2[[#This Row],[Animal]],Table1[Animal],Table1[Lifespan (Years)],"N/A",0)</f>
        <v>70</v>
      </c>
      <c r="D143" s="17" t="str">
        <f>_xlfn.XLOOKUP(Table2[[#This Row],[Animal]],Table1[Animal],Table1[Lifespan Group],"N/A",0)</f>
        <v>50-74</v>
      </c>
      <c r="E143" s="17">
        <f>_xlfn.XLOOKUP(Table2[[#This Row],[Animal]],Table1[Animal],Table1[Weight (lbs)],"N/A",0)</f>
        <v>6500</v>
      </c>
      <c r="F143" s="17" t="str">
        <f>_xlfn.XLOOKUP(Table2[[#This Row],[Animal]],Table1[Animal],Table1[Weight Group],"N/A",0)</f>
        <v>&gt;=500</v>
      </c>
      <c r="G143" t="str">
        <f>_xlfn.XLOOKUP(Table2[[#This Row],[Animal]],Table1[Animal],Table1[Region],"N/A",0)</f>
        <v>North America</v>
      </c>
      <c r="H143" s="17" t="str">
        <f>_xlfn.XLOOKUP(Table2[[#This Row],[Animal]],Table1[Animal],Table1[Transport],"N/A",0)</f>
        <v>Boat</v>
      </c>
      <c r="I143">
        <f>_xlfn.XLOOKUP(Table2[[#This Row],[Animal]],Table1[Animal],Table1[Revenue],"N/A",0)</f>
        <v>400</v>
      </c>
      <c r="J143">
        <f>_xlfn.XLOOKUP(Table2[[#This Row],[Animal]],Table1[Animal],Table1[Cost],"N/A",0)</f>
        <v>300</v>
      </c>
      <c r="K143">
        <f>Table2[[#This Row],[Revenue]]-Table2[[#This Row],[Cost]]</f>
        <v>100</v>
      </c>
    </row>
    <row r="144" spans="1:11" x14ac:dyDescent="0.25">
      <c r="A144" t="s">
        <v>223</v>
      </c>
      <c r="B144" t="str">
        <f>_xlfn.XLOOKUP(Table2[[#This Row],[Animal]],Table1[Animal],Table1[Diet],"Not Found",0)</f>
        <v>Carnivore</v>
      </c>
      <c r="C144" s="19">
        <f>_xlfn.XLOOKUP(Table2[[#This Row],[Animal]],Table1[Animal],Table1[Lifespan (Years)],"N/A",0)</f>
        <v>22</v>
      </c>
      <c r="D144" s="17" t="str">
        <f>_xlfn.XLOOKUP(Table2[[#This Row],[Animal]],Table1[Animal],Table1[Lifespan Group],"N/A",0)</f>
        <v>&lt;25</v>
      </c>
      <c r="E144" s="17">
        <f>_xlfn.XLOOKUP(Table2[[#This Row],[Animal]],Table1[Animal],Table1[Weight (lbs)],"N/A",0)</f>
        <v>2000</v>
      </c>
      <c r="F144" s="17" t="str">
        <f>_xlfn.XLOOKUP(Table2[[#This Row],[Animal]],Table1[Animal],Table1[Weight Group],"N/A",0)</f>
        <v>&gt;=500</v>
      </c>
      <c r="G144" t="str">
        <f>_xlfn.XLOOKUP(Table2[[#This Row],[Animal]],Table1[Animal],Table1[Region],"N/A",0)</f>
        <v>Greater China</v>
      </c>
      <c r="H144" s="17" t="str">
        <f>_xlfn.XLOOKUP(Table2[[#This Row],[Animal]],Table1[Animal],Table1[Transport],"N/A",0)</f>
        <v>Air</v>
      </c>
      <c r="I144">
        <f>_xlfn.XLOOKUP(Table2[[#This Row],[Animal]],Table1[Animal],Table1[Revenue],"N/A",0)</f>
        <v>600</v>
      </c>
      <c r="J144">
        <f>_xlfn.XLOOKUP(Table2[[#This Row],[Animal]],Table1[Animal],Table1[Cost],"N/A",0)</f>
        <v>500</v>
      </c>
      <c r="K144">
        <f>Table2[[#This Row],[Revenue]]-Table2[[#This Row],[Cost]]</f>
        <v>100</v>
      </c>
    </row>
    <row r="145" spans="1:11" x14ac:dyDescent="0.25">
      <c r="A145" t="s">
        <v>224</v>
      </c>
      <c r="B145" t="str">
        <f>_xlfn.XLOOKUP(Table2[[#This Row],[Animal]],Table1[Animal],Table1[Diet],"Not Found",0)</f>
        <v>Omnivore</v>
      </c>
      <c r="C145" s="19">
        <f>_xlfn.XLOOKUP(Table2[[#This Row],[Animal]],Table1[Animal],Table1[Lifespan (Years)],"N/A",0)</f>
        <v>5</v>
      </c>
      <c r="D145" s="17" t="str">
        <f>_xlfn.XLOOKUP(Table2[[#This Row],[Animal]],Table1[Animal],Table1[Lifespan Group],"N/A",0)</f>
        <v>&lt;25</v>
      </c>
      <c r="E145" s="17">
        <f>_xlfn.XLOOKUP(Table2[[#This Row],[Animal]],Table1[Animal],Table1[Weight (lbs)],"N/A",0)</f>
        <v>0.125</v>
      </c>
      <c r="F145" s="17" t="str">
        <f>_xlfn.XLOOKUP(Table2[[#This Row],[Animal]],Table1[Animal],Table1[Weight Group],"N/A",0)</f>
        <v>&lt;100</v>
      </c>
      <c r="G145" t="str">
        <f>_xlfn.XLOOKUP(Table2[[#This Row],[Animal]],Table1[Animal],Table1[Region],"N/A",0)</f>
        <v>Africa &amp; MENA</v>
      </c>
      <c r="H145" s="17" t="str">
        <f>_xlfn.XLOOKUP(Table2[[#This Row],[Animal]],Table1[Animal],Table1[Transport],"N/A",0)</f>
        <v>Air</v>
      </c>
      <c r="I145">
        <f>_xlfn.XLOOKUP(Table2[[#This Row],[Animal]],Table1[Animal],Table1[Revenue],"N/A",0)</f>
        <v>600</v>
      </c>
      <c r="J145">
        <f>_xlfn.XLOOKUP(Table2[[#This Row],[Animal]],Table1[Animal],Table1[Cost],"N/A",0)</f>
        <v>400</v>
      </c>
      <c r="K145">
        <f>Table2[[#This Row],[Revenue]]-Table2[[#This Row],[Cost]]</f>
        <v>200</v>
      </c>
    </row>
    <row r="146" spans="1:11" x14ac:dyDescent="0.25">
      <c r="A146" t="s">
        <v>225</v>
      </c>
      <c r="B146" t="str">
        <f>_xlfn.XLOOKUP(Table2[[#This Row],[Animal]],Table1[Animal],Table1[Diet],"Not Found",0)</f>
        <v>Carnivore</v>
      </c>
      <c r="C146" s="19">
        <f>_xlfn.XLOOKUP(Table2[[#This Row],[Animal]],Table1[Animal],Table1[Lifespan (Years)],"N/A",0)</f>
        <v>50</v>
      </c>
      <c r="D146" s="17" t="str">
        <f>_xlfn.XLOOKUP(Table2[[#This Row],[Animal]],Table1[Animal],Table1[Lifespan Group],"N/A",0)</f>
        <v>50-74</v>
      </c>
      <c r="E146" s="17">
        <f>_xlfn.XLOOKUP(Table2[[#This Row],[Animal]],Table1[Animal],Table1[Weight (lbs)],"N/A",0)</f>
        <v>49</v>
      </c>
      <c r="F146" s="17" t="str">
        <f>_xlfn.XLOOKUP(Table2[[#This Row],[Animal]],Table1[Animal],Table1[Weight Group],"N/A",0)</f>
        <v>&lt;100</v>
      </c>
      <c r="G146" t="str">
        <f>_xlfn.XLOOKUP(Table2[[#This Row],[Animal]],Table1[Animal],Table1[Region],"N/A",0)</f>
        <v>North America</v>
      </c>
      <c r="H146" s="17" t="str">
        <f>_xlfn.XLOOKUP(Table2[[#This Row],[Animal]],Table1[Animal],Table1[Transport],"N/A",0)</f>
        <v>Boat</v>
      </c>
      <c r="I146">
        <f>_xlfn.XLOOKUP(Table2[[#This Row],[Animal]],Table1[Animal],Table1[Revenue],"N/A",0)</f>
        <v>400</v>
      </c>
      <c r="J146">
        <f>_xlfn.XLOOKUP(Table2[[#This Row],[Animal]],Table1[Animal],Table1[Cost],"N/A",0)</f>
        <v>500</v>
      </c>
      <c r="K146">
        <f>Table2[[#This Row],[Revenue]]-Table2[[#This Row],[Cost]]</f>
        <v>-100</v>
      </c>
    </row>
    <row r="147" spans="1:11" x14ac:dyDescent="0.25">
      <c r="A147" t="s">
        <v>226</v>
      </c>
      <c r="B147" t="str">
        <f>_xlfn.XLOOKUP(Table2[[#This Row],[Animal]],Table1[Animal],Table1[Diet],"Not Found",0)</f>
        <v>Omnivore</v>
      </c>
      <c r="C147" s="19">
        <f>_xlfn.XLOOKUP(Table2[[#This Row],[Animal]],Table1[Animal],Table1[Lifespan (Years)],"N/A",0)</f>
        <v>15</v>
      </c>
      <c r="D147" s="17" t="str">
        <f>_xlfn.XLOOKUP(Table2[[#This Row],[Animal]],Table1[Animal],Table1[Lifespan Group],"N/A",0)</f>
        <v>&lt;25</v>
      </c>
      <c r="E147" s="17">
        <f>_xlfn.XLOOKUP(Table2[[#This Row],[Animal]],Table1[Animal],Table1[Weight (lbs)],"N/A",0)</f>
        <v>0.48125000000000001</v>
      </c>
      <c r="F147" s="17" t="str">
        <f>_xlfn.XLOOKUP(Table2[[#This Row],[Animal]],Table1[Animal],Table1[Weight Group],"N/A",0)</f>
        <v>&lt;100</v>
      </c>
      <c r="G147" t="str">
        <f>_xlfn.XLOOKUP(Table2[[#This Row],[Animal]],Table1[Animal],Table1[Region],"N/A",0)</f>
        <v>Africa &amp; MENA</v>
      </c>
      <c r="H147" s="17" t="str">
        <f>_xlfn.XLOOKUP(Table2[[#This Row],[Animal]],Table1[Animal],Table1[Transport],"N/A",0)</f>
        <v>Air</v>
      </c>
      <c r="I147">
        <f>_xlfn.XLOOKUP(Table2[[#This Row],[Animal]],Table1[Animal],Table1[Revenue],"N/A",0)</f>
        <v>600</v>
      </c>
      <c r="J147">
        <f>_xlfn.XLOOKUP(Table2[[#This Row],[Animal]],Table1[Animal],Table1[Cost],"N/A",0)</f>
        <v>400</v>
      </c>
      <c r="K147">
        <f>Table2[[#This Row],[Revenue]]-Table2[[#This Row],[Cost]]</f>
        <v>200</v>
      </c>
    </row>
    <row r="148" spans="1:11" x14ac:dyDescent="0.25">
      <c r="A148" t="s">
        <v>227</v>
      </c>
      <c r="B148" t="str">
        <f>_xlfn.XLOOKUP(Table2[[#This Row],[Animal]],Table1[Animal],Table1[Diet],"Not Found",0)</f>
        <v>Omnivore</v>
      </c>
      <c r="C148" s="19">
        <f>_xlfn.XLOOKUP(Table2[[#This Row],[Animal]],Table1[Animal],Table1[Lifespan (Years)],"N/A",0)</f>
        <v>20</v>
      </c>
      <c r="D148" s="17" t="str">
        <f>_xlfn.XLOOKUP(Table2[[#This Row],[Animal]],Table1[Animal],Table1[Lifespan Group],"N/A",0)</f>
        <v>&lt;25</v>
      </c>
      <c r="E148" s="17">
        <f>_xlfn.XLOOKUP(Table2[[#This Row],[Animal]],Table1[Animal],Table1[Weight (lbs)],"N/A",0)</f>
        <v>40</v>
      </c>
      <c r="F148" s="17" t="str">
        <f>_xlfn.XLOOKUP(Table2[[#This Row],[Animal]],Table1[Animal],Table1[Weight Group],"N/A",0)</f>
        <v>&lt;100</v>
      </c>
      <c r="G148" t="str">
        <f>_xlfn.XLOOKUP(Table2[[#This Row],[Animal]],Table1[Animal],Table1[Region],"N/A",0)</f>
        <v>Greater China</v>
      </c>
      <c r="H148" s="17" t="str">
        <f>_xlfn.XLOOKUP(Table2[[#This Row],[Animal]],Table1[Animal],Table1[Transport],"N/A",0)</f>
        <v>Air</v>
      </c>
      <c r="I148">
        <f>_xlfn.XLOOKUP(Table2[[#This Row],[Animal]],Table1[Animal],Table1[Revenue],"N/A",0)</f>
        <v>600</v>
      </c>
      <c r="J148">
        <f>_xlfn.XLOOKUP(Table2[[#This Row],[Animal]],Table1[Animal],Table1[Cost],"N/A",0)</f>
        <v>400</v>
      </c>
      <c r="K148">
        <f>Table2[[#This Row],[Revenue]]-Table2[[#This Row],[Cost]]</f>
        <v>200</v>
      </c>
    </row>
    <row r="149" spans="1:11" x14ac:dyDescent="0.25">
      <c r="A149" t="s">
        <v>228</v>
      </c>
      <c r="B149" t="str">
        <f>_xlfn.XLOOKUP(Table2[[#This Row],[Animal]],Table1[Animal],Table1[Diet],"Not Found",0)</f>
        <v>Omnivore</v>
      </c>
      <c r="C149" s="19">
        <f>_xlfn.XLOOKUP(Table2[[#This Row],[Animal]],Table1[Animal],Table1[Lifespan (Years)],"N/A",0)</f>
        <v>15</v>
      </c>
      <c r="D149" s="17" t="str">
        <f>_xlfn.XLOOKUP(Table2[[#This Row],[Animal]],Table1[Animal],Table1[Lifespan Group],"N/A",0)</f>
        <v>&lt;25</v>
      </c>
      <c r="E149" s="17">
        <f>_xlfn.XLOOKUP(Table2[[#This Row],[Animal]],Table1[Animal],Table1[Weight (lbs)],"N/A",0)</f>
        <v>34</v>
      </c>
      <c r="F149" s="17" t="str">
        <f>_xlfn.XLOOKUP(Table2[[#This Row],[Animal]],Table1[Animal],Table1[Weight Group],"N/A",0)</f>
        <v>&lt;100</v>
      </c>
      <c r="G149" t="str">
        <f>_xlfn.XLOOKUP(Table2[[#This Row],[Animal]],Table1[Animal],Table1[Region],"N/A",0)</f>
        <v>Europe &amp; Eurasia</v>
      </c>
      <c r="H149" s="17" t="str">
        <f>_xlfn.XLOOKUP(Table2[[#This Row],[Animal]],Table1[Animal],Table1[Transport],"N/A",0)</f>
        <v>Road</v>
      </c>
      <c r="I149">
        <f>_xlfn.XLOOKUP(Table2[[#This Row],[Animal]],Table1[Animal],Table1[Revenue],"N/A",0)</f>
        <v>450</v>
      </c>
      <c r="J149">
        <f>_xlfn.XLOOKUP(Table2[[#This Row],[Animal]],Table1[Animal],Table1[Cost],"N/A",0)</f>
        <v>400</v>
      </c>
      <c r="K149">
        <f>Table2[[#This Row],[Revenue]]-Table2[[#This Row],[Cost]]</f>
        <v>50</v>
      </c>
    </row>
    <row r="150" spans="1:11" x14ac:dyDescent="0.25">
      <c r="A150" t="s">
        <v>230</v>
      </c>
      <c r="B150" t="str">
        <f>_xlfn.XLOOKUP(Table2[[#This Row],[Animal]],Table1[Animal],Table1[Diet],"Not Found",0)</f>
        <v>Omnivore</v>
      </c>
      <c r="C150" s="19">
        <f>_xlfn.XLOOKUP(Table2[[#This Row],[Animal]],Table1[Animal],Table1[Lifespan (Years)],"N/A",0)</f>
        <v>16</v>
      </c>
      <c r="D150" s="17" t="str">
        <f>_xlfn.XLOOKUP(Table2[[#This Row],[Animal]],Table1[Animal],Table1[Lifespan Group],"N/A",0)</f>
        <v>&lt;25</v>
      </c>
      <c r="E150" s="17">
        <f>_xlfn.XLOOKUP(Table2[[#This Row],[Animal]],Table1[Animal],Table1[Weight (lbs)],"N/A",0)</f>
        <v>60</v>
      </c>
      <c r="F150" s="17" t="str">
        <f>_xlfn.XLOOKUP(Table2[[#This Row],[Animal]],Table1[Animal],Table1[Weight Group],"N/A",0)</f>
        <v>&lt;100</v>
      </c>
      <c r="G150" t="str">
        <f>_xlfn.XLOOKUP(Table2[[#This Row],[Animal]],Table1[Animal],Table1[Region],"N/A",0)</f>
        <v>Africa &amp; MENA</v>
      </c>
      <c r="H150" s="17" t="str">
        <f>_xlfn.XLOOKUP(Table2[[#This Row],[Animal]],Table1[Animal],Table1[Transport],"N/A",0)</f>
        <v>Air</v>
      </c>
      <c r="I150">
        <f>_xlfn.XLOOKUP(Table2[[#This Row],[Animal]],Table1[Animal],Table1[Revenue],"N/A",0)</f>
        <v>600</v>
      </c>
      <c r="J150">
        <f>_xlfn.XLOOKUP(Table2[[#This Row],[Animal]],Table1[Animal],Table1[Cost],"N/A",0)</f>
        <v>400</v>
      </c>
      <c r="K150">
        <f>Table2[[#This Row],[Revenue]]-Table2[[#This Row],[Cost]]</f>
        <v>200</v>
      </c>
    </row>
    <row r="151" spans="1:11" x14ac:dyDescent="0.25">
      <c r="A151" t="s">
        <v>231</v>
      </c>
      <c r="B151" t="str">
        <f>_xlfn.XLOOKUP(Table2[[#This Row],[Animal]],Table1[Animal],Table1[Diet],"Not Found",0)</f>
        <v>Omnivore</v>
      </c>
      <c r="C151" s="19">
        <f>_xlfn.XLOOKUP(Table2[[#This Row],[Animal]],Table1[Animal],Table1[Lifespan (Years)],"N/A",0)</f>
        <v>12</v>
      </c>
      <c r="D151" s="17" t="str">
        <f>_xlfn.XLOOKUP(Table2[[#This Row],[Animal]],Table1[Animal],Table1[Lifespan Group],"N/A",0)</f>
        <v>&lt;25</v>
      </c>
      <c r="E151" s="17">
        <f>_xlfn.XLOOKUP(Table2[[#This Row],[Animal]],Table1[Animal],Table1[Weight (lbs)],"N/A",0)</f>
        <v>55</v>
      </c>
      <c r="F151" s="17" t="str">
        <f>_xlfn.XLOOKUP(Table2[[#This Row],[Animal]],Table1[Animal],Table1[Weight Group],"N/A",0)</f>
        <v>&lt;100</v>
      </c>
      <c r="G151" t="str">
        <f>_xlfn.XLOOKUP(Table2[[#This Row],[Animal]],Table1[Animal],Table1[Region],"N/A",0)</f>
        <v>Latin America</v>
      </c>
      <c r="H151" s="17" t="str">
        <f>_xlfn.XLOOKUP(Table2[[#This Row],[Animal]],Table1[Animal],Table1[Transport],"N/A",0)</f>
        <v>Boat</v>
      </c>
      <c r="I151">
        <f>_xlfn.XLOOKUP(Table2[[#This Row],[Animal]],Table1[Animal],Table1[Revenue],"N/A",0)</f>
        <v>200</v>
      </c>
      <c r="J151">
        <f>_xlfn.XLOOKUP(Table2[[#This Row],[Animal]],Table1[Animal],Table1[Cost],"N/A",0)</f>
        <v>400</v>
      </c>
      <c r="K151">
        <f>Table2[[#This Row],[Revenue]]-Table2[[#This Row],[Cost]]</f>
        <v>-200</v>
      </c>
    </row>
    <row r="152" spans="1:11" x14ac:dyDescent="0.25">
      <c r="A152" t="s">
        <v>232</v>
      </c>
      <c r="B152" t="str">
        <f>_xlfn.XLOOKUP(Table2[[#This Row],[Animal]],Table1[Animal],Table1[Diet],"Not Found",0)</f>
        <v>Omnivore</v>
      </c>
      <c r="C152" s="19">
        <f>_xlfn.XLOOKUP(Table2[[#This Row],[Animal]],Table1[Animal],Table1[Lifespan (Years)],"N/A",0)</f>
        <v>12</v>
      </c>
      <c r="D152" s="17" t="str">
        <f>_xlfn.XLOOKUP(Table2[[#This Row],[Animal]],Table1[Animal],Table1[Lifespan Group],"N/A",0)</f>
        <v>&lt;25</v>
      </c>
      <c r="E152" s="17">
        <f>_xlfn.XLOOKUP(Table2[[#This Row],[Animal]],Table1[Animal],Table1[Weight (lbs)],"N/A",0)</f>
        <v>65</v>
      </c>
      <c r="F152" s="17" t="str">
        <f>_xlfn.XLOOKUP(Table2[[#This Row],[Animal]],Table1[Animal],Table1[Weight Group],"N/A",0)</f>
        <v>&lt;100</v>
      </c>
      <c r="G152" t="str">
        <f>_xlfn.XLOOKUP(Table2[[#This Row],[Animal]],Table1[Animal],Table1[Region],"N/A",0)</f>
        <v>South Asia</v>
      </c>
      <c r="H152" s="17" t="str">
        <f>_xlfn.XLOOKUP(Table2[[#This Row],[Animal]],Table1[Animal],Table1[Transport],"N/A",0)</f>
        <v>Air</v>
      </c>
      <c r="I152">
        <f>_xlfn.XLOOKUP(Table2[[#This Row],[Animal]],Table1[Animal],Table1[Revenue],"N/A",0)</f>
        <v>450</v>
      </c>
      <c r="J152">
        <f>_xlfn.XLOOKUP(Table2[[#This Row],[Animal]],Table1[Animal],Table1[Cost],"N/A",0)</f>
        <v>400</v>
      </c>
      <c r="K152">
        <f>Table2[[#This Row],[Revenue]]-Table2[[#This Row],[Cost]]</f>
        <v>50</v>
      </c>
    </row>
    <row r="153" spans="1:11" x14ac:dyDescent="0.25">
      <c r="A153" t="s">
        <v>233</v>
      </c>
      <c r="B153" t="str">
        <f>_xlfn.XLOOKUP(Table2[[#This Row],[Animal]],Table1[Animal],Table1[Diet],"Not Found",0)</f>
        <v>Carnivore</v>
      </c>
      <c r="C153" s="19">
        <f>_xlfn.XLOOKUP(Table2[[#This Row],[Animal]],Table1[Animal],Table1[Lifespan (Years)],"N/A",0)</f>
        <v>18</v>
      </c>
      <c r="D153" s="17" t="str">
        <f>_xlfn.XLOOKUP(Table2[[#This Row],[Animal]],Table1[Animal],Table1[Lifespan Group],"N/A",0)</f>
        <v>&lt;25</v>
      </c>
      <c r="E153" s="17">
        <f>_xlfn.XLOOKUP(Table2[[#This Row],[Animal]],Table1[Animal],Table1[Weight (lbs)],"N/A",0)</f>
        <v>1.5</v>
      </c>
      <c r="F153" s="17" t="str">
        <f>_xlfn.XLOOKUP(Table2[[#This Row],[Animal]],Table1[Animal],Table1[Weight Group],"N/A",0)</f>
        <v>&lt;100</v>
      </c>
      <c r="G153" t="str">
        <f>_xlfn.XLOOKUP(Table2[[#This Row],[Animal]],Table1[Animal],Table1[Region],"N/A",0)</f>
        <v>Europe &amp; Eurasia</v>
      </c>
      <c r="H153" s="17" t="str">
        <f>_xlfn.XLOOKUP(Table2[[#This Row],[Animal]],Table1[Animal],Table1[Transport],"N/A",0)</f>
        <v>Road</v>
      </c>
      <c r="I153">
        <f>_xlfn.XLOOKUP(Table2[[#This Row],[Animal]],Table1[Animal],Table1[Revenue],"N/A",0)</f>
        <v>450</v>
      </c>
      <c r="J153">
        <f>_xlfn.XLOOKUP(Table2[[#This Row],[Animal]],Table1[Animal],Table1[Cost],"N/A",0)</f>
        <v>500</v>
      </c>
      <c r="K153">
        <f>Table2[[#This Row],[Revenue]]-Table2[[#This Row],[Cost]]</f>
        <v>-50</v>
      </c>
    </row>
    <row r="154" spans="1:11" x14ac:dyDescent="0.25">
      <c r="A154" t="s">
        <v>234</v>
      </c>
      <c r="B154" t="str">
        <f>_xlfn.XLOOKUP(Table2[[#This Row],[Animal]],Table1[Animal],Table1[Diet],"Not Found",0)</f>
        <v>Omnivore</v>
      </c>
      <c r="C154" s="19">
        <f>_xlfn.XLOOKUP(Table2[[#This Row],[Animal]],Table1[Animal],Table1[Lifespan (Years)],"N/A",0)</f>
        <v>14</v>
      </c>
      <c r="D154" s="17" t="str">
        <f>_xlfn.XLOOKUP(Table2[[#This Row],[Animal]],Table1[Animal],Table1[Lifespan Group],"N/A",0)</f>
        <v>&lt;25</v>
      </c>
      <c r="E154" s="17">
        <f>_xlfn.XLOOKUP(Table2[[#This Row],[Animal]],Table1[Animal],Table1[Weight (lbs)],"N/A",0)</f>
        <v>2.2000000000000002</v>
      </c>
      <c r="F154" s="17" t="str">
        <f>_xlfn.XLOOKUP(Table2[[#This Row],[Animal]],Table1[Animal],Table1[Weight Group],"N/A",0)</f>
        <v>&lt;100</v>
      </c>
      <c r="G154" t="str">
        <f>_xlfn.XLOOKUP(Table2[[#This Row],[Animal]],Table1[Animal],Table1[Region],"N/A",0)</f>
        <v>Europe &amp; Eurasia</v>
      </c>
      <c r="H154" s="17" t="str">
        <f>_xlfn.XLOOKUP(Table2[[#This Row],[Animal]],Table1[Animal],Table1[Transport],"N/A",0)</f>
        <v>Road</v>
      </c>
      <c r="I154">
        <f>_xlfn.XLOOKUP(Table2[[#This Row],[Animal]],Table1[Animal],Table1[Revenue],"N/A",0)</f>
        <v>450</v>
      </c>
      <c r="J154">
        <f>_xlfn.XLOOKUP(Table2[[#This Row],[Animal]],Table1[Animal],Table1[Cost],"N/A",0)</f>
        <v>400</v>
      </c>
      <c r="K154">
        <f>Table2[[#This Row],[Revenue]]-Table2[[#This Row],[Cost]]</f>
        <v>50</v>
      </c>
    </row>
    <row r="155" spans="1:11" x14ac:dyDescent="0.25">
      <c r="A155" t="s">
        <v>235</v>
      </c>
      <c r="B155" t="str">
        <f>_xlfn.XLOOKUP(Table2[[#This Row],[Animal]],Table1[Animal],Table1[Diet],"Not Found",0)</f>
        <v>Carnivore</v>
      </c>
      <c r="C155" s="19">
        <f>_xlfn.XLOOKUP(Table2[[#This Row],[Animal]],Table1[Animal],Table1[Lifespan (Years)],"N/A",0)</f>
        <v>10</v>
      </c>
      <c r="D155" s="17" t="str">
        <f>_xlfn.XLOOKUP(Table2[[#This Row],[Animal]],Table1[Animal],Table1[Lifespan Group],"N/A",0)</f>
        <v>&lt;25</v>
      </c>
      <c r="E155" s="17">
        <f>_xlfn.XLOOKUP(Table2[[#This Row],[Animal]],Table1[Animal],Table1[Weight (lbs)],"N/A",0)</f>
        <v>1.5</v>
      </c>
      <c r="F155" s="17" t="str">
        <f>_xlfn.XLOOKUP(Table2[[#This Row],[Animal]],Table1[Animal],Table1[Weight Group],"N/A",0)</f>
        <v>&lt;100</v>
      </c>
      <c r="G155" t="str">
        <f>_xlfn.XLOOKUP(Table2[[#This Row],[Animal]],Table1[Animal],Table1[Region],"N/A",0)</f>
        <v>Europe &amp; Eurasia</v>
      </c>
      <c r="H155" s="17" t="str">
        <f>_xlfn.XLOOKUP(Table2[[#This Row],[Animal]],Table1[Animal],Table1[Transport],"N/A",0)</f>
        <v>Road</v>
      </c>
      <c r="I155">
        <f>_xlfn.XLOOKUP(Table2[[#This Row],[Animal]],Table1[Animal],Table1[Revenue],"N/A",0)</f>
        <v>450</v>
      </c>
      <c r="J155">
        <f>_xlfn.XLOOKUP(Table2[[#This Row],[Animal]],Table1[Animal],Table1[Cost],"N/A",0)</f>
        <v>500</v>
      </c>
      <c r="K155">
        <f>Table2[[#This Row],[Revenue]]-Table2[[#This Row],[Cost]]</f>
        <v>-50</v>
      </c>
    </row>
    <row r="156" spans="1:11" x14ac:dyDescent="0.25">
      <c r="A156" t="s">
        <v>236</v>
      </c>
      <c r="B156" t="str">
        <f>_xlfn.XLOOKUP(Table2[[#This Row],[Animal]],Table1[Animal],Table1[Diet],"Not Found",0)</f>
        <v>Omnivore</v>
      </c>
      <c r="C156" s="19">
        <f>_xlfn.XLOOKUP(Table2[[#This Row],[Animal]],Table1[Animal],Table1[Lifespan (Years)],"N/A",0)</f>
        <v>14</v>
      </c>
      <c r="D156" s="17" t="str">
        <f>_xlfn.XLOOKUP(Table2[[#This Row],[Animal]],Table1[Animal],Table1[Lifespan Group],"N/A",0)</f>
        <v>&lt;25</v>
      </c>
      <c r="E156" s="17">
        <f>_xlfn.XLOOKUP(Table2[[#This Row],[Animal]],Table1[Animal],Table1[Weight (lbs)],"N/A",0)</f>
        <v>50</v>
      </c>
      <c r="F156" s="17" t="str">
        <f>_xlfn.XLOOKUP(Table2[[#This Row],[Animal]],Table1[Animal],Table1[Weight Group],"N/A",0)</f>
        <v>&lt;100</v>
      </c>
      <c r="G156" t="str">
        <f>_xlfn.XLOOKUP(Table2[[#This Row],[Animal]],Table1[Animal],Table1[Region],"N/A",0)</f>
        <v>Europe &amp; Eurasia</v>
      </c>
      <c r="H156" s="17" t="str">
        <f>_xlfn.XLOOKUP(Table2[[#This Row],[Animal]],Table1[Animal],Table1[Transport],"N/A",0)</f>
        <v>Road</v>
      </c>
      <c r="I156">
        <f>_xlfn.XLOOKUP(Table2[[#This Row],[Animal]],Table1[Animal],Table1[Revenue],"N/A",0)</f>
        <v>450</v>
      </c>
      <c r="J156">
        <f>_xlfn.XLOOKUP(Table2[[#This Row],[Animal]],Table1[Animal],Table1[Cost],"N/A",0)</f>
        <v>400</v>
      </c>
      <c r="K156">
        <f>Table2[[#This Row],[Revenue]]-Table2[[#This Row],[Cost]]</f>
        <v>50</v>
      </c>
    </row>
    <row r="157" spans="1:11" x14ac:dyDescent="0.25">
      <c r="A157" t="s">
        <v>238</v>
      </c>
      <c r="B157" t="str">
        <f>_xlfn.XLOOKUP(Table2[[#This Row],[Animal]],Table1[Animal],Table1[Diet],"Not Found",0)</f>
        <v>Carnivore</v>
      </c>
      <c r="C157" s="19">
        <f>_xlfn.XLOOKUP(Table2[[#This Row],[Animal]],Table1[Animal],Table1[Lifespan (Years)],"N/A",0)</f>
        <v>15</v>
      </c>
      <c r="D157" s="17" t="str">
        <f>_xlfn.XLOOKUP(Table2[[#This Row],[Animal]],Table1[Animal],Table1[Lifespan Group],"N/A",0)</f>
        <v>&lt;25</v>
      </c>
      <c r="E157" s="17">
        <f>_xlfn.XLOOKUP(Table2[[#This Row],[Animal]],Table1[Animal],Table1[Weight (lbs)],"N/A",0)</f>
        <v>4.3749999999999997E-2</v>
      </c>
      <c r="F157" s="17" t="str">
        <f>_xlfn.XLOOKUP(Table2[[#This Row],[Animal]],Table1[Animal],Table1[Weight Group],"N/A",0)</f>
        <v>&lt;100</v>
      </c>
      <c r="G157" t="str">
        <f>_xlfn.XLOOKUP(Table2[[#This Row],[Animal]],Table1[Animal],Table1[Region],"N/A",0)</f>
        <v>North America</v>
      </c>
      <c r="H157" s="17" t="str">
        <f>_xlfn.XLOOKUP(Table2[[#This Row],[Animal]],Table1[Animal],Table1[Transport],"N/A",0)</f>
        <v>Boat</v>
      </c>
      <c r="I157">
        <f>_xlfn.XLOOKUP(Table2[[#This Row],[Animal]],Table1[Animal],Table1[Revenue],"N/A",0)</f>
        <v>400</v>
      </c>
      <c r="J157">
        <f>_xlfn.XLOOKUP(Table2[[#This Row],[Animal]],Table1[Animal],Table1[Cost],"N/A",0)</f>
        <v>500</v>
      </c>
      <c r="K157">
        <f>Table2[[#This Row],[Revenue]]-Table2[[#This Row],[Cost]]</f>
        <v>-100</v>
      </c>
    </row>
    <row r="158" spans="1:11" x14ac:dyDescent="0.25">
      <c r="A158" t="s">
        <v>239</v>
      </c>
      <c r="B158" t="str">
        <f>_xlfn.XLOOKUP(Table2[[#This Row],[Animal]],Table1[Animal],Table1[Diet],"Not Found",0)</f>
        <v>Carnivore</v>
      </c>
      <c r="C158" s="19">
        <f>_xlfn.XLOOKUP(Table2[[#This Row],[Animal]],Table1[Animal],Table1[Lifespan (Years)],"N/A",0)</f>
        <v>12</v>
      </c>
      <c r="D158" s="17" t="str">
        <f>_xlfn.XLOOKUP(Table2[[#This Row],[Animal]],Table1[Animal],Table1[Lifespan Group],"N/A",0)</f>
        <v>&lt;25</v>
      </c>
      <c r="E158" s="17">
        <f>_xlfn.XLOOKUP(Table2[[#This Row],[Animal]],Table1[Animal],Table1[Weight (lbs)],"N/A",0)</f>
        <v>12</v>
      </c>
      <c r="F158" s="17" t="str">
        <f>_xlfn.XLOOKUP(Table2[[#This Row],[Animal]],Table1[Animal],Table1[Weight Group],"N/A",0)</f>
        <v>&lt;100</v>
      </c>
      <c r="G158" t="str">
        <f>_xlfn.XLOOKUP(Table2[[#This Row],[Animal]],Table1[Animal],Table1[Region],"N/A",0)</f>
        <v>Europe &amp; Eurasia</v>
      </c>
      <c r="H158" s="17" t="str">
        <f>_xlfn.XLOOKUP(Table2[[#This Row],[Animal]],Table1[Animal],Table1[Transport],"N/A",0)</f>
        <v>Road</v>
      </c>
      <c r="I158">
        <f>_xlfn.XLOOKUP(Table2[[#This Row],[Animal]],Table1[Animal],Table1[Revenue],"N/A",0)</f>
        <v>450</v>
      </c>
      <c r="J158">
        <f>_xlfn.XLOOKUP(Table2[[#This Row],[Animal]],Table1[Animal],Table1[Cost],"N/A",0)</f>
        <v>500</v>
      </c>
      <c r="K158">
        <f>Table2[[#This Row],[Revenue]]-Table2[[#This Row],[Cost]]</f>
        <v>-50</v>
      </c>
    </row>
    <row r="159" spans="1:11" x14ac:dyDescent="0.25">
      <c r="A159" t="s">
        <v>240</v>
      </c>
      <c r="B159" t="str">
        <f>_xlfn.XLOOKUP(Table2[[#This Row],[Animal]],Table1[Animal],Table1[Diet],"Not Found",0)</f>
        <v>Omnivore</v>
      </c>
      <c r="C159" s="19">
        <f>_xlfn.XLOOKUP(Table2[[#This Row],[Animal]],Table1[Animal],Table1[Lifespan (Years)],"N/A",0)</f>
        <v>30</v>
      </c>
      <c r="D159" s="17" t="str">
        <f>_xlfn.XLOOKUP(Table2[[#This Row],[Animal]],Table1[Animal],Table1[Lifespan Group],"N/A",0)</f>
        <v>25-49</v>
      </c>
      <c r="E159" s="17">
        <f>_xlfn.XLOOKUP(Table2[[#This Row],[Animal]],Table1[Animal],Table1[Weight (lbs)],"N/A",0)</f>
        <v>4.4000000000000004</v>
      </c>
      <c r="F159" s="17" t="str">
        <f>_xlfn.XLOOKUP(Table2[[#This Row],[Animal]],Table1[Animal],Table1[Weight Group],"N/A",0)</f>
        <v>&lt;100</v>
      </c>
      <c r="G159" t="str">
        <f>_xlfn.XLOOKUP(Table2[[#This Row],[Animal]],Table1[Animal],Table1[Region],"N/A",0)</f>
        <v>Europe &amp; Eurasia</v>
      </c>
      <c r="H159" s="17" t="str">
        <f>_xlfn.XLOOKUP(Table2[[#This Row],[Animal]],Table1[Animal],Table1[Transport],"N/A",0)</f>
        <v>Road</v>
      </c>
      <c r="I159">
        <f>_xlfn.XLOOKUP(Table2[[#This Row],[Animal]],Table1[Animal],Table1[Revenue],"N/A",0)</f>
        <v>450</v>
      </c>
      <c r="J159">
        <f>_xlfn.XLOOKUP(Table2[[#This Row],[Animal]],Table1[Animal],Table1[Cost],"N/A",0)</f>
        <v>400</v>
      </c>
      <c r="K159">
        <f>Table2[[#This Row],[Revenue]]-Table2[[#This Row],[Cost]]</f>
        <v>50</v>
      </c>
    </row>
    <row r="160" spans="1:11" x14ac:dyDescent="0.25">
      <c r="A160" t="s">
        <v>241</v>
      </c>
      <c r="B160" t="str">
        <f>_xlfn.XLOOKUP(Table2[[#This Row],[Animal]],Table1[Animal],Table1[Diet],"Not Found",0)</f>
        <v>Omnivore</v>
      </c>
      <c r="C160" s="19">
        <f>_xlfn.XLOOKUP(Table2[[#This Row],[Animal]],Table1[Animal],Table1[Lifespan (Years)],"N/A",0)</f>
        <v>12</v>
      </c>
      <c r="D160" s="17" t="str">
        <f>_xlfn.XLOOKUP(Table2[[#This Row],[Animal]],Table1[Animal],Table1[Lifespan Group],"N/A",0)</f>
        <v>&lt;25</v>
      </c>
      <c r="E160" s="17">
        <f>_xlfn.XLOOKUP(Table2[[#This Row],[Animal]],Table1[Animal],Table1[Weight (lbs)],"N/A",0)</f>
        <v>70</v>
      </c>
      <c r="F160" s="17" t="str">
        <f>_xlfn.XLOOKUP(Table2[[#This Row],[Animal]],Table1[Animal],Table1[Weight Group],"N/A",0)</f>
        <v>&lt;100</v>
      </c>
      <c r="G160" t="str">
        <f>_xlfn.XLOOKUP(Table2[[#This Row],[Animal]],Table1[Animal],Table1[Region],"N/A",0)</f>
        <v>Greater China</v>
      </c>
      <c r="H160" s="17" t="str">
        <f>_xlfn.XLOOKUP(Table2[[#This Row],[Animal]],Table1[Animal],Table1[Transport],"N/A",0)</f>
        <v>Air</v>
      </c>
      <c r="I160">
        <f>_xlfn.XLOOKUP(Table2[[#This Row],[Animal]],Table1[Animal],Table1[Revenue],"N/A",0)</f>
        <v>600</v>
      </c>
      <c r="J160">
        <f>_xlfn.XLOOKUP(Table2[[#This Row],[Animal]],Table1[Animal],Table1[Cost],"N/A",0)</f>
        <v>400</v>
      </c>
      <c r="K160">
        <f>Table2[[#This Row],[Revenue]]-Table2[[#This Row],[Cost]]</f>
        <v>200</v>
      </c>
    </row>
    <row r="161" spans="1:11" x14ac:dyDescent="0.25">
      <c r="A161" t="s">
        <v>242</v>
      </c>
      <c r="B161" t="str">
        <f>_xlfn.XLOOKUP(Table2[[#This Row],[Animal]],Table1[Animal],Table1[Diet],"Not Found",0)</f>
        <v>Carnivore</v>
      </c>
      <c r="C161" s="19">
        <f>_xlfn.XLOOKUP(Table2[[#This Row],[Animal]],Table1[Animal],Table1[Lifespan (Years)],"N/A",0)</f>
        <v>10</v>
      </c>
      <c r="D161" s="17" t="str">
        <f>_xlfn.XLOOKUP(Table2[[#This Row],[Animal]],Table1[Animal],Table1[Lifespan Group],"N/A",0)</f>
        <v>&lt;25</v>
      </c>
      <c r="E161" s="17">
        <f>_xlfn.XLOOKUP(Table2[[#This Row],[Animal]],Table1[Animal],Table1[Weight (lbs)],"N/A",0)</f>
        <v>0</v>
      </c>
      <c r="F161" s="17" t="str">
        <f>_xlfn.XLOOKUP(Table2[[#This Row],[Animal]],Table1[Animal],Table1[Weight Group],"N/A",0)</f>
        <v>N/A</v>
      </c>
      <c r="G161" t="str">
        <f>_xlfn.XLOOKUP(Table2[[#This Row],[Animal]],Table1[Animal],Table1[Region],"N/A",0)</f>
        <v>Greater China</v>
      </c>
      <c r="H161" s="17" t="str">
        <f>_xlfn.XLOOKUP(Table2[[#This Row],[Animal]],Table1[Animal],Table1[Transport],"N/A",0)</f>
        <v>Air</v>
      </c>
      <c r="I161">
        <f>_xlfn.XLOOKUP(Table2[[#This Row],[Animal]],Table1[Animal],Table1[Revenue],"N/A",0)</f>
        <v>600</v>
      </c>
      <c r="J161">
        <f>_xlfn.XLOOKUP(Table2[[#This Row],[Animal]],Table1[Animal],Table1[Cost],"N/A",0)</f>
        <v>500</v>
      </c>
      <c r="K161">
        <f>Table2[[#This Row],[Revenue]]-Table2[[#This Row],[Cost]]</f>
        <v>100</v>
      </c>
    </row>
    <row r="162" spans="1:11" x14ac:dyDescent="0.25">
      <c r="A162" t="s">
        <v>244</v>
      </c>
      <c r="B162" t="str">
        <f>_xlfn.XLOOKUP(Table2[[#This Row],[Animal]],Table1[Animal],Table1[Diet],"Not Found",0)</f>
        <v>Omnivore</v>
      </c>
      <c r="C162" s="19">
        <f>_xlfn.XLOOKUP(Table2[[#This Row],[Animal]],Table1[Animal],Table1[Lifespan (Years)],"N/A",0)</f>
        <v>8</v>
      </c>
      <c r="D162" s="17" t="str">
        <f>_xlfn.XLOOKUP(Table2[[#This Row],[Animal]],Table1[Animal],Table1[Lifespan Group],"N/A",0)</f>
        <v>&lt;25</v>
      </c>
      <c r="E162" s="17">
        <f>_xlfn.XLOOKUP(Table2[[#This Row],[Animal]],Table1[Animal],Table1[Weight (lbs)],"N/A",0)</f>
        <v>0.125</v>
      </c>
      <c r="F162" s="17" t="str">
        <f>_xlfn.XLOOKUP(Table2[[#This Row],[Animal]],Table1[Animal],Table1[Weight Group],"N/A",0)</f>
        <v>&lt;100</v>
      </c>
      <c r="G162" t="str">
        <f>_xlfn.XLOOKUP(Table2[[#This Row],[Animal]],Table1[Animal],Table1[Region],"N/A",0)</f>
        <v>North America</v>
      </c>
      <c r="H162" s="17" t="str">
        <f>_xlfn.XLOOKUP(Table2[[#This Row],[Animal]],Table1[Animal],Table1[Transport],"N/A",0)</f>
        <v>Boat</v>
      </c>
      <c r="I162">
        <f>_xlfn.XLOOKUP(Table2[[#This Row],[Animal]],Table1[Animal],Table1[Revenue],"N/A",0)</f>
        <v>400</v>
      </c>
      <c r="J162">
        <f>_xlfn.XLOOKUP(Table2[[#This Row],[Animal]],Table1[Animal],Table1[Cost],"N/A",0)</f>
        <v>400</v>
      </c>
      <c r="K162">
        <f>Table2[[#This Row],[Revenue]]-Table2[[#This Row],[Cost]]</f>
        <v>0</v>
      </c>
    </row>
    <row r="163" spans="1:11" x14ac:dyDescent="0.25">
      <c r="A163" t="s">
        <v>245</v>
      </c>
      <c r="B163" t="str">
        <f>_xlfn.XLOOKUP(Table2[[#This Row],[Animal]],Table1[Animal],Table1[Diet],"Not Found",0)</f>
        <v>Carnivore</v>
      </c>
      <c r="C163" s="19">
        <f>_xlfn.XLOOKUP(Table2[[#This Row],[Animal]],Table1[Animal],Table1[Lifespan (Years)],"N/A",0)</f>
        <v>20</v>
      </c>
      <c r="D163" s="17" t="str">
        <f>_xlfn.XLOOKUP(Table2[[#This Row],[Animal]],Table1[Animal],Table1[Lifespan Group],"N/A",0)</f>
        <v>&lt;25</v>
      </c>
      <c r="E163" s="17">
        <f>_xlfn.XLOOKUP(Table2[[#This Row],[Animal]],Table1[Animal],Table1[Weight (lbs)],"N/A",0)</f>
        <v>15</v>
      </c>
      <c r="F163" s="17" t="str">
        <f>_xlfn.XLOOKUP(Table2[[#This Row],[Animal]],Table1[Animal],Table1[Weight Group],"N/A",0)</f>
        <v>&lt;100</v>
      </c>
      <c r="G163" t="str">
        <f>_xlfn.XLOOKUP(Table2[[#This Row],[Animal]],Table1[Animal],Table1[Region],"N/A",0)</f>
        <v>Europe &amp; Eurasia</v>
      </c>
      <c r="H163" s="17" t="str">
        <f>_xlfn.XLOOKUP(Table2[[#This Row],[Animal]],Table1[Animal],Table1[Transport],"N/A",0)</f>
        <v>Road</v>
      </c>
      <c r="I163">
        <f>_xlfn.XLOOKUP(Table2[[#This Row],[Animal]],Table1[Animal],Table1[Revenue],"N/A",0)</f>
        <v>450</v>
      </c>
      <c r="J163">
        <f>_xlfn.XLOOKUP(Table2[[#This Row],[Animal]],Table1[Animal],Table1[Cost],"N/A",0)</f>
        <v>500</v>
      </c>
      <c r="K163">
        <f>Table2[[#This Row],[Revenue]]-Table2[[#This Row],[Cost]]</f>
        <v>-50</v>
      </c>
    </row>
    <row r="164" spans="1:11" x14ac:dyDescent="0.25">
      <c r="A164" t="s">
        <v>246</v>
      </c>
      <c r="B164" t="str">
        <f>_xlfn.XLOOKUP(Table2[[#This Row],[Animal]],Table1[Animal],Table1[Diet],"Not Found",0)</f>
        <v>Carnivore</v>
      </c>
      <c r="C164" s="19">
        <f>_xlfn.XLOOKUP(Table2[[#This Row],[Animal]],Table1[Animal],Table1[Lifespan (Years)],"N/A",0)</f>
        <v>11</v>
      </c>
      <c r="D164" s="17" t="str">
        <f>_xlfn.XLOOKUP(Table2[[#This Row],[Animal]],Table1[Animal],Table1[Lifespan Group],"N/A",0)</f>
        <v>&lt;25</v>
      </c>
      <c r="E164" s="17">
        <f>_xlfn.XLOOKUP(Table2[[#This Row],[Animal]],Table1[Animal],Table1[Weight (lbs)],"N/A",0)</f>
        <v>11</v>
      </c>
      <c r="F164" s="17" t="str">
        <f>_xlfn.XLOOKUP(Table2[[#This Row],[Animal]],Table1[Animal],Table1[Weight Group],"N/A",0)</f>
        <v>&lt;100</v>
      </c>
      <c r="G164" t="str">
        <f>_xlfn.XLOOKUP(Table2[[#This Row],[Animal]],Table1[Animal],Table1[Region],"N/A",0)</f>
        <v>Europe &amp; Eurasia</v>
      </c>
      <c r="H164" s="17" t="str">
        <f>_xlfn.XLOOKUP(Table2[[#This Row],[Animal]],Table1[Animal],Table1[Transport],"N/A",0)</f>
        <v>Road</v>
      </c>
      <c r="I164">
        <f>_xlfn.XLOOKUP(Table2[[#This Row],[Animal]],Table1[Animal],Table1[Revenue],"N/A",0)</f>
        <v>450</v>
      </c>
      <c r="J164">
        <f>_xlfn.XLOOKUP(Table2[[#This Row],[Animal]],Table1[Animal],Table1[Cost],"N/A",0)</f>
        <v>500</v>
      </c>
      <c r="K164">
        <f>Table2[[#This Row],[Revenue]]-Table2[[#This Row],[Cost]]</f>
        <v>-50</v>
      </c>
    </row>
    <row r="165" spans="1:11" x14ac:dyDescent="0.25">
      <c r="A165" t="s">
        <v>247</v>
      </c>
      <c r="B165" t="str">
        <f>_xlfn.XLOOKUP(Table2[[#This Row],[Animal]],Table1[Animal],Table1[Diet],"Not Found",0)</f>
        <v>Omnivore</v>
      </c>
      <c r="C165" s="19">
        <f>_xlfn.XLOOKUP(Table2[[#This Row],[Animal]],Table1[Animal],Table1[Lifespan (Years)],"N/A",0)</f>
        <v>14</v>
      </c>
      <c r="D165" s="17" t="str">
        <f>_xlfn.XLOOKUP(Table2[[#This Row],[Animal]],Table1[Animal],Table1[Lifespan Group],"N/A",0)</f>
        <v>&lt;25</v>
      </c>
      <c r="E165" s="17">
        <f>_xlfn.XLOOKUP(Table2[[#This Row],[Animal]],Table1[Animal],Table1[Weight (lbs)],"N/A",0)</f>
        <v>18</v>
      </c>
      <c r="F165" s="17" t="str">
        <f>_xlfn.XLOOKUP(Table2[[#This Row],[Animal]],Table1[Animal],Table1[Weight Group],"N/A",0)</f>
        <v>&lt;100</v>
      </c>
      <c r="G165" t="str">
        <f>_xlfn.XLOOKUP(Table2[[#This Row],[Animal]],Table1[Animal],Table1[Region],"N/A",0)</f>
        <v>Europe &amp; Eurasia</v>
      </c>
      <c r="H165" s="17" t="str">
        <f>_xlfn.XLOOKUP(Table2[[#This Row],[Animal]],Table1[Animal],Table1[Transport],"N/A",0)</f>
        <v>Road</v>
      </c>
      <c r="I165">
        <f>_xlfn.XLOOKUP(Table2[[#This Row],[Animal]],Table1[Animal],Table1[Revenue],"N/A",0)</f>
        <v>450</v>
      </c>
      <c r="J165">
        <f>_xlfn.XLOOKUP(Table2[[#This Row],[Animal]],Table1[Animal],Table1[Cost],"N/A",0)</f>
        <v>400</v>
      </c>
      <c r="K165">
        <f>Table2[[#This Row],[Revenue]]-Table2[[#This Row],[Cost]]</f>
        <v>50</v>
      </c>
    </row>
    <row r="166" spans="1:11" x14ac:dyDescent="0.25">
      <c r="A166" t="s">
        <v>248</v>
      </c>
      <c r="B166" t="str">
        <f>_xlfn.XLOOKUP(Table2[[#This Row],[Animal]],Table1[Animal],Table1[Diet],"Not Found",0)</f>
        <v>Omnivore</v>
      </c>
      <c r="C166" s="19">
        <f>_xlfn.XLOOKUP(Table2[[#This Row],[Animal]],Table1[Animal],Table1[Lifespan (Years)],"N/A",0)</f>
        <v>12</v>
      </c>
      <c r="D166" s="17" t="str">
        <f>_xlfn.XLOOKUP(Table2[[#This Row],[Animal]],Table1[Animal],Table1[Lifespan Group],"N/A",0)</f>
        <v>&lt;25</v>
      </c>
      <c r="E166" s="17">
        <f>_xlfn.XLOOKUP(Table2[[#This Row],[Animal]],Table1[Animal],Table1[Weight (lbs)],"N/A",0)</f>
        <v>22</v>
      </c>
      <c r="F166" s="17" t="str">
        <f>_xlfn.XLOOKUP(Table2[[#This Row],[Animal]],Table1[Animal],Table1[Weight Group],"N/A",0)</f>
        <v>&lt;100</v>
      </c>
      <c r="G166" t="str">
        <f>_xlfn.XLOOKUP(Table2[[#This Row],[Animal]],Table1[Animal],Table1[Region],"N/A",0)</f>
        <v>Europe &amp; Eurasia</v>
      </c>
      <c r="H166" s="17" t="str">
        <f>_xlfn.XLOOKUP(Table2[[#This Row],[Animal]],Table1[Animal],Table1[Transport],"N/A",0)</f>
        <v>Road</v>
      </c>
      <c r="I166">
        <f>_xlfn.XLOOKUP(Table2[[#This Row],[Animal]],Table1[Animal],Table1[Revenue],"N/A",0)</f>
        <v>450</v>
      </c>
      <c r="J166">
        <f>_xlfn.XLOOKUP(Table2[[#This Row],[Animal]],Table1[Animal],Table1[Cost],"N/A",0)</f>
        <v>400</v>
      </c>
      <c r="K166">
        <f>Table2[[#This Row],[Revenue]]-Table2[[#This Row],[Cost]]</f>
        <v>50</v>
      </c>
    </row>
    <row r="167" spans="1:11" x14ac:dyDescent="0.25">
      <c r="A167" t="s">
        <v>250</v>
      </c>
      <c r="B167" t="str">
        <f>_xlfn.XLOOKUP(Table2[[#This Row],[Animal]],Table1[Animal],Table1[Diet],"Not Found",0)</f>
        <v>Carnivore</v>
      </c>
      <c r="C167" s="19">
        <f>_xlfn.XLOOKUP(Table2[[#This Row],[Animal]],Table1[Animal],Table1[Lifespan (Years)],"N/A",0)</f>
        <v>25</v>
      </c>
      <c r="D167" s="17" t="str">
        <f>_xlfn.XLOOKUP(Table2[[#This Row],[Animal]],Table1[Animal],Table1[Lifespan Group],"N/A",0)</f>
        <v>25-49</v>
      </c>
      <c r="E167" s="17">
        <f>_xlfn.XLOOKUP(Table2[[#This Row],[Animal]],Table1[Animal],Table1[Weight (lbs)],"N/A",0)</f>
        <v>1.9</v>
      </c>
      <c r="F167" s="17" t="str">
        <f>_xlfn.XLOOKUP(Table2[[#This Row],[Animal]],Table1[Animal],Table1[Weight Group],"N/A",0)</f>
        <v>&lt;100</v>
      </c>
      <c r="G167" t="str">
        <f>_xlfn.XLOOKUP(Table2[[#This Row],[Animal]],Table1[Animal],Table1[Region],"N/A",0)</f>
        <v>North America</v>
      </c>
      <c r="H167" s="17" t="str">
        <f>_xlfn.XLOOKUP(Table2[[#This Row],[Animal]],Table1[Animal],Table1[Transport],"N/A",0)</f>
        <v>Boat</v>
      </c>
      <c r="I167">
        <f>_xlfn.XLOOKUP(Table2[[#This Row],[Animal]],Table1[Animal],Table1[Revenue],"N/A",0)</f>
        <v>400</v>
      </c>
      <c r="J167">
        <f>_xlfn.XLOOKUP(Table2[[#This Row],[Animal]],Table1[Animal],Table1[Cost],"N/A",0)</f>
        <v>500</v>
      </c>
      <c r="K167">
        <f>Table2[[#This Row],[Revenue]]-Table2[[#This Row],[Cost]]</f>
        <v>-100</v>
      </c>
    </row>
    <row r="168" spans="1:11" x14ac:dyDescent="0.25">
      <c r="A168" t="s">
        <v>252</v>
      </c>
      <c r="B168" t="str">
        <f>_xlfn.XLOOKUP(Table2[[#This Row],[Animal]],Table1[Animal],Table1[Diet],"Not Found",0)</f>
        <v>Omnivore</v>
      </c>
      <c r="C168" s="19">
        <f>_xlfn.XLOOKUP(Table2[[#This Row],[Animal]],Table1[Animal],Table1[Lifespan (Years)],"N/A",0)</f>
        <v>8</v>
      </c>
      <c r="D168" s="17" t="str">
        <f>_xlfn.XLOOKUP(Table2[[#This Row],[Animal]],Table1[Animal],Table1[Lifespan Group],"N/A",0)</f>
        <v>&lt;25</v>
      </c>
      <c r="E168" s="17">
        <f>_xlfn.XLOOKUP(Table2[[#This Row],[Animal]],Table1[Animal],Table1[Weight (lbs)],"N/A",0)</f>
        <v>4.3750000000000004E-3</v>
      </c>
      <c r="F168" s="17" t="str">
        <f>_xlfn.XLOOKUP(Table2[[#This Row],[Animal]],Table1[Animal],Table1[Weight Group],"N/A",0)</f>
        <v>&lt;100</v>
      </c>
      <c r="G168" t="str">
        <f>_xlfn.XLOOKUP(Table2[[#This Row],[Animal]],Table1[Animal],Table1[Region],"N/A",0)</f>
        <v>South Asia</v>
      </c>
      <c r="H168" s="17" t="str">
        <f>_xlfn.XLOOKUP(Table2[[#This Row],[Animal]],Table1[Animal],Table1[Transport],"N/A",0)</f>
        <v>Air</v>
      </c>
      <c r="I168">
        <f>_xlfn.XLOOKUP(Table2[[#This Row],[Animal]],Table1[Animal],Table1[Revenue],"N/A",0)</f>
        <v>450</v>
      </c>
      <c r="J168">
        <f>_xlfn.XLOOKUP(Table2[[#This Row],[Animal]],Table1[Animal],Table1[Cost],"N/A",0)</f>
        <v>400</v>
      </c>
      <c r="K168">
        <f>Table2[[#This Row],[Revenue]]-Table2[[#This Row],[Cost]]</f>
        <v>50</v>
      </c>
    </row>
    <row r="169" spans="1:11" x14ac:dyDescent="0.25">
      <c r="A169" t="s">
        <v>253</v>
      </c>
      <c r="B169" t="str">
        <f>_xlfn.XLOOKUP(Table2[[#This Row],[Animal]],Table1[Animal],Table1[Diet],"Not Found",0)</f>
        <v>Carnivore</v>
      </c>
      <c r="C169" s="19">
        <f>_xlfn.XLOOKUP(Table2[[#This Row],[Animal]],Table1[Animal],Table1[Lifespan (Years)],"N/A",0)</f>
        <v>18</v>
      </c>
      <c r="D169" s="17" t="str">
        <f>_xlfn.XLOOKUP(Table2[[#This Row],[Animal]],Table1[Animal],Table1[Lifespan Group],"N/A",0)</f>
        <v>&lt;25</v>
      </c>
      <c r="E169" s="17">
        <f>_xlfn.XLOOKUP(Table2[[#This Row],[Animal]],Table1[Animal],Table1[Weight (lbs)],"N/A",0)</f>
        <v>230</v>
      </c>
      <c r="F169" s="17" t="str">
        <f>_xlfn.XLOOKUP(Table2[[#This Row],[Animal]],Table1[Animal],Table1[Weight Group],"N/A",0)</f>
        <v>200-299</v>
      </c>
      <c r="G169" t="str">
        <f>_xlfn.XLOOKUP(Table2[[#This Row],[Animal]],Table1[Animal],Table1[Region],"N/A",0)</f>
        <v>South Asia</v>
      </c>
      <c r="H169" s="17" t="str">
        <f>_xlfn.XLOOKUP(Table2[[#This Row],[Animal]],Table1[Animal],Table1[Transport],"N/A",0)</f>
        <v>Air</v>
      </c>
      <c r="I169">
        <f>_xlfn.XLOOKUP(Table2[[#This Row],[Animal]],Table1[Animal],Table1[Revenue],"N/A",0)</f>
        <v>450</v>
      </c>
      <c r="J169">
        <f>_xlfn.XLOOKUP(Table2[[#This Row],[Animal]],Table1[Animal],Table1[Cost],"N/A",0)</f>
        <v>500</v>
      </c>
      <c r="K169">
        <f>Table2[[#This Row],[Revenue]]-Table2[[#This Row],[Cost]]</f>
        <v>-50</v>
      </c>
    </row>
    <row r="170" spans="1:11" x14ac:dyDescent="0.25">
      <c r="A170" t="s">
        <v>254</v>
      </c>
      <c r="B170" t="str">
        <f>_xlfn.XLOOKUP(Table2[[#This Row],[Animal]],Table1[Animal],Table1[Diet],"Not Found",0)</f>
        <v>Carnivore</v>
      </c>
      <c r="C170" s="19">
        <f>_xlfn.XLOOKUP(Table2[[#This Row],[Animal]],Table1[Animal],Table1[Lifespan (Years)],"N/A",0)</f>
        <v>20</v>
      </c>
      <c r="D170" s="17" t="str">
        <f>_xlfn.XLOOKUP(Table2[[#This Row],[Animal]],Table1[Animal],Table1[Lifespan Group],"N/A",0)</f>
        <v>&lt;25</v>
      </c>
      <c r="E170" s="17">
        <f>_xlfn.XLOOKUP(Table2[[#This Row],[Animal]],Table1[Animal],Table1[Weight (lbs)],"N/A",0)</f>
        <v>4.4000000000000004</v>
      </c>
      <c r="F170" s="17" t="str">
        <f>_xlfn.XLOOKUP(Table2[[#This Row],[Animal]],Table1[Animal],Table1[Weight Group],"N/A",0)</f>
        <v>&lt;100</v>
      </c>
      <c r="G170" t="str">
        <f>_xlfn.XLOOKUP(Table2[[#This Row],[Animal]],Table1[Animal],Table1[Region],"N/A",0)</f>
        <v>South Asia</v>
      </c>
      <c r="H170" s="17" t="str">
        <f>_xlfn.XLOOKUP(Table2[[#This Row],[Animal]],Table1[Animal],Table1[Transport],"N/A",0)</f>
        <v>Air</v>
      </c>
      <c r="I170">
        <f>_xlfn.XLOOKUP(Table2[[#This Row],[Animal]],Table1[Animal],Table1[Revenue],"N/A",0)</f>
        <v>450</v>
      </c>
      <c r="J170">
        <f>_xlfn.XLOOKUP(Table2[[#This Row],[Animal]],Table1[Animal],Table1[Cost],"N/A",0)</f>
        <v>500</v>
      </c>
      <c r="K170">
        <f>Table2[[#This Row],[Revenue]]-Table2[[#This Row],[Cost]]</f>
        <v>-50</v>
      </c>
    </row>
    <row r="171" spans="1:11" x14ac:dyDescent="0.25">
      <c r="A171" t="s">
        <v>256</v>
      </c>
      <c r="B171" t="str">
        <f>_xlfn.XLOOKUP(Table2[[#This Row],[Animal]],Table1[Animal],Table1[Diet],"Not Found",0)</f>
        <v>Carnivore</v>
      </c>
      <c r="C171" s="19">
        <f>_xlfn.XLOOKUP(Table2[[#This Row],[Animal]],Table1[Animal],Table1[Lifespan (Years)],"N/A",0)</f>
        <v>20</v>
      </c>
      <c r="D171" s="17" t="str">
        <f>_xlfn.XLOOKUP(Table2[[#This Row],[Animal]],Table1[Animal],Table1[Lifespan Group],"N/A",0)</f>
        <v>&lt;25</v>
      </c>
      <c r="E171" s="17">
        <f>_xlfn.XLOOKUP(Table2[[#This Row],[Animal]],Table1[Animal],Table1[Weight (lbs)],"N/A",0)</f>
        <v>0</v>
      </c>
      <c r="F171" s="17" t="str">
        <f>_xlfn.XLOOKUP(Table2[[#This Row],[Animal]],Table1[Animal],Table1[Weight Group],"N/A",0)</f>
        <v>N/A</v>
      </c>
      <c r="G171" t="str">
        <f>_xlfn.XLOOKUP(Table2[[#This Row],[Animal]],Table1[Animal],Table1[Region],"N/A",0)</f>
        <v>Africa &amp; MENA</v>
      </c>
      <c r="H171" s="17" t="str">
        <f>_xlfn.XLOOKUP(Table2[[#This Row],[Animal]],Table1[Animal],Table1[Transport],"N/A",0)</f>
        <v>Air</v>
      </c>
      <c r="I171">
        <f>_xlfn.XLOOKUP(Table2[[#This Row],[Animal]],Table1[Animal],Table1[Revenue],"N/A",0)</f>
        <v>600</v>
      </c>
      <c r="J171">
        <f>_xlfn.XLOOKUP(Table2[[#This Row],[Animal]],Table1[Animal],Table1[Cost],"N/A",0)</f>
        <v>500</v>
      </c>
      <c r="K171">
        <f>Table2[[#This Row],[Revenue]]-Table2[[#This Row],[Cost]]</f>
        <v>100</v>
      </c>
    </row>
    <row r="172" spans="1:11" x14ac:dyDescent="0.25">
      <c r="A172" t="s">
        <v>257</v>
      </c>
      <c r="B172" t="str">
        <f>_xlfn.XLOOKUP(Table2[[#This Row],[Animal]],Table1[Animal],Table1[Diet],"Not Found",0)</f>
        <v>Carnivore</v>
      </c>
      <c r="C172" s="19">
        <f>_xlfn.XLOOKUP(Table2[[#This Row],[Animal]],Table1[Animal],Table1[Lifespan (Years)],"N/A",0)</f>
        <v>9</v>
      </c>
      <c r="D172" s="17" t="str">
        <f>_xlfn.XLOOKUP(Table2[[#This Row],[Animal]],Table1[Animal],Table1[Lifespan Group],"N/A",0)</f>
        <v>&lt;25</v>
      </c>
      <c r="E172" s="17">
        <f>_xlfn.XLOOKUP(Table2[[#This Row],[Animal]],Table1[Animal],Table1[Weight (lbs)],"N/A",0)</f>
        <v>3.125E-2</v>
      </c>
      <c r="F172" s="17" t="str">
        <f>_xlfn.XLOOKUP(Table2[[#This Row],[Animal]],Table1[Animal],Table1[Weight Group],"N/A",0)</f>
        <v>&lt;100</v>
      </c>
      <c r="G172" t="str">
        <f>_xlfn.XLOOKUP(Table2[[#This Row],[Animal]],Table1[Animal],Table1[Region],"N/A",0)</f>
        <v>Asia Pacific</v>
      </c>
      <c r="H172" s="17" t="str">
        <f>_xlfn.XLOOKUP(Table2[[#This Row],[Animal]],Table1[Animal],Table1[Transport],"N/A",0)</f>
        <v>Air</v>
      </c>
      <c r="I172">
        <f>_xlfn.XLOOKUP(Table2[[#This Row],[Animal]],Table1[Animal],Table1[Revenue],"N/A",0)</f>
        <v>700</v>
      </c>
      <c r="J172">
        <f>_xlfn.XLOOKUP(Table2[[#This Row],[Animal]],Table1[Animal],Table1[Cost],"N/A",0)</f>
        <v>500</v>
      </c>
      <c r="K172">
        <f>Table2[[#This Row],[Revenue]]-Table2[[#This Row],[Cost]]</f>
        <v>200</v>
      </c>
    </row>
    <row r="173" spans="1:11" x14ac:dyDescent="0.25">
      <c r="A173" t="s">
        <v>259</v>
      </c>
      <c r="B173" t="str">
        <f>_xlfn.XLOOKUP(Table2[[#This Row],[Animal]],Table1[Animal],Table1[Diet],"Not Found",0)</f>
        <v>Carnivore</v>
      </c>
      <c r="C173" s="19">
        <f>_xlfn.XLOOKUP(Table2[[#This Row],[Animal]],Table1[Animal],Table1[Lifespan (Years)],"N/A",0)</f>
        <v>20</v>
      </c>
      <c r="D173" s="17" t="str">
        <f>_xlfn.XLOOKUP(Table2[[#This Row],[Animal]],Table1[Animal],Table1[Lifespan Group],"N/A",0)</f>
        <v>&lt;25</v>
      </c>
      <c r="E173" s="17">
        <f>_xlfn.XLOOKUP(Table2[[#This Row],[Animal]],Table1[Animal],Table1[Weight (lbs)],"N/A",0)</f>
        <v>8.8000000000000007</v>
      </c>
      <c r="F173" s="17" t="str">
        <f>_xlfn.XLOOKUP(Table2[[#This Row],[Animal]],Table1[Animal],Table1[Weight Group],"N/A",0)</f>
        <v>&lt;100</v>
      </c>
      <c r="G173" t="str">
        <f>_xlfn.XLOOKUP(Table2[[#This Row],[Animal]],Table1[Animal],Table1[Region],"N/A",0)</f>
        <v>North America</v>
      </c>
      <c r="H173" s="17" t="str">
        <f>_xlfn.XLOOKUP(Table2[[#This Row],[Animal]],Table1[Animal],Table1[Transport],"N/A",0)</f>
        <v>Boat</v>
      </c>
      <c r="I173">
        <f>_xlfn.XLOOKUP(Table2[[#This Row],[Animal]],Table1[Animal],Table1[Revenue],"N/A",0)</f>
        <v>400</v>
      </c>
      <c r="J173">
        <f>_xlfn.XLOOKUP(Table2[[#This Row],[Animal]],Table1[Animal],Table1[Cost],"N/A",0)</f>
        <v>500</v>
      </c>
      <c r="K173">
        <f>Table2[[#This Row],[Revenue]]-Table2[[#This Row],[Cost]]</f>
        <v>-100</v>
      </c>
    </row>
    <row r="174" spans="1:11" x14ac:dyDescent="0.25">
      <c r="A174" t="s">
        <v>260</v>
      </c>
      <c r="B174" t="str">
        <f>_xlfn.XLOOKUP(Table2[[#This Row],[Animal]],Table1[Animal],Table1[Diet],"Not Found",0)</f>
        <v>Omnivore</v>
      </c>
      <c r="C174" s="19">
        <f>_xlfn.XLOOKUP(Table2[[#This Row],[Animal]],Table1[Animal],Table1[Lifespan (Years)],"N/A",0)</f>
        <v>15</v>
      </c>
      <c r="D174" s="17" t="str">
        <f>_xlfn.XLOOKUP(Table2[[#This Row],[Animal]],Table1[Animal],Table1[Lifespan Group],"N/A",0)</f>
        <v>&lt;25</v>
      </c>
      <c r="E174" s="17">
        <f>_xlfn.XLOOKUP(Table2[[#This Row],[Animal]],Table1[Animal],Table1[Weight (lbs)],"N/A",0)</f>
        <v>0.48125000000000001</v>
      </c>
      <c r="F174" s="17" t="str">
        <f>_xlfn.XLOOKUP(Table2[[#This Row],[Animal]],Table1[Animal],Table1[Weight Group],"N/A",0)</f>
        <v>&lt;100</v>
      </c>
      <c r="G174" t="str">
        <f>_xlfn.XLOOKUP(Table2[[#This Row],[Animal]],Table1[Animal],Table1[Region],"N/A",0)</f>
        <v>North America</v>
      </c>
      <c r="H174" s="17" t="str">
        <f>_xlfn.XLOOKUP(Table2[[#This Row],[Animal]],Table1[Animal],Table1[Transport],"N/A",0)</f>
        <v>Boat</v>
      </c>
      <c r="I174">
        <f>_xlfn.XLOOKUP(Table2[[#This Row],[Animal]],Table1[Animal],Table1[Revenue],"N/A",0)</f>
        <v>400</v>
      </c>
      <c r="J174">
        <f>_xlfn.XLOOKUP(Table2[[#This Row],[Animal]],Table1[Animal],Table1[Cost],"N/A",0)</f>
        <v>400</v>
      </c>
      <c r="K174">
        <f>Table2[[#This Row],[Revenue]]-Table2[[#This Row],[Cost]]</f>
        <v>0</v>
      </c>
    </row>
    <row r="175" spans="1:11" x14ac:dyDescent="0.25">
      <c r="A175" t="s">
        <v>262</v>
      </c>
      <c r="B175" t="str">
        <f>_xlfn.XLOOKUP(Table2[[#This Row],[Animal]],Table1[Animal],Table1[Diet],"Not Found",0)</f>
        <v>Omnivore</v>
      </c>
      <c r="C175" s="19">
        <f>_xlfn.XLOOKUP(Table2[[#This Row],[Animal]],Table1[Animal],Table1[Lifespan (Years)],"N/A",0)</f>
        <v>15</v>
      </c>
      <c r="D175" s="17" t="str">
        <f>_xlfn.XLOOKUP(Table2[[#This Row],[Animal]],Table1[Animal],Table1[Lifespan Group],"N/A",0)</f>
        <v>&lt;25</v>
      </c>
      <c r="E175" s="17">
        <f>_xlfn.XLOOKUP(Table2[[#This Row],[Animal]],Table1[Animal],Table1[Weight (lbs)],"N/A",0)</f>
        <v>35</v>
      </c>
      <c r="F175" s="17" t="str">
        <f>_xlfn.XLOOKUP(Table2[[#This Row],[Animal]],Table1[Animal],Table1[Weight Group],"N/A",0)</f>
        <v>&lt;100</v>
      </c>
      <c r="G175" t="str">
        <f>_xlfn.XLOOKUP(Table2[[#This Row],[Animal]],Table1[Animal],Table1[Region],"N/A",0)</f>
        <v>Europe &amp; Eurasia</v>
      </c>
      <c r="H175" s="17" t="str">
        <f>_xlfn.XLOOKUP(Table2[[#This Row],[Animal]],Table1[Animal],Table1[Transport],"N/A",0)</f>
        <v>Road</v>
      </c>
      <c r="I175">
        <f>_xlfn.XLOOKUP(Table2[[#This Row],[Animal]],Table1[Animal],Table1[Revenue],"N/A",0)</f>
        <v>450</v>
      </c>
      <c r="J175">
        <f>_xlfn.XLOOKUP(Table2[[#This Row],[Animal]],Table1[Animal],Table1[Cost],"N/A",0)</f>
        <v>400</v>
      </c>
      <c r="K175">
        <f>Table2[[#This Row],[Revenue]]-Table2[[#This Row],[Cost]]</f>
        <v>50</v>
      </c>
    </row>
    <row r="176" spans="1:11" x14ac:dyDescent="0.25">
      <c r="A176" t="s">
        <v>264</v>
      </c>
      <c r="B176" t="str">
        <f>_xlfn.XLOOKUP(Table2[[#This Row],[Animal]],Table1[Animal],Table1[Diet],"Not Found",0)</f>
        <v>Omnivore</v>
      </c>
      <c r="C176" s="19">
        <f>_xlfn.XLOOKUP(Table2[[#This Row],[Animal]],Table1[Animal],Table1[Lifespan (Years)],"N/A",0)</f>
        <v>12</v>
      </c>
      <c r="D176" s="17" t="str">
        <f>_xlfn.XLOOKUP(Table2[[#This Row],[Animal]],Table1[Animal],Table1[Lifespan Group],"N/A",0)</f>
        <v>&lt;25</v>
      </c>
      <c r="E176" s="17">
        <f>_xlfn.XLOOKUP(Table2[[#This Row],[Animal]],Table1[Animal],Table1[Weight (lbs)],"N/A",0)</f>
        <v>95</v>
      </c>
      <c r="F176" s="17" t="str">
        <f>_xlfn.XLOOKUP(Table2[[#This Row],[Animal]],Table1[Animal],Table1[Weight Group],"N/A",0)</f>
        <v>&lt;100</v>
      </c>
      <c r="G176" t="str">
        <f>_xlfn.XLOOKUP(Table2[[#This Row],[Animal]],Table1[Animal],Table1[Region],"N/A",0)</f>
        <v>North America</v>
      </c>
      <c r="H176" s="17" t="str">
        <f>_xlfn.XLOOKUP(Table2[[#This Row],[Animal]],Table1[Animal],Table1[Transport],"N/A",0)</f>
        <v>Boat</v>
      </c>
      <c r="I176">
        <f>_xlfn.XLOOKUP(Table2[[#This Row],[Animal]],Table1[Animal],Table1[Revenue],"N/A",0)</f>
        <v>400</v>
      </c>
      <c r="J176">
        <f>_xlfn.XLOOKUP(Table2[[#This Row],[Animal]],Table1[Animal],Table1[Cost],"N/A",0)</f>
        <v>400</v>
      </c>
      <c r="K176">
        <f>Table2[[#This Row],[Revenue]]-Table2[[#This Row],[Cost]]</f>
        <v>0</v>
      </c>
    </row>
    <row r="177" spans="1:11" x14ac:dyDescent="0.25">
      <c r="A177" t="s">
        <v>266</v>
      </c>
      <c r="B177" t="str">
        <f>_xlfn.XLOOKUP(Table2[[#This Row],[Animal]],Table1[Animal],Table1[Diet],"Not Found",0)</f>
        <v>Carnivore</v>
      </c>
      <c r="C177" s="19">
        <f>_xlfn.XLOOKUP(Table2[[#This Row],[Animal]],Table1[Animal],Table1[Lifespan (Years)],"N/A",0)</f>
        <v>50</v>
      </c>
      <c r="D177" s="17" t="str">
        <f>_xlfn.XLOOKUP(Table2[[#This Row],[Animal]],Table1[Animal],Table1[Lifespan Group],"N/A",0)</f>
        <v>50-74</v>
      </c>
      <c r="E177" s="17">
        <f>_xlfn.XLOOKUP(Table2[[#This Row],[Animal]],Table1[Animal],Table1[Weight (lbs)],"N/A",0)</f>
        <v>330.7</v>
      </c>
      <c r="F177" s="17" t="str">
        <f>_xlfn.XLOOKUP(Table2[[#This Row],[Animal]],Table1[Animal],Table1[Weight Group],"N/A",0)</f>
        <v>300-399</v>
      </c>
      <c r="G177" t="str">
        <f>_xlfn.XLOOKUP(Table2[[#This Row],[Animal]],Table1[Animal],Table1[Region],"N/A",0)</f>
        <v>Asia Pacific</v>
      </c>
      <c r="H177" s="17" t="str">
        <f>_xlfn.XLOOKUP(Table2[[#This Row],[Animal]],Table1[Animal],Table1[Transport],"N/A",0)</f>
        <v>Air</v>
      </c>
      <c r="I177">
        <f>_xlfn.XLOOKUP(Table2[[#This Row],[Animal]],Table1[Animal],Table1[Revenue],"N/A",0)</f>
        <v>700</v>
      </c>
      <c r="J177">
        <f>_xlfn.XLOOKUP(Table2[[#This Row],[Animal]],Table1[Animal],Table1[Cost],"N/A",0)</f>
        <v>500</v>
      </c>
      <c r="K177">
        <f>Table2[[#This Row],[Revenue]]-Table2[[#This Row],[Cost]]</f>
        <v>200</v>
      </c>
    </row>
    <row r="178" spans="1:11" x14ac:dyDescent="0.25">
      <c r="A178" t="s">
        <v>267</v>
      </c>
      <c r="B178" t="str">
        <f>_xlfn.XLOOKUP(Table2[[#This Row],[Animal]],Table1[Animal],Table1[Diet],"Not Found",0)</f>
        <v>Herbivore</v>
      </c>
      <c r="C178" s="19">
        <f>_xlfn.XLOOKUP(Table2[[#This Row],[Animal]],Table1[Animal],Table1[Lifespan (Years)],"N/A",0)</f>
        <v>10</v>
      </c>
      <c r="D178" s="17" t="str">
        <f>_xlfn.XLOOKUP(Table2[[#This Row],[Animal]],Table1[Animal],Table1[Lifespan Group],"N/A",0)</f>
        <v>&lt;25</v>
      </c>
      <c r="E178" s="17">
        <f>_xlfn.XLOOKUP(Table2[[#This Row],[Animal]],Table1[Animal],Table1[Weight (lbs)],"N/A",0)</f>
        <v>0.55000000000000004</v>
      </c>
      <c r="F178" s="17" t="str">
        <f>_xlfn.XLOOKUP(Table2[[#This Row],[Animal]],Table1[Animal],Table1[Weight Group],"N/A",0)</f>
        <v>&lt;100</v>
      </c>
      <c r="G178" t="str">
        <f>_xlfn.XLOOKUP(Table2[[#This Row],[Animal]],Table1[Animal],Table1[Region],"N/A",0)</f>
        <v>Greater China</v>
      </c>
      <c r="H178" s="17" t="str">
        <f>_xlfn.XLOOKUP(Table2[[#This Row],[Animal]],Table1[Animal],Table1[Transport],"N/A",0)</f>
        <v>Air</v>
      </c>
      <c r="I178">
        <f>_xlfn.XLOOKUP(Table2[[#This Row],[Animal]],Table1[Animal],Table1[Revenue],"N/A",0)</f>
        <v>600</v>
      </c>
      <c r="J178">
        <f>_xlfn.XLOOKUP(Table2[[#This Row],[Animal]],Table1[Animal],Table1[Cost],"N/A",0)</f>
        <v>300</v>
      </c>
      <c r="K178">
        <f>Table2[[#This Row],[Revenue]]-Table2[[#This Row],[Cost]]</f>
        <v>300</v>
      </c>
    </row>
    <row r="179" spans="1:11" x14ac:dyDescent="0.25">
      <c r="A179" t="s">
        <v>268</v>
      </c>
      <c r="B179" t="str">
        <f>_xlfn.XLOOKUP(Table2[[#This Row],[Animal]],Table1[Animal],Table1[Diet],"Not Found",0)</f>
        <v>Omnivore</v>
      </c>
      <c r="C179" s="19">
        <f>_xlfn.XLOOKUP(Table2[[#This Row],[Animal]],Table1[Animal],Table1[Lifespan (Years)],"N/A",0)</f>
        <v>100</v>
      </c>
      <c r="D179" s="17" t="str">
        <f>_xlfn.XLOOKUP(Table2[[#This Row],[Animal]],Table1[Animal],Table1[Lifespan Group],"N/A",0)</f>
        <v>&gt;=100</v>
      </c>
      <c r="E179" s="17">
        <f>_xlfn.XLOOKUP(Table2[[#This Row],[Animal]],Table1[Animal],Table1[Weight (lbs)],"N/A",0)</f>
        <v>220</v>
      </c>
      <c r="F179" s="17" t="str">
        <f>_xlfn.XLOOKUP(Table2[[#This Row],[Animal]],Table1[Animal],Table1[Weight Group],"N/A",0)</f>
        <v>200-299</v>
      </c>
      <c r="G179" t="str">
        <f>_xlfn.XLOOKUP(Table2[[#This Row],[Animal]],Table1[Animal],Table1[Region],"N/A",0)</f>
        <v>North America</v>
      </c>
      <c r="H179" s="17" t="str">
        <f>_xlfn.XLOOKUP(Table2[[#This Row],[Animal]],Table1[Animal],Table1[Transport],"N/A",0)</f>
        <v>Boat</v>
      </c>
      <c r="I179">
        <f>_xlfn.XLOOKUP(Table2[[#This Row],[Animal]],Table1[Animal],Table1[Revenue],"N/A",0)</f>
        <v>400</v>
      </c>
      <c r="J179">
        <f>_xlfn.XLOOKUP(Table2[[#This Row],[Animal]],Table1[Animal],Table1[Cost],"N/A",0)</f>
        <v>400</v>
      </c>
      <c r="K179">
        <f>Table2[[#This Row],[Revenue]]-Table2[[#This Row],[Cost]]</f>
        <v>0</v>
      </c>
    </row>
    <row r="180" spans="1:11" x14ac:dyDescent="0.25">
      <c r="A180" t="s">
        <v>269</v>
      </c>
      <c r="B180" t="str">
        <f>_xlfn.XLOOKUP(Table2[[#This Row],[Animal]],Table1[Animal],Table1[Diet],"Not Found",0)</f>
        <v>Omnivore</v>
      </c>
      <c r="C180" s="19">
        <f>_xlfn.XLOOKUP(Table2[[#This Row],[Animal]],Table1[Animal],Table1[Lifespan (Years)],"N/A",0)</f>
        <v>35</v>
      </c>
      <c r="D180" s="17" t="str">
        <f>_xlfn.XLOOKUP(Table2[[#This Row],[Animal]],Table1[Animal],Table1[Lifespan Group],"N/A",0)</f>
        <v>25-49</v>
      </c>
      <c r="E180" s="17">
        <f>_xlfn.XLOOKUP(Table2[[#This Row],[Animal]],Table1[Animal],Table1[Weight (lbs)],"N/A",0)</f>
        <v>242</v>
      </c>
      <c r="F180" s="17" t="str">
        <f>_xlfn.XLOOKUP(Table2[[#This Row],[Animal]],Table1[Animal],Table1[Weight Group],"N/A",0)</f>
        <v>200-299</v>
      </c>
      <c r="G180" t="str">
        <f>_xlfn.XLOOKUP(Table2[[#This Row],[Animal]],Table1[Animal],Table1[Region],"N/A",0)</f>
        <v>North America</v>
      </c>
      <c r="H180" s="17" t="str">
        <f>_xlfn.XLOOKUP(Table2[[#This Row],[Animal]],Table1[Animal],Table1[Transport],"N/A",0)</f>
        <v>Boat</v>
      </c>
      <c r="I180">
        <f>_xlfn.XLOOKUP(Table2[[#This Row],[Animal]],Table1[Animal],Table1[Revenue],"N/A",0)</f>
        <v>400</v>
      </c>
      <c r="J180">
        <f>_xlfn.XLOOKUP(Table2[[#This Row],[Animal]],Table1[Animal],Table1[Cost],"N/A",0)</f>
        <v>400</v>
      </c>
      <c r="K180">
        <f>Table2[[#This Row],[Revenue]]-Table2[[#This Row],[Cost]]</f>
        <v>0</v>
      </c>
    </row>
    <row r="181" spans="1:11" x14ac:dyDescent="0.25">
      <c r="A181" t="s">
        <v>270</v>
      </c>
      <c r="B181" t="str">
        <f>_xlfn.XLOOKUP(Table2[[#This Row],[Animal]],Table1[Animal],Table1[Diet],"Not Found",0)</f>
        <v>Omnivore</v>
      </c>
      <c r="C181" s="19">
        <f>_xlfn.XLOOKUP(Table2[[#This Row],[Animal]],Table1[Animal],Table1[Lifespan (Years)],"N/A",0)</f>
        <v>12</v>
      </c>
      <c r="D181" s="17" t="str">
        <f>_xlfn.XLOOKUP(Table2[[#This Row],[Animal]],Table1[Animal],Table1[Lifespan Group],"N/A",0)</f>
        <v>&lt;25</v>
      </c>
      <c r="E181" s="17">
        <f>_xlfn.XLOOKUP(Table2[[#This Row],[Animal]],Table1[Animal],Table1[Weight (lbs)],"N/A",0)</f>
        <v>77</v>
      </c>
      <c r="F181" s="17" t="str">
        <f>_xlfn.XLOOKUP(Table2[[#This Row],[Animal]],Table1[Animal],Table1[Weight Group],"N/A",0)</f>
        <v>&lt;100</v>
      </c>
      <c r="G181" t="str">
        <f>_xlfn.XLOOKUP(Table2[[#This Row],[Animal]],Table1[Animal],Table1[Region],"N/A",0)</f>
        <v>Europe &amp; Eurasia</v>
      </c>
      <c r="H181" s="17" t="str">
        <f>_xlfn.XLOOKUP(Table2[[#This Row],[Animal]],Table1[Animal],Table1[Transport],"N/A",0)</f>
        <v>Road</v>
      </c>
      <c r="I181">
        <f>_xlfn.XLOOKUP(Table2[[#This Row],[Animal]],Table1[Animal],Table1[Revenue],"N/A",0)</f>
        <v>450</v>
      </c>
      <c r="J181">
        <f>_xlfn.XLOOKUP(Table2[[#This Row],[Animal]],Table1[Animal],Table1[Cost],"N/A",0)</f>
        <v>400</v>
      </c>
      <c r="K181">
        <f>Table2[[#This Row],[Revenue]]-Table2[[#This Row],[Cost]]</f>
        <v>50</v>
      </c>
    </row>
    <row r="182" spans="1:11" x14ac:dyDescent="0.25">
      <c r="A182" t="s">
        <v>272</v>
      </c>
      <c r="B182" t="str">
        <f>_xlfn.XLOOKUP(Table2[[#This Row],[Animal]],Table1[Animal],Table1[Diet],"Not Found",0)</f>
        <v>Omnivore</v>
      </c>
      <c r="C182" s="19">
        <f>_xlfn.XLOOKUP(Table2[[#This Row],[Animal]],Table1[Animal],Table1[Lifespan (Years)],"N/A",0)</f>
        <v>40</v>
      </c>
      <c r="D182" s="17" t="str">
        <f>_xlfn.XLOOKUP(Table2[[#This Row],[Animal]],Table1[Animal],Table1[Lifespan Group],"N/A",0)</f>
        <v>25-49</v>
      </c>
      <c r="E182" s="17">
        <f>_xlfn.XLOOKUP(Table2[[#This Row],[Animal]],Table1[Animal],Table1[Weight (lbs)],"N/A",0)</f>
        <v>13.2</v>
      </c>
      <c r="F182" s="17" t="str">
        <f>_xlfn.XLOOKUP(Table2[[#This Row],[Animal]],Table1[Animal],Table1[Weight Group],"N/A",0)</f>
        <v>&lt;100</v>
      </c>
      <c r="G182" t="str">
        <f>_xlfn.XLOOKUP(Table2[[#This Row],[Animal]],Table1[Animal],Table1[Region],"N/A",0)</f>
        <v>North America</v>
      </c>
      <c r="H182" s="17" t="str">
        <f>_xlfn.XLOOKUP(Table2[[#This Row],[Animal]],Table1[Animal],Table1[Transport],"N/A",0)</f>
        <v>Boat</v>
      </c>
      <c r="I182">
        <f>_xlfn.XLOOKUP(Table2[[#This Row],[Animal]],Table1[Animal],Table1[Revenue],"N/A",0)</f>
        <v>400</v>
      </c>
      <c r="J182">
        <f>_xlfn.XLOOKUP(Table2[[#This Row],[Animal]],Table1[Animal],Table1[Cost],"N/A",0)</f>
        <v>400</v>
      </c>
      <c r="K182">
        <f>Table2[[#This Row],[Revenue]]-Table2[[#This Row],[Cost]]</f>
        <v>0</v>
      </c>
    </row>
    <row r="183" spans="1:11" x14ac:dyDescent="0.25">
      <c r="A183" t="s">
        <v>273</v>
      </c>
      <c r="B183" t="str">
        <f>_xlfn.XLOOKUP(Table2[[#This Row],[Animal]],Table1[Animal],Table1[Diet],"Not Found",0)</f>
        <v>Carnivore</v>
      </c>
      <c r="C183" s="19">
        <f>_xlfn.XLOOKUP(Table2[[#This Row],[Animal]],Table1[Animal],Table1[Lifespan (Years)],"N/A",0)</f>
        <v>30</v>
      </c>
      <c r="D183" s="17" t="str">
        <f>_xlfn.XLOOKUP(Table2[[#This Row],[Animal]],Table1[Animal],Table1[Lifespan Group],"N/A",0)</f>
        <v>25-49</v>
      </c>
      <c r="E183" s="17">
        <f>_xlfn.XLOOKUP(Table2[[#This Row],[Animal]],Table1[Animal],Table1[Weight (lbs)],"N/A",0)</f>
        <v>3</v>
      </c>
      <c r="F183" s="17" t="str">
        <f>_xlfn.XLOOKUP(Table2[[#This Row],[Animal]],Table1[Animal],Table1[Weight Group],"N/A",0)</f>
        <v>&lt;100</v>
      </c>
      <c r="G183" t="str">
        <f>_xlfn.XLOOKUP(Table2[[#This Row],[Animal]],Table1[Animal],Table1[Region],"N/A",0)</f>
        <v>Greater China</v>
      </c>
      <c r="H183" s="17" t="str">
        <f>_xlfn.XLOOKUP(Table2[[#This Row],[Animal]],Table1[Animal],Table1[Transport],"N/A",0)</f>
        <v>Air</v>
      </c>
      <c r="I183">
        <f>_xlfn.XLOOKUP(Table2[[#This Row],[Animal]],Table1[Animal],Table1[Revenue],"N/A",0)</f>
        <v>600</v>
      </c>
      <c r="J183">
        <f>_xlfn.XLOOKUP(Table2[[#This Row],[Animal]],Table1[Animal],Table1[Cost],"N/A",0)</f>
        <v>500</v>
      </c>
      <c r="K183">
        <f>Table2[[#This Row],[Revenue]]-Table2[[#This Row],[Cost]]</f>
        <v>100</v>
      </c>
    </row>
    <row r="184" spans="1:11" x14ac:dyDescent="0.25">
      <c r="A184" t="s">
        <v>274</v>
      </c>
      <c r="B184" t="str">
        <f>_xlfn.XLOOKUP(Table2[[#This Row],[Animal]],Table1[Animal],Table1[Diet],"Not Found",0)</f>
        <v>Herbivore</v>
      </c>
      <c r="C184" s="19">
        <f>_xlfn.XLOOKUP(Table2[[#This Row],[Animal]],Table1[Animal],Table1[Lifespan (Years)],"N/A",0)</f>
        <v>25</v>
      </c>
      <c r="D184" s="17" t="str">
        <f>_xlfn.XLOOKUP(Table2[[#This Row],[Animal]],Table1[Animal],Table1[Lifespan Group],"N/A",0)</f>
        <v>25-49</v>
      </c>
      <c r="E184" s="17">
        <f>_xlfn.XLOOKUP(Table2[[#This Row],[Animal]],Table1[Animal],Table1[Weight (lbs)],"N/A",0)</f>
        <v>1200</v>
      </c>
      <c r="F184" s="17" t="str">
        <f>_xlfn.XLOOKUP(Table2[[#This Row],[Animal]],Table1[Animal],Table1[Weight Group],"N/A",0)</f>
        <v>&gt;=500</v>
      </c>
      <c r="G184" t="str">
        <f>_xlfn.XLOOKUP(Table2[[#This Row],[Animal]],Table1[Animal],Table1[Region],"N/A",0)</f>
        <v>North America</v>
      </c>
      <c r="H184" s="17" t="str">
        <f>_xlfn.XLOOKUP(Table2[[#This Row],[Animal]],Table1[Animal],Table1[Transport],"N/A",0)</f>
        <v>Boat</v>
      </c>
      <c r="I184">
        <f>_xlfn.XLOOKUP(Table2[[#This Row],[Animal]],Table1[Animal],Table1[Revenue],"N/A",0)</f>
        <v>400</v>
      </c>
      <c r="J184">
        <f>_xlfn.XLOOKUP(Table2[[#This Row],[Animal]],Table1[Animal],Table1[Cost],"N/A",0)</f>
        <v>300</v>
      </c>
      <c r="K184">
        <f>Table2[[#This Row],[Revenue]]-Table2[[#This Row],[Cost]]</f>
        <v>100</v>
      </c>
    </row>
    <row r="185" spans="1:11" x14ac:dyDescent="0.25">
      <c r="A185" t="s">
        <v>275</v>
      </c>
      <c r="B185" t="str">
        <f>_xlfn.XLOOKUP(Table2[[#This Row],[Animal]],Table1[Animal],Table1[Diet],"Not Found",0)</f>
        <v>Omnivore</v>
      </c>
      <c r="C185" s="19">
        <f>_xlfn.XLOOKUP(Table2[[#This Row],[Animal]],Table1[Animal],Table1[Lifespan (Years)],"N/A",0)</f>
        <v>0.41666666666666669</v>
      </c>
      <c r="D185" s="17" t="str">
        <f>_xlfn.XLOOKUP(Table2[[#This Row],[Animal]],Table1[Animal],Table1[Lifespan Group],"N/A",0)</f>
        <v>&lt;25</v>
      </c>
      <c r="E185" s="17">
        <f>_xlfn.XLOOKUP(Table2[[#This Row],[Animal]],Table1[Animal],Table1[Weight (lbs)],"N/A",0)</f>
        <v>0</v>
      </c>
      <c r="F185" s="17" t="str">
        <f>_xlfn.XLOOKUP(Table2[[#This Row],[Animal]],Table1[Animal],Table1[Weight Group],"N/A",0)</f>
        <v>N/A</v>
      </c>
      <c r="G185" t="str">
        <f>_xlfn.XLOOKUP(Table2[[#This Row],[Animal]],Table1[Animal],Table1[Region],"N/A",0)</f>
        <v>North America</v>
      </c>
      <c r="H185" s="17" t="str">
        <f>_xlfn.XLOOKUP(Table2[[#This Row],[Animal]],Table1[Animal],Table1[Transport],"N/A",0)</f>
        <v>Boat</v>
      </c>
      <c r="I185">
        <f>_xlfn.XLOOKUP(Table2[[#This Row],[Animal]],Table1[Animal],Table1[Revenue],"N/A",0)</f>
        <v>400</v>
      </c>
      <c r="J185">
        <f>_xlfn.XLOOKUP(Table2[[#This Row],[Animal]],Table1[Animal],Table1[Cost],"N/A",0)</f>
        <v>400</v>
      </c>
      <c r="K185">
        <f>Table2[[#This Row],[Revenue]]-Table2[[#This Row],[Cost]]</f>
        <v>0</v>
      </c>
    </row>
    <row r="186" spans="1:11" x14ac:dyDescent="0.25">
      <c r="A186" t="s">
        <v>277</v>
      </c>
      <c r="B186" t="str">
        <f>_xlfn.XLOOKUP(Table2[[#This Row],[Animal]],Table1[Animal],Table1[Diet],"Not Found",0)</f>
        <v>Omnivore</v>
      </c>
      <c r="C186" s="19">
        <f>_xlfn.XLOOKUP(Table2[[#This Row],[Animal]],Table1[Animal],Table1[Lifespan (Years)],"N/A",0)</f>
        <v>15</v>
      </c>
      <c r="D186" s="17" t="str">
        <f>_xlfn.XLOOKUP(Table2[[#This Row],[Animal]],Table1[Animal],Table1[Lifespan Group],"N/A",0)</f>
        <v>&lt;25</v>
      </c>
      <c r="E186" s="17">
        <f>_xlfn.XLOOKUP(Table2[[#This Row],[Animal]],Table1[Animal],Table1[Weight (lbs)],"N/A",0)</f>
        <v>1.1875</v>
      </c>
      <c r="F186" s="17" t="str">
        <f>_xlfn.XLOOKUP(Table2[[#This Row],[Animal]],Table1[Animal],Table1[Weight Group],"N/A",0)</f>
        <v>&lt;100</v>
      </c>
      <c r="G186" t="str">
        <f>_xlfn.XLOOKUP(Table2[[#This Row],[Animal]],Table1[Animal],Table1[Region],"N/A",0)</f>
        <v>North America</v>
      </c>
      <c r="H186" s="17" t="str">
        <f>_xlfn.XLOOKUP(Table2[[#This Row],[Animal]],Table1[Animal],Table1[Transport],"N/A",0)</f>
        <v>Boat</v>
      </c>
      <c r="I186">
        <f>_xlfn.XLOOKUP(Table2[[#This Row],[Animal]],Table1[Animal],Table1[Revenue],"N/A",0)</f>
        <v>400</v>
      </c>
      <c r="J186">
        <f>_xlfn.XLOOKUP(Table2[[#This Row],[Animal]],Table1[Animal],Table1[Cost],"N/A",0)</f>
        <v>400</v>
      </c>
      <c r="K186">
        <f>Table2[[#This Row],[Revenue]]-Table2[[#This Row],[Cost]]</f>
        <v>0</v>
      </c>
    </row>
    <row r="187" spans="1:11" x14ac:dyDescent="0.25">
      <c r="A187" t="s">
        <v>278</v>
      </c>
      <c r="B187" t="str">
        <f>_xlfn.XLOOKUP(Table2[[#This Row],[Animal]],Table1[Animal],Table1[Diet],"Not Found",0)</f>
        <v>Omnivore</v>
      </c>
      <c r="C187" s="19">
        <f>_xlfn.XLOOKUP(Table2[[#This Row],[Animal]],Table1[Animal],Table1[Lifespan (Years)],"N/A",0)</f>
        <v>12</v>
      </c>
      <c r="D187" s="17" t="str">
        <f>_xlfn.XLOOKUP(Table2[[#This Row],[Animal]],Table1[Animal],Table1[Lifespan Group],"N/A",0)</f>
        <v>&lt;25</v>
      </c>
      <c r="E187" s="17">
        <f>_xlfn.XLOOKUP(Table2[[#This Row],[Animal]],Table1[Animal],Table1[Weight (lbs)],"N/A",0)</f>
        <v>3.125E-2</v>
      </c>
      <c r="F187" s="17" t="str">
        <f>_xlfn.XLOOKUP(Table2[[#This Row],[Animal]],Table1[Animal],Table1[Weight Group],"N/A",0)</f>
        <v>&lt;100</v>
      </c>
      <c r="G187" t="str">
        <f>_xlfn.XLOOKUP(Table2[[#This Row],[Animal]],Table1[Animal],Table1[Region],"N/A",0)</f>
        <v>Africa &amp; MENA</v>
      </c>
      <c r="H187" s="17" t="str">
        <f>_xlfn.XLOOKUP(Table2[[#This Row],[Animal]],Table1[Animal],Table1[Transport],"N/A",0)</f>
        <v>Air</v>
      </c>
      <c r="I187">
        <f>_xlfn.XLOOKUP(Table2[[#This Row],[Animal]],Table1[Animal],Table1[Revenue],"N/A",0)</f>
        <v>600</v>
      </c>
      <c r="J187">
        <f>_xlfn.XLOOKUP(Table2[[#This Row],[Animal]],Table1[Animal],Table1[Cost],"N/A",0)</f>
        <v>400</v>
      </c>
      <c r="K187">
        <f>Table2[[#This Row],[Revenue]]-Table2[[#This Row],[Cost]]</f>
        <v>200</v>
      </c>
    </row>
    <row r="188" spans="1:11" x14ac:dyDescent="0.25">
      <c r="A188" t="s">
        <v>279</v>
      </c>
      <c r="B188" t="str">
        <f>_xlfn.XLOOKUP(Table2[[#This Row],[Animal]],Table1[Animal],Table1[Diet],"Not Found",0)</f>
        <v>Omnivore</v>
      </c>
      <c r="C188" s="19">
        <f>_xlfn.XLOOKUP(Table2[[#This Row],[Animal]],Table1[Animal],Table1[Lifespan (Years)],"N/A",0)</f>
        <v>12</v>
      </c>
      <c r="D188" s="17" t="str">
        <f>_xlfn.XLOOKUP(Table2[[#This Row],[Animal]],Table1[Animal],Table1[Lifespan Group],"N/A",0)</f>
        <v>&lt;25</v>
      </c>
      <c r="E188" s="17">
        <f>_xlfn.XLOOKUP(Table2[[#This Row],[Animal]],Table1[Animal],Table1[Weight (lbs)],"N/A",0)</f>
        <v>75</v>
      </c>
      <c r="F188" s="17" t="str">
        <f>_xlfn.XLOOKUP(Table2[[#This Row],[Animal]],Table1[Animal],Table1[Weight Group],"N/A",0)</f>
        <v>&lt;100</v>
      </c>
      <c r="G188" t="str">
        <f>_xlfn.XLOOKUP(Table2[[#This Row],[Animal]],Table1[Animal],Table1[Region],"N/A",0)</f>
        <v>North America</v>
      </c>
      <c r="H188" s="17" t="str">
        <f>_xlfn.XLOOKUP(Table2[[#This Row],[Animal]],Table1[Animal],Table1[Transport],"N/A",0)</f>
        <v>Boat</v>
      </c>
      <c r="I188">
        <f>_xlfn.XLOOKUP(Table2[[#This Row],[Animal]],Table1[Animal],Table1[Revenue],"N/A",0)</f>
        <v>400</v>
      </c>
      <c r="J188">
        <f>_xlfn.XLOOKUP(Table2[[#This Row],[Animal]],Table1[Animal],Table1[Cost],"N/A",0)</f>
        <v>400</v>
      </c>
      <c r="K188">
        <f>Table2[[#This Row],[Revenue]]-Table2[[#This Row],[Cost]]</f>
        <v>0</v>
      </c>
    </row>
    <row r="189" spans="1:11" x14ac:dyDescent="0.25">
      <c r="A189" t="s">
        <v>280</v>
      </c>
      <c r="B189" t="str">
        <f>_xlfn.XLOOKUP(Table2[[#This Row],[Animal]],Table1[Animal],Table1[Diet],"Not Found",0)</f>
        <v>Omnivore</v>
      </c>
      <c r="C189" s="19">
        <f>_xlfn.XLOOKUP(Table2[[#This Row],[Animal]],Table1[Animal],Table1[Lifespan (Years)],"N/A",0)</f>
        <v>26</v>
      </c>
      <c r="D189" s="17" t="str">
        <f>_xlfn.XLOOKUP(Table2[[#This Row],[Animal]],Table1[Animal],Table1[Lifespan Group],"N/A",0)</f>
        <v>25-49</v>
      </c>
      <c r="E189" s="17">
        <f>_xlfn.XLOOKUP(Table2[[#This Row],[Animal]],Table1[Animal],Table1[Weight (lbs)],"N/A",0)</f>
        <v>3.3</v>
      </c>
      <c r="F189" s="17" t="str">
        <f>_xlfn.XLOOKUP(Table2[[#This Row],[Animal]],Table1[Animal],Table1[Weight Group],"N/A",0)</f>
        <v>&lt;100</v>
      </c>
      <c r="G189" t="str">
        <f>_xlfn.XLOOKUP(Table2[[#This Row],[Animal]],Table1[Animal],Table1[Region],"N/A",0)</f>
        <v>Greater China</v>
      </c>
      <c r="H189" s="17" t="str">
        <f>_xlfn.XLOOKUP(Table2[[#This Row],[Animal]],Table1[Animal],Table1[Transport],"N/A",0)</f>
        <v>Air</v>
      </c>
      <c r="I189">
        <f>_xlfn.XLOOKUP(Table2[[#This Row],[Animal]],Table1[Animal],Table1[Revenue],"N/A",0)</f>
        <v>600</v>
      </c>
      <c r="J189">
        <f>_xlfn.XLOOKUP(Table2[[#This Row],[Animal]],Table1[Animal],Table1[Cost],"N/A",0)</f>
        <v>400</v>
      </c>
      <c r="K189">
        <f>Table2[[#This Row],[Revenue]]-Table2[[#This Row],[Cost]]</f>
        <v>200</v>
      </c>
    </row>
    <row r="190" spans="1:11" x14ac:dyDescent="0.25">
      <c r="A190" t="s">
        <v>282</v>
      </c>
      <c r="B190" t="str">
        <f>_xlfn.XLOOKUP(Table2[[#This Row],[Animal]],Table1[Animal],Table1[Diet],"Not Found",0)</f>
        <v>Herbivore</v>
      </c>
      <c r="C190" s="19">
        <f>_xlfn.XLOOKUP(Table2[[#This Row],[Animal]],Table1[Animal],Table1[Lifespan (Years)],"N/A",0)</f>
        <v>50</v>
      </c>
      <c r="D190" s="17" t="str">
        <f>_xlfn.XLOOKUP(Table2[[#This Row],[Animal]],Table1[Animal],Table1[Lifespan Group],"N/A",0)</f>
        <v>50-74</v>
      </c>
      <c r="E190" s="17">
        <f>_xlfn.XLOOKUP(Table2[[#This Row],[Animal]],Table1[Animal],Table1[Weight (lbs)],"N/A",0)</f>
        <v>220</v>
      </c>
      <c r="F190" s="17" t="str">
        <f>_xlfn.XLOOKUP(Table2[[#This Row],[Animal]],Table1[Animal],Table1[Weight Group],"N/A",0)</f>
        <v>200-299</v>
      </c>
      <c r="G190" t="str">
        <f>_xlfn.XLOOKUP(Table2[[#This Row],[Animal]],Table1[Animal],Table1[Region],"N/A",0)</f>
        <v>North America</v>
      </c>
      <c r="H190" s="17" t="str">
        <f>_xlfn.XLOOKUP(Table2[[#This Row],[Animal]],Table1[Animal],Table1[Transport],"N/A",0)</f>
        <v>Boat</v>
      </c>
      <c r="I190">
        <f>_xlfn.XLOOKUP(Table2[[#This Row],[Animal]],Table1[Animal],Table1[Revenue],"N/A",0)</f>
        <v>400</v>
      </c>
      <c r="J190">
        <f>_xlfn.XLOOKUP(Table2[[#This Row],[Animal]],Table1[Animal],Table1[Cost],"N/A",0)</f>
        <v>300</v>
      </c>
      <c r="K190">
        <f>Table2[[#This Row],[Revenue]]-Table2[[#This Row],[Cost]]</f>
        <v>100</v>
      </c>
    </row>
    <row r="191" spans="1:11" x14ac:dyDescent="0.25">
      <c r="A191" t="s">
        <v>283</v>
      </c>
      <c r="B191" t="str">
        <f>_xlfn.XLOOKUP(Table2[[#This Row],[Animal]],Table1[Animal],Table1[Diet],"Not Found",0)</f>
        <v>Herbivore</v>
      </c>
      <c r="C191" s="19">
        <f>_xlfn.XLOOKUP(Table2[[#This Row],[Animal]],Table1[Animal],Table1[Lifespan (Years)],"N/A",0)</f>
        <v>1</v>
      </c>
      <c r="D191" s="17" t="str">
        <f>_xlfn.XLOOKUP(Table2[[#This Row],[Animal]],Table1[Animal],Table1[Lifespan Group],"N/A",0)</f>
        <v>&lt;25</v>
      </c>
      <c r="E191" s="17">
        <f>_xlfn.XLOOKUP(Table2[[#This Row],[Animal]],Table1[Animal],Table1[Weight (lbs)],"N/A",0)</f>
        <v>0</v>
      </c>
      <c r="F191" s="17" t="str">
        <f>_xlfn.XLOOKUP(Table2[[#This Row],[Animal]],Table1[Animal],Table1[Weight Group],"N/A",0)</f>
        <v>N/A</v>
      </c>
      <c r="G191" t="str">
        <f>_xlfn.XLOOKUP(Table2[[#This Row],[Animal]],Table1[Animal],Table1[Region],"N/A",0)</f>
        <v>Europe &amp; Eurasia</v>
      </c>
      <c r="H191" s="17" t="str">
        <f>_xlfn.XLOOKUP(Table2[[#This Row],[Animal]],Table1[Animal],Table1[Transport],"N/A",0)</f>
        <v>Road</v>
      </c>
      <c r="I191">
        <f>_xlfn.XLOOKUP(Table2[[#This Row],[Animal]],Table1[Animal],Table1[Revenue],"N/A",0)</f>
        <v>450</v>
      </c>
      <c r="J191">
        <f>_xlfn.XLOOKUP(Table2[[#This Row],[Animal]],Table1[Animal],Table1[Cost],"N/A",0)</f>
        <v>300</v>
      </c>
      <c r="K191">
        <f>Table2[[#This Row],[Revenue]]-Table2[[#This Row],[Cost]]</f>
        <v>150</v>
      </c>
    </row>
    <row r="192" spans="1:11" x14ac:dyDescent="0.25">
      <c r="A192" t="s">
        <v>284</v>
      </c>
      <c r="B192" t="str">
        <f>_xlfn.XLOOKUP(Table2[[#This Row],[Animal]],Table1[Animal],Table1[Diet],"Not Found",0)</f>
        <v>Omnivore</v>
      </c>
      <c r="C192" s="19">
        <f>_xlfn.XLOOKUP(Table2[[#This Row],[Animal]],Table1[Animal],Table1[Lifespan (Years)],"N/A",0)</f>
        <v>7</v>
      </c>
      <c r="D192" s="17" t="str">
        <f>_xlfn.XLOOKUP(Table2[[#This Row],[Animal]],Table1[Animal],Table1[Lifespan Group],"N/A",0)</f>
        <v>&lt;25</v>
      </c>
      <c r="E192" s="17">
        <f>_xlfn.XLOOKUP(Table2[[#This Row],[Animal]],Table1[Animal],Table1[Weight (lbs)],"N/A",0)</f>
        <v>100</v>
      </c>
      <c r="F192" s="17" t="str">
        <f>_xlfn.XLOOKUP(Table2[[#This Row],[Animal]],Table1[Animal],Table1[Weight Group],"N/A",0)</f>
        <v>100-199</v>
      </c>
      <c r="G192" t="str">
        <f>_xlfn.XLOOKUP(Table2[[#This Row],[Animal]],Table1[Animal],Table1[Region],"N/A",0)</f>
        <v>North America</v>
      </c>
      <c r="H192" s="17" t="str">
        <f>_xlfn.XLOOKUP(Table2[[#This Row],[Animal]],Table1[Animal],Table1[Transport],"N/A",0)</f>
        <v>Boat</v>
      </c>
      <c r="I192">
        <f>_xlfn.XLOOKUP(Table2[[#This Row],[Animal]],Table1[Animal],Table1[Revenue],"N/A",0)</f>
        <v>400</v>
      </c>
      <c r="J192">
        <f>_xlfn.XLOOKUP(Table2[[#This Row],[Animal]],Table1[Animal],Table1[Cost],"N/A",0)</f>
        <v>400</v>
      </c>
      <c r="K192">
        <f>Table2[[#This Row],[Revenue]]-Table2[[#This Row],[Cost]]</f>
        <v>0</v>
      </c>
    </row>
    <row r="193" spans="1:11" x14ac:dyDescent="0.25">
      <c r="A193" t="s">
        <v>285</v>
      </c>
      <c r="B193" t="str">
        <f>_xlfn.XLOOKUP(Table2[[#This Row],[Animal]],Table1[Animal],Table1[Diet],"Not Found",0)</f>
        <v>Carnivore</v>
      </c>
      <c r="C193" s="19">
        <f>_xlfn.XLOOKUP(Table2[[#This Row],[Animal]],Table1[Animal],Table1[Lifespan (Years)],"N/A",0)</f>
        <v>40</v>
      </c>
      <c r="D193" s="17" t="str">
        <f>_xlfn.XLOOKUP(Table2[[#This Row],[Animal]],Table1[Animal],Table1[Lifespan Group],"N/A",0)</f>
        <v>25-49</v>
      </c>
      <c r="E193" s="17">
        <f>_xlfn.XLOOKUP(Table2[[#This Row],[Animal]],Table1[Animal],Table1[Weight (lbs)],"N/A",0)</f>
        <v>2450</v>
      </c>
      <c r="F193" s="17" t="str">
        <f>_xlfn.XLOOKUP(Table2[[#This Row],[Animal]],Table1[Animal],Table1[Weight Group],"N/A",0)</f>
        <v>&gt;=500</v>
      </c>
      <c r="G193" t="str">
        <f>_xlfn.XLOOKUP(Table2[[#This Row],[Animal]],Table1[Animal],Table1[Region],"N/A",0)</f>
        <v>Africa &amp; MENA</v>
      </c>
      <c r="H193" s="17" t="str">
        <f>_xlfn.XLOOKUP(Table2[[#This Row],[Animal]],Table1[Animal],Table1[Transport],"N/A",0)</f>
        <v>Air</v>
      </c>
      <c r="I193">
        <f>_xlfn.XLOOKUP(Table2[[#This Row],[Animal]],Table1[Animal],Table1[Revenue],"N/A",0)</f>
        <v>600</v>
      </c>
      <c r="J193">
        <f>_xlfn.XLOOKUP(Table2[[#This Row],[Animal]],Table1[Animal],Table1[Cost],"N/A",0)</f>
        <v>500</v>
      </c>
      <c r="K193">
        <f>Table2[[#This Row],[Revenue]]-Table2[[#This Row],[Cost]]</f>
        <v>100</v>
      </c>
    </row>
    <row r="194" spans="1:11" x14ac:dyDescent="0.25">
      <c r="A194" t="s">
        <v>286</v>
      </c>
      <c r="B194" t="str">
        <f>_xlfn.XLOOKUP(Table2[[#This Row],[Animal]],Table1[Animal],Table1[Diet],"Not Found",0)</f>
        <v>Omnivore</v>
      </c>
      <c r="C194" s="19">
        <f>_xlfn.XLOOKUP(Table2[[#This Row],[Animal]],Table1[Animal],Table1[Lifespan (Years)],"N/A",0)</f>
        <v>12</v>
      </c>
      <c r="D194" s="17" t="str">
        <f>_xlfn.XLOOKUP(Table2[[#This Row],[Animal]],Table1[Animal],Table1[Lifespan Group],"N/A",0)</f>
        <v>&lt;25</v>
      </c>
      <c r="E194" s="17">
        <f>_xlfn.XLOOKUP(Table2[[#This Row],[Animal]],Table1[Animal],Table1[Weight (lbs)],"N/A",0)</f>
        <v>130</v>
      </c>
      <c r="F194" s="17" t="str">
        <f>_xlfn.XLOOKUP(Table2[[#This Row],[Animal]],Table1[Animal],Table1[Weight Group],"N/A",0)</f>
        <v>100-199</v>
      </c>
      <c r="G194" t="str">
        <f>_xlfn.XLOOKUP(Table2[[#This Row],[Animal]],Table1[Animal],Table1[Region],"N/A",0)</f>
        <v>Asia Pacific</v>
      </c>
      <c r="H194" s="17" t="str">
        <f>_xlfn.XLOOKUP(Table2[[#This Row],[Animal]],Table1[Animal],Table1[Transport],"N/A",0)</f>
        <v>Air</v>
      </c>
      <c r="I194">
        <f>_xlfn.XLOOKUP(Table2[[#This Row],[Animal]],Table1[Animal],Table1[Revenue],"N/A",0)</f>
        <v>700</v>
      </c>
      <c r="J194">
        <f>_xlfn.XLOOKUP(Table2[[#This Row],[Animal]],Table1[Animal],Table1[Cost],"N/A",0)</f>
        <v>400</v>
      </c>
      <c r="K194">
        <f>Table2[[#This Row],[Revenue]]-Table2[[#This Row],[Cost]]</f>
        <v>300</v>
      </c>
    </row>
    <row r="195" spans="1:11" x14ac:dyDescent="0.25">
      <c r="A195" t="s">
        <v>287</v>
      </c>
      <c r="B195" t="str">
        <f>_xlfn.XLOOKUP(Table2[[#This Row],[Animal]],Table1[Animal],Table1[Diet],"Not Found",0)</f>
        <v>Omnivore</v>
      </c>
      <c r="C195" s="19">
        <f>_xlfn.XLOOKUP(Table2[[#This Row],[Animal]],Table1[Animal],Table1[Lifespan (Years)],"N/A",0)</f>
        <v>18</v>
      </c>
      <c r="D195" s="17" t="str">
        <f>_xlfn.XLOOKUP(Table2[[#This Row],[Animal]],Table1[Animal],Table1[Lifespan Group],"N/A",0)</f>
        <v>&lt;25</v>
      </c>
      <c r="E195" s="17">
        <f>_xlfn.XLOOKUP(Table2[[#This Row],[Animal]],Table1[Animal],Table1[Weight (lbs)],"N/A",0)</f>
        <v>3.125E-2</v>
      </c>
      <c r="F195" s="17" t="str">
        <f>_xlfn.XLOOKUP(Table2[[#This Row],[Animal]],Table1[Animal],Table1[Weight Group],"N/A",0)</f>
        <v>&lt;100</v>
      </c>
      <c r="G195" t="str">
        <f>_xlfn.XLOOKUP(Table2[[#This Row],[Animal]],Table1[Animal],Table1[Region],"N/A",0)</f>
        <v>North America</v>
      </c>
      <c r="H195" s="17" t="str">
        <f>_xlfn.XLOOKUP(Table2[[#This Row],[Animal]],Table1[Animal],Table1[Transport],"N/A",0)</f>
        <v>Boat</v>
      </c>
      <c r="I195">
        <f>_xlfn.XLOOKUP(Table2[[#This Row],[Animal]],Table1[Animal],Table1[Revenue],"N/A",0)</f>
        <v>400</v>
      </c>
      <c r="J195">
        <f>_xlfn.XLOOKUP(Table2[[#This Row],[Animal]],Table1[Animal],Table1[Cost],"N/A",0)</f>
        <v>400</v>
      </c>
      <c r="K195">
        <f>Table2[[#This Row],[Revenue]]-Table2[[#This Row],[Cost]]</f>
        <v>0</v>
      </c>
    </row>
    <row r="196" spans="1:11" x14ac:dyDescent="0.25">
      <c r="A196" t="s">
        <v>288</v>
      </c>
      <c r="B196" t="str">
        <f>_xlfn.XLOOKUP(Table2[[#This Row],[Animal]],Table1[Animal],Table1[Diet],"Not Found",0)</f>
        <v>Omnivore</v>
      </c>
      <c r="C196" s="19">
        <f>_xlfn.XLOOKUP(Table2[[#This Row],[Animal]],Table1[Animal],Table1[Lifespan (Years)],"N/A",0)</f>
        <v>12</v>
      </c>
      <c r="D196" s="17" t="str">
        <f>_xlfn.XLOOKUP(Table2[[#This Row],[Animal]],Table1[Animal],Table1[Lifespan Group],"N/A",0)</f>
        <v>&lt;25</v>
      </c>
      <c r="E196" s="17">
        <f>_xlfn.XLOOKUP(Table2[[#This Row],[Animal]],Table1[Animal],Table1[Weight (lbs)],"N/A",0)</f>
        <v>66</v>
      </c>
      <c r="F196" s="17" t="str">
        <f>_xlfn.XLOOKUP(Table2[[#This Row],[Animal]],Table1[Animal],Table1[Weight Group],"N/A",0)</f>
        <v>&lt;100</v>
      </c>
      <c r="G196" t="str">
        <f>_xlfn.XLOOKUP(Table2[[#This Row],[Animal]],Table1[Animal],Table1[Region],"N/A",0)</f>
        <v>North America</v>
      </c>
      <c r="H196" s="17" t="str">
        <f>_xlfn.XLOOKUP(Table2[[#This Row],[Animal]],Table1[Animal],Table1[Transport],"N/A",0)</f>
        <v>Boat</v>
      </c>
      <c r="I196">
        <f>_xlfn.XLOOKUP(Table2[[#This Row],[Animal]],Table1[Animal],Table1[Revenue],"N/A",0)</f>
        <v>400</v>
      </c>
      <c r="J196">
        <f>_xlfn.XLOOKUP(Table2[[#This Row],[Animal]],Table1[Animal],Table1[Cost],"N/A",0)</f>
        <v>400</v>
      </c>
      <c r="K196">
        <f>Table2[[#This Row],[Revenue]]-Table2[[#This Row],[Cost]]</f>
        <v>0</v>
      </c>
    </row>
    <row r="197" spans="1:11" x14ac:dyDescent="0.25">
      <c r="A197" t="s">
        <v>290</v>
      </c>
      <c r="B197" t="str">
        <f>_xlfn.XLOOKUP(Table2[[#This Row],[Animal]],Table1[Animal],Table1[Diet],"Not Found",0)</f>
        <v>Omnivore</v>
      </c>
      <c r="C197" s="19">
        <f>_xlfn.XLOOKUP(Table2[[#This Row],[Animal]],Table1[Animal],Table1[Lifespan (Years)],"N/A",0)</f>
        <v>8</v>
      </c>
      <c r="D197" s="17" t="str">
        <f>_xlfn.XLOOKUP(Table2[[#This Row],[Animal]],Table1[Animal],Table1[Lifespan Group],"N/A",0)</f>
        <v>&lt;25</v>
      </c>
      <c r="E197" s="17">
        <f>_xlfn.XLOOKUP(Table2[[#This Row],[Animal]],Table1[Animal],Table1[Weight (lbs)],"N/A",0)</f>
        <v>0.125</v>
      </c>
      <c r="F197" s="17" t="str">
        <f>_xlfn.XLOOKUP(Table2[[#This Row],[Animal]],Table1[Animal],Table1[Weight Group],"N/A",0)</f>
        <v>&lt;100</v>
      </c>
      <c r="G197" t="str">
        <f>_xlfn.XLOOKUP(Table2[[#This Row],[Animal]],Table1[Animal],Table1[Region],"N/A",0)</f>
        <v>North America</v>
      </c>
      <c r="H197" s="17" t="str">
        <f>_xlfn.XLOOKUP(Table2[[#This Row],[Animal]],Table1[Animal],Table1[Transport],"N/A",0)</f>
        <v>Boat</v>
      </c>
      <c r="I197">
        <f>_xlfn.XLOOKUP(Table2[[#This Row],[Animal]],Table1[Animal],Table1[Revenue],"N/A",0)</f>
        <v>400</v>
      </c>
      <c r="J197">
        <f>_xlfn.XLOOKUP(Table2[[#This Row],[Animal]],Table1[Animal],Table1[Cost],"N/A",0)</f>
        <v>400</v>
      </c>
      <c r="K197">
        <f>Table2[[#This Row],[Revenue]]-Table2[[#This Row],[Cost]]</f>
        <v>0</v>
      </c>
    </row>
    <row r="198" spans="1:11" x14ac:dyDescent="0.25">
      <c r="A198" t="s">
        <v>291</v>
      </c>
      <c r="B198" t="str">
        <f>_xlfn.XLOOKUP(Table2[[#This Row],[Animal]],Table1[Animal],Table1[Diet],"Not Found",0)</f>
        <v>Carnivore</v>
      </c>
      <c r="C198" s="19">
        <f>_xlfn.XLOOKUP(Table2[[#This Row],[Animal]],Table1[Animal],Table1[Lifespan (Years)],"N/A",0)</f>
        <v>28</v>
      </c>
      <c r="D198" s="17" t="str">
        <f>_xlfn.XLOOKUP(Table2[[#This Row],[Animal]],Table1[Animal],Table1[Lifespan Group],"N/A",0)</f>
        <v>25-49</v>
      </c>
      <c r="E198" s="17">
        <f>_xlfn.XLOOKUP(Table2[[#This Row],[Animal]],Table1[Animal],Table1[Weight (lbs)],"N/A",0)</f>
        <v>44</v>
      </c>
      <c r="F198" s="17" t="str">
        <f>_xlfn.XLOOKUP(Table2[[#This Row],[Animal]],Table1[Animal],Table1[Weight Group],"N/A",0)</f>
        <v>&lt;100</v>
      </c>
      <c r="G198" t="str">
        <f>_xlfn.XLOOKUP(Table2[[#This Row],[Animal]],Table1[Animal],Table1[Region],"N/A",0)</f>
        <v>North America</v>
      </c>
      <c r="H198" s="17" t="str">
        <f>_xlfn.XLOOKUP(Table2[[#This Row],[Animal]],Table1[Animal],Table1[Transport],"N/A",0)</f>
        <v>Boat</v>
      </c>
      <c r="I198">
        <f>_xlfn.XLOOKUP(Table2[[#This Row],[Animal]],Table1[Animal],Table1[Revenue],"N/A",0)</f>
        <v>400</v>
      </c>
      <c r="J198">
        <f>_xlfn.XLOOKUP(Table2[[#This Row],[Animal]],Table1[Animal],Table1[Cost],"N/A",0)</f>
        <v>500</v>
      </c>
      <c r="K198">
        <f>Table2[[#This Row],[Revenue]]-Table2[[#This Row],[Cost]]</f>
        <v>-100</v>
      </c>
    </row>
    <row r="199" spans="1:11" x14ac:dyDescent="0.25">
      <c r="A199" t="s">
        <v>292</v>
      </c>
      <c r="B199" t="str">
        <f>_xlfn.XLOOKUP(Table2[[#This Row],[Animal]],Table1[Animal],Table1[Diet],"Not Found",0)</f>
        <v>Carnivore</v>
      </c>
      <c r="C199" s="19">
        <f>_xlfn.XLOOKUP(Table2[[#This Row],[Animal]],Table1[Animal],Table1[Lifespan (Years)],"N/A",0)</f>
        <v>25</v>
      </c>
      <c r="D199" s="17" t="str">
        <f>_xlfn.XLOOKUP(Table2[[#This Row],[Animal]],Table1[Animal],Table1[Lifespan Group],"N/A",0)</f>
        <v>25-49</v>
      </c>
      <c r="E199" s="17">
        <f>_xlfn.XLOOKUP(Table2[[#This Row],[Animal]],Table1[Animal],Table1[Weight (lbs)],"N/A",0)</f>
        <v>330</v>
      </c>
      <c r="F199" s="17" t="str">
        <f>_xlfn.XLOOKUP(Table2[[#This Row],[Animal]],Table1[Animal],Table1[Weight Group],"N/A",0)</f>
        <v>300-399</v>
      </c>
      <c r="G199" t="str">
        <f>_xlfn.XLOOKUP(Table2[[#This Row],[Animal]],Table1[Animal],Table1[Region],"N/A",0)</f>
        <v>North America</v>
      </c>
      <c r="H199" s="17" t="str">
        <f>_xlfn.XLOOKUP(Table2[[#This Row],[Animal]],Table1[Animal],Table1[Transport],"N/A",0)</f>
        <v>Boat</v>
      </c>
      <c r="I199">
        <f>_xlfn.XLOOKUP(Table2[[#This Row],[Animal]],Table1[Animal],Table1[Revenue],"N/A",0)</f>
        <v>400</v>
      </c>
      <c r="J199">
        <f>_xlfn.XLOOKUP(Table2[[#This Row],[Animal]],Table1[Animal],Table1[Cost],"N/A",0)</f>
        <v>500</v>
      </c>
      <c r="K199">
        <f>Table2[[#This Row],[Revenue]]-Table2[[#This Row],[Cost]]</f>
        <v>-100</v>
      </c>
    </row>
    <row r="200" spans="1:11" x14ac:dyDescent="0.25">
      <c r="A200" t="s">
        <v>293</v>
      </c>
      <c r="B200" t="str">
        <f>_xlfn.XLOOKUP(Table2[[#This Row],[Animal]],Table1[Animal],Table1[Diet],"Not Found",0)</f>
        <v>Omnivore</v>
      </c>
      <c r="C200" s="19">
        <f>_xlfn.XLOOKUP(Table2[[#This Row],[Animal]],Table1[Animal],Table1[Lifespan (Years)],"N/A",0)</f>
        <v>11</v>
      </c>
      <c r="D200" s="17" t="str">
        <f>_xlfn.XLOOKUP(Table2[[#This Row],[Animal]],Table1[Animal],Table1[Lifespan Group],"N/A",0)</f>
        <v>&lt;25</v>
      </c>
      <c r="E200" s="17">
        <f>_xlfn.XLOOKUP(Table2[[#This Row],[Animal]],Table1[Animal],Table1[Weight (lbs)],"N/A",0)</f>
        <v>70</v>
      </c>
      <c r="F200" s="17" t="str">
        <f>_xlfn.XLOOKUP(Table2[[#This Row],[Animal]],Table1[Animal],Table1[Weight Group],"N/A",0)</f>
        <v>&lt;100</v>
      </c>
      <c r="G200" t="str">
        <f>_xlfn.XLOOKUP(Table2[[#This Row],[Animal]],Table1[Animal],Table1[Region],"N/A",0)</f>
        <v>North America</v>
      </c>
      <c r="H200" s="17" t="str">
        <f>_xlfn.XLOOKUP(Table2[[#This Row],[Animal]],Table1[Animal],Table1[Transport],"N/A",0)</f>
        <v>Boat</v>
      </c>
      <c r="I200">
        <f>_xlfn.XLOOKUP(Table2[[#This Row],[Animal]],Table1[Animal],Table1[Revenue],"N/A",0)</f>
        <v>400</v>
      </c>
      <c r="J200">
        <f>_xlfn.XLOOKUP(Table2[[#This Row],[Animal]],Table1[Animal],Table1[Cost],"N/A",0)</f>
        <v>400</v>
      </c>
      <c r="K200">
        <f>Table2[[#This Row],[Revenue]]-Table2[[#This Row],[Cost]]</f>
        <v>0</v>
      </c>
    </row>
    <row r="201" spans="1:11" x14ac:dyDescent="0.25">
      <c r="A201" t="s">
        <v>295</v>
      </c>
      <c r="B201" t="str">
        <f>_xlfn.XLOOKUP(Table2[[#This Row],[Animal]],Table1[Animal],Table1[Diet],"Not Found",0)</f>
        <v>Omnivore</v>
      </c>
      <c r="C201" s="19">
        <f>_xlfn.XLOOKUP(Table2[[#This Row],[Animal]],Table1[Animal],Table1[Lifespan (Years)],"N/A",0)</f>
        <v>10</v>
      </c>
      <c r="D201" s="17" t="str">
        <f>_xlfn.XLOOKUP(Table2[[#This Row],[Animal]],Table1[Animal],Table1[Lifespan Group],"N/A",0)</f>
        <v>&lt;25</v>
      </c>
      <c r="E201" s="17">
        <f>_xlfn.XLOOKUP(Table2[[#This Row],[Animal]],Table1[Animal],Table1[Weight (lbs)],"N/A",0)</f>
        <v>0.6</v>
      </c>
      <c r="F201" s="17" t="str">
        <f>_xlfn.XLOOKUP(Table2[[#This Row],[Animal]],Table1[Animal],Table1[Weight Group],"N/A",0)</f>
        <v>&lt;100</v>
      </c>
      <c r="G201" t="str">
        <f>_xlfn.XLOOKUP(Table2[[#This Row],[Animal]],Table1[Animal],Table1[Region],"N/A",0)</f>
        <v>North America</v>
      </c>
      <c r="H201" s="17" t="str">
        <f>_xlfn.XLOOKUP(Table2[[#This Row],[Animal]],Table1[Animal],Table1[Transport],"N/A",0)</f>
        <v>Boat</v>
      </c>
      <c r="I201">
        <f>_xlfn.XLOOKUP(Table2[[#This Row],[Animal]],Table1[Animal],Table1[Revenue],"N/A",0)</f>
        <v>400</v>
      </c>
      <c r="J201">
        <f>_xlfn.XLOOKUP(Table2[[#This Row],[Animal]],Table1[Animal],Table1[Cost],"N/A",0)</f>
        <v>400</v>
      </c>
      <c r="K201">
        <f>Table2[[#This Row],[Revenue]]-Table2[[#This Row],[Cost]]</f>
        <v>0</v>
      </c>
    </row>
    <row r="202" spans="1:11" x14ac:dyDescent="0.25">
      <c r="A202" t="s">
        <v>296</v>
      </c>
      <c r="B202" t="str">
        <f>_xlfn.XLOOKUP(Table2[[#This Row],[Animal]],Table1[Animal],Table1[Diet],"Not Found",0)</f>
        <v>Omnivore</v>
      </c>
      <c r="C202" s="19">
        <f>_xlfn.XLOOKUP(Table2[[#This Row],[Animal]],Table1[Animal],Table1[Lifespan (Years)],"N/A",0)</f>
        <v>20</v>
      </c>
      <c r="D202" s="17" t="str">
        <f>_xlfn.XLOOKUP(Table2[[#This Row],[Animal]],Table1[Animal],Table1[Lifespan Group],"N/A",0)</f>
        <v>&lt;25</v>
      </c>
      <c r="E202" s="17">
        <f>_xlfn.XLOOKUP(Table2[[#This Row],[Animal]],Table1[Animal],Table1[Weight (lbs)],"N/A",0)</f>
        <v>1.5</v>
      </c>
      <c r="F202" s="17" t="str">
        <f>_xlfn.XLOOKUP(Table2[[#This Row],[Animal]],Table1[Animal],Table1[Weight Group],"N/A",0)</f>
        <v>&lt;100</v>
      </c>
      <c r="G202" t="str">
        <f>_xlfn.XLOOKUP(Table2[[#This Row],[Animal]],Table1[Animal],Table1[Region],"N/A",0)</f>
        <v>North America</v>
      </c>
      <c r="H202" s="17" t="str">
        <f>_xlfn.XLOOKUP(Table2[[#This Row],[Animal]],Table1[Animal],Table1[Transport],"N/A",0)</f>
        <v>Boat</v>
      </c>
      <c r="I202">
        <f>_xlfn.XLOOKUP(Table2[[#This Row],[Animal]],Table1[Animal],Table1[Revenue],"N/A",0)</f>
        <v>400</v>
      </c>
      <c r="J202">
        <f>_xlfn.XLOOKUP(Table2[[#This Row],[Animal]],Table1[Animal],Table1[Cost],"N/A",0)</f>
        <v>400</v>
      </c>
      <c r="K202">
        <f>Table2[[#This Row],[Revenue]]-Table2[[#This Row],[Cost]]</f>
        <v>0</v>
      </c>
    </row>
    <row r="203" spans="1:11" x14ac:dyDescent="0.25">
      <c r="A203" t="s">
        <v>298</v>
      </c>
      <c r="B203" t="str">
        <f>_xlfn.XLOOKUP(Table2[[#This Row],[Animal]],Table1[Animal],Table1[Diet],"Not Found",0)</f>
        <v>Omnivore</v>
      </c>
      <c r="C203" s="19">
        <f>_xlfn.XLOOKUP(Table2[[#This Row],[Animal]],Table1[Animal],Table1[Lifespan (Years)],"N/A",0)</f>
        <v>4</v>
      </c>
      <c r="D203" s="17" t="str">
        <f>_xlfn.XLOOKUP(Table2[[#This Row],[Animal]],Table1[Animal],Table1[Lifespan Group],"N/A",0)</f>
        <v>&lt;25</v>
      </c>
      <c r="E203" s="17">
        <f>_xlfn.XLOOKUP(Table2[[#This Row],[Animal]],Table1[Animal],Table1[Weight (lbs)],"N/A",0)</f>
        <v>0</v>
      </c>
      <c r="F203" s="17" t="str">
        <f>_xlfn.XLOOKUP(Table2[[#This Row],[Animal]],Table1[Animal],Table1[Weight Group],"N/A",0)</f>
        <v>N/A</v>
      </c>
      <c r="G203" t="str">
        <f>_xlfn.XLOOKUP(Table2[[#This Row],[Animal]],Table1[Animal],Table1[Region],"N/A",0)</f>
        <v>Europe &amp; Eurasia</v>
      </c>
      <c r="H203" s="17" t="str">
        <f>_xlfn.XLOOKUP(Table2[[#This Row],[Animal]],Table1[Animal],Table1[Transport],"N/A",0)</f>
        <v>Road</v>
      </c>
      <c r="I203">
        <f>_xlfn.XLOOKUP(Table2[[#This Row],[Animal]],Table1[Animal],Table1[Revenue],"N/A",0)</f>
        <v>450</v>
      </c>
      <c r="J203">
        <f>_xlfn.XLOOKUP(Table2[[#This Row],[Animal]],Table1[Animal],Table1[Cost],"N/A",0)</f>
        <v>400</v>
      </c>
      <c r="K203">
        <f>Table2[[#This Row],[Revenue]]-Table2[[#This Row],[Cost]]</f>
        <v>50</v>
      </c>
    </row>
    <row r="204" spans="1:11" x14ac:dyDescent="0.25">
      <c r="A204" t="s">
        <v>301</v>
      </c>
      <c r="B204" t="str">
        <f>_xlfn.XLOOKUP(Table2[[#This Row],[Animal]],Table1[Animal],Table1[Diet],"Not Found",0)</f>
        <v>Herbivore</v>
      </c>
      <c r="C204" s="19">
        <f>_xlfn.XLOOKUP(Table2[[#This Row],[Animal]],Table1[Animal],Table1[Lifespan (Years)],"N/A",0)</f>
        <v>8</v>
      </c>
      <c r="D204" s="17" t="str">
        <f>_xlfn.XLOOKUP(Table2[[#This Row],[Animal]],Table1[Animal],Table1[Lifespan Group],"N/A",0)</f>
        <v>&lt;25</v>
      </c>
      <c r="E204" s="17">
        <f>_xlfn.XLOOKUP(Table2[[#This Row],[Animal]],Table1[Animal],Table1[Weight (lbs)],"N/A",0)</f>
        <v>3</v>
      </c>
      <c r="F204" s="17" t="str">
        <f>_xlfn.XLOOKUP(Table2[[#This Row],[Animal]],Table1[Animal],Table1[Weight Group],"N/A",0)</f>
        <v>&lt;100</v>
      </c>
      <c r="G204" t="str">
        <f>_xlfn.XLOOKUP(Table2[[#This Row],[Animal]],Table1[Animal],Table1[Region],"N/A",0)</f>
        <v>Africa &amp; MENA</v>
      </c>
      <c r="H204" s="17" t="str">
        <f>_xlfn.XLOOKUP(Table2[[#This Row],[Animal]],Table1[Animal],Table1[Transport],"N/A",0)</f>
        <v>Air</v>
      </c>
      <c r="I204">
        <f>_xlfn.XLOOKUP(Table2[[#This Row],[Animal]],Table1[Animal],Table1[Revenue],"N/A",0)</f>
        <v>600</v>
      </c>
      <c r="J204">
        <f>_xlfn.XLOOKUP(Table2[[#This Row],[Animal]],Table1[Animal],Table1[Cost],"N/A",0)</f>
        <v>300</v>
      </c>
      <c r="K204">
        <f>Table2[[#This Row],[Revenue]]-Table2[[#This Row],[Cost]]</f>
        <v>300</v>
      </c>
    </row>
    <row r="205" spans="1:11" x14ac:dyDescent="0.25">
      <c r="A205" t="s">
        <v>302</v>
      </c>
      <c r="B205" t="str">
        <f>_xlfn.XLOOKUP(Table2[[#This Row],[Animal]],Table1[Animal],Table1[Diet],"Not Found",0)</f>
        <v>Omnivore</v>
      </c>
      <c r="C205" s="19">
        <f>_xlfn.XLOOKUP(Table2[[#This Row],[Animal]],Table1[Animal],Table1[Lifespan (Years)],"N/A",0)</f>
        <v>16</v>
      </c>
      <c r="D205" s="17" t="str">
        <f>_xlfn.XLOOKUP(Table2[[#This Row],[Animal]],Table1[Animal],Table1[Lifespan Group],"N/A",0)</f>
        <v>&lt;25</v>
      </c>
      <c r="E205" s="17">
        <f>_xlfn.XLOOKUP(Table2[[#This Row],[Animal]],Table1[Animal],Table1[Weight (lbs)],"N/A",0)</f>
        <v>60</v>
      </c>
      <c r="F205" s="17" t="str">
        <f>_xlfn.XLOOKUP(Table2[[#This Row],[Animal]],Table1[Animal],Table1[Weight Group],"N/A",0)</f>
        <v>&lt;100</v>
      </c>
      <c r="G205" t="str">
        <f>_xlfn.XLOOKUP(Table2[[#This Row],[Animal]],Table1[Animal],Table1[Region],"N/A",0)</f>
        <v>North America</v>
      </c>
      <c r="H205" s="17" t="str">
        <f>_xlfn.XLOOKUP(Table2[[#This Row],[Animal]],Table1[Animal],Table1[Transport],"N/A",0)</f>
        <v>Boat</v>
      </c>
      <c r="I205">
        <f>_xlfn.XLOOKUP(Table2[[#This Row],[Animal]],Table1[Animal],Table1[Revenue],"N/A",0)</f>
        <v>400</v>
      </c>
      <c r="J205">
        <f>_xlfn.XLOOKUP(Table2[[#This Row],[Animal]],Table1[Animal],Table1[Cost],"N/A",0)</f>
        <v>400</v>
      </c>
      <c r="K205">
        <f>Table2[[#This Row],[Revenue]]-Table2[[#This Row],[Cost]]</f>
        <v>0</v>
      </c>
    </row>
    <row r="206" spans="1:11" x14ac:dyDescent="0.25">
      <c r="A206" t="s">
        <v>303</v>
      </c>
      <c r="B206" t="str">
        <f>_xlfn.XLOOKUP(Table2[[#This Row],[Animal]],Table1[Animal],Table1[Diet],"Not Found",0)</f>
        <v>Omnivore</v>
      </c>
      <c r="C206" s="19">
        <f>_xlfn.XLOOKUP(Table2[[#This Row],[Animal]],Table1[Animal],Table1[Lifespan (Years)],"N/A",0)</f>
        <v>15</v>
      </c>
      <c r="D206" s="17" t="str">
        <f>_xlfn.XLOOKUP(Table2[[#This Row],[Animal]],Table1[Animal],Table1[Lifespan Group],"N/A",0)</f>
        <v>&lt;25</v>
      </c>
      <c r="E206" s="17">
        <f>_xlfn.XLOOKUP(Table2[[#This Row],[Animal]],Table1[Animal],Table1[Weight (lbs)],"N/A",0)</f>
        <v>12</v>
      </c>
      <c r="F206" s="17" t="str">
        <f>_xlfn.XLOOKUP(Table2[[#This Row],[Animal]],Table1[Animal],Table1[Weight Group],"N/A",0)</f>
        <v>&lt;100</v>
      </c>
      <c r="G206" t="str">
        <f>_xlfn.XLOOKUP(Table2[[#This Row],[Animal]],Table1[Animal],Table1[Region],"N/A",0)</f>
        <v>South Asia</v>
      </c>
      <c r="H206" s="17" t="str">
        <f>_xlfn.XLOOKUP(Table2[[#This Row],[Animal]],Table1[Animal],Table1[Transport],"N/A",0)</f>
        <v>Air</v>
      </c>
      <c r="I206">
        <f>_xlfn.XLOOKUP(Table2[[#This Row],[Animal]],Table1[Animal],Table1[Revenue],"N/A",0)</f>
        <v>450</v>
      </c>
      <c r="J206">
        <f>_xlfn.XLOOKUP(Table2[[#This Row],[Animal]],Table1[Animal],Table1[Cost],"N/A",0)</f>
        <v>400</v>
      </c>
      <c r="K206">
        <f>Table2[[#This Row],[Revenue]]-Table2[[#This Row],[Cost]]</f>
        <v>50</v>
      </c>
    </row>
    <row r="207" spans="1:11" x14ac:dyDescent="0.25">
      <c r="A207" t="s">
        <v>304</v>
      </c>
      <c r="B207" t="str">
        <f>_xlfn.XLOOKUP(Table2[[#This Row],[Animal]],Table1[Animal],Table1[Diet],"Not Found",0)</f>
        <v>Omnivore</v>
      </c>
      <c r="C207" s="19">
        <f>_xlfn.XLOOKUP(Table2[[#This Row],[Animal]],Table1[Animal],Table1[Lifespan (Years)],"N/A",0)</f>
        <v>6</v>
      </c>
      <c r="D207" s="17" t="str">
        <f>_xlfn.XLOOKUP(Table2[[#This Row],[Animal]],Table1[Animal],Table1[Lifespan Group],"N/A",0)</f>
        <v>&lt;25</v>
      </c>
      <c r="E207" s="17">
        <f>_xlfn.XLOOKUP(Table2[[#This Row],[Animal]],Table1[Animal],Table1[Weight (lbs)],"N/A",0)</f>
        <v>2.2000000000000002</v>
      </c>
      <c r="F207" s="17" t="str">
        <f>_xlfn.XLOOKUP(Table2[[#This Row],[Animal]],Table1[Animal],Table1[Weight Group],"N/A",0)</f>
        <v>&lt;100</v>
      </c>
      <c r="G207" t="str">
        <f>_xlfn.XLOOKUP(Table2[[#This Row],[Animal]],Table1[Animal],Table1[Region],"N/A",0)</f>
        <v>Asia Pacific</v>
      </c>
      <c r="H207" s="17" t="str">
        <f>_xlfn.XLOOKUP(Table2[[#This Row],[Animal]],Table1[Animal],Table1[Transport],"N/A",0)</f>
        <v>Air</v>
      </c>
      <c r="I207">
        <f>_xlfn.XLOOKUP(Table2[[#This Row],[Animal]],Table1[Animal],Table1[Revenue],"N/A",0)</f>
        <v>700</v>
      </c>
      <c r="J207">
        <f>_xlfn.XLOOKUP(Table2[[#This Row],[Animal]],Table1[Animal],Table1[Cost],"N/A",0)</f>
        <v>400</v>
      </c>
      <c r="K207">
        <f>Table2[[#This Row],[Revenue]]-Table2[[#This Row],[Cost]]</f>
        <v>300</v>
      </c>
    </row>
    <row r="208" spans="1:11" x14ac:dyDescent="0.25">
      <c r="A208" t="s">
        <v>305</v>
      </c>
      <c r="B208" t="str">
        <f>_xlfn.XLOOKUP(Table2[[#This Row],[Animal]],Table1[Animal],Table1[Diet],"Not Found",0)</f>
        <v>Omnivore</v>
      </c>
      <c r="C208" s="19">
        <f>_xlfn.XLOOKUP(Table2[[#This Row],[Animal]],Table1[Animal],Table1[Lifespan (Years)],"N/A",0)</f>
        <v>0.41666666666666669</v>
      </c>
      <c r="D208" s="17" t="str">
        <f>_xlfn.XLOOKUP(Table2[[#This Row],[Animal]],Table1[Animal],Table1[Lifespan Group],"N/A",0)</f>
        <v>&lt;25</v>
      </c>
      <c r="E208" s="17">
        <f>_xlfn.XLOOKUP(Table2[[#This Row],[Animal]],Table1[Animal],Table1[Weight (lbs)],"N/A",0)</f>
        <v>0</v>
      </c>
      <c r="F208" s="17" t="str">
        <f>_xlfn.XLOOKUP(Table2[[#This Row],[Animal]],Table1[Animal],Table1[Weight Group],"N/A",0)</f>
        <v>N/A</v>
      </c>
      <c r="G208" t="str">
        <f>_xlfn.XLOOKUP(Table2[[#This Row],[Animal]],Table1[Animal],Table1[Region],"N/A",0)</f>
        <v>North America</v>
      </c>
      <c r="H208" s="17" t="str">
        <f>_xlfn.XLOOKUP(Table2[[#This Row],[Animal]],Table1[Animal],Table1[Transport],"N/A",0)</f>
        <v>Boat</v>
      </c>
      <c r="I208">
        <f>_xlfn.XLOOKUP(Table2[[#This Row],[Animal]],Table1[Animal],Table1[Revenue],"N/A",0)</f>
        <v>400</v>
      </c>
      <c r="J208">
        <f>_xlfn.XLOOKUP(Table2[[#This Row],[Animal]],Table1[Animal],Table1[Cost],"N/A",0)</f>
        <v>400</v>
      </c>
      <c r="K208">
        <f>Table2[[#This Row],[Revenue]]-Table2[[#This Row],[Cost]]</f>
        <v>0</v>
      </c>
    </row>
    <row r="209" spans="1:11" x14ac:dyDescent="0.25">
      <c r="A209" t="s">
        <v>307</v>
      </c>
      <c r="B209" t="str">
        <f>_xlfn.XLOOKUP(Table2[[#This Row],[Animal]],Table1[Animal],Table1[Diet],"Not Found",0)</f>
        <v>Carnivore</v>
      </c>
      <c r="C209" s="19">
        <f>_xlfn.XLOOKUP(Table2[[#This Row],[Animal]],Table1[Animal],Table1[Lifespan (Years)],"N/A",0)</f>
        <v>20</v>
      </c>
      <c r="D209" s="17" t="str">
        <f>_xlfn.XLOOKUP(Table2[[#This Row],[Animal]],Table1[Animal],Table1[Lifespan Group],"N/A",0)</f>
        <v>&lt;25</v>
      </c>
      <c r="E209" s="17">
        <f>_xlfn.XLOOKUP(Table2[[#This Row],[Animal]],Table1[Animal],Table1[Weight (lbs)],"N/A",0)</f>
        <v>3.3</v>
      </c>
      <c r="F209" s="17" t="str">
        <f>_xlfn.XLOOKUP(Table2[[#This Row],[Animal]],Table1[Animal],Table1[Weight Group],"N/A",0)</f>
        <v>&lt;100</v>
      </c>
      <c r="G209" t="str">
        <f>_xlfn.XLOOKUP(Table2[[#This Row],[Animal]],Table1[Animal],Table1[Region],"N/A",0)</f>
        <v>North America</v>
      </c>
      <c r="H209" s="17" t="str">
        <f>_xlfn.XLOOKUP(Table2[[#This Row],[Animal]],Table1[Animal],Table1[Transport],"N/A",0)</f>
        <v>Boat</v>
      </c>
      <c r="I209">
        <f>_xlfn.XLOOKUP(Table2[[#This Row],[Animal]],Table1[Animal],Table1[Revenue],"N/A",0)</f>
        <v>400</v>
      </c>
      <c r="J209">
        <f>_xlfn.XLOOKUP(Table2[[#This Row],[Animal]],Table1[Animal],Table1[Cost],"N/A",0)</f>
        <v>500</v>
      </c>
      <c r="K209">
        <f>Table2[[#This Row],[Revenue]]-Table2[[#This Row],[Cost]]</f>
        <v>-100</v>
      </c>
    </row>
    <row r="210" spans="1:11" x14ac:dyDescent="0.25">
      <c r="A210" t="s">
        <v>308</v>
      </c>
      <c r="B210" t="str">
        <f>_xlfn.XLOOKUP(Table2[[#This Row],[Animal]],Table1[Animal],Table1[Diet],"Not Found",0)</f>
        <v>Herbivore</v>
      </c>
      <c r="C210" s="19">
        <f>_xlfn.XLOOKUP(Table2[[#This Row],[Animal]],Table1[Animal],Table1[Lifespan (Years)],"N/A",0)</f>
        <v>22</v>
      </c>
      <c r="D210" s="17" t="str">
        <f>_xlfn.XLOOKUP(Table2[[#This Row],[Animal]],Table1[Animal],Table1[Lifespan Group],"N/A",0)</f>
        <v>&lt;25</v>
      </c>
      <c r="E210" s="17">
        <f>_xlfn.XLOOKUP(Table2[[#This Row],[Animal]],Table1[Animal],Table1[Weight (lbs)],"N/A",0)</f>
        <v>882</v>
      </c>
      <c r="F210" s="17" t="str">
        <f>_xlfn.XLOOKUP(Table2[[#This Row],[Animal]],Table1[Animal],Table1[Weight Group],"N/A",0)</f>
        <v>&gt;=500</v>
      </c>
      <c r="G210" t="str">
        <f>_xlfn.XLOOKUP(Table2[[#This Row],[Animal]],Table1[Animal],Table1[Region],"N/A",0)</f>
        <v>North America</v>
      </c>
      <c r="H210" s="17" t="str">
        <f>_xlfn.XLOOKUP(Table2[[#This Row],[Animal]],Table1[Animal],Table1[Transport],"N/A",0)</f>
        <v>Boat</v>
      </c>
      <c r="I210">
        <f>_xlfn.XLOOKUP(Table2[[#This Row],[Animal]],Table1[Animal],Table1[Revenue],"N/A",0)</f>
        <v>400</v>
      </c>
      <c r="J210">
        <f>_xlfn.XLOOKUP(Table2[[#This Row],[Animal]],Table1[Animal],Table1[Cost],"N/A",0)</f>
        <v>300</v>
      </c>
      <c r="K210">
        <f>Table2[[#This Row],[Revenue]]-Table2[[#This Row],[Cost]]</f>
        <v>100</v>
      </c>
    </row>
    <row r="211" spans="1:11" x14ac:dyDescent="0.25">
      <c r="A211" t="s">
        <v>309</v>
      </c>
      <c r="B211" t="str">
        <f>_xlfn.XLOOKUP(Table2[[#This Row],[Animal]],Table1[Animal],Table1[Diet],"Not Found",0)</f>
        <v>Carnivore</v>
      </c>
      <c r="C211" s="19">
        <f>_xlfn.XLOOKUP(Table2[[#This Row],[Animal]],Table1[Animal],Table1[Lifespan (Years)],"N/A",0)</f>
        <v>14</v>
      </c>
      <c r="D211" s="17" t="str">
        <f>_xlfn.XLOOKUP(Table2[[#This Row],[Animal]],Table1[Animal],Table1[Lifespan Group],"N/A",0)</f>
        <v>&lt;25</v>
      </c>
      <c r="E211" s="17">
        <f>_xlfn.XLOOKUP(Table2[[#This Row],[Animal]],Table1[Animal],Table1[Weight (lbs)],"N/A",0)</f>
        <v>10</v>
      </c>
      <c r="F211" s="17" t="str">
        <f>_xlfn.XLOOKUP(Table2[[#This Row],[Animal]],Table1[Animal],Table1[Weight Group],"N/A",0)</f>
        <v>&lt;100</v>
      </c>
      <c r="G211" t="str">
        <f>_xlfn.XLOOKUP(Table2[[#This Row],[Animal]],Table1[Animal],Table1[Region],"N/A",0)</f>
        <v>Europe &amp; Eurasia</v>
      </c>
      <c r="H211" s="17" t="str">
        <f>_xlfn.XLOOKUP(Table2[[#This Row],[Animal]],Table1[Animal],Table1[Transport],"N/A",0)</f>
        <v>Road</v>
      </c>
      <c r="I211">
        <f>_xlfn.XLOOKUP(Table2[[#This Row],[Animal]],Table1[Animal],Table1[Revenue],"N/A",0)</f>
        <v>450</v>
      </c>
      <c r="J211">
        <f>_xlfn.XLOOKUP(Table2[[#This Row],[Animal]],Table1[Animal],Table1[Cost],"N/A",0)</f>
        <v>500</v>
      </c>
      <c r="K211">
        <f>Table2[[#This Row],[Revenue]]-Table2[[#This Row],[Cost]]</f>
        <v>-50</v>
      </c>
    </row>
    <row r="212" spans="1:11" x14ac:dyDescent="0.25">
      <c r="A212" t="s">
        <v>310</v>
      </c>
      <c r="B212" t="str">
        <f>_xlfn.XLOOKUP(Table2[[#This Row],[Animal]],Table1[Animal],Table1[Diet],"Not Found",0)</f>
        <v>Herbivore</v>
      </c>
      <c r="C212" s="19">
        <f>_xlfn.XLOOKUP(Table2[[#This Row],[Animal]],Table1[Animal],Table1[Lifespan (Years)],"N/A",0)</f>
        <v>50</v>
      </c>
      <c r="D212" s="17" t="str">
        <f>_xlfn.XLOOKUP(Table2[[#This Row],[Animal]],Table1[Animal],Table1[Lifespan Group],"N/A",0)</f>
        <v>50-74</v>
      </c>
      <c r="E212" s="17">
        <f>_xlfn.XLOOKUP(Table2[[#This Row],[Animal]],Table1[Animal],Table1[Weight (lbs)],"N/A",0)</f>
        <v>2200</v>
      </c>
      <c r="F212" s="17" t="str">
        <f>_xlfn.XLOOKUP(Table2[[#This Row],[Animal]],Table1[Animal],Table1[Weight Group],"N/A",0)</f>
        <v>&gt;=500</v>
      </c>
      <c r="G212" t="str">
        <f>_xlfn.XLOOKUP(Table2[[#This Row],[Animal]],Table1[Animal],Table1[Region],"N/A",0)</f>
        <v>Africa &amp; MENA</v>
      </c>
      <c r="H212" s="17" t="str">
        <f>_xlfn.XLOOKUP(Table2[[#This Row],[Animal]],Table1[Animal],Table1[Transport],"N/A",0)</f>
        <v>Air</v>
      </c>
      <c r="I212">
        <f>_xlfn.XLOOKUP(Table2[[#This Row],[Animal]],Table1[Animal],Table1[Revenue],"N/A",0)</f>
        <v>600</v>
      </c>
      <c r="J212">
        <f>_xlfn.XLOOKUP(Table2[[#This Row],[Animal]],Table1[Animal],Table1[Cost],"N/A",0)</f>
        <v>300</v>
      </c>
      <c r="K212">
        <f>Table2[[#This Row],[Revenue]]-Table2[[#This Row],[Cost]]</f>
        <v>300</v>
      </c>
    </row>
    <row r="213" spans="1:11" x14ac:dyDescent="0.25">
      <c r="A213" t="s">
        <v>311</v>
      </c>
      <c r="B213" t="str">
        <f>_xlfn.XLOOKUP(Table2[[#This Row],[Animal]],Table1[Animal],Table1[Diet],"Not Found",0)</f>
        <v>Herbivore</v>
      </c>
      <c r="C213" s="19">
        <f>_xlfn.XLOOKUP(Table2[[#This Row],[Animal]],Table1[Animal],Table1[Lifespan (Years)],"N/A",0)</f>
        <v>6</v>
      </c>
      <c r="D213" s="17" t="str">
        <f>_xlfn.XLOOKUP(Table2[[#This Row],[Animal]],Table1[Animal],Table1[Lifespan Group],"N/A",0)</f>
        <v>&lt;25</v>
      </c>
      <c r="E213" s="17">
        <f>_xlfn.XLOOKUP(Table2[[#This Row],[Animal]],Table1[Animal],Table1[Weight (lbs)],"N/A",0)</f>
        <v>0</v>
      </c>
      <c r="F213" s="17" t="str">
        <f>_xlfn.XLOOKUP(Table2[[#This Row],[Animal]],Table1[Animal],Table1[Weight Group],"N/A",0)</f>
        <v>N/A</v>
      </c>
      <c r="G213" t="str">
        <f>_xlfn.XLOOKUP(Table2[[#This Row],[Animal]],Table1[Animal],Table1[Region],"N/A",0)</f>
        <v>North America</v>
      </c>
      <c r="H213" s="17" t="str">
        <f>_xlfn.XLOOKUP(Table2[[#This Row],[Animal]],Table1[Animal],Table1[Transport],"N/A",0)</f>
        <v>Boat</v>
      </c>
      <c r="I213">
        <f>_xlfn.XLOOKUP(Table2[[#This Row],[Animal]],Table1[Animal],Table1[Revenue],"N/A",0)</f>
        <v>400</v>
      </c>
      <c r="J213">
        <f>_xlfn.XLOOKUP(Table2[[#This Row],[Animal]],Table1[Animal],Table1[Cost],"N/A",0)</f>
        <v>300</v>
      </c>
      <c r="K213">
        <f>Table2[[#This Row],[Revenue]]-Table2[[#This Row],[Cost]]</f>
        <v>100</v>
      </c>
    </row>
    <row r="214" spans="1:11" x14ac:dyDescent="0.25">
      <c r="A214" t="s">
        <v>312</v>
      </c>
      <c r="B214" t="str">
        <f>_xlfn.XLOOKUP(Table2[[#This Row],[Animal]],Table1[Animal],Table1[Diet],"Not Found",0)</f>
        <v>Carnivore</v>
      </c>
      <c r="C214" s="19">
        <f>_xlfn.XLOOKUP(Table2[[#This Row],[Animal]],Table1[Animal],Table1[Lifespan (Years)],"N/A",0)</f>
        <v>25</v>
      </c>
      <c r="D214" s="17" t="str">
        <f>_xlfn.XLOOKUP(Table2[[#This Row],[Animal]],Table1[Animal],Table1[Lifespan Group],"N/A",0)</f>
        <v>25-49</v>
      </c>
      <c r="E214" s="17">
        <f>_xlfn.XLOOKUP(Table2[[#This Row],[Animal]],Table1[Animal],Table1[Weight (lbs)],"N/A",0)</f>
        <v>0</v>
      </c>
      <c r="F214" s="17" t="str">
        <f>_xlfn.XLOOKUP(Table2[[#This Row],[Animal]],Table1[Animal],Table1[Weight Group],"N/A",0)</f>
        <v>N/A</v>
      </c>
      <c r="G214" t="str">
        <f>_xlfn.XLOOKUP(Table2[[#This Row],[Animal]],Table1[Animal],Table1[Region],"N/A",0)</f>
        <v>Europe &amp; Eurasia</v>
      </c>
      <c r="H214" s="17" t="str">
        <f>_xlfn.XLOOKUP(Table2[[#This Row],[Animal]],Table1[Animal],Table1[Transport],"N/A",0)</f>
        <v>Road</v>
      </c>
      <c r="I214">
        <f>_xlfn.XLOOKUP(Table2[[#This Row],[Animal]],Table1[Animal],Table1[Revenue],"N/A",0)</f>
        <v>450</v>
      </c>
      <c r="J214">
        <f>_xlfn.XLOOKUP(Table2[[#This Row],[Animal]],Table1[Animal],Table1[Cost],"N/A",0)</f>
        <v>500</v>
      </c>
      <c r="K214">
        <f>Table2[[#This Row],[Revenue]]-Table2[[#This Row],[Cost]]</f>
        <v>-50</v>
      </c>
    </row>
    <row r="215" spans="1:11" x14ac:dyDescent="0.25">
      <c r="A215" t="s">
        <v>313</v>
      </c>
      <c r="B215" t="str">
        <f>_xlfn.XLOOKUP(Table2[[#This Row],[Animal]],Table1[Animal],Table1[Diet],"Not Found",0)</f>
        <v>Carnivore</v>
      </c>
      <c r="C215" s="19">
        <f>_xlfn.XLOOKUP(Table2[[#This Row],[Animal]],Table1[Animal],Table1[Lifespan (Years)],"N/A",0)</f>
        <v>8</v>
      </c>
      <c r="D215" s="17" t="str">
        <f>_xlfn.XLOOKUP(Table2[[#This Row],[Animal]],Table1[Animal],Table1[Lifespan Group],"N/A",0)</f>
        <v>&lt;25</v>
      </c>
      <c r="E215" s="17">
        <f>_xlfn.XLOOKUP(Table2[[#This Row],[Animal]],Table1[Animal],Table1[Weight (lbs)],"N/A",0)</f>
        <v>0.7</v>
      </c>
      <c r="F215" s="17" t="str">
        <f>_xlfn.XLOOKUP(Table2[[#This Row],[Animal]],Table1[Animal],Table1[Weight Group],"N/A",0)</f>
        <v>&lt;100</v>
      </c>
      <c r="G215" t="str">
        <f>_xlfn.XLOOKUP(Table2[[#This Row],[Animal]],Table1[Animal],Table1[Region],"N/A",0)</f>
        <v>Europe &amp; Eurasia</v>
      </c>
      <c r="H215" s="17" t="str">
        <f>_xlfn.XLOOKUP(Table2[[#This Row],[Animal]],Table1[Animal],Table1[Transport],"N/A",0)</f>
        <v>Road</v>
      </c>
      <c r="I215">
        <f>_xlfn.XLOOKUP(Table2[[#This Row],[Animal]],Table1[Animal],Table1[Revenue],"N/A",0)</f>
        <v>450</v>
      </c>
      <c r="J215">
        <f>_xlfn.XLOOKUP(Table2[[#This Row],[Animal]],Table1[Animal],Table1[Cost],"N/A",0)</f>
        <v>500</v>
      </c>
      <c r="K215">
        <f>Table2[[#This Row],[Revenue]]-Table2[[#This Row],[Cost]]</f>
        <v>-50</v>
      </c>
    </row>
    <row r="216" spans="1:11" x14ac:dyDescent="0.25">
      <c r="A216" t="s">
        <v>314</v>
      </c>
      <c r="B216" t="str">
        <f>_xlfn.XLOOKUP(Table2[[#This Row],[Animal]],Table1[Animal],Table1[Diet],"Not Found",0)</f>
        <v>Herbivore</v>
      </c>
      <c r="C216" s="19">
        <f>_xlfn.XLOOKUP(Table2[[#This Row],[Animal]],Table1[Animal],Table1[Lifespan (Years)],"N/A",0)</f>
        <v>30</v>
      </c>
      <c r="D216" s="17" t="str">
        <f>_xlfn.XLOOKUP(Table2[[#This Row],[Animal]],Table1[Animal],Table1[Lifespan Group],"N/A",0)</f>
        <v>25-49</v>
      </c>
      <c r="E216" s="17">
        <f>_xlfn.XLOOKUP(Table2[[#This Row],[Animal]],Table1[Animal],Table1[Weight (lbs)],"N/A",0)</f>
        <v>840</v>
      </c>
      <c r="F216" s="17" t="str">
        <f>_xlfn.XLOOKUP(Table2[[#This Row],[Animal]],Table1[Animal],Table1[Weight Group],"N/A",0)</f>
        <v>&gt;=500</v>
      </c>
      <c r="G216" t="str">
        <f>_xlfn.XLOOKUP(Table2[[#This Row],[Animal]],Table1[Animal],Table1[Region],"N/A",0)</f>
        <v>North America</v>
      </c>
      <c r="H216" s="17" t="str">
        <f>_xlfn.XLOOKUP(Table2[[#This Row],[Animal]],Table1[Animal],Table1[Transport],"N/A",0)</f>
        <v>Boat</v>
      </c>
      <c r="I216">
        <f>_xlfn.XLOOKUP(Table2[[#This Row],[Animal]],Table1[Animal],Table1[Revenue],"N/A",0)</f>
        <v>400</v>
      </c>
      <c r="J216">
        <f>_xlfn.XLOOKUP(Table2[[#This Row],[Animal]],Table1[Animal],Table1[Cost],"N/A",0)</f>
        <v>300</v>
      </c>
      <c r="K216">
        <f>Table2[[#This Row],[Revenue]]-Table2[[#This Row],[Cost]]</f>
        <v>100</v>
      </c>
    </row>
    <row r="217" spans="1:11" x14ac:dyDescent="0.25">
      <c r="A217" t="s">
        <v>315</v>
      </c>
      <c r="B217" t="str">
        <f>_xlfn.XLOOKUP(Table2[[#This Row],[Animal]],Table1[Animal],Table1[Diet],"Not Found",0)</f>
        <v>Omnivore</v>
      </c>
      <c r="C217" s="19">
        <f>_xlfn.XLOOKUP(Table2[[#This Row],[Animal]],Table1[Animal],Table1[Lifespan (Years)],"N/A",0)</f>
        <v>40</v>
      </c>
      <c r="D217" s="17" t="str">
        <f>_xlfn.XLOOKUP(Table2[[#This Row],[Animal]],Table1[Animal],Table1[Lifespan Group],"N/A",0)</f>
        <v>25-49</v>
      </c>
      <c r="E217" s="17">
        <f>_xlfn.XLOOKUP(Table2[[#This Row],[Animal]],Table1[Animal],Table1[Weight (lbs)],"N/A",0)</f>
        <v>2.2000000000000002</v>
      </c>
      <c r="F217" s="17" t="str">
        <f>_xlfn.XLOOKUP(Table2[[#This Row],[Animal]],Table1[Animal],Table1[Weight Group],"N/A",0)</f>
        <v>&lt;100</v>
      </c>
      <c r="G217" t="str">
        <f>_xlfn.XLOOKUP(Table2[[#This Row],[Animal]],Table1[Animal],Table1[Region],"N/A",0)</f>
        <v>North America</v>
      </c>
      <c r="H217" s="17" t="str">
        <f>_xlfn.XLOOKUP(Table2[[#This Row],[Animal]],Table1[Animal],Table1[Transport],"N/A",0)</f>
        <v>Boat</v>
      </c>
      <c r="I217">
        <f>_xlfn.XLOOKUP(Table2[[#This Row],[Animal]],Table1[Animal],Table1[Revenue],"N/A",0)</f>
        <v>400</v>
      </c>
      <c r="J217">
        <f>_xlfn.XLOOKUP(Table2[[#This Row],[Animal]],Table1[Animal],Table1[Cost],"N/A",0)</f>
        <v>400</v>
      </c>
      <c r="K217">
        <f>Table2[[#This Row],[Revenue]]-Table2[[#This Row],[Cost]]</f>
        <v>0</v>
      </c>
    </row>
    <row r="218" spans="1:11" x14ac:dyDescent="0.25">
      <c r="A218" t="s">
        <v>317</v>
      </c>
      <c r="B218" t="str">
        <f>_xlfn.XLOOKUP(Table2[[#This Row],[Animal]],Table1[Animal],Table1[Diet],"Not Found",0)</f>
        <v>Carnivore</v>
      </c>
      <c r="C218" s="19">
        <f>_xlfn.XLOOKUP(Table2[[#This Row],[Animal]],Table1[Animal],Table1[Lifespan (Years)],"N/A",0)</f>
        <v>20</v>
      </c>
      <c r="D218" s="17" t="str">
        <f>_xlfn.XLOOKUP(Table2[[#This Row],[Animal]],Table1[Animal],Table1[Lifespan Group],"N/A",0)</f>
        <v>&lt;25</v>
      </c>
      <c r="E218" s="17">
        <f>_xlfn.XLOOKUP(Table2[[#This Row],[Animal]],Table1[Animal],Table1[Weight (lbs)],"N/A",0)</f>
        <v>4.4000000000000004</v>
      </c>
      <c r="F218" s="17" t="str">
        <f>_xlfn.XLOOKUP(Table2[[#This Row],[Animal]],Table1[Animal],Table1[Weight Group],"N/A",0)</f>
        <v>&lt;100</v>
      </c>
      <c r="G218" t="str">
        <f>_xlfn.XLOOKUP(Table2[[#This Row],[Animal]],Table1[Animal],Table1[Region],"N/A",0)</f>
        <v>Europe &amp; Eurasia</v>
      </c>
      <c r="H218" s="17" t="str">
        <f>_xlfn.XLOOKUP(Table2[[#This Row],[Animal]],Table1[Animal],Table1[Transport],"N/A",0)</f>
        <v>Road</v>
      </c>
      <c r="I218">
        <f>_xlfn.XLOOKUP(Table2[[#This Row],[Animal]],Table1[Animal],Table1[Revenue],"N/A",0)</f>
        <v>450</v>
      </c>
      <c r="J218">
        <f>_xlfn.XLOOKUP(Table2[[#This Row],[Animal]],Table1[Animal],Table1[Cost],"N/A",0)</f>
        <v>500</v>
      </c>
      <c r="K218">
        <f>Table2[[#This Row],[Revenue]]-Table2[[#This Row],[Cost]]</f>
        <v>-50</v>
      </c>
    </row>
    <row r="219" spans="1:11" x14ac:dyDescent="0.25">
      <c r="A219" t="s">
        <v>318</v>
      </c>
      <c r="B219" t="str">
        <f>_xlfn.XLOOKUP(Table2[[#This Row],[Animal]],Table1[Animal],Table1[Diet],"Not Found",0)</f>
        <v>Omnivore</v>
      </c>
      <c r="C219" s="19">
        <f>_xlfn.XLOOKUP(Table2[[#This Row],[Animal]],Table1[Animal],Table1[Lifespan (Years)],"N/A",0)</f>
        <v>5</v>
      </c>
      <c r="D219" s="17" t="str">
        <f>_xlfn.XLOOKUP(Table2[[#This Row],[Animal]],Table1[Animal],Table1[Lifespan Group],"N/A",0)</f>
        <v>&lt;25</v>
      </c>
      <c r="E219" s="17">
        <f>_xlfn.XLOOKUP(Table2[[#This Row],[Animal]],Table1[Animal],Table1[Weight (lbs)],"N/A",0)</f>
        <v>4.3750000000000004E-3</v>
      </c>
      <c r="F219" s="17" t="str">
        <f>_xlfn.XLOOKUP(Table2[[#This Row],[Animal]],Table1[Animal],Table1[Weight Group],"N/A",0)</f>
        <v>&lt;100</v>
      </c>
      <c r="G219" t="str">
        <f>_xlfn.XLOOKUP(Table2[[#This Row],[Animal]],Table1[Animal],Table1[Region],"N/A",0)</f>
        <v>Europe &amp; Eurasia</v>
      </c>
      <c r="H219" s="17" t="str">
        <f>_xlfn.XLOOKUP(Table2[[#This Row],[Animal]],Table1[Animal],Table1[Transport],"N/A",0)</f>
        <v>Road</v>
      </c>
      <c r="I219">
        <f>_xlfn.XLOOKUP(Table2[[#This Row],[Animal]],Table1[Animal],Table1[Revenue],"N/A",0)</f>
        <v>450</v>
      </c>
      <c r="J219">
        <f>_xlfn.XLOOKUP(Table2[[#This Row],[Animal]],Table1[Animal],Table1[Cost],"N/A",0)</f>
        <v>400</v>
      </c>
      <c r="K219">
        <f>Table2[[#This Row],[Revenue]]-Table2[[#This Row],[Cost]]</f>
        <v>50</v>
      </c>
    </row>
    <row r="220" spans="1:11" x14ac:dyDescent="0.25">
      <c r="A220" t="s">
        <v>319</v>
      </c>
      <c r="B220" t="str">
        <f>_xlfn.XLOOKUP(Table2[[#This Row],[Animal]],Table1[Animal],Table1[Diet],"Not Found",0)</f>
        <v>Omnivore</v>
      </c>
      <c r="C220" s="19">
        <f>_xlfn.XLOOKUP(Table2[[#This Row],[Animal]],Table1[Animal],Table1[Lifespan (Years)],"N/A",0)</f>
        <v>60</v>
      </c>
      <c r="D220" s="17" t="str">
        <f>_xlfn.XLOOKUP(Table2[[#This Row],[Animal]],Table1[Animal],Table1[Lifespan Group],"N/A",0)</f>
        <v>50-74</v>
      </c>
      <c r="E220" s="17">
        <f>_xlfn.XLOOKUP(Table2[[#This Row],[Animal]],Table1[Animal],Table1[Weight (lbs)],"N/A",0)</f>
        <v>50000</v>
      </c>
      <c r="F220" s="17" t="str">
        <f>_xlfn.XLOOKUP(Table2[[#This Row],[Animal]],Table1[Animal],Table1[Weight Group],"N/A",0)</f>
        <v>&gt;=500</v>
      </c>
      <c r="G220" t="str">
        <f>_xlfn.XLOOKUP(Table2[[#This Row],[Animal]],Table1[Animal],Table1[Region],"N/A",0)</f>
        <v>North America</v>
      </c>
      <c r="H220" s="17" t="str">
        <f>_xlfn.XLOOKUP(Table2[[#This Row],[Animal]],Table1[Animal],Table1[Transport],"N/A",0)</f>
        <v>Boat</v>
      </c>
      <c r="I220">
        <f>_xlfn.XLOOKUP(Table2[[#This Row],[Animal]],Table1[Animal],Table1[Revenue],"N/A",0)</f>
        <v>400</v>
      </c>
      <c r="J220">
        <f>_xlfn.XLOOKUP(Table2[[#This Row],[Animal]],Table1[Animal],Table1[Cost],"N/A",0)</f>
        <v>400</v>
      </c>
      <c r="K220">
        <f>Table2[[#This Row],[Revenue]]-Table2[[#This Row],[Cost]]</f>
        <v>0</v>
      </c>
    </row>
    <row r="221" spans="1:11" x14ac:dyDescent="0.25">
      <c r="A221" t="s">
        <v>320</v>
      </c>
      <c r="B221" t="str">
        <f>_xlfn.XLOOKUP(Table2[[#This Row],[Animal]],Table1[Animal],Table1[Diet],"Not Found",0)</f>
        <v>Carnivore</v>
      </c>
      <c r="C221" s="19">
        <f>_xlfn.XLOOKUP(Table2[[#This Row],[Animal]],Table1[Animal],Table1[Lifespan (Years)],"N/A",0)</f>
        <v>25</v>
      </c>
      <c r="D221" s="17" t="str">
        <f>_xlfn.XLOOKUP(Table2[[#This Row],[Animal]],Table1[Animal],Table1[Lifespan Group],"N/A",0)</f>
        <v>25-49</v>
      </c>
      <c r="E221" s="17">
        <f>_xlfn.XLOOKUP(Table2[[#This Row],[Animal]],Table1[Animal],Table1[Weight (lbs)],"N/A",0)</f>
        <v>90</v>
      </c>
      <c r="F221" s="17" t="str">
        <f>_xlfn.XLOOKUP(Table2[[#This Row],[Animal]],Table1[Animal],Table1[Weight Group],"N/A",0)</f>
        <v>&lt;100</v>
      </c>
      <c r="G221" t="str">
        <f>_xlfn.XLOOKUP(Table2[[#This Row],[Animal]],Table1[Animal],Table1[Region],"N/A",0)</f>
        <v>Europe &amp; Eurasia</v>
      </c>
      <c r="H221" s="17" t="str">
        <f>_xlfn.XLOOKUP(Table2[[#This Row],[Animal]],Table1[Animal],Table1[Transport],"N/A",0)</f>
        <v>Road</v>
      </c>
      <c r="I221">
        <f>_xlfn.XLOOKUP(Table2[[#This Row],[Animal]],Table1[Animal],Table1[Revenue],"N/A",0)</f>
        <v>450</v>
      </c>
      <c r="J221">
        <f>_xlfn.XLOOKUP(Table2[[#This Row],[Animal]],Table1[Animal],Table1[Cost],"N/A",0)</f>
        <v>500</v>
      </c>
      <c r="K221">
        <f>Table2[[#This Row],[Revenue]]-Table2[[#This Row],[Cost]]</f>
        <v>-50</v>
      </c>
    </row>
    <row r="222" spans="1:11" x14ac:dyDescent="0.25">
      <c r="A222" t="s">
        <v>321</v>
      </c>
      <c r="B222" t="str">
        <f>_xlfn.XLOOKUP(Table2[[#This Row],[Animal]],Table1[Animal],Table1[Diet],"Not Found",0)</f>
        <v>Omnivore</v>
      </c>
      <c r="C222" s="19">
        <f>_xlfn.XLOOKUP(Table2[[#This Row],[Animal]],Table1[Animal],Table1[Lifespan (Years)],"N/A",0)</f>
        <v>15</v>
      </c>
      <c r="D222" s="17" t="str">
        <f>_xlfn.XLOOKUP(Table2[[#This Row],[Animal]],Table1[Animal],Table1[Lifespan Group],"N/A",0)</f>
        <v>&lt;25</v>
      </c>
      <c r="E222" s="17">
        <f>_xlfn.XLOOKUP(Table2[[#This Row],[Animal]],Table1[Animal],Table1[Weight (lbs)],"N/A",0)</f>
        <v>0.6</v>
      </c>
      <c r="F222" s="17" t="str">
        <f>_xlfn.XLOOKUP(Table2[[#This Row],[Animal]],Table1[Animal],Table1[Weight Group],"N/A",0)</f>
        <v>&lt;100</v>
      </c>
      <c r="G222" t="str">
        <f>_xlfn.XLOOKUP(Table2[[#This Row],[Animal]],Table1[Animal],Table1[Region],"N/A",0)</f>
        <v>North America</v>
      </c>
      <c r="H222" s="17" t="str">
        <f>_xlfn.XLOOKUP(Table2[[#This Row],[Animal]],Table1[Animal],Table1[Transport],"N/A",0)</f>
        <v>Boat</v>
      </c>
      <c r="I222">
        <f>_xlfn.XLOOKUP(Table2[[#This Row],[Animal]],Table1[Animal],Table1[Revenue],"N/A",0)</f>
        <v>400</v>
      </c>
      <c r="J222">
        <f>_xlfn.XLOOKUP(Table2[[#This Row],[Animal]],Table1[Animal],Table1[Cost],"N/A",0)</f>
        <v>400</v>
      </c>
      <c r="K222">
        <f>Table2[[#This Row],[Revenue]]-Table2[[#This Row],[Cost]]</f>
        <v>0</v>
      </c>
    </row>
    <row r="223" spans="1:11" x14ac:dyDescent="0.25">
      <c r="A223" t="s">
        <v>322</v>
      </c>
      <c r="B223" t="str">
        <f>_xlfn.XLOOKUP(Table2[[#This Row],[Animal]],Table1[Animal],Table1[Diet],"Not Found",0)</f>
        <v>Omnivore</v>
      </c>
      <c r="C223" s="19">
        <f>_xlfn.XLOOKUP(Table2[[#This Row],[Animal]],Table1[Animal],Table1[Lifespan (Years)],"N/A",0)</f>
        <v>14</v>
      </c>
      <c r="D223" s="17" t="str">
        <f>_xlfn.XLOOKUP(Table2[[#This Row],[Animal]],Table1[Animal],Table1[Lifespan Group],"N/A",0)</f>
        <v>&lt;25</v>
      </c>
      <c r="E223" s="17">
        <f>_xlfn.XLOOKUP(Table2[[#This Row],[Animal]],Table1[Animal],Table1[Weight (lbs)],"N/A",0)</f>
        <v>55</v>
      </c>
      <c r="F223" s="17" t="str">
        <f>_xlfn.XLOOKUP(Table2[[#This Row],[Animal]],Table1[Animal],Table1[Weight Group],"N/A",0)</f>
        <v>&lt;100</v>
      </c>
      <c r="G223" t="str">
        <f>_xlfn.XLOOKUP(Table2[[#This Row],[Animal]],Table1[Animal],Table1[Region],"N/A",0)</f>
        <v>Europe &amp; Eurasia</v>
      </c>
      <c r="H223" s="17" t="str">
        <f>_xlfn.XLOOKUP(Table2[[#This Row],[Animal]],Table1[Animal],Table1[Transport],"N/A",0)</f>
        <v>Road</v>
      </c>
      <c r="I223">
        <f>_xlfn.XLOOKUP(Table2[[#This Row],[Animal]],Table1[Animal],Table1[Revenue],"N/A",0)</f>
        <v>450</v>
      </c>
      <c r="J223">
        <f>_xlfn.XLOOKUP(Table2[[#This Row],[Animal]],Table1[Animal],Table1[Cost],"N/A",0)</f>
        <v>400</v>
      </c>
      <c r="K223">
        <f>Table2[[#This Row],[Revenue]]-Table2[[#This Row],[Cost]]</f>
        <v>50</v>
      </c>
    </row>
    <row r="224" spans="1:11" x14ac:dyDescent="0.25">
      <c r="A224" t="s">
        <v>324</v>
      </c>
      <c r="B224" t="str">
        <f>_xlfn.XLOOKUP(Table2[[#This Row],[Animal]],Table1[Animal],Table1[Diet],"Not Found",0)</f>
        <v>Herbivore</v>
      </c>
      <c r="C224" s="19">
        <f>_xlfn.XLOOKUP(Table2[[#This Row],[Animal]],Table1[Animal],Table1[Lifespan (Years)],"N/A",0)</f>
        <v>15</v>
      </c>
      <c r="D224" s="17" t="str">
        <f>_xlfn.XLOOKUP(Table2[[#This Row],[Animal]],Table1[Animal],Table1[Lifespan Group],"N/A",0)</f>
        <v>&lt;25</v>
      </c>
      <c r="E224" s="17">
        <f>_xlfn.XLOOKUP(Table2[[#This Row],[Animal]],Table1[Animal],Table1[Weight (lbs)],"N/A",0)</f>
        <v>81.599999999999994</v>
      </c>
      <c r="F224" s="17" t="str">
        <f>_xlfn.XLOOKUP(Table2[[#This Row],[Animal]],Table1[Animal],Table1[Weight Group],"N/A",0)</f>
        <v>&lt;100</v>
      </c>
      <c r="G224" t="str">
        <f>_xlfn.XLOOKUP(Table2[[#This Row],[Animal]],Table1[Animal],Table1[Region],"N/A",0)</f>
        <v>South Asia</v>
      </c>
      <c r="H224" s="17" t="str">
        <f>_xlfn.XLOOKUP(Table2[[#This Row],[Animal]],Table1[Animal],Table1[Transport],"N/A",0)</f>
        <v>Air</v>
      </c>
      <c r="I224">
        <f>_xlfn.XLOOKUP(Table2[[#This Row],[Animal]],Table1[Animal],Table1[Revenue],"N/A",0)</f>
        <v>450</v>
      </c>
      <c r="J224">
        <f>_xlfn.XLOOKUP(Table2[[#This Row],[Animal]],Table1[Animal],Table1[Cost],"N/A",0)</f>
        <v>300</v>
      </c>
      <c r="K224">
        <f>Table2[[#This Row],[Revenue]]-Table2[[#This Row],[Cost]]</f>
        <v>150</v>
      </c>
    </row>
    <row r="225" spans="1:11" x14ac:dyDescent="0.25">
      <c r="A225" t="s">
        <v>325</v>
      </c>
      <c r="B225" t="str">
        <f>_xlfn.XLOOKUP(Table2[[#This Row],[Animal]],Table1[Animal],Table1[Diet],"Not Found",0)</f>
        <v>Herbivore</v>
      </c>
      <c r="C225" s="19">
        <f>_xlfn.XLOOKUP(Table2[[#This Row],[Animal]],Table1[Animal],Table1[Lifespan (Years)],"N/A",0)</f>
        <v>70</v>
      </c>
      <c r="D225" s="17" t="str">
        <f>_xlfn.XLOOKUP(Table2[[#This Row],[Animal]],Table1[Animal],Table1[Lifespan Group],"N/A",0)</f>
        <v>50-74</v>
      </c>
      <c r="E225" s="17">
        <f>_xlfn.XLOOKUP(Table2[[#This Row],[Animal]],Table1[Animal],Table1[Weight (lbs)],"N/A",0)</f>
        <v>6500</v>
      </c>
      <c r="F225" s="17" t="str">
        <f>_xlfn.XLOOKUP(Table2[[#This Row],[Animal]],Table1[Animal],Table1[Weight Group],"N/A",0)</f>
        <v>&gt;=500</v>
      </c>
      <c r="G225" t="str">
        <f>_xlfn.XLOOKUP(Table2[[#This Row],[Animal]],Table1[Animal],Table1[Region],"N/A",0)</f>
        <v>Latin America</v>
      </c>
      <c r="H225" s="17" t="str">
        <f>_xlfn.XLOOKUP(Table2[[#This Row],[Animal]],Table1[Animal],Table1[Transport],"N/A",0)</f>
        <v>Boat</v>
      </c>
      <c r="I225">
        <f>_xlfn.XLOOKUP(Table2[[#This Row],[Animal]],Table1[Animal],Table1[Revenue],"N/A",0)</f>
        <v>200</v>
      </c>
      <c r="J225">
        <f>_xlfn.XLOOKUP(Table2[[#This Row],[Animal]],Table1[Animal],Table1[Cost],"N/A",0)</f>
        <v>300</v>
      </c>
      <c r="K225">
        <f>Table2[[#This Row],[Revenue]]-Table2[[#This Row],[Cost]]</f>
        <v>-100</v>
      </c>
    </row>
    <row r="226" spans="1:11" x14ac:dyDescent="0.25">
      <c r="A226" t="s">
        <v>326</v>
      </c>
      <c r="B226" t="str">
        <f>_xlfn.XLOOKUP(Table2[[#This Row],[Animal]],Table1[Animal],Table1[Diet],"Not Found",0)</f>
        <v>Omnivore</v>
      </c>
      <c r="C226" s="19">
        <f>_xlfn.XLOOKUP(Table2[[#This Row],[Animal]],Table1[Animal],Table1[Lifespan (Years)],"N/A",0)</f>
        <v>4</v>
      </c>
      <c r="D226" s="17" t="str">
        <f>_xlfn.XLOOKUP(Table2[[#This Row],[Animal]],Table1[Animal],Table1[Lifespan Group],"N/A",0)</f>
        <v>&lt;25</v>
      </c>
      <c r="E226" s="17">
        <f>_xlfn.XLOOKUP(Table2[[#This Row],[Animal]],Table1[Animal],Table1[Weight (lbs)],"N/A",0)</f>
        <v>0.21875</v>
      </c>
      <c r="F226" s="17" t="str">
        <f>_xlfn.XLOOKUP(Table2[[#This Row],[Animal]],Table1[Animal],Table1[Weight Group],"N/A",0)</f>
        <v>&lt;100</v>
      </c>
      <c r="G226" t="str">
        <f>_xlfn.XLOOKUP(Table2[[#This Row],[Animal]],Table1[Animal],Table1[Region],"N/A",0)</f>
        <v>Europe &amp; Eurasia</v>
      </c>
      <c r="H226" s="17" t="str">
        <f>_xlfn.XLOOKUP(Table2[[#This Row],[Animal]],Table1[Animal],Table1[Transport],"N/A",0)</f>
        <v>Road</v>
      </c>
      <c r="I226">
        <f>_xlfn.XLOOKUP(Table2[[#This Row],[Animal]],Table1[Animal],Table1[Revenue],"N/A",0)</f>
        <v>450</v>
      </c>
      <c r="J226">
        <f>_xlfn.XLOOKUP(Table2[[#This Row],[Animal]],Table1[Animal],Table1[Cost],"N/A",0)</f>
        <v>400</v>
      </c>
      <c r="K226">
        <f>Table2[[#This Row],[Revenue]]-Table2[[#This Row],[Cost]]</f>
        <v>50</v>
      </c>
    </row>
    <row r="227" spans="1:11" x14ac:dyDescent="0.25">
      <c r="A227" t="s">
        <v>327</v>
      </c>
      <c r="B227" t="str">
        <f>_xlfn.XLOOKUP(Table2[[#This Row],[Animal]],Table1[Animal],Table1[Diet],"Not Found",0)</f>
        <v>Herbivore</v>
      </c>
      <c r="C227" s="19">
        <f>_xlfn.XLOOKUP(Table2[[#This Row],[Animal]],Table1[Animal],Table1[Lifespan (Years)],"N/A",0)</f>
        <v>50</v>
      </c>
      <c r="D227" s="17" t="str">
        <f>_xlfn.XLOOKUP(Table2[[#This Row],[Animal]],Table1[Animal],Table1[Lifespan Group],"N/A",0)</f>
        <v>50-74</v>
      </c>
      <c r="E227" s="17">
        <f>_xlfn.XLOOKUP(Table2[[#This Row],[Animal]],Table1[Animal],Table1[Weight (lbs)],"N/A",0)</f>
        <v>4900</v>
      </c>
      <c r="F227" s="17" t="str">
        <f>_xlfn.XLOOKUP(Table2[[#This Row],[Animal]],Table1[Animal],Table1[Weight Group],"N/A",0)</f>
        <v>&gt;=500</v>
      </c>
      <c r="G227" t="str">
        <f>_xlfn.XLOOKUP(Table2[[#This Row],[Animal]],Table1[Animal],Table1[Region],"N/A",0)</f>
        <v>Latin America</v>
      </c>
      <c r="H227" s="17" t="str">
        <f>_xlfn.XLOOKUP(Table2[[#This Row],[Animal]],Table1[Animal],Table1[Transport],"N/A",0)</f>
        <v>Boat</v>
      </c>
      <c r="I227">
        <f>_xlfn.XLOOKUP(Table2[[#This Row],[Animal]],Table1[Animal],Table1[Revenue],"N/A",0)</f>
        <v>200</v>
      </c>
      <c r="J227">
        <f>_xlfn.XLOOKUP(Table2[[#This Row],[Animal]],Table1[Animal],Table1[Cost],"N/A",0)</f>
        <v>300</v>
      </c>
      <c r="K227">
        <f>Table2[[#This Row],[Revenue]]-Table2[[#This Row],[Cost]]</f>
        <v>-100</v>
      </c>
    </row>
    <row r="228" spans="1:11" x14ac:dyDescent="0.25">
      <c r="A228" t="s">
        <v>330</v>
      </c>
      <c r="B228" t="str">
        <f>_xlfn.XLOOKUP(Table2[[#This Row],[Animal]],Table1[Animal],Table1[Diet],"Not Found",0)</f>
        <v>Omnivore</v>
      </c>
      <c r="C228" s="19">
        <f>_xlfn.XLOOKUP(Table2[[#This Row],[Animal]],Table1[Animal],Table1[Lifespan (Years)],"N/A",0)</f>
        <v>9</v>
      </c>
      <c r="D228" s="17" t="str">
        <f>_xlfn.XLOOKUP(Table2[[#This Row],[Animal]],Table1[Animal],Table1[Lifespan Group],"N/A",0)</f>
        <v>&lt;25</v>
      </c>
      <c r="E228" s="17">
        <f>_xlfn.XLOOKUP(Table2[[#This Row],[Animal]],Table1[Animal],Table1[Weight (lbs)],"N/A",0)</f>
        <v>120</v>
      </c>
      <c r="F228" s="17" t="str">
        <f>_xlfn.XLOOKUP(Table2[[#This Row],[Animal]],Table1[Animal],Table1[Weight Group],"N/A",0)</f>
        <v>100-199</v>
      </c>
      <c r="G228" t="str">
        <f>_xlfn.XLOOKUP(Table2[[#This Row],[Animal]],Table1[Animal],Table1[Region],"N/A",0)</f>
        <v>North America</v>
      </c>
      <c r="H228" s="17" t="str">
        <f>_xlfn.XLOOKUP(Table2[[#This Row],[Animal]],Table1[Animal],Table1[Transport],"N/A",0)</f>
        <v>Boat</v>
      </c>
      <c r="I228">
        <f>_xlfn.XLOOKUP(Table2[[#This Row],[Animal]],Table1[Animal],Table1[Revenue],"N/A",0)</f>
        <v>400</v>
      </c>
      <c r="J228">
        <f>_xlfn.XLOOKUP(Table2[[#This Row],[Animal]],Table1[Animal],Table1[Cost],"N/A",0)</f>
        <v>400</v>
      </c>
      <c r="K228">
        <f>Table2[[#This Row],[Revenue]]-Table2[[#This Row],[Cost]]</f>
        <v>0</v>
      </c>
    </row>
    <row r="229" spans="1:11" x14ac:dyDescent="0.25">
      <c r="A229" t="s">
        <v>332</v>
      </c>
      <c r="B229" t="str">
        <f>_xlfn.XLOOKUP(Table2[[#This Row],[Animal]],Table1[Animal],Table1[Diet],"Not Found",0)</f>
        <v>Omnivore</v>
      </c>
      <c r="C229" s="19">
        <f>_xlfn.XLOOKUP(Table2[[#This Row],[Animal]],Table1[Animal],Table1[Lifespan (Years)],"N/A",0)</f>
        <v>16</v>
      </c>
      <c r="D229" s="17" t="str">
        <f>_xlfn.XLOOKUP(Table2[[#This Row],[Animal]],Table1[Animal],Table1[Lifespan Group],"N/A",0)</f>
        <v>&lt;25</v>
      </c>
      <c r="E229" s="17">
        <f>_xlfn.XLOOKUP(Table2[[#This Row],[Animal]],Table1[Animal],Table1[Weight (lbs)],"N/A",0)</f>
        <v>8</v>
      </c>
      <c r="F229" s="17" t="str">
        <f>_xlfn.XLOOKUP(Table2[[#This Row],[Animal]],Table1[Animal],Table1[Weight Group],"N/A",0)</f>
        <v>&lt;100</v>
      </c>
      <c r="G229" t="str">
        <f>_xlfn.XLOOKUP(Table2[[#This Row],[Animal]],Table1[Animal],Table1[Region],"N/A",0)</f>
        <v>Europe &amp; Eurasia</v>
      </c>
      <c r="H229" s="17" t="str">
        <f>_xlfn.XLOOKUP(Table2[[#This Row],[Animal]],Table1[Animal],Table1[Transport],"N/A",0)</f>
        <v>Road</v>
      </c>
      <c r="I229">
        <f>_xlfn.XLOOKUP(Table2[[#This Row],[Animal]],Table1[Animal],Table1[Revenue],"N/A",0)</f>
        <v>450</v>
      </c>
      <c r="J229">
        <f>_xlfn.XLOOKUP(Table2[[#This Row],[Animal]],Table1[Animal],Table1[Cost],"N/A",0)</f>
        <v>400</v>
      </c>
      <c r="K229">
        <f>Table2[[#This Row],[Revenue]]-Table2[[#This Row],[Cost]]</f>
        <v>50</v>
      </c>
    </row>
    <row r="230" spans="1:11" x14ac:dyDescent="0.25">
      <c r="A230" t="s">
        <v>333</v>
      </c>
      <c r="B230" t="str">
        <f>_xlfn.XLOOKUP(Table2[[#This Row],[Animal]],Table1[Animal],Table1[Diet],"Not Found",0)</f>
        <v>Carnivore</v>
      </c>
      <c r="C230" s="19">
        <f>_xlfn.XLOOKUP(Table2[[#This Row],[Animal]],Table1[Animal],Table1[Lifespan (Years)],"N/A",0)</f>
        <v>15</v>
      </c>
      <c r="D230" s="17" t="str">
        <f>_xlfn.XLOOKUP(Table2[[#This Row],[Animal]],Table1[Animal],Table1[Lifespan Group],"N/A",0)</f>
        <v>&lt;25</v>
      </c>
      <c r="E230" s="17">
        <f>_xlfn.XLOOKUP(Table2[[#This Row],[Animal]],Table1[Animal],Table1[Weight (lbs)],"N/A",0)</f>
        <v>15</v>
      </c>
      <c r="F230" s="17" t="str">
        <f>_xlfn.XLOOKUP(Table2[[#This Row],[Animal]],Table1[Animal],Table1[Weight Group],"N/A",0)</f>
        <v>&lt;100</v>
      </c>
      <c r="G230" t="str">
        <f>_xlfn.XLOOKUP(Table2[[#This Row],[Animal]],Table1[Animal],Table1[Region],"N/A",0)</f>
        <v>Europe &amp; Eurasia</v>
      </c>
      <c r="H230" s="17" t="str">
        <f>_xlfn.XLOOKUP(Table2[[#This Row],[Animal]],Table1[Animal],Table1[Transport],"N/A",0)</f>
        <v>Road</v>
      </c>
      <c r="I230">
        <f>_xlfn.XLOOKUP(Table2[[#This Row],[Animal]],Table1[Animal],Table1[Revenue],"N/A",0)</f>
        <v>450</v>
      </c>
      <c r="J230">
        <f>_xlfn.XLOOKUP(Table2[[#This Row],[Animal]],Table1[Animal],Table1[Cost],"N/A",0)</f>
        <v>500</v>
      </c>
      <c r="K230">
        <f>Table2[[#This Row],[Revenue]]-Table2[[#This Row],[Cost]]</f>
        <v>-50</v>
      </c>
    </row>
    <row r="231" spans="1:11" x14ac:dyDescent="0.25">
      <c r="A231" t="s">
        <v>334</v>
      </c>
      <c r="B231" t="str">
        <f>_xlfn.XLOOKUP(Table2[[#This Row],[Animal]],Table1[Animal],Table1[Diet],"Not Found",0)</f>
        <v>Carnivore</v>
      </c>
      <c r="C231" s="19">
        <f>_xlfn.XLOOKUP(Table2[[#This Row],[Animal]],Table1[Animal],Table1[Lifespan (Years)],"N/A",0)</f>
        <v>15</v>
      </c>
      <c r="D231" s="17" t="str">
        <f>_xlfn.XLOOKUP(Table2[[#This Row],[Animal]],Table1[Animal],Table1[Lifespan Group],"N/A",0)</f>
        <v>&lt;25</v>
      </c>
      <c r="E231" s="17">
        <f>_xlfn.XLOOKUP(Table2[[#This Row],[Animal]],Table1[Animal],Table1[Weight (lbs)],"N/A",0)</f>
        <v>79</v>
      </c>
      <c r="F231" s="17" t="str">
        <f>_xlfn.XLOOKUP(Table2[[#This Row],[Animal]],Table1[Animal],Table1[Weight Group],"N/A",0)</f>
        <v>&lt;100</v>
      </c>
      <c r="G231" t="str">
        <f>_xlfn.XLOOKUP(Table2[[#This Row],[Animal]],Table1[Animal],Table1[Region],"N/A",0)</f>
        <v>Europe &amp; Eurasia</v>
      </c>
      <c r="H231" s="17" t="str">
        <f>_xlfn.XLOOKUP(Table2[[#This Row],[Animal]],Table1[Animal],Table1[Transport],"N/A",0)</f>
        <v>Road</v>
      </c>
      <c r="I231">
        <f>_xlfn.XLOOKUP(Table2[[#This Row],[Animal]],Table1[Animal],Table1[Revenue],"N/A",0)</f>
        <v>450</v>
      </c>
      <c r="J231">
        <f>_xlfn.XLOOKUP(Table2[[#This Row],[Animal]],Table1[Animal],Table1[Cost],"N/A",0)</f>
        <v>500</v>
      </c>
      <c r="K231">
        <f>Table2[[#This Row],[Revenue]]-Table2[[#This Row],[Cost]]</f>
        <v>-50</v>
      </c>
    </row>
    <row r="232" spans="1:11" x14ac:dyDescent="0.25">
      <c r="A232" t="s">
        <v>335</v>
      </c>
      <c r="B232" t="str">
        <f>_xlfn.XLOOKUP(Table2[[#This Row],[Animal]],Table1[Animal],Table1[Diet],"Not Found",0)</f>
        <v>Omnivore</v>
      </c>
      <c r="C232" s="19">
        <f>_xlfn.XLOOKUP(Table2[[#This Row],[Animal]],Table1[Animal],Table1[Lifespan (Years)],"N/A",0)</f>
        <v>14</v>
      </c>
      <c r="D232" s="17" t="str">
        <f>_xlfn.XLOOKUP(Table2[[#This Row],[Animal]],Table1[Animal],Table1[Lifespan Group],"N/A",0)</f>
        <v>&lt;25</v>
      </c>
      <c r="E232" s="17">
        <f>_xlfn.XLOOKUP(Table2[[#This Row],[Animal]],Table1[Animal],Table1[Weight (lbs)],"N/A",0)</f>
        <v>8</v>
      </c>
      <c r="F232" s="17" t="str">
        <f>_xlfn.XLOOKUP(Table2[[#This Row],[Animal]],Table1[Animal],Table1[Weight Group],"N/A",0)</f>
        <v>&lt;100</v>
      </c>
      <c r="G232" t="str">
        <f>_xlfn.XLOOKUP(Table2[[#This Row],[Animal]],Table1[Animal],Table1[Region],"N/A",0)</f>
        <v>North America</v>
      </c>
      <c r="H232" s="17" t="str">
        <f>_xlfn.XLOOKUP(Table2[[#This Row],[Animal]],Table1[Animal],Table1[Transport],"N/A",0)</f>
        <v>Boat</v>
      </c>
      <c r="I232">
        <f>_xlfn.XLOOKUP(Table2[[#This Row],[Animal]],Table1[Animal],Table1[Revenue],"N/A",0)</f>
        <v>400</v>
      </c>
      <c r="J232">
        <f>_xlfn.XLOOKUP(Table2[[#This Row],[Animal]],Table1[Animal],Table1[Cost],"N/A",0)</f>
        <v>400</v>
      </c>
      <c r="K232">
        <f>Table2[[#This Row],[Revenue]]-Table2[[#This Row],[Cost]]</f>
        <v>0</v>
      </c>
    </row>
    <row r="233" spans="1:11" x14ac:dyDescent="0.25">
      <c r="A233" t="s">
        <v>336</v>
      </c>
      <c r="B233" t="str">
        <f>_xlfn.XLOOKUP(Table2[[#This Row],[Animal]],Table1[Animal],Table1[Diet],"Not Found",0)</f>
        <v>Omnivore</v>
      </c>
      <c r="C233" s="19">
        <f>_xlfn.XLOOKUP(Table2[[#This Row],[Animal]],Table1[Animal],Table1[Lifespan (Years)],"N/A",0)</f>
        <v>32</v>
      </c>
      <c r="D233" s="17" t="str">
        <f>_xlfn.XLOOKUP(Table2[[#This Row],[Animal]],Table1[Animal],Table1[Lifespan Group],"N/A",0)</f>
        <v>25-49</v>
      </c>
      <c r="E233" s="17">
        <f>_xlfn.XLOOKUP(Table2[[#This Row],[Animal]],Table1[Animal],Table1[Weight (lbs)],"N/A",0)</f>
        <v>11</v>
      </c>
      <c r="F233" s="17" t="str">
        <f>_xlfn.XLOOKUP(Table2[[#This Row],[Animal]],Table1[Animal],Table1[Weight Group],"N/A",0)</f>
        <v>&lt;100</v>
      </c>
      <c r="G233" t="str">
        <f>_xlfn.XLOOKUP(Table2[[#This Row],[Animal]],Table1[Animal],Table1[Region],"N/A",0)</f>
        <v>North America</v>
      </c>
      <c r="H233" s="17" t="str">
        <f>_xlfn.XLOOKUP(Table2[[#This Row],[Animal]],Table1[Animal],Table1[Transport],"N/A",0)</f>
        <v>Boat</v>
      </c>
      <c r="I233">
        <f>_xlfn.XLOOKUP(Table2[[#This Row],[Animal]],Table1[Animal],Table1[Revenue],"N/A",0)</f>
        <v>400</v>
      </c>
      <c r="J233">
        <f>_xlfn.XLOOKUP(Table2[[#This Row],[Animal]],Table1[Animal],Table1[Cost],"N/A",0)</f>
        <v>400</v>
      </c>
      <c r="K233">
        <f>Table2[[#This Row],[Revenue]]-Table2[[#This Row],[Cost]]</f>
        <v>0</v>
      </c>
    </row>
    <row r="234" spans="1:11" x14ac:dyDescent="0.25">
      <c r="A234" t="s">
        <v>337</v>
      </c>
      <c r="B234" t="str">
        <f>_xlfn.XLOOKUP(Table2[[#This Row],[Animal]],Table1[Animal],Table1[Diet],"Not Found",0)</f>
        <v>Carnivore</v>
      </c>
      <c r="C234" s="19">
        <f>_xlfn.XLOOKUP(Table2[[#This Row],[Animal]],Table1[Animal],Table1[Lifespan (Years)],"N/A",0)</f>
        <v>5</v>
      </c>
      <c r="D234" s="17" t="str">
        <f>_xlfn.XLOOKUP(Table2[[#This Row],[Animal]],Table1[Animal],Table1[Lifespan Group],"N/A",0)</f>
        <v>&lt;25</v>
      </c>
      <c r="E234" s="17">
        <f>_xlfn.XLOOKUP(Table2[[#This Row],[Animal]],Table1[Animal],Table1[Weight (lbs)],"N/A",0)</f>
        <v>4.3749999999999997E-2</v>
      </c>
      <c r="F234" s="17" t="str">
        <f>_xlfn.XLOOKUP(Table2[[#This Row],[Animal]],Table1[Animal],Table1[Weight Group],"N/A",0)</f>
        <v>&lt;100</v>
      </c>
      <c r="G234" t="str">
        <f>_xlfn.XLOOKUP(Table2[[#This Row],[Animal]],Table1[Animal],Table1[Region],"N/A",0)</f>
        <v>Asia Pacific</v>
      </c>
      <c r="H234" s="17" t="str">
        <f>_xlfn.XLOOKUP(Table2[[#This Row],[Animal]],Table1[Animal],Table1[Transport],"N/A",0)</f>
        <v>Air</v>
      </c>
      <c r="I234">
        <f>_xlfn.XLOOKUP(Table2[[#This Row],[Animal]],Table1[Animal],Table1[Revenue],"N/A",0)</f>
        <v>700</v>
      </c>
      <c r="J234">
        <f>_xlfn.XLOOKUP(Table2[[#This Row],[Animal]],Table1[Animal],Table1[Cost],"N/A",0)</f>
        <v>500</v>
      </c>
      <c r="K234">
        <f>Table2[[#This Row],[Revenue]]-Table2[[#This Row],[Cost]]</f>
        <v>200</v>
      </c>
    </row>
    <row r="235" spans="1:11" x14ac:dyDescent="0.25">
      <c r="A235" t="s">
        <v>339</v>
      </c>
      <c r="B235" t="str">
        <f>_xlfn.XLOOKUP(Table2[[#This Row],[Animal]],Table1[Animal],Table1[Diet],"Not Found",0)</f>
        <v>Omnivore</v>
      </c>
      <c r="C235" s="19">
        <f>_xlfn.XLOOKUP(Table2[[#This Row],[Animal]],Table1[Animal],Table1[Lifespan (Years)],"N/A",0)</f>
        <v>20</v>
      </c>
      <c r="D235" s="17" t="str">
        <f>_xlfn.XLOOKUP(Table2[[#This Row],[Animal]],Table1[Animal],Table1[Lifespan Group],"N/A",0)</f>
        <v>&lt;25</v>
      </c>
      <c r="E235" s="17">
        <f>_xlfn.XLOOKUP(Table2[[#This Row],[Animal]],Table1[Animal],Table1[Weight (lbs)],"N/A",0)</f>
        <v>4.7</v>
      </c>
      <c r="F235" s="17" t="str">
        <f>_xlfn.XLOOKUP(Table2[[#This Row],[Animal]],Table1[Animal],Table1[Weight Group],"N/A",0)</f>
        <v>&lt;100</v>
      </c>
      <c r="G235" t="str">
        <f>_xlfn.XLOOKUP(Table2[[#This Row],[Animal]],Table1[Animal],Table1[Region],"N/A",0)</f>
        <v>Greater China</v>
      </c>
      <c r="H235" s="17" t="str">
        <f>_xlfn.XLOOKUP(Table2[[#This Row],[Animal]],Table1[Animal],Table1[Transport],"N/A",0)</f>
        <v>Air</v>
      </c>
      <c r="I235">
        <f>_xlfn.XLOOKUP(Table2[[#This Row],[Animal]],Table1[Animal],Table1[Revenue],"N/A",0)</f>
        <v>600</v>
      </c>
      <c r="J235">
        <f>_xlfn.XLOOKUP(Table2[[#This Row],[Animal]],Table1[Animal],Table1[Cost],"N/A",0)</f>
        <v>400</v>
      </c>
      <c r="K235">
        <f>Table2[[#This Row],[Revenue]]-Table2[[#This Row],[Cost]]</f>
        <v>200</v>
      </c>
    </row>
    <row r="236" spans="1:11" x14ac:dyDescent="0.25">
      <c r="A236" t="s">
        <v>340</v>
      </c>
      <c r="B236" t="str">
        <f>_xlfn.XLOOKUP(Table2[[#This Row],[Animal]],Table1[Animal],Table1[Diet],"Not Found",0)</f>
        <v>Carnivore</v>
      </c>
      <c r="C236" s="19">
        <f>_xlfn.XLOOKUP(Table2[[#This Row],[Animal]],Table1[Animal],Table1[Lifespan (Years)],"N/A",0)</f>
        <v>60</v>
      </c>
      <c r="D236" s="17" t="str">
        <f>_xlfn.XLOOKUP(Table2[[#This Row],[Animal]],Table1[Animal],Table1[Lifespan Group],"N/A",0)</f>
        <v>50-74</v>
      </c>
      <c r="E236" s="17">
        <f>_xlfn.XLOOKUP(Table2[[#This Row],[Animal]],Table1[Animal],Table1[Weight (lbs)],"N/A",0)</f>
        <v>15000</v>
      </c>
      <c r="F236" s="17" t="str">
        <f>_xlfn.XLOOKUP(Table2[[#This Row],[Animal]],Table1[Animal],Table1[Weight Group],"N/A",0)</f>
        <v>&gt;=500</v>
      </c>
      <c r="G236" t="str">
        <f>_xlfn.XLOOKUP(Table2[[#This Row],[Animal]],Table1[Animal],Table1[Region],"N/A",0)</f>
        <v>Asia Pacific</v>
      </c>
      <c r="H236" s="17" t="str">
        <f>_xlfn.XLOOKUP(Table2[[#This Row],[Animal]],Table1[Animal],Table1[Transport],"N/A",0)</f>
        <v>Air</v>
      </c>
      <c r="I236">
        <f>_xlfn.XLOOKUP(Table2[[#This Row],[Animal]],Table1[Animal],Table1[Revenue],"N/A",0)</f>
        <v>700</v>
      </c>
      <c r="J236">
        <f>_xlfn.XLOOKUP(Table2[[#This Row],[Animal]],Table1[Animal],Table1[Cost],"N/A",0)</f>
        <v>500</v>
      </c>
      <c r="K236">
        <f>Table2[[#This Row],[Revenue]]-Table2[[#This Row],[Cost]]</f>
        <v>200</v>
      </c>
    </row>
    <row r="237" spans="1:11" x14ac:dyDescent="0.25">
      <c r="A237" t="s">
        <v>341</v>
      </c>
      <c r="B237" t="str">
        <f>_xlfn.XLOOKUP(Table2[[#This Row],[Animal]],Table1[Animal],Table1[Diet],"Not Found",0)</f>
        <v>Carnivore</v>
      </c>
      <c r="C237" s="19">
        <f>_xlfn.XLOOKUP(Table2[[#This Row],[Animal]],Table1[Animal],Table1[Lifespan (Years)],"N/A",0)</f>
        <v>30</v>
      </c>
      <c r="D237" s="17" t="str">
        <f>_xlfn.XLOOKUP(Table2[[#This Row],[Animal]],Table1[Animal],Table1[Lifespan Group],"N/A",0)</f>
        <v>25-49</v>
      </c>
      <c r="E237" s="17">
        <f>_xlfn.XLOOKUP(Table2[[#This Row],[Animal]],Table1[Animal],Table1[Weight (lbs)],"N/A",0)</f>
        <v>4.4000000000000004</v>
      </c>
      <c r="F237" s="17" t="str">
        <f>_xlfn.XLOOKUP(Table2[[#This Row],[Animal]],Table1[Animal],Table1[Weight Group],"N/A",0)</f>
        <v>&lt;100</v>
      </c>
      <c r="G237" t="str">
        <f>_xlfn.XLOOKUP(Table2[[#This Row],[Animal]],Table1[Animal],Table1[Region],"N/A",0)</f>
        <v>Africa &amp; MENA</v>
      </c>
      <c r="H237" s="17" t="str">
        <f>_xlfn.XLOOKUP(Table2[[#This Row],[Animal]],Table1[Animal],Table1[Transport],"N/A",0)</f>
        <v>Air</v>
      </c>
      <c r="I237">
        <f>_xlfn.XLOOKUP(Table2[[#This Row],[Animal]],Table1[Animal],Table1[Revenue],"N/A",0)</f>
        <v>600</v>
      </c>
      <c r="J237">
        <f>_xlfn.XLOOKUP(Table2[[#This Row],[Animal]],Table1[Animal],Table1[Cost],"N/A",0)</f>
        <v>500</v>
      </c>
      <c r="K237">
        <f>Table2[[#This Row],[Revenue]]-Table2[[#This Row],[Cost]]</f>
        <v>100</v>
      </c>
    </row>
    <row r="238" spans="1:11" x14ac:dyDescent="0.25">
      <c r="A238" t="s">
        <v>342</v>
      </c>
      <c r="B238" t="str">
        <f>_xlfn.XLOOKUP(Table2[[#This Row],[Animal]],Table1[Animal],Table1[Diet],"Not Found",0)</f>
        <v>Carnivore</v>
      </c>
      <c r="C238" s="19">
        <f>_xlfn.XLOOKUP(Table2[[#This Row],[Animal]],Table1[Animal],Table1[Lifespan (Years)],"N/A",0)</f>
        <v>20</v>
      </c>
      <c r="D238" s="17" t="str">
        <f>_xlfn.XLOOKUP(Table2[[#This Row],[Animal]],Table1[Animal],Table1[Lifespan Group],"N/A",0)</f>
        <v>&lt;25</v>
      </c>
      <c r="E238" s="17">
        <f>_xlfn.XLOOKUP(Table2[[#This Row],[Animal]],Table1[Animal],Table1[Weight (lbs)],"N/A",0)</f>
        <v>24</v>
      </c>
      <c r="F238" s="17" t="str">
        <f>_xlfn.XLOOKUP(Table2[[#This Row],[Animal]],Table1[Animal],Table1[Weight Group],"N/A",0)</f>
        <v>&lt;100</v>
      </c>
      <c r="G238" t="str">
        <f>_xlfn.XLOOKUP(Table2[[#This Row],[Animal]],Table1[Animal],Table1[Region],"N/A",0)</f>
        <v>North America</v>
      </c>
      <c r="H238" s="17" t="str">
        <f>_xlfn.XLOOKUP(Table2[[#This Row],[Animal]],Table1[Animal],Table1[Transport],"N/A",0)</f>
        <v>Boat</v>
      </c>
      <c r="I238">
        <f>_xlfn.XLOOKUP(Table2[[#This Row],[Animal]],Table1[Animal],Table1[Revenue],"N/A",0)</f>
        <v>400</v>
      </c>
      <c r="J238">
        <f>_xlfn.XLOOKUP(Table2[[#This Row],[Animal]],Table1[Animal],Table1[Cost],"N/A",0)</f>
        <v>500</v>
      </c>
      <c r="K238">
        <f>Table2[[#This Row],[Revenue]]-Table2[[#This Row],[Cost]]</f>
        <v>-100</v>
      </c>
    </row>
    <row r="239" spans="1:11" x14ac:dyDescent="0.25">
      <c r="A239" t="s">
        <v>343</v>
      </c>
      <c r="B239" t="str">
        <f>_xlfn.XLOOKUP(Table2[[#This Row],[Animal]],Table1[Animal],Table1[Diet],"Not Found",0)</f>
        <v>Omnivore</v>
      </c>
      <c r="C239" s="19">
        <f>_xlfn.XLOOKUP(Table2[[#This Row],[Animal]],Table1[Animal],Table1[Lifespan (Years)],"N/A",0)</f>
        <v>10</v>
      </c>
      <c r="D239" s="17" t="str">
        <f>_xlfn.XLOOKUP(Table2[[#This Row],[Animal]],Table1[Animal],Table1[Lifespan Group],"N/A",0)</f>
        <v>&lt;25</v>
      </c>
      <c r="E239" s="17">
        <f>_xlfn.XLOOKUP(Table2[[#This Row],[Animal]],Table1[Animal],Table1[Weight (lbs)],"N/A",0)</f>
        <v>2.5000000000000001E-2</v>
      </c>
      <c r="F239" s="17" t="str">
        <f>_xlfn.XLOOKUP(Table2[[#This Row],[Animal]],Table1[Animal],Table1[Weight Group],"N/A",0)</f>
        <v>&lt;100</v>
      </c>
      <c r="G239" t="str">
        <f>_xlfn.XLOOKUP(Table2[[#This Row],[Animal]],Table1[Animal],Table1[Region],"N/A",0)</f>
        <v>North America</v>
      </c>
      <c r="H239" s="17" t="str">
        <f>_xlfn.XLOOKUP(Table2[[#This Row],[Animal]],Table1[Animal],Table1[Transport],"N/A",0)</f>
        <v>Boat</v>
      </c>
      <c r="I239">
        <f>_xlfn.XLOOKUP(Table2[[#This Row],[Animal]],Table1[Animal],Table1[Revenue],"N/A",0)</f>
        <v>400</v>
      </c>
      <c r="J239">
        <f>_xlfn.XLOOKUP(Table2[[#This Row],[Animal]],Table1[Animal],Table1[Cost],"N/A",0)</f>
        <v>400</v>
      </c>
      <c r="K239">
        <f>Table2[[#This Row],[Revenue]]-Table2[[#This Row],[Cost]]</f>
        <v>0</v>
      </c>
    </row>
    <row r="240" spans="1:11" x14ac:dyDescent="0.25">
      <c r="A240" t="s">
        <v>344</v>
      </c>
      <c r="B240" t="str">
        <f>_xlfn.XLOOKUP(Table2[[#This Row],[Animal]],Table1[Animal],Table1[Diet],"Not Found",0)</f>
        <v>Omnivore</v>
      </c>
      <c r="C240" s="19">
        <f>_xlfn.XLOOKUP(Table2[[#This Row],[Animal]],Table1[Animal],Table1[Lifespan (Years)],"N/A",0)</f>
        <v>12</v>
      </c>
      <c r="D240" s="17" t="str">
        <f>_xlfn.XLOOKUP(Table2[[#This Row],[Animal]],Table1[Animal],Table1[Lifespan Group],"N/A",0)</f>
        <v>&lt;25</v>
      </c>
      <c r="E240" s="17">
        <f>_xlfn.XLOOKUP(Table2[[#This Row],[Animal]],Table1[Animal],Table1[Weight (lbs)],"N/A",0)</f>
        <v>2.6</v>
      </c>
      <c r="F240" s="17" t="str">
        <f>_xlfn.XLOOKUP(Table2[[#This Row],[Animal]],Table1[Animal],Table1[Weight Group],"N/A",0)</f>
        <v>&lt;100</v>
      </c>
      <c r="G240" t="str">
        <f>_xlfn.XLOOKUP(Table2[[#This Row],[Animal]],Table1[Animal],Table1[Region],"N/A",0)</f>
        <v>Greater China</v>
      </c>
      <c r="H240" s="17" t="str">
        <f>_xlfn.XLOOKUP(Table2[[#This Row],[Animal]],Table1[Animal],Table1[Transport],"N/A",0)</f>
        <v>Air</v>
      </c>
      <c r="I240">
        <f>_xlfn.XLOOKUP(Table2[[#This Row],[Animal]],Table1[Animal],Table1[Revenue],"N/A",0)</f>
        <v>600</v>
      </c>
      <c r="J240">
        <f>_xlfn.XLOOKUP(Table2[[#This Row],[Animal]],Table1[Animal],Table1[Cost],"N/A",0)</f>
        <v>400</v>
      </c>
      <c r="K240">
        <f>Table2[[#This Row],[Revenue]]-Table2[[#This Row],[Cost]]</f>
        <v>200</v>
      </c>
    </row>
    <row r="241" spans="1:11" x14ac:dyDescent="0.25">
      <c r="A241" t="s">
        <v>345</v>
      </c>
      <c r="B241" t="str">
        <f>_xlfn.XLOOKUP(Table2[[#This Row],[Animal]],Table1[Animal],Table1[Diet],"Not Found",0)</f>
        <v>Herbivore</v>
      </c>
      <c r="C241" s="19">
        <f>_xlfn.XLOOKUP(Table2[[#This Row],[Animal]],Table1[Animal],Table1[Lifespan (Years)],"N/A",0)</f>
        <v>20</v>
      </c>
      <c r="D241" s="17" t="str">
        <f>_xlfn.XLOOKUP(Table2[[#This Row],[Animal]],Table1[Animal],Table1[Lifespan Group],"N/A",0)</f>
        <v>&lt;25</v>
      </c>
      <c r="E241" s="17">
        <f>_xlfn.XLOOKUP(Table2[[#This Row],[Animal]],Table1[Animal],Table1[Weight (lbs)],"N/A",0)</f>
        <v>8.8000000000000007</v>
      </c>
      <c r="F241" s="17" t="str">
        <f>_xlfn.XLOOKUP(Table2[[#This Row],[Animal]],Table1[Animal],Table1[Weight Group],"N/A",0)</f>
        <v>&lt;100</v>
      </c>
      <c r="G241" t="str">
        <f>_xlfn.XLOOKUP(Table2[[#This Row],[Animal]],Table1[Animal],Table1[Region],"N/A",0)</f>
        <v>Africa &amp; MENA</v>
      </c>
      <c r="H241" s="17" t="str">
        <f>_xlfn.XLOOKUP(Table2[[#This Row],[Animal]],Table1[Animal],Table1[Transport],"N/A",0)</f>
        <v>Air</v>
      </c>
      <c r="I241">
        <f>_xlfn.XLOOKUP(Table2[[#This Row],[Animal]],Table1[Animal],Table1[Revenue],"N/A",0)</f>
        <v>600</v>
      </c>
      <c r="J241">
        <f>_xlfn.XLOOKUP(Table2[[#This Row],[Animal]],Table1[Animal],Table1[Cost],"N/A",0)</f>
        <v>300</v>
      </c>
      <c r="K241">
        <f>Table2[[#This Row],[Revenue]]-Table2[[#This Row],[Cost]]</f>
        <v>300</v>
      </c>
    </row>
    <row r="242" spans="1:11" x14ac:dyDescent="0.25">
      <c r="A242" t="s">
        <v>346</v>
      </c>
      <c r="B242" t="str">
        <f>_xlfn.XLOOKUP(Table2[[#This Row],[Animal]],Table1[Animal],Table1[Diet],"Not Found",0)</f>
        <v>Carnivore</v>
      </c>
      <c r="C242" s="19">
        <f>_xlfn.XLOOKUP(Table2[[#This Row],[Animal]],Table1[Animal],Table1[Lifespan (Years)],"N/A",0)</f>
        <v>40</v>
      </c>
      <c r="D242" s="17" t="str">
        <f>_xlfn.XLOOKUP(Table2[[#This Row],[Animal]],Table1[Animal],Table1[Lifespan Group],"N/A",0)</f>
        <v>25-49</v>
      </c>
      <c r="E242" s="17">
        <f>_xlfn.XLOOKUP(Table2[[#This Row],[Animal]],Table1[Animal],Table1[Weight (lbs)],"N/A",0)</f>
        <v>150</v>
      </c>
      <c r="F242" s="17" t="str">
        <f>_xlfn.XLOOKUP(Table2[[#This Row],[Animal]],Table1[Animal],Table1[Weight Group],"N/A",0)</f>
        <v>100-199</v>
      </c>
      <c r="G242" t="str">
        <f>_xlfn.XLOOKUP(Table2[[#This Row],[Animal]],Table1[Animal],Table1[Region],"N/A",0)</f>
        <v>North America</v>
      </c>
      <c r="H242" s="17" t="str">
        <f>_xlfn.XLOOKUP(Table2[[#This Row],[Animal]],Table1[Animal],Table1[Transport],"N/A",0)</f>
        <v>Boat</v>
      </c>
      <c r="I242">
        <f>_xlfn.XLOOKUP(Table2[[#This Row],[Animal]],Table1[Animal],Table1[Revenue],"N/A",0)</f>
        <v>400</v>
      </c>
      <c r="J242">
        <f>_xlfn.XLOOKUP(Table2[[#This Row],[Animal]],Table1[Animal],Table1[Cost],"N/A",0)</f>
        <v>500</v>
      </c>
      <c r="K242">
        <f>Table2[[#This Row],[Revenue]]-Table2[[#This Row],[Cost]]</f>
        <v>-100</v>
      </c>
    </row>
    <row r="243" spans="1:11" x14ac:dyDescent="0.25">
      <c r="A243" t="s">
        <v>347</v>
      </c>
      <c r="B243" t="str">
        <f>_xlfn.XLOOKUP(Table2[[#This Row],[Animal]],Table1[Animal],Table1[Diet],"Not Found",0)</f>
        <v>Herbivore</v>
      </c>
      <c r="C243" s="19">
        <f>_xlfn.XLOOKUP(Table2[[#This Row],[Animal]],Table1[Animal],Table1[Lifespan (Years)],"N/A",0)</f>
        <v>14</v>
      </c>
      <c r="D243" s="17" t="str">
        <f>_xlfn.XLOOKUP(Table2[[#This Row],[Animal]],Table1[Animal],Table1[Lifespan Group],"N/A",0)</f>
        <v>&lt;25</v>
      </c>
      <c r="E243" s="17">
        <f>_xlfn.XLOOKUP(Table2[[#This Row],[Animal]],Table1[Animal],Table1[Weight (lbs)],"N/A",0)</f>
        <v>265</v>
      </c>
      <c r="F243" s="17" t="str">
        <f>_xlfn.XLOOKUP(Table2[[#This Row],[Animal]],Table1[Animal],Table1[Weight Group],"N/A",0)</f>
        <v>200-299</v>
      </c>
      <c r="G243" t="str">
        <f>_xlfn.XLOOKUP(Table2[[#This Row],[Animal]],Table1[Animal],Table1[Region],"N/A",0)</f>
        <v>Greater China</v>
      </c>
      <c r="H243" s="17" t="str">
        <f>_xlfn.XLOOKUP(Table2[[#This Row],[Animal]],Table1[Animal],Table1[Transport],"N/A",0)</f>
        <v>Air</v>
      </c>
      <c r="I243">
        <f>_xlfn.XLOOKUP(Table2[[#This Row],[Animal]],Table1[Animal],Table1[Revenue],"N/A",0)</f>
        <v>600</v>
      </c>
      <c r="J243">
        <f>_xlfn.XLOOKUP(Table2[[#This Row],[Animal]],Table1[Animal],Table1[Cost],"N/A",0)</f>
        <v>300</v>
      </c>
      <c r="K243">
        <f>Table2[[#This Row],[Revenue]]-Table2[[#This Row],[Cost]]</f>
        <v>300</v>
      </c>
    </row>
    <row r="244" spans="1:11" x14ac:dyDescent="0.25">
      <c r="A244" t="s">
        <v>348</v>
      </c>
      <c r="B244" t="str">
        <f>_xlfn.XLOOKUP(Table2[[#This Row],[Animal]],Table1[Animal],Table1[Diet],"Not Found",0)</f>
        <v>Omnivore</v>
      </c>
      <c r="C244" s="19">
        <f>_xlfn.XLOOKUP(Table2[[#This Row],[Animal]],Table1[Animal],Table1[Lifespan (Years)],"N/A",0)</f>
        <v>12</v>
      </c>
      <c r="D244" s="17" t="str">
        <f>_xlfn.XLOOKUP(Table2[[#This Row],[Animal]],Table1[Animal],Table1[Lifespan Group],"N/A",0)</f>
        <v>&lt;25</v>
      </c>
      <c r="E244" s="17">
        <f>_xlfn.XLOOKUP(Table2[[#This Row],[Animal]],Table1[Animal],Table1[Weight (lbs)],"N/A",0)</f>
        <v>75</v>
      </c>
      <c r="F244" s="17" t="str">
        <f>_xlfn.XLOOKUP(Table2[[#This Row],[Animal]],Table1[Animal],Table1[Weight Group],"N/A",0)</f>
        <v>&lt;100</v>
      </c>
      <c r="G244" t="str">
        <f>_xlfn.XLOOKUP(Table2[[#This Row],[Animal]],Table1[Animal],Table1[Region],"N/A",0)</f>
        <v>Greater China</v>
      </c>
      <c r="H244" s="17" t="str">
        <f>_xlfn.XLOOKUP(Table2[[#This Row],[Animal]],Table1[Animal],Table1[Transport],"N/A",0)</f>
        <v>Air</v>
      </c>
      <c r="I244">
        <f>_xlfn.XLOOKUP(Table2[[#This Row],[Animal]],Table1[Animal],Table1[Revenue],"N/A",0)</f>
        <v>600</v>
      </c>
      <c r="J244">
        <f>_xlfn.XLOOKUP(Table2[[#This Row],[Animal]],Table1[Animal],Table1[Cost],"N/A",0)</f>
        <v>400</v>
      </c>
      <c r="K244">
        <f>Table2[[#This Row],[Revenue]]-Table2[[#This Row],[Cost]]</f>
        <v>200</v>
      </c>
    </row>
    <row r="245" spans="1:11" x14ac:dyDescent="0.25">
      <c r="A245" t="s">
        <v>349</v>
      </c>
      <c r="B245" t="str">
        <f>_xlfn.XLOOKUP(Table2[[#This Row],[Animal]],Table1[Animal],Table1[Diet],"Not Found",0)</f>
        <v>Omnivore</v>
      </c>
      <c r="C245" s="19">
        <f>_xlfn.XLOOKUP(Table2[[#This Row],[Animal]],Table1[Animal],Table1[Lifespan (Years)],"N/A",0)</f>
        <v>15</v>
      </c>
      <c r="D245" s="17" t="str">
        <f>_xlfn.XLOOKUP(Table2[[#This Row],[Animal]],Table1[Animal],Table1[Lifespan Group],"N/A",0)</f>
        <v>&lt;25</v>
      </c>
      <c r="E245" s="17">
        <f>_xlfn.XLOOKUP(Table2[[#This Row],[Animal]],Table1[Animal],Table1[Weight (lbs)],"N/A",0)</f>
        <v>75</v>
      </c>
      <c r="F245" s="17" t="str">
        <f>_xlfn.XLOOKUP(Table2[[#This Row],[Animal]],Table1[Animal],Table1[Weight Group],"N/A",0)</f>
        <v>&lt;100</v>
      </c>
      <c r="G245" t="str">
        <f>_xlfn.XLOOKUP(Table2[[#This Row],[Animal]],Table1[Animal],Table1[Region],"N/A",0)</f>
        <v>Greater China</v>
      </c>
      <c r="H245" s="17" t="str">
        <f>_xlfn.XLOOKUP(Table2[[#This Row],[Animal]],Table1[Animal],Table1[Transport],"N/A",0)</f>
        <v>Air</v>
      </c>
      <c r="I245">
        <f>_xlfn.XLOOKUP(Table2[[#This Row],[Animal]],Table1[Animal],Table1[Revenue],"N/A",0)</f>
        <v>600</v>
      </c>
      <c r="J245">
        <f>_xlfn.XLOOKUP(Table2[[#This Row],[Animal]],Table1[Animal],Table1[Cost],"N/A",0)</f>
        <v>400</v>
      </c>
      <c r="K245">
        <f>Table2[[#This Row],[Revenue]]-Table2[[#This Row],[Cost]]</f>
        <v>200</v>
      </c>
    </row>
    <row r="246" spans="1:11" x14ac:dyDescent="0.25">
      <c r="A246" t="s">
        <v>350</v>
      </c>
      <c r="B246" t="str">
        <f>_xlfn.XLOOKUP(Table2[[#This Row],[Animal]],Table1[Animal],Table1[Diet],"Not Found",0)</f>
        <v>Carnivore</v>
      </c>
      <c r="C246" s="19">
        <f>_xlfn.XLOOKUP(Table2[[#This Row],[Animal]],Table1[Animal],Table1[Lifespan (Years)],"N/A",0)</f>
        <v>2</v>
      </c>
      <c r="D246" s="17" t="str">
        <f>_xlfn.XLOOKUP(Table2[[#This Row],[Animal]],Table1[Animal],Table1[Lifespan Group],"N/A",0)</f>
        <v>&lt;25</v>
      </c>
      <c r="E246" s="17">
        <f>_xlfn.XLOOKUP(Table2[[#This Row],[Animal]],Table1[Animal],Table1[Weight (lbs)],"N/A",0)</f>
        <v>0</v>
      </c>
      <c r="F246" s="17" t="str">
        <f>_xlfn.XLOOKUP(Table2[[#This Row],[Animal]],Table1[Animal],Table1[Weight Group],"N/A",0)</f>
        <v>N/A</v>
      </c>
      <c r="G246" t="str">
        <f>_xlfn.XLOOKUP(Table2[[#This Row],[Animal]],Table1[Animal],Table1[Region],"N/A",0)</f>
        <v>Greater China</v>
      </c>
      <c r="H246" s="17" t="str">
        <f>_xlfn.XLOOKUP(Table2[[#This Row],[Animal]],Table1[Animal],Table1[Transport],"N/A",0)</f>
        <v>Air</v>
      </c>
      <c r="I246">
        <f>_xlfn.XLOOKUP(Table2[[#This Row],[Animal]],Table1[Animal],Table1[Revenue],"N/A",0)</f>
        <v>600</v>
      </c>
      <c r="J246">
        <f>_xlfn.XLOOKUP(Table2[[#This Row],[Animal]],Table1[Animal],Table1[Cost],"N/A",0)</f>
        <v>500</v>
      </c>
      <c r="K246">
        <f>Table2[[#This Row],[Revenue]]-Table2[[#This Row],[Cost]]</f>
        <v>100</v>
      </c>
    </row>
    <row r="247" spans="1:11" x14ac:dyDescent="0.25">
      <c r="A247" t="s">
        <v>352</v>
      </c>
      <c r="B247" t="str">
        <f>_xlfn.XLOOKUP(Table2[[#This Row],[Animal]],Table1[Animal],Table1[Diet],"Not Found",0)</f>
        <v>Herbivore</v>
      </c>
      <c r="C247" s="19">
        <f>_xlfn.XLOOKUP(Table2[[#This Row],[Animal]],Table1[Animal],Table1[Lifespan (Years)],"N/A",0)</f>
        <v>3</v>
      </c>
      <c r="D247" s="17" t="str">
        <f>_xlfn.XLOOKUP(Table2[[#This Row],[Animal]],Table1[Animal],Table1[Lifespan Group],"N/A",0)</f>
        <v>&lt;25</v>
      </c>
      <c r="E247" s="17">
        <f>_xlfn.XLOOKUP(Table2[[#This Row],[Animal]],Table1[Animal],Table1[Weight (lbs)],"N/A",0)</f>
        <v>6.8750000000000006E-2</v>
      </c>
      <c r="F247" s="17" t="str">
        <f>_xlfn.XLOOKUP(Table2[[#This Row],[Animal]],Table1[Animal],Table1[Weight Group],"N/A",0)</f>
        <v>&lt;100</v>
      </c>
      <c r="G247" t="str">
        <f>_xlfn.XLOOKUP(Table2[[#This Row],[Animal]],Table1[Animal],Table1[Region],"N/A",0)</f>
        <v>Greater China</v>
      </c>
      <c r="H247" s="17" t="str">
        <f>_xlfn.XLOOKUP(Table2[[#This Row],[Animal]],Table1[Animal],Table1[Transport],"N/A",0)</f>
        <v>Air</v>
      </c>
      <c r="I247">
        <f>_xlfn.XLOOKUP(Table2[[#This Row],[Animal]],Table1[Animal],Table1[Revenue],"N/A",0)</f>
        <v>600</v>
      </c>
      <c r="J247">
        <f>_xlfn.XLOOKUP(Table2[[#This Row],[Animal]],Table1[Animal],Table1[Cost],"N/A",0)</f>
        <v>300</v>
      </c>
      <c r="K247">
        <f>Table2[[#This Row],[Revenue]]-Table2[[#This Row],[Cost]]</f>
        <v>300</v>
      </c>
    </row>
    <row r="248" spans="1:11" x14ac:dyDescent="0.25">
      <c r="A248" t="s">
        <v>353</v>
      </c>
      <c r="B248" t="str">
        <f>_xlfn.XLOOKUP(Table2[[#This Row],[Animal]],Table1[Animal],Table1[Diet],"Not Found",0)</f>
        <v>Omnivore</v>
      </c>
      <c r="C248" s="19">
        <f>_xlfn.XLOOKUP(Table2[[#This Row],[Animal]],Table1[Animal],Table1[Lifespan (Years)],"N/A",0)</f>
        <v>14</v>
      </c>
      <c r="D248" s="17" t="str">
        <f>_xlfn.XLOOKUP(Table2[[#This Row],[Animal]],Table1[Animal],Table1[Lifespan Group],"N/A",0)</f>
        <v>&lt;25</v>
      </c>
      <c r="E248" s="17">
        <f>_xlfn.XLOOKUP(Table2[[#This Row],[Animal]],Table1[Animal],Table1[Weight (lbs)],"N/A",0)</f>
        <v>10</v>
      </c>
      <c r="F248" s="17" t="str">
        <f>_xlfn.XLOOKUP(Table2[[#This Row],[Animal]],Table1[Animal],Table1[Weight Group],"N/A",0)</f>
        <v>&lt;100</v>
      </c>
      <c r="G248" t="str">
        <f>_xlfn.XLOOKUP(Table2[[#This Row],[Animal]],Table1[Animal],Table1[Region],"N/A",0)</f>
        <v>Greater China</v>
      </c>
      <c r="H248" s="17" t="str">
        <f>_xlfn.XLOOKUP(Table2[[#This Row],[Animal]],Table1[Animal],Table1[Transport],"N/A",0)</f>
        <v>Air</v>
      </c>
      <c r="I248">
        <f>_xlfn.XLOOKUP(Table2[[#This Row],[Animal]],Table1[Animal],Table1[Revenue],"N/A",0)</f>
        <v>600</v>
      </c>
      <c r="J248">
        <f>_xlfn.XLOOKUP(Table2[[#This Row],[Animal]],Table1[Animal],Table1[Cost],"N/A",0)</f>
        <v>400</v>
      </c>
      <c r="K248">
        <f>Table2[[#This Row],[Revenue]]-Table2[[#This Row],[Cost]]</f>
        <v>200</v>
      </c>
    </row>
    <row r="249" spans="1:11" x14ac:dyDescent="0.25">
      <c r="A249" t="s">
        <v>354</v>
      </c>
      <c r="B249" t="str">
        <f>_xlfn.XLOOKUP(Table2[[#This Row],[Animal]],Table1[Animal],Table1[Diet],"Not Found",0)</f>
        <v>Carnivore</v>
      </c>
      <c r="C249" s="19">
        <f>_xlfn.XLOOKUP(Table2[[#This Row],[Animal]],Table1[Animal],Table1[Lifespan (Years)],"N/A",0)</f>
        <v>15</v>
      </c>
      <c r="D249" s="17" t="str">
        <f>_xlfn.XLOOKUP(Table2[[#This Row],[Animal]],Table1[Animal],Table1[Lifespan Group],"N/A",0)</f>
        <v>&lt;25</v>
      </c>
      <c r="E249" s="17">
        <f>_xlfn.XLOOKUP(Table2[[#This Row],[Animal]],Table1[Animal],Table1[Weight (lbs)],"N/A",0)</f>
        <v>66</v>
      </c>
      <c r="F249" s="17" t="str">
        <f>_xlfn.XLOOKUP(Table2[[#This Row],[Animal]],Table1[Animal],Table1[Weight Group],"N/A",0)</f>
        <v>&lt;100</v>
      </c>
      <c r="G249" t="str">
        <f>_xlfn.XLOOKUP(Table2[[#This Row],[Animal]],Table1[Animal],Table1[Region],"N/A",0)</f>
        <v>Greater China</v>
      </c>
      <c r="H249" s="17" t="str">
        <f>_xlfn.XLOOKUP(Table2[[#This Row],[Animal]],Table1[Animal],Table1[Transport],"N/A",0)</f>
        <v>Air</v>
      </c>
      <c r="I249">
        <f>_xlfn.XLOOKUP(Table2[[#This Row],[Animal]],Table1[Animal],Table1[Revenue],"N/A",0)</f>
        <v>600</v>
      </c>
      <c r="J249">
        <f>_xlfn.XLOOKUP(Table2[[#This Row],[Animal]],Table1[Animal],Table1[Cost],"N/A",0)</f>
        <v>500</v>
      </c>
      <c r="K249">
        <f>Table2[[#This Row],[Revenue]]-Table2[[#This Row],[Cost]]</f>
        <v>100</v>
      </c>
    </row>
    <row r="250" spans="1:11" x14ac:dyDescent="0.25">
      <c r="A250" t="s">
        <v>355</v>
      </c>
      <c r="B250" t="str">
        <f>_xlfn.XLOOKUP(Table2[[#This Row],[Animal]],Table1[Animal],Table1[Diet],"Not Found",0)</f>
        <v>Carnivore</v>
      </c>
      <c r="C250" s="19">
        <f>_xlfn.XLOOKUP(Table2[[#This Row],[Animal]],Table1[Animal],Table1[Lifespan (Years)],"N/A",0)</f>
        <v>24</v>
      </c>
      <c r="D250" s="17" t="str">
        <f>_xlfn.XLOOKUP(Table2[[#This Row],[Animal]],Table1[Animal],Table1[Lifespan Group],"N/A",0)</f>
        <v>&lt;25</v>
      </c>
      <c r="E250" s="17">
        <f>_xlfn.XLOOKUP(Table2[[#This Row],[Animal]],Table1[Animal],Table1[Weight (lbs)],"N/A",0)</f>
        <v>440</v>
      </c>
      <c r="F250" s="17" t="str">
        <f>_xlfn.XLOOKUP(Table2[[#This Row],[Animal]],Table1[Animal],Table1[Weight Group],"N/A",0)</f>
        <v>400-499</v>
      </c>
      <c r="G250" t="str">
        <f>_xlfn.XLOOKUP(Table2[[#This Row],[Animal]],Table1[Animal],Table1[Region],"N/A",0)</f>
        <v>Asia Pacific</v>
      </c>
      <c r="H250" s="17" t="str">
        <f>_xlfn.XLOOKUP(Table2[[#This Row],[Animal]],Table1[Animal],Table1[Transport],"N/A",0)</f>
        <v>Air</v>
      </c>
      <c r="I250">
        <f>_xlfn.XLOOKUP(Table2[[#This Row],[Animal]],Table1[Animal],Table1[Revenue],"N/A",0)</f>
        <v>700</v>
      </c>
      <c r="J250">
        <f>_xlfn.XLOOKUP(Table2[[#This Row],[Animal]],Table1[Animal],Table1[Cost],"N/A",0)</f>
        <v>500</v>
      </c>
      <c r="K250">
        <f>Table2[[#This Row],[Revenue]]-Table2[[#This Row],[Cost]]</f>
        <v>200</v>
      </c>
    </row>
    <row r="251" spans="1:11" x14ac:dyDescent="0.25">
      <c r="A251" t="s">
        <v>356</v>
      </c>
      <c r="B251" t="str">
        <f>_xlfn.XLOOKUP(Table2[[#This Row],[Animal]],Table1[Animal],Table1[Diet],"Not Found",0)</f>
        <v>Herbivore</v>
      </c>
      <c r="C251" s="19">
        <f>_xlfn.XLOOKUP(Table2[[#This Row],[Animal]],Table1[Animal],Table1[Lifespan (Years)],"N/A",0)</f>
        <v>100</v>
      </c>
      <c r="D251" s="17" t="str">
        <f>_xlfn.XLOOKUP(Table2[[#This Row],[Animal]],Table1[Animal],Table1[Lifespan Group],"N/A",0)</f>
        <v>&gt;=100</v>
      </c>
      <c r="E251" s="17">
        <f>_xlfn.XLOOKUP(Table2[[#This Row],[Animal]],Table1[Animal],Table1[Weight (lbs)],"N/A",0)</f>
        <v>40</v>
      </c>
      <c r="F251" s="17" t="str">
        <f>_xlfn.XLOOKUP(Table2[[#This Row],[Animal]],Table1[Animal],Table1[Weight Group],"N/A",0)</f>
        <v>&lt;100</v>
      </c>
      <c r="G251" t="str">
        <f>_xlfn.XLOOKUP(Table2[[#This Row],[Animal]],Table1[Animal],Table1[Region],"N/A",0)</f>
        <v>Japan</v>
      </c>
      <c r="H251" s="17" t="str">
        <f>_xlfn.XLOOKUP(Table2[[#This Row],[Animal]],Table1[Animal],Table1[Transport],"N/A",0)</f>
        <v>Air</v>
      </c>
      <c r="I251">
        <f>_xlfn.XLOOKUP(Table2[[#This Row],[Animal]],Table1[Animal],Table1[Revenue],"N/A",0)</f>
        <v>350</v>
      </c>
      <c r="J251">
        <f>_xlfn.XLOOKUP(Table2[[#This Row],[Animal]],Table1[Animal],Table1[Cost],"N/A",0)</f>
        <v>300</v>
      </c>
      <c r="K251">
        <f>Table2[[#This Row],[Revenue]]-Table2[[#This Row],[Cost]]</f>
        <v>50</v>
      </c>
    </row>
    <row r="252" spans="1:11" x14ac:dyDescent="0.25">
      <c r="A252" t="s">
        <v>358</v>
      </c>
      <c r="B252" t="str">
        <f>_xlfn.XLOOKUP(Table2[[#This Row],[Animal]],Table1[Animal],Table1[Diet],"Not Found",0)</f>
        <v>Carnivore</v>
      </c>
      <c r="C252" s="19">
        <f>_xlfn.XLOOKUP(Table2[[#This Row],[Animal]],Table1[Animal],Table1[Lifespan (Years)],"N/A",0)</f>
        <v>15</v>
      </c>
      <c r="D252" s="17" t="str">
        <f>_xlfn.XLOOKUP(Table2[[#This Row],[Animal]],Table1[Animal],Table1[Lifespan Group],"N/A",0)</f>
        <v>&lt;25</v>
      </c>
      <c r="E252" s="17">
        <f>_xlfn.XLOOKUP(Table2[[#This Row],[Animal]],Table1[Animal],Table1[Weight (lbs)],"N/A",0)</f>
        <v>264</v>
      </c>
      <c r="F252" s="17" t="str">
        <f>_xlfn.XLOOKUP(Table2[[#This Row],[Animal]],Table1[Animal],Table1[Weight Group],"N/A",0)</f>
        <v>200-299</v>
      </c>
      <c r="G252" t="str">
        <f>_xlfn.XLOOKUP(Table2[[#This Row],[Animal]],Table1[Animal],Table1[Region],"N/A",0)</f>
        <v>Europe &amp; Eurasia</v>
      </c>
      <c r="H252" s="17" t="str">
        <f>_xlfn.XLOOKUP(Table2[[#This Row],[Animal]],Table1[Animal],Table1[Transport],"N/A",0)</f>
        <v>Road</v>
      </c>
      <c r="I252">
        <f>_xlfn.XLOOKUP(Table2[[#This Row],[Animal]],Table1[Animal],Table1[Revenue],"N/A",0)</f>
        <v>450</v>
      </c>
      <c r="J252">
        <f>_xlfn.XLOOKUP(Table2[[#This Row],[Animal]],Table1[Animal],Table1[Cost],"N/A",0)</f>
        <v>500</v>
      </c>
      <c r="K252">
        <f>Table2[[#This Row],[Revenue]]-Table2[[#This Row],[Cost]]</f>
        <v>-50</v>
      </c>
    </row>
    <row r="253" spans="1:11" x14ac:dyDescent="0.25">
      <c r="A253" t="s">
        <v>360</v>
      </c>
      <c r="B253" t="str">
        <f>_xlfn.XLOOKUP(Table2[[#This Row],[Animal]],Table1[Animal],Table1[Diet],"Not Found",0)</f>
        <v>Carnivore</v>
      </c>
      <c r="C253" s="19">
        <f>_xlfn.XLOOKUP(Table2[[#This Row],[Animal]],Table1[Animal],Table1[Lifespan (Years)],"N/A",0)</f>
        <v>20</v>
      </c>
      <c r="D253" s="17" t="str">
        <f>_xlfn.XLOOKUP(Table2[[#This Row],[Animal]],Table1[Animal],Table1[Lifespan Group],"N/A",0)</f>
        <v>&lt;25</v>
      </c>
      <c r="E253" s="17">
        <f>_xlfn.XLOOKUP(Table2[[#This Row],[Animal]],Table1[Animal],Table1[Weight (lbs)],"N/A",0)</f>
        <v>2.2000000000000002</v>
      </c>
      <c r="F253" s="17" t="str">
        <f>_xlfn.XLOOKUP(Table2[[#This Row],[Animal]],Table1[Animal],Table1[Weight Group],"N/A",0)</f>
        <v>&lt;100</v>
      </c>
      <c r="G253" t="str">
        <f>_xlfn.XLOOKUP(Table2[[#This Row],[Animal]],Table1[Animal],Table1[Region],"N/A",0)</f>
        <v>North America</v>
      </c>
      <c r="H253" s="17" t="str">
        <f>_xlfn.XLOOKUP(Table2[[#This Row],[Animal]],Table1[Animal],Table1[Transport],"N/A",0)</f>
        <v>Boat</v>
      </c>
      <c r="I253">
        <f>_xlfn.XLOOKUP(Table2[[#This Row],[Animal]],Table1[Animal],Table1[Revenue],"N/A",0)</f>
        <v>400</v>
      </c>
      <c r="J253">
        <f>_xlfn.XLOOKUP(Table2[[#This Row],[Animal]],Table1[Animal],Table1[Cost],"N/A",0)</f>
        <v>500</v>
      </c>
      <c r="K253">
        <f>Table2[[#This Row],[Revenue]]-Table2[[#This Row],[Cost]]</f>
        <v>-100</v>
      </c>
    </row>
    <row r="254" spans="1:11" x14ac:dyDescent="0.25">
      <c r="A254" t="s">
        <v>361</v>
      </c>
      <c r="B254" t="str">
        <f>_xlfn.XLOOKUP(Table2[[#This Row],[Animal]],Table1[Animal],Table1[Diet],"Not Found",0)</f>
        <v>Omnivore</v>
      </c>
      <c r="C254" s="19">
        <f>_xlfn.XLOOKUP(Table2[[#This Row],[Animal]],Table1[Animal],Table1[Lifespan (Years)],"N/A",0)</f>
        <v>30</v>
      </c>
      <c r="D254" s="17" t="str">
        <f>_xlfn.XLOOKUP(Table2[[#This Row],[Animal]],Table1[Animal],Table1[Lifespan Group],"N/A",0)</f>
        <v>25-49</v>
      </c>
      <c r="E254" s="17">
        <f>_xlfn.XLOOKUP(Table2[[#This Row],[Animal]],Table1[Animal],Table1[Weight (lbs)],"N/A",0)</f>
        <v>100</v>
      </c>
      <c r="F254" s="17" t="str">
        <f>_xlfn.XLOOKUP(Table2[[#This Row],[Animal]],Table1[Animal],Table1[Weight Group],"N/A",0)</f>
        <v>100-199</v>
      </c>
      <c r="G254" t="str">
        <f>_xlfn.XLOOKUP(Table2[[#This Row],[Animal]],Table1[Animal],Table1[Region],"N/A",0)</f>
        <v>Europe &amp; Eurasia</v>
      </c>
      <c r="H254" s="17" t="str">
        <f>_xlfn.XLOOKUP(Table2[[#This Row],[Animal]],Table1[Animal],Table1[Transport],"N/A",0)</f>
        <v>Road</v>
      </c>
      <c r="I254">
        <f>_xlfn.XLOOKUP(Table2[[#This Row],[Animal]],Table1[Animal],Table1[Revenue],"N/A",0)</f>
        <v>450</v>
      </c>
      <c r="J254">
        <f>_xlfn.XLOOKUP(Table2[[#This Row],[Animal]],Table1[Animal],Table1[Cost],"N/A",0)</f>
        <v>400</v>
      </c>
      <c r="K254">
        <f>Table2[[#This Row],[Revenue]]-Table2[[#This Row],[Cost]]</f>
        <v>50</v>
      </c>
    </row>
    <row r="255" spans="1:11" x14ac:dyDescent="0.25">
      <c r="A255" t="s">
        <v>362</v>
      </c>
      <c r="B255" t="str">
        <f>_xlfn.XLOOKUP(Table2[[#This Row],[Animal]],Table1[Animal],Table1[Diet],"Not Found",0)</f>
        <v>Herbivore</v>
      </c>
      <c r="C255" s="19">
        <f>_xlfn.XLOOKUP(Table2[[#This Row],[Animal]],Table1[Animal],Table1[Lifespan (Years)],"N/A",0)</f>
        <v>20</v>
      </c>
      <c r="D255" s="17" t="str">
        <f>_xlfn.XLOOKUP(Table2[[#This Row],[Animal]],Table1[Animal],Table1[Lifespan Group],"N/A",0)</f>
        <v>&lt;25</v>
      </c>
      <c r="E255" s="17">
        <f>_xlfn.XLOOKUP(Table2[[#This Row],[Animal]],Table1[Animal],Table1[Weight (lbs)],"N/A",0)</f>
        <v>280</v>
      </c>
      <c r="F255" s="17" t="str">
        <f>_xlfn.XLOOKUP(Table2[[#This Row],[Animal]],Table1[Animal],Table1[Weight Group],"N/A",0)</f>
        <v>200-299</v>
      </c>
      <c r="G255" t="str">
        <f>_xlfn.XLOOKUP(Table2[[#This Row],[Animal]],Table1[Animal],Table1[Region],"N/A",0)</f>
        <v>Greater China</v>
      </c>
      <c r="H255" s="17" t="str">
        <f>_xlfn.XLOOKUP(Table2[[#This Row],[Animal]],Table1[Animal],Table1[Transport],"N/A",0)</f>
        <v>Air</v>
      </c>
      <c r="I255">
        <f>_xlfn.XLOOKUP(Table2[[#This Row],[Animal]],Table1[Animal],Table1[Revenue],"N/A",0)</f>
        <v>600</v>
      </c>
      <c r="J255">
        <f>_xlfn.XLOOKUP(Table2[[#This Row],[Animal]],Table1[Animal],Table1[Cost],"N/A",0)</f>
        <v>300</v>
      </c>
      <c r="K255">
        <f>Table2[[#This Row],[Revenue]]-Table2[[#This Row],[Cost]]</f>
        <v>300</v>
      </c>
    </row>
    <row r="256" spans="1:11" x14ac:dyDescent="0.25">
      <c r="A256" t="s">
        <v>363</v>
      </c>
      <c r="B256" t="str">
        <f>_xlfn.XLOOKUP(Table2[[#This Row],[Animal]],Table1[Animal],Table1[Diet],"Not Found",0)</f>
        <v>Carnivore</v>
      </c>
      <c r="C256" s="19">
        <f>_xlfn.XLOOKUP(Table2[[#This Row],[Animal]],Table1[Animal],Table1[Lifespan (Years)],"N/A",0)</f>
        <v>80</v>
      </c>
      <c r="D256" s="17" t="str">
        <f>_xlfn.XLOOKUP(Table2[[#This Row],[Animal]],Table1[Animal],Table1[Lifespan Group],"N/A",0)</f>
        <v>75-99</v>
      </c>
      <c r="E256" s="17">
        <f>_xlfn.XLOOKUP(Table2[[#This Row],[Animal]],Table1[Animal],Table1[Weight (lbs)],"N/A",0)</f>
        <v>2.2000000000000002</v>
      </c>
      <c r="F256" s="17" t="str">
        <f>_xlfn.XLOOKUP(Table2[[#This Row],[Animal]],Table1[Animal],Table1[Weight Group],"N/A",0)</f>
        <v>&lt;100</v>
      </c>
      <c r="G256" t="str">
        <f>_xlfn.XLOOKUP(Table2[[#This Row],[Animal]],Table1[Animal],Table1[Region],"N/A",0)</f>
        <v>Greater China</v>
      </c>
      <c r="H256" s="17" t="str">
        <f>_xlfn.XLOOKUP(Table2[[#This Row],[Animal]],Table1[Animal],Table1[Transport],"N/A",0)</f>
        <v>Air</v>
      </c>
      <c r="I256">
        <f>_xlfn.XLOOKUP(Table2[[#This Row],[Animal]],Table1[Animal],Table1[Revenue],"N/A",0)</f>
        <v>600</v>
      </c>
      <c r="J256">
        <f>_xlfn.XLOOKUP(Table2[[#This Row],[Animal]],Table1[Animal],Table1[Cost],"N/A",0)</f>
        <v>500</v>
      </c>
      <c r="K256">
        <f>Table2[[#This Row],[Revenue]]-Table2[[#This Row],[Cost]]</f>
        <v>100</v>
      </c>
    </row>
    <row r="257" spans="1:11" x14ac:dyDescent="0.25">
      <c r="A257" t="s">
        <v>364</v>
      </c>
      <c r="B257" t="str">
        <f>_xlfn.XLOOKUP(Table2[[#This Row],[Animal]],Table1[Animal],Table1[Diet],"Not Found",0)</f>
        <v>Carnivore</v>
      </c>
      <c r="C257" s="19">
        <f>_xlfn.XLOOKUP(Table2[[#This Row],[Animal]],Table1[Animal],Table1[Lifespan (Years)],"N/A",0)</f>
        <v>60</v>
      </c>
      <c r="D257" s="17" t="str">
        <f>_xlfn.XLOOKUP(Table2[[#This Row],[Animal]],Table1[Animal],Table1[Lifespan Group],"N/A",0)</f>
        <v>50-74</v>
      </c>
      <c r="E257" s="17">
        <f>_xlfn.XLOOKUP(Table2[[#This Row],[Animal]],Table1[Animal],Table1[Weight (lbs)],"N/A",0)</f>
        <v>0.21875</v>
      </c>
      <c r="F257" s="17" t="str">
        <f>_xlfn.XLOOKUP(Table2[[#This Row],[Animal]],Table1[Animal],Table1[Weight Group],"N/A",0)</f>
        <v>&lt;100</v>
      </c>
      <c r="G257" t="str">
        <f>_xlfn.XLOOKUP(Table2[[#This Row],[Animal]],Table1[Animal],Table1[Region],"N/A",0)</f>
        <v>Asia Pacific</v>
      </c>
      <c r="H257" s="17" t="str">
        <f>_xlfn.XLOOKUP(Table2[[#This Row],[Animal]],Table1[Animal],Table1[Transport],"N/A",0)</f>
        <v>Air</v>
      </c>
      <c r="I257">
        <f>_xlfn.XLOOKUP(Table2[[#This Row],[Animal]],Table1[Animal],Table1[Revenue],"N/A",0)</f>
        <v>700</v>
      </c>
      <c r="J257">
        <f>_xlfn.XLOOKUP(Table2[[#This Row],[Animal]],Table1[Animal],Table1[Cost],"N/A",0)</f>
        <v>500</v>
      </c>
      <c r="K257">
        <f>Table2[[#This Row],[Revenue]]-Table2[[#This Row],[Cost]]</f>
        <v>200</v>
      </c>
    </row>
    <row r="258" spans="1:11" x14ac:dyDescent="0.25">
      <c r="A258" t="s">
        <v>365</v>
      </c>
      <c r="B258" t="str">
        <f>_xlfn.XLOOKUP(Table2[[#This Row],[Animal]],Table1[Animal],Table1[Diet],"Not Found",0)</f>
        <v>Carnivore</v>
      </c>
      <c r="C258" s="19">
        <f>_xlfn.XLOOKUP(Table2[[#This Row],[Animal]],Table1[Animal],Table1[Lifespan (Years)],"N/A",0)</f>
        <v>20</v>
      </c>
      <c r="D258" s="17" t="str">
        <f>_xlfn.XLOOKUP(Table2[[#This Row],[Animal]],Table1[Animal],Table1[Lifespan Group],"N/A",0)</f>
        <v>&lt;25</v>
      </c>
      <c r="E258" s="17">
        <f>_xlfn.XLOOKUP(Table2[[#This Row],[Animal]],Table1[Animal],Table1[Weight (lbs)],"N/A",0)</f>
        <v>22</v>
      </c>
      <c r="F258" s="17" t="str">
        <f>_xlfn.XLOOKUP(Table2[[#This Row],[Animal]],Table1[Animal],Table1[Weight Group],"N/A",0)</f>
        <v>&lt;100</v>
      </c>
      <c r="G258" t="str">
        <f>_xlfn.XLOOKUP(Table2[[#This Row],[Animal]],Table1[Animal],Table1[Region],"N/A",0)</f>
        <v>Asia Pacific</v>
      </c>
      <c r="H258" s="17" t="str">
        <f>_xlfn.XLOOKUP(Table2[[#This Row],[Animal]],Table1[Animal],Table1[Transport],"N/A",0)</f>
        <v>Air</v>
      </c>
      <c r="I258">
        <f>_xlfn.XLOOKUP(Table2[[#This Row],[Animal]],Table1[Animal],Table1[Revenue],"N/A",0)</f>
        <v>700</v>
      </c>
      <c r="J258">
        <f>_xlfn.XLOOKUP(Table2[[#This Row],[Animal]],Table1[Animal],Table1[Cost],"N/A",0)</f>
        <v>500</v>
      </c>
      <c r="K258">
        <f>Table2[[#This Row],[Revenue]]-Table2[[#This Row],[Cost]]</f>
        <v>200</v>
      </c>
    </row>
    <row r="259" spans="1:11" x14ac:dyDescent="0.25">
      <c r="A259" t="s">
        <v>366</v>
      </c>
      <c r="B259" t="str">
        <f>_xlfn.XLOOKUP(Table2[[#This Row],[Animal]],Table1[Animal],Table1[Diet],"Not Found",0)</f>
        <v>Carnivore</v>
      </c>
      <c r="C259" s="19">
        <f>_xlfn.XLOOKUP(Table2[[#This Row],[Animal]],Table1[Animal],Table1[Lifespan (Years)],"N/A",0)</f>
        <v>20</v>
      </c>
      <c r="D259" s="17" t="str">
        <f>_xlfn.XLOOKUP(Table2[[#This Row],[Animal]],Table1[Animal],Table1[Lifespan Group],"N/A",0)</f>
        <v>&lt;25</v>
      </c>
      <c r="E259" s="17">
        <f>_xlfn.XLOOKUP(Table2[[#This Row],[Animal]],Table1[Animal],Table1[Weight (lbs)],"N/A",0)</f>
        <v>7</v>
      </c>
      <c r="F259" s="17" t="str">
        <f>_xlfn.XLOOKUP(Table2[[#This Row],[Animal]],Table1[Animal],Table1[Weight Group],"N/A",0)</f>
        <v>&lt;100</v>
      </c>
      <c r="G259" t="str">
        <f>_xlfn.XLOOKUP(Table2[[#This Row],[Animal]],Table1[Animal],Table1[Region],"N/A",0)</f>
        <v>Europe &amp; Eurasia</v>
      </c>
      <c r="H259" s="17" t="str">
        <f>_xlfn.XLOOKUP(Table2[[#This Row],[Animal]],Table1[Animal],Table1[Transport],"N/A",0)</f>
        <v>Road</v>
      </c>
      <c r="I259">
        <f>_xlfn.XLOOKUP(Table2[[#This Row],[Animal]],Table1[Animal],Table1[Revenue],"N/A",0)</f>
        <v>450</v>
      </c>
      <c r="J259">
        <f>_xlfn.XLOOKUP(Table2[[#This Row],[Animal]],Table1[Animal],Table1[Cost],"N/A",0)</f>
        <v>500</v>
      </c>
      <c r="K259">
        <f>Table2[[#This Row],[Revenue]]-Table2[[#This Row],[Cost]]</f>
        <v>-50</v>
      </c>
    </row>
    <row r="260" spans="1:11" x14ac:dyDescent="0.25">
      <c r="A260" t="s">
        <v>368</v>
      </c>
      <c r="B260" t="str">
        <f>_xlfn.XLOOKUP(Table2[[#This Row],[Animal]],Table1[Animal],Table1[Diet],"Not Found",0)</f>
        <v>Carnivore</v>
      </c>
      <c r="C260" s="19">
        <f>_xlfn.XLOOKUP(Table2[[#This Row],[Animal]],Table1[Animal],Table1[Lifespan (Years)],"N/A",0)</f>
        <v>20</v>
      </c>
      <c r="D260" s="17" t="str">
        <f>_xlfn.XLOOKUP(Table2[[#This Row],[Animal]],Table1[Animal],Table1[Lifespan Group],"N/A",0)</f>
        <v>&lt;25</v>
      </c>
      <c r="E260" s="17">
        <f>_xlfn.XLOOKUP(Table2[[#This Row],[Animal]],Table1[Animal],Table1[Weight (lbs)],"N/A",0)</f>
        <v>5.9</v>
      </c>
      <c r="F260" s="17" t="str">
        <f>_xlfn.XLOOKUP(Table2[[#This Row],[Animal]],Table1[Animal],Table1[Weight Group],"N/A",0)</f>
        <v>&lt;100</v>
      </c>
      <c r="G260" t="str">
        <f>_xlfn.XLOOKUP(Table2[[#This Row],[Animal]],Table1[Animal],Table1[Region],"N/A",0)</f>
        <v>North America</v>
      </c>
      <c r="H260" s="17" t="str">
        <f>_xlfn.XLOOKUP(Table2[[#This Row],[Animal]],Table1[Animal],Table1[Transport],"N/A",0)</f>
        <v>Boat</v>
      </c>
      <c r="I260">
        <f>_xlfn.XLOOKUP(Table2[[#This Row],[Animal]],Table1[Animal],Table1[Revenue],"N/A",0)</f>
        <v>400</v>
      </c>
      <c r="J260">
        <f>_xlfn.XLOOKUP(Table2[[#This Row],[Animal]],Table1[Animal],Table1[Cost],"N/A",0)</f>
        <v>500</v>
      </c>
      <c r="K260">
        <f>Table2[[#This Row],[Revenue]]-Table2[[#This Row],[Cost]]</f>
        <v>-100</v>
      </c>
    </row>
    <row r="261" spans="1:11" x14ac:dyDescent="0.25">
      <c r="A261" t="s">
        <v>371</v>
      </c>
      <c r="B261" t="str">
        <f>_xlfn.XLOOKUP(Table2[[#This Row],[Animal]],Table1[Animal],Table1[Diet],"Not Found",0)</f>
        <v>Carnivore</v>
      </c>
      <c r="C261" s="19">
        <f>_xlfn.XLOOKUP(Table2[[#This Row],[Animal]],Table1[Animal],Table1[Lifespan (Years)],"N/A",0)</f>
        <v>25</v>
      </c>
      <c r="D261" s="17" t="str">
        <f>_xlfn.XLOOKUP(Table2[[#This Row],[Animal]],Table1[Animal],Table1[Lifespan Group],"N/A",0)</f>
        <v>25-49</v>
      </c>
      <c r="E261" s="17">
        <f>_xlfn.XLOOKUP(Table2[[#This Row],[Animal]],Table1[Animal],Table1[Weight (lbs)],"N/A",0)</f>
        <v>176</v>
      </c>
      <c r="F261" s="17" t="str">
        <f>_xlfn.XLOOKUP(Table2[[#This Row],[Animal]],Table1[Animal],Table1[Weight Group],"N/A",0)</f>
        <v>100-199</v>
      </c>
      <c r="G261" t="str">
        <f>_xlfn.XLOOKUP(Table2[[#This Row],[Animal]],Table1[Animal],Table1[Region],"N/A",0)</f>
        <v>North America</v>
      </c>
      <c r="H261" s="17" t="str">
        <f>_xlfn.XLOOKUP(Table2[[#This Row],[Animal]],Table1[Animal],Table1[Transport],"N/A",0)</f>
        <v>Boat</v>
      </c>
      <c r="I261">
        <f>_xlfn.XLOOKUP(Table2[[#This Row],[Animal]],Table1[Animal],Table1[Revenue],"N/A",0)</f>
        <v>400</v>
      </c>
      <c r="J261">
        <f>_xlfn.XLOOKUP(Table2[[#This Row],[Animal]],Table1[Animal],Table1[Cost],"N/A",0)</f>
        <v>500</v>
      </c>
      <c r="K261">
        <f>Table2[[#This Row],[Revenue]]-Table2[[#This Row],[Cost]]</f>
        <v>-100</v>
      </c>
    </row>
    <row r="262" spans="1:11" x14ac:dyDescent="0.25">
      <c r="A262" t="s">
        <v>372</v>
      </c>
      <c r="B262" t="str">
        <f>_xlfn.XLOOKUP(Table2[[#This Row],[Animal]],Table1[Animal],Table1[Diet],"Not Found",0)</f>
        <v>Carnivore</v>
      </c>
      <c r="C262" s="19">
        <f>_xlfn.XLOOKUP(Table2[[#This Row],[Animal]],Table1[Animal],Table1[Lifespan (Years)],"N/A",0)</f>
        <v>17</v>
      </c>
      <c r="D262" s="17" t="str">
        <f>_xlfn.XLOOKUP(Table2[[#This Row],[Animal]],Table1[Animal],Table1[Lifespan Group],"N/A",0)</f>
        <v>&lt;25</v>
      </c>
      <c r="E262" s="17">
        <f>_xlfn.XLOOKUP(Table2[[#This Row],[Animal]],Table1[Animal],Table1[Weight (lbs)],"N/A",0)</f>
        <v>7</v>
      </c>
      <c r="F262" s="17" t="str">
        <f>_xlfn.XLOOKUP(Table2[[#This Row],[Animal]],Table1[Animal],Table1[Weight Group],"N/A",0)</f>
        <v>&lt;100</v>
      </c>
      <c r="G262" t="str">
        <f>_xlfn.XLOOKUP(Table2[[#This Row],[Animal]],Table1[Animal],Table1[Region],"N/A",0)</f>
        <v>Europe &amp; Eurasia</v>
      </c>
      <c r="H262" s="17" t="str">
        <f>_xlfn.XLOOKUP(Table2[[#This Row],[Animal]],Table1[Animal],Table1[Transport],"N/A",0)</f>
        <v>Road</v>
      </c>
      <c r="I262">
        <f>_xlfn.XLOOKUP(Table2[[#This Row],[Animal]],Table1[Animal],Table1[Revenue],"N/A",0)</f>
        <v>450</v>
      </c>
      <c r="J262">
        <f>_xlfn.XLOOKUP(Table2[[#This Row],[Animal]],Table1[Animal],Table1[Cost],"N/A",0)</f>
        <v>500</v>
      </c>
      <c r="K262">
        <f>Table2[[#This Row],[Revenue]]-Table2[[#This Row],[Cost]]</f>
        <v>-50</v>
      </c>
    </row>
    <row r="263" spans="1:11" x14ac:dyDescent="0.25">
      <c r="A263" t="s">
        <v>374</v>
      </c>
      <c r="B263" t="str">
        <f>_xlfn.XLOOKUP(Table2[[#This Row],[Animal]],Table1[Animal],Table1[Diet],"Not Found",0)</f>
        <v>Herbivore</v>
      </c>
      <c r="C263" s="19">
        <f>_xlfn.XLOOKUP(Table2[[#This Row],[Animal]],Table1[Animal],Table1[Lifespan (Years)],"N/A",0)</f>
        <v>70</v>
      </c>
      <c r="D263" s="17" t="str">
        <f>_xlfn.XLOOKUP(Table2[[#This Row],[Animal]],Table1[Animal],Table1[Lifespan Group],"N/A",0)</f>
        <v>50-74</v>
      </c>
      <c r="E263" s="17">
        <f>_xlfn.XLOOKUP(Table2[[#This Row],[Animal]],Table1[Animal],Table1[Weight (lbs)],"N/A",0)</f>
        <v>800</v>
      </c>
      <c r="F263" s="17" t="str">
        <f>_xlfn.XLOOKUP(Table2[[#This Row],[Animal]],Table1[Animal],Table1[Weight Group],"N/A",0)</f>
        <v>&gt;=500</v>
      </c>
      <c r="G263" t="str">
        <f>_xlfn.XLOOKUP(Table2[[#This Row],[Animal]],Table1[Animal],Table1[Region],"N/A",0)</f>
        <v>North America</v>
      </c>
      <c r="H263" s="17" t="str">
        <f>_xlfn.XLOOKUP(Table2[[#This Row],[Animal]],Table1[Animal],Table1[Transport],"N/A",0)</f>
        <v>Boat</v>
      </c>
      <c r="I263">
        <f>_xlfn.XLOOKUP(Table2[[#This Row],[Animal]],Table1[Animal],Table1[Revenue],"N/A",0)</f>
        <v>400</v>
      </c>
      <c r="J263">
        <f>_xlfn.XLOOKUP(Table2[[#This Row],[Animal]],Table1[Animal],Table1[Cost],"N/A",0)</f>
        <v>300</v>
      </c>
      <c r="K263">
        <f>Table2[[#This Row],[Revenue]]-Table2[[#This Row],[Cost]]</f>
        <v>100</v>
      </c>
    </row>
    <row r="264" spans="1:11" x14ac:dyDescent="0.25">
      <c r="A264" t="s">
        <v>375</v>
      </c>
      <c r="B264" t="str">
        <f>_xlfn.XLOOKUP(Table2[[#This Row],[Animal]],Table1[Animal],Table1[Diet],"Not Found",0)</f>
        <v>Omnivore</v>
      </c>
      <c r="C264" s="19">
        <f>_xlfn.XLOOKUP(Table2[[#This Row],[Animal]],Table1[Animal],Table1[Lifespan (Years)],"N/A",0)</f>
        <v>28</v>
      </c>
      <c r="D264" s="17" t="str">
        <f>_xlfn.XLOOKUP(Table2[[#This Row],[Animal]],Table1[Animal],Table1[Lifespan Group],"N/A",0)</f>
        <v>25-49</v>
      </c>
      <c r="E264" s="17">
        <f>_xlfn.XLOOKUP(Table2[[#This Row],[Animal]],Table1[Animal],Table1[Weight (lbs)],"N/A",0)</f>
        <v>25</v>
      </c>
      <c r="F264" s="17" t="str">
        <f>_xlfn.XLOOKUP(Table2[[#This Row],[Animal]],Table1[Animal],Table1[Weight Group],"N/A",0)</f>
        <v>&lt;100</v>
      </c>
      <c r="G264" t="str">
        <f>_xlfn.XLOOKUP(Table2[[#This Row],[Animal]],Table1[Animal],Table1[Region],"N/A",0)</f>
        <v>Europe &amp; Eurasia</v>
      </c>
      <c r="H264" s="17" t="str">
        <f>_xlfn.XLOOKUP(Table2[[#This Row],[Animal]],Table1[Animal],Table1[Transport],"N/A",0)</f>
        <v>Road</v>
      </c>
      <c r="I264">
        <f>_xlfn.XLOOKUP(Table2[[#This Row],[Animal]],Table1[Animal],Table1[Revenue],"N/A",0)</f>
        <v>450</v>
      </c>
      <c r="J264">
        <f>_xlfn.XLOOKUP(Table2[[#This Row],[Animal]],Table1[Animal],Table1[Cost],"N/A",0)</f>
        <v>400</v>
      </c>
      <c r="K264">
        <f>Table2[[#This Row],[Revenue]]-Table2[[#This Row],[Cost]]</f>
        <v>50</v>
      </c>
    </row>
    <row r="265" spans="1:11" x14ac:dyDescent="0.25">
      <c r="A265" t="s">
        <v>377</v>
      </c>
      <c r="B265" t="str">
        <f>_xlfn.XLOOKUP(Table2[[#This Row],[Animal]],Table1[Animal],Table1[Diet],"Not Found",0)</f>
        <v>Carnivore</v>
      </c>
      <c r="C265" s="19">
        <f>_xlfn.XLOOKUP(Table2[[#This Row],[Animal]],Table1[Animal],Table1[Lifespan (Years)],"N/A",0)</f>
        <v>15</v>
      </c>
      <c r="D265" s="17" t="str">
        <f>_xlfn.XLOOKUP(Table2[[#This Row],[Animal]],Table1[Animal],Table1[Lifespan Group],"N/A",0)</f>
        <v>&lt;25</v>
      </c>
      <c r="E265" s="17">
        <f>_xlfn.XLOOKUP(Table2[[#This Row],[Animal]],Table1[Animal],Table1[Weight (lbs)],"N/A",0)</f>
        <v>0.4375</v>
      </c>
      <c r="F265" s="17" t="str">
        <f>_xlfn.XLOOKUP(Table2[[#This Row],[Animal]],Table1[Animal],Table1[Weight Group],"N/A",0)</f>
        <v>&lt;100</v>
      </c>
      <c r="G265" t="str">
        <f>_xlfn.XLOOKUP(Table2[[#This Row],[Animal]],Table1[Animal],Table1[Region],"N/A",0)</f>
        <v>North America</v>
      </c>
      <c r="H265" s="17" t="str">
        <f>_xlfn.XLOOKUP(Table2[[#This Row],[Animal]],Table1[Animal],Table1[Transport],"N/A",0)</f>
        <v>Boat</v>
      </c>
      <c r="I265">
        <f>_xlfn.XLOOKUP(Table2[[#This Row],[Animal]],Table1[Animal],Table1[Revenue],"N/A",0)</f>
        <v>400</v>
      </c>
      <c r="J265">
        <f>_xlfn.XLOOKUP(Table2[[#This Row],[Animal]],Table1[Animal],Table1[Cost],"N/A",0)</f>
        <v>500</v>
      </c>
      <c r="K265">
        <f>Table2[[#This Row],[Revenue]]-Table2[[#This Row],[Cost]]</f>
        <v>-100</v>
      </c>
    </row>
    <row r="266" spans="1:11" x14ac:dyDescent="0.25">
      <c r="A266" t="s">
        <v>378</v>
      </c>
      <c r="B266" t="str">
        <f>_xlfn.XLOOKUP(Table2[[#This Row],[Animal]],Table1[Animal],Table1[Diet],"Not Found",0)</f>
        <v>Herbivore</v>
      </c>
      <c r="C266" s="19">
        <f>_xlfn.XLOOKUP(Table2[[#This Row],[Animal]],Table1[Animal],Table1[Lifespan (Years)],"N/A",0)</f>
        <v>13</v>
      </c>
      <c r="D266" s="17" t="str">
        <f>_xlfn.XLOOKUP(Table2[[#This Row],[Animal]],Table1[Animal],Table1[Lifespan Group],"N/A",0)</f>
        <v>&lt;25</v>
      </c>
      <c r="E266" s="17">
        <f>_xlfn.XLOOKUP(Table2[[#This Row],[Animal]],Table1[Animal],Table1[Weight (lbs)],"N/A",0)</f>
        <v>71</v>
      </c>
      <c r="F266" s="17" t="str">
        <f>_xlfn.XLOOKUP(Table2[[#This Row],[Animal]],Table1[Animal],Table1[Weight Group],"N/A",0)</f>
        <v>&lt;100</v>
      </c>
      <c r="G266" t="str">
        <f>_xlfn.XLOOKUP(Table2[[#This Row],[Animal]],Table1[Animal],Table1[Region],"N/A",0)</f>
        <v>North America</v>
      </c>
      <c r="H266" s="17" t="str">
        <f>_xlfn.XLOOKUP(Table2[[#This Row],[Animal]],Table1[Animal],Table1[Transport],"N/A",0)</f>
        <v>Boat</v>
      </c>
      <c r="I266">
        <f>_xlfn.XLOOKUP(Table2[[#This Row],[Animal]],Table1[Animal],Table1[Revenue],"N/A",0)</f>
        <v>400</v>
      </c>
      <c r="J266">
        <f>_xlfn.XLOOKUP(Table2[[#This Row],[Animal]],Table1[Animal],Table1[Cost],"N/A",0)</f>
        <v>300</v>
      </c>
      <c r="K266">
        <f>Table2[[#This Row],[Revenue]]-Table2[[#This Row],[Cost]]</f>
        <v>100</v>
      </c>
    </row>
    <row r="267" spans="1:11" x14ac:dyDescent="0.25">
      <c r="A267" t="s">
        <v>379</v>
      </c>
      <c r="B267" t="str">
        <f>_xlfn.XLOOKUP(Table2[[#This Row],[Animal]],Table1[Animal],Table1[Diet],"Not Found",0)</f>
        <v>Carnivore</v>
      </c>
      <c r="C267" s="19">
        <f>_xlfn.XLOOKUP(Table2[[#This Row],[Animal]],Table1[Animal],Table1[Lifespan (Years)],"N/A",0)</f>
        <v>10</v>
      </c>
      <c r="D267" s="17" t="str">
        <f>_xlfn.XLOOKUP(Table2[[#This Row],[Animal]],Table1[Animal],Table1[Lifespan Group],"N/A",0)</f>
        <v>&lt;25</v>
      </c>
      <c r="E267" s="17">
        <f>_xlfn.XLOOKUP(Table2[[#This Row],[Animal]],Table1[Animal],Table1[Weight (lbs)],"N/A",0)</f>
        <v>2.5000000000000001E-2</v>
      </c>
      <c r="F267" s="17" t="str">
        <f>_xlfn.XLOOKUP(Table2[[#This Row],[Animal]],Table1[Animal],Table1[Weight Group],"N/A",0)</f>
        <v>&lt;100</v>
      </c>
      <c r="G267" t="str">
        <f>_xlfn.XLOOKUP(Table2[[#This Row],[Animal]],Table1[Animal],Table1[Region],"N/A",0)</f>
        <v>Europe &amp; Eurasia</v>
      </c>
      <c r="H267" s="17" t="str">
        <f>_xlfn.XLOOKUP(Table2[[#This Row],[Animal]],Table1[Animal],Table1[Transport],"N/A",0)</f>
        <v>Road</v>
      </c>
      <c r="I267">
        <f>_xlfn.XLOOKUP(Table2[[#This Row],[Animal]],Table1[Animal],Table1[Revenue],"N/A",0)</f>
        <v>450</v>
      </c>
      <c r="J267">
        <f>_xlfn.XLOOKUP(Table2[[#This Row],[Animal]],Table1[Animal],Table1[Cost],"N/A",0)</f>
        <v>500</v>
      </c>
      <c r="K267">
        <f>Table2[[#This Row],[Revenue]]-Table2[[#This Row],[Cost]]</f>
        <v>-50</v>
      </c>
    </row>
    <row r="268" spans="1:11" x14ac:dyDescent="0.25">
      <c r="A268" t="s">
        <v>380</v>
      </c>
      <c r="B268" t="str">
        <f>_xlfn.XLOOKUP(Table2[[#This Row],[Animal]],Table1[Animal],Table1[Diet],"Not Found",0)</f>
        <v>Omnivore</v>
      </c>
      <c r="C268" s="19">
        <f>_xlfn.XLOOKUP(Table2[[#This Row],[Animal]],Table1[Animal],Table1[Lifespan (Years)],"N/A",0)</f>
        <v>12</v>
      </c>
      <c r="D268" s="17" t="str">
        <f>_xlfn.XLOOKUP(Table2[[#This Row],[Animal]],Table1[Animal],Table1[Lifespan Group],"N/A",0)</f>
        <v>&lt;25</v>
      </c>
      <c r="E268" s="17">
        <f>_xlfn.XLOOKUP(Table2[[#This Row],[Animal]],Table1[Animal],Table1[Weight (lbs)],"N/A",0)</f>
        <v>190</v>
      </c>
      <c r="F268" s="17" t="str">
        <f>_xlfn.XLOOKUP(Table2[[#This Row],[Animal]],Table1[Animal],Table1[Weight Group],"N/A",0)</f>
        <v>100-199</v>
      </c>
      <c r="G268" t="str">
        <f>_xlfn.XLOOKUP(Table2[[#This Row],[Animal]],Table1[Animal],Table1[Region],"N/A",0)</f>
        <v>North America</v>
      </c>
      <c r="H268" s="17" t="str">
        <f>_xlfn.XLOOKUP(Table2[[#This Row],[Animal]],Table1[Animal],Table1[Transport],"N/A",0)</f>
        <v>Boat</v>
      </c>
      <c r="I268">
        <f>_xlfn.XLOOKUP(Table2[[#This Row],[Animal]],Table1[Animal],Table1[Revenue],"N/A",0)</f>
        <v>400</v>
      </c>
      <c r="J268">
        <f>_xlfn.XLOOKUP(Table2[[#This Row],[Animal]],Table1[Animal],Table1[Cost],"N/A",0)</f>
        <v>400</v>
      </c>
      <c r="K268">
        <f>Table2[[#This Row],[Revenue]]-Table2[[#This Row],[Cost]]</f>
        <v>0</v>
      </c>
    </row>
    <row r="269" spans="1:11" x14ac:dyDescent="0.25">
      <c r="A269" t="s">
        <v>383</v>
      </c>
      <c r="B269" t="str">
        <f>_xlfn.XLOOKUP(Table2[[#This Row],[Animal]],Table1[Animal],Table1[Diet],"Not Found",0)</f>
        <v>Carnivore</v>
      </c>
      <c r="C269" s="19">
        <f>_xlfn.XLOOKUP(Table2[[#This Row],[Animal]],Table1[Animal],Table1[Lifespan (Years)],"N/A",0)</f>
        <v>14</v>
      </c>
      <c r="D269" s="17" t="str">
        <f>_xlfn.XLOOKUP(Table2[[#This Row],[Animal]],Table1[Animal],Table1[Lifespan Group],"N/A",0)</f>
        <v>&lt;25</v>
      </c>
      <c r="E269" s="17">
        <f>_xlfn.XLOOKUP(Table2[[#This Row],[Animal]],Table1[Animal],Table1[Weight (lbs)],"N/A",0)</f>
        <v>1.3</v>
      </c>
      <c r="F269" s="17" t="str">
        <f>_xlfn.XLOOKUP(Table2[[#This Row],[Animal]],Table1[Animal],Table1[Weight Group],"N/A",0)</f>
        <v>&lt;100</v>
      </c>
      <c r="G269" t="str">
        <f>_xlfn.XLOOKUP(Table2[[#This Row],[Animal]],Table1[Animal],Table1[Region],"N/A",0)</f>
        <v>Africa &amp; MENA</v>
      </c>
      <c r="H269" s="17" t="str">
        <f>_xlfn.XLOOKUP(Table2[[#This Row],[Animal]],Table1[Animal],Table1[Transport],"N/A",0)</f>
        <v>Air</v>
      </c>
      <c r="I269">
        <f>_xlfn.XLOOKUP(Table2[[#This Row],[Animal]],Table1[Animal],Table1[Revenue],"N/A",0)</f>
        <v>600</v>
      </c>
      <c r="J269">
        <f>_xlfn.XLOOKUP(Table2[[#This Row],[Animal]],Table1[Animal],Table1[Cost],"N/A",0)</f>
        <v>500</v>
      </c>
      <c r="K269">
        <f>Table2[[#This Row],[Revenue]]-Table2[[#This Row],[Cost]]</f>
        <v>100</v>
      </c>
    </row>
    <row r="270" spans="1:11" x14ac:dyDescent="0.25">
      <c r="A270" t="s">
        <v>384</v>
      </c>
      <c r="B270" t="str">
        <f>_xlfn.XLOOKUP(Table2[[#This Row],[Animal]],Table1[Animal],Table1[Diet],"Not Found",0)</f>
        <v>Omnivore</v>
      </c>
      <c r="C270" s="19">
        <f>_xlfn.XLOOKUP(Table2[[#This Row],[Animal]],Table1[Animal],Table1[Lifespan (Years)],"N/A",0)</f>
        <v>7</v>
      </c>
      <c r="D270" s="17" t="str">
        <f>_xlfn.XLOOKUP(Table2[[#This Row],[Animal]],Table1[Animal],Table1[Lifespan Group],"N/A",0)</f>
        <v>&lt;25</v>
      </c>
      <c r="E270" s="17">
        <f>_xlfn.XLOOKUP(Table2[[#This Row],[Animal]],Table1[Animal],Table1[Weight (lbs)],"N/A",0)</f>
        <v>0</v>
      </c>
      <c r="F270" s="17" t="str">
        <f>_xlfn.XLOOKUP(Table2[[#This Row],[Animal]],Table1[Animal],Table1[Weight Group],"N/A",0)</f>
        <v>N/A</v>
      </c>
      <c r="G270" t="str">
        <f>_xlfn.XLOOKUP(Table2[[#This Row],[Animal]],Table1[Animal],Table1[Region],"N/A",0)</f>
        <v>Europe &amp; Eurasia</v>
      </c>
      <c r="H270" s="17" t="str">
        <f>_xlfn.XLOOKUP(Table2[[#This Row],[Animal]],Table1[Animal],Table1[Transport],"N/A",0)</f>
        <v>Road</v>
      </c>
      <c r="I270">
        <f>_xlfn.XLOOKUP(Table2[[#This Row],[Animal]],Table1[Animal],Table1[Revenue],"N/A",0)</f>
        <v>450</v>
      </c>
      <c r="J270">
        <f>_xlfn.XLOOKUP(Table2[[#This Row],[Animal]],Table1[Animal],Table1[Cost],"N/A",0)</f>
        <v>400</v>
      </c>
      <c r="K270">
        <f>Table2[[#This Row],[Revenue]]-Table2[[#This Row],[Cost]]</f>
        <v>50</v>
      </c>
    </row>
    <row r="271" spans="1:11" x14ac:dyDescent="0.25">
      <c r="A271" t="s">
        <v>386</v>
      </c>
      <c r="B271" t="str">
        <f>_xlfn.XLOOKUP(Table2[[#This Row],[Animal]],Table1[Animal],Table1[Diet],"Not Found",0)</f>
        <v>Omnivore</v>
      </c>
      <c r="C271" s="19">
        <f>_xlfn.XLOOKUP(Table2[[#This Row],[Animal]],Table1[Animal],Table1[Lifespan (Years)],"N/A",0)</f>
        <v>6</v>
      </c>
      <c r="D271" s="17" t="str">
        <f>_xlfn.XLOOKUP(Table2[[#This Row],[Animal]],Table1[Animal],Table1[Lifespan Group],"N/A",0)</f>
        <v>&lt;25</v>
      </c>
      <c r="E271" s="17">
        <f>_xlfn.XLOOKUP(Table2[[#This Row],[Animal]],Table1[Animal],Table1[Weight (lbs)],"N/A",0)</f>
        <v>8.8000000000000007</v>
      </c>
      <c r="F271" s="17" t="str">
        <f>_xlfn.XLOOKUP(Table2[[#This Row],[Animal]],Table1[Animal],Table1[Weight Group],"N/A",0)</f>
        <v>&lt;100</v>
      </c>
      <c r="G271" t="str">
        <f>_xlfn.XLOOKUP(Table2[[#This Row],[Animal]],Table1[Animal],Table1[Region],"N/A",0)</f>
        <v>Europe &amp; Eurasia</v>
      </c>
      <c r="H271" s="17" t="str">
        <f>_xlfn.XLOOKUP(Table2[[#This Row],[Animal]],Table1[Animal],Table1[Transport],"N/A",0)</f>
        <v>Road</v>
      </c>
      <c r="I271">
        <f>_xlfn.XLOOKUP(Table2[[#This Row],[Animal]],Table1[Animal],Table1[Revenue],"N/A",0)</f>
        <v>450</v>
      </c>
      <c r="J271">
        <f>_xlfn.XLOOKUP(Table2[[#This Row],[Animal]],Table1[Animal],Table1[Cost],"N/A",0)</f>
        <v>400</v>
      </c>
      <c r="K271">
        <f>Table2[[#This Row],[Revenue]]-Table2[[#This Row],[Cost]]</f>
        <v>50</v>
      </c>
    </row>
    <row r="272" spans="1:11" x14ac:dyDescent="0.25">
      <c r="A272" t="s">
        <v>388</v>
      </c>
      <c r="B272" t="str">
        <f>_xlfn.XLOOKUP(Table2[[#This Row],[Animal]],Table1[Animal],Table1[Diet],"Not Found",0)</f>
        <v>Omnivore</v>
      </c>
      <c r="C272" s="19">
        <f>_xlfn.XLOOKUP(Table2[[#This Row],[Animal]],Table1[Animal],Table1[Lifespan (Years)],"N/A",0)</f>
        <v>15</v>
      </c>
      <c r="D272" s="17" t="str">
        <f>_xlfn.XLOOKUP(Table2[[#This Row],[Animal]],Table1[Animal],Table1[Lifespan Group],"N/A",0)</f>
        <v>&lt;25</v>
      </c>
      <c r="E272" s="17">
        <f>_xlfn.XLOOKUP(Table2[[#This Row],[Animal]],Table1[Animal],Table1[Weight (lbs)],"N/A",0)</f>
        <v>0.7</v>
      </c>
      <c r="F272" s="17" t="str">
        <f>_xlfn.XLOOKUP(Table2[[#This Row],[Animal]],Table1[Animal],Table1[Weight Group],"N/A",0)</f>
        <v>&lt;100</v>
      </c>
      <c r="G272" t="str">
        <f>_xlfn.XLOOKUP(Table2[[#This Row],[Animal]],Table1[Animal],Table1[Region],"N/A",0)</f>
        <v>Europe &amp; Eurasia</v>
      </c>
      <c r="H272" s="17" t="str">
        <f>_xlfn.XLOOKUP(Table2[[#This Row],[Animal]],Table1[Animal],Table1[Transport],"N/A",0)</f>
        <v>Road</v>
      </c>
      <c r="I272">
        <f>_xlfn.XLOOKUP(Table2[[#This Row],[Animal]],Table1[Animal],Table1[Revenue],"N/A",0)</f>
        <v>450</v>
      </c>
      <c r="J272">
        <f>_xlfn.XLOOKUP(Table2[[#This Row],[Animal]],Table1[Animal],Table1[Cost],"N/A",0)</f>
        <v>400</v>
      </c>
      <c r="K272">
        <f>Table2[[#This Row],[Revenue]]-Table2[[#This Row],[Cost]]</f>
        <v>50</v>
      </c>
    </row>
    <row r="273" spans="1:11" x14ac:dyDescent="0.25">
      <c r="A273" t="s">
        <v>389</v>
      </c>
      <c r="B273" t="str">
        <f>_xlfn.XLOOKUP(Table2[[#This Row],[Animal]],Table1[Animal],Table1[Diet],"Not Found",0)</f>
        <v>Omnivore</v>
      </c>
      <c r="C273" s="19">
        <f>_xlfn.XLOOKUP(Table2[[#This Row],[Animal]],Table1[Animal],Table1[Lifespan (Years)],"N/A",0)</f>
        <v>30</v>
      </c>
      <c r="D273" s="17" t="str">
        <f>_xlfn.XLOOKUP(Table2[[#This Row],[Animal]],Table1[Animal],Table1[Lifespan Group],"N/A",0)</f>
        <v>25-49</v>
      </c>
      <c r="E273" s="17">
        <f>_xlfn.XLOOKUP(Table2[[#This Row],[Animal]],Table1[Animal],Table1[Weight (lbs)],"N/A",0)</f>
        <v>2.2000000000000002</v>
      </c>
      <c r="F273" s="17" t="str">
        <f>_xlfn.XLOOKUP(Table2[[#This Row],[Animal]],Table1[Animal],Table1[Weight Group],"N/A",0)</f>
        <v>&lt;100</v>
      </c>
      <c r="G273" t="str">
        <f>_xlfn.XLOOKUP(Table2[[#This Row],[Animal]],Table1[Animal],Table1[Region],"N/A",0)</f>
        <v>Europe &amp; Eurasia</v>
      </c>
      <c r="H273" s="17" t="str">
        <f>_xlfn.XLOOKUP(Table2[[#This Row],[Animal]],Table1[Animal],Table1[Transport],"N/A",0)</f>
        <v>Road</v>
      </c>
      <c r="I273">
        <f>_xlfn.XLOOKUP(Table2[[#This Row],[Animal]],Table1[Animal],Table1[Revenue],"N/A",0)</f>
        <v>450</v>
      </c>
      <c r="J273">
        <f>_xlfn.XLOOKUP(Table2[[#This Row],[Animal]],Table1[Animal],Table1[Cost],"N/A",0)</f>
        <v>400</v>
      </c>
      <c r="K273">
        <f>Table2[[#This Row],[Revenue]]-Table2[[#This Row],[Cost]]</f>
        <v>50</v>
      </c>
    </row>
    <row r="274" spans="1:11" x14ac:dyDescent="0.25">
      <c r="A274" t="s">
        <v>391</v>
      </c>
      <c r="B274" t="str">
        <f>_xlfn.XLOOKUP(Table2[[#This Row],[Animal]],Table1[Animal],Table1[Diet],"Not Found",0)</f>
        <v>Omnivore</v>
      </c>
      <c r="C274" s="19">
        <f>_xlfn.XLOOKUP(Table2[[#This Row],[Animal]],Table1[Animal],Table1[Lifespan (Years)],"N/A",0)</f>
        <v>3</v>
      </c>
      <c r="D274" s="17" t="str">
        <f>_xlfn.XLOOKUP(Table2[[#This Row],[Animal]],Table1[Animal],Table1[Lifespan Group],"N/A",0)</f>
        <v>&lt;25</v>
      </c>
      <c r="E274" s="17">
        <f>_xlfn.XLOOKUP(Table2[[#This Row],[Animal]],Table1[Animal],Table1[Weight (lbs)],"N/A",0)</f>
        <v>0.15625</v>
      </c>
      <c r="F274" s="17" t="str">
        <f>_xlfn.XLOOKUP(Table2[[#This Row],[Animal]],Table1[Animal],Table1[Weight Group],"N/A",0)</f>
        <v>&lt;100</v>
      </c>
      <c r="G274" t="str">
        <f>_xlfn.XLOOKUP(Table2[[#This Row],[Animal]],Table1[Animal],Table1[Region],"N/A",0)</f>
        <v>Asia Pacific</v>
      </c>
      <c r="H274" s="17" t="str">
        <f>_xlfn.XLOOKUP(Table2[[#This Row],[Animal]],Table1[Animal],Table1[Transport],"N/A",0)</f>
        <v>Air</v>
      </c>
      <c r="I274">
        <f>_xlfn.XLOOKUP(Table2[[#This Row],[Animal]],Table1[Animal],Table1[Revenue],"N/A",0)</f>
        <v>700</v>
      </c>
      <c r="J274">
        <f>_xlfn.XLOOKUP(Table2[[#This Row],[Animal]],Table1[Animal],Table1[Cost],"N/A",0)</f>
        <v>400</v>
      </c>
      <c r="K274">
        <f>Table2[[#This Row],[Revenue]]-Table2[[#This Row],[Cost]]</f>
        <v>300</v>
      </c>
    </row>
    <row r="275" spans="1:11" x14ac:dyDescent="0.25">
      <c r="A275" t="s">
        <v>392</v>
      </c>
      <c r="B275" t="str">
        <f>_xlfn.XLOOKUP(Table2[[#This Row],[Animal]],Table1[Animal],Table1[Diet],"Not Found",0)</f>
        <v>Herbivore</v>
      </c>
      <c r="C275" s="19">
        <f>_xlfn.XLOOKUP(Table2[[#This Row],[Animal]],Table1[Animal],Table1[Lifespan (Years)],"N/A",0)</f>
        <v>16</v>
      </c>
      <c r="D275" s="17" t="str">
        <f>_xlfn.XLOOKUP(Table2[[#This Row],[Animal]],Table1[Animal],Table1[Lifespan Group],"N/A",0)</f>
        <v>&lt;25</v>
      </c>
      <c r="E275" s="17">
        <f>_xlfn.XLOOKUP(Table2[[#This Row],[Animal]],Table1[Animal],Table1[Weight (lbs)],"N/A",0)</f>
        <v>600</v>
      </c>
      <c r="F275" s="17" t="str">
        <f>_xlfn.XLOOKUP(Table2[[#This Row],[Animal]],Table1[Animal],Table1[Weight Group],"N/A",0)</f>
        <v>&gt;=500</v>
      </c>
      <c r="G275" t="str">
        <f>_xlfn.XLOOKUP(Table2[[#This Row],[Animal]],Table1[Animal],Table1[Region],"N/A",0)</f>
        <v>Europe &amp; Eurasia</v>
      </c>
      <c r="H275" s="17" t="str">
        <f>_xlfn.XLOOKUP(Table2[[#This Row],[Animal]],Table1[Animal],Table1[Transport],"N/A",0)</f>
        <v>Road</v>
      </c>
      <c r="I275">
        <f>_xlfn.XLOOKUP(Table2[[#This Row],[Animal]],Table1[Animal],Table1[Revenue],"N/A",0)</f>
        <v>450</v>
      </c>
      <c r="J275">
        <f>_xlfn.XLOOKUP(Table2[[#This Row],[Animal]],Table1[Animal],Table1[Cost],"N/A",0)</f>
        <v>300</v>
      </c>
      <c r="K275">
        <f>Table2[[#This Row],[Revenue]]-Table2[[#This Row],[Cost]]</f>
        <v>150</v>
      </c>
    </row>
    <row r="276" spans="1:11" x14ac:dyDescent="0.25">
      <c r="A276" t="s">
        <v>394</v>
      </c>
      <c r="B276" t="str">
        <f>_xlfn.XLOOKUP(Table2[[#This Row],[Animal]],Table1[Animal],Table1[Diet],"Not Found",0)</f>
        <v>Herbivore</v>
      </c>
      <c r="C276" s="19">
        <f>_xlfn.XLOOKUP(Table2[[#This Row],[Animal]],Table1[Animal],Table1[Lifespan (Years)],"N/A",0)</f>
        <v>40</v>
      </c>
      <c r="D276" s="17" t="str">
        <f>_xlfn.XLOOKUP(Table2[[#This Row],[Animal]],Table1[Animal],Table1[Lifespan Group],"N/A",0)</f>
        <v>25-49</v>
      </c>
      <c r="E276" s="17">
        <f>_xlfn.XLOOKUP(Table2[[#This Row],[Animal]],Table1[Animal],Table1[Weight (lbs)],"N/A",0)</f>
        <v>0</v>
      </c>
      <c r="F276" s="17" t="str">
        <f>_xlfn.XLOOKUP(Table2[[#This Row],[Animal]],Table1[Animal],Table1[Weight Group],"N/A",0)</f>
        <v>N/A</v>
      </c>
      <c r="G276" t="str">
        <f>_xlfn.XLOOKUP(Table2[[#This Row],[Animal]],Table1[Animal],Table1[Region],"N/A",0)</f>
        <v>Latin America</v>
      </c>
      <c r="H276" s="17" t="str">
        <f>_xlfn.XLOOKUP(Table2[[#This Row],[Animal]],Table1[Animal],Table1[Transport],"N/A",0)</f>
        <v>Boat</v>
      </c>
      <c r="I276">
        <f>_xlfn.XLOOKUP(Table2[[#This Row],[Animal]],Table1[Animal],Table1[Revenue],"N/A",0)</f>
        <v>200</v>
      </c>
      <c r="J276">
        <f>_xlfn.XLOOKUP(Table2[[#This Row],[Animal]],Table1[Animal],Table1[Cost],"N/A",0)</f>
        <v>300</v>
      </c>
      <c r="K276">
        <f>Table2[[#This Row],[Revenue]]-Table2[[#This Row],[Cost]]</f>
        <v>-100</v>
      </c>
    </row>
    <row r="277" spans="1:11" x14ac:dyDescent="0.25">
      <c r="A277" t="s">
        <v>395</v>
      </c>
      <c r="B277" t="str">
        <f>_xlfn.XLOOKUP(Table2[[#This Row],[Animal]],Table1[Animal],Table1[Diet],"Not Found",0)</f>
        <v>Omnivore</v>
      </c>
      <c r="C277" s="19">
        <f>_xlfn.XLOOKUP(Table2[[#This Row],[Animal]],Table1[Animal],Table1[Lifespan (Years)],"N/A",0)</f>
        <v>50</v>
      </c>
      <c r="D277" s="17" t="str">
        <f>_xlfn.XLOOKUP(Table2[[#This Row],[Animal]],Table1[Animal],Table1[Lifespan Group],"N/A",0)</f>
        <v>50-74</v>
      </c>
      <c r="E277" s="17">
        <f>_xlfn.XLOOKUP(Table2[[#This Row],[Animal]],Table1[Animal],Table1[Weight (lbs)],"N/A",0)</f>
        <v>450</v>
      </c>
      <c r="F277" s="17" t="str">
        <f>_xlfn.XLOOKUP(Table2[[#This Row],[Animal]],Table1[Animal],Table1[Weight Group],"N/A",0)</f>
        <v>400-499</v>
      </c>
      <c r="G277" t="str">
        <f>_xlfn.XLOOKUP(Table2[[#This Row],[Animal]],Table1[Animal],Table1[Region],"N/A",0)</f>
        <v>Europe &amp; Eurasia</v>
      </c>
      <c r="H277" s="17" t="str">
        <f>_xlfn.XLOOKUP(Table2[[#This Row],[Animal]],Table1[Animal],Table1[Transport],"N/A",0)</f>
        <v>Road</v>
      </c>
      <c r="I277">
        <f>_xlfn.XLOOKUP(Table2[[#This Row],[Animal]],Table1[Animal],Table1[Revenue],"N/A",0)</f>
        <v>450</v>
      </c>
      <c r="J277">
        <f>_xlfn.XLOOKUP(Table2[[#This Row],[Animal]],Table1[Animal],Table1[Cost],"N/A",0)</f>
        <v>400</v>
      </c>
      <c r="K277">
        <f>Table2[[#This Row],[Revenue]]-Table2[[#This Row],[Cost]]</f>
        <v>50</v>
      </c>
    </row>
    <row r="278" spans="1:11" x14ac:dyDescent="0.25">
      <c r="A278" t="s">
        <v>396</v>
      </c>
      <c r="B278" t="str">
        <f>_xlfn.XLOOKUP(Table2[[#This Row],[Animal]],Table1[Animal],Table1[Diet],"Not Found",0)</f>
        <v>Carnivore</v>
      </c>
      <c r="C278" s="19">
        <f>_xlfn.XLOOKUP(Table2[[#This Row],[Animal]],Table1[Animal],Table1[Lifespan (Years)],"N/A",0)</f>
        <v>20</v>
      </c>
      <c r="D278" s="17" t="str">
        <f>_xlfn.XLOOKUP(Table2[[#This Row],[Animal]],Table1[Animal],Table1[Lifespan Group],"N/A",0)</f>
        <v>&lt;25</v>
      </c>
      <c r="E278" s="17">
        <f>_xlfn.XLOOKUP(Table2[[#This Row],[Animal]],Table1[Animal],Table1[Weight (lbs)],"N/A",0)</f>
        <v>64</v>
      </c>
      <c r="F278" s="17" t="str">
        <f>_xlfn.XLOOKUP(Table2[[#This Row],[Animal]],Table1[Animal],Table1[Weight Group],"N/A",0)</f>
        <v>&lt;100</v>
      </c>
      <c r="G278" t="str">
        <f>_xlfn.XLOOKUP(Table2[[#This Row],[Animal]],Table1[Animal],Table1[Region],"N/A",0)</f>
        <v>Latin America</v>
      </c>
      <c r="H278" s="17" t="str">
        <f>_xlfn.XLOOKUP(Table2[[#This Row],[Animal]],Table1[Animal],Table1[Transport],"N/A",0)</f>
        <v>Boat</v>
      </c>
      <c r="I278">
        <f>_xlfn.XLOOKUP(Table2[[#This Row],[Animal]],Table1[Animal],Table1[Revenue],"N/A",0)</f>
        <v>200</v>
      </c>
      <c r="J278">
        <f>_xlfn.XLOOKUP(Table2[[#This Row],[Animal]],Table1[Animal],Table1[Cost],"N/A",0)</f>
        <v>500</v>
      </c>
      <c r="K278">
        <f>Table2[[#This Row],[Revenue]]-Table2[[#This Row],[Cost]]</f>
        <v>-300</v>
      </c>
    </row>
    <row r="279" spans="1:11" x14ac:dyDescent="0.25">
      <c r="A279" t="s">
        <v>398</v>
      </c>
      <c r="B279" t="str">
        <f>_xlfn.XLOOKUP(Table2[[#This Row],[Animal]],Table1[Animal],Table1[Diet],"Not Found",0)</f>
        <v>Herbivore</v>
      </c>
      <c r="C279" s="19">
        <f>_xlfn.XLOOKUP(Table2[[#This Row],[Animal]],Table1[Animal],Table1[Lifespan (Years)],"N/A",0)</f>
        <v>20</v>
      </c>
      <c r="D279" s="17" t="str">
        <f>_xlfn.XLOOKUP(Table2[[#This Row],[Animal]],Table1[Animal],Table1[Lifespan Group],"N/A",0)</f>
        <v>&lt;25</v>
      </c>
      <c r="E279" s="17">
        <f>_xlfn.XLOOKUP(Table2[[#This Row],[Animal]],Table1[Animal],Table1[Weight (lbs)],"N/A",0)</f>
        <v>771</v>
      </c>
      <c r="F279" s="17" t="str">
        <f>_xlfn.XLOOKUP(Table2[[#This Row],[Animal]],Table1[Animal],Table1[Weight Group],"N/A",0)</f>
        <v>&gt;=500</v>
      </c>
      <c r="G279" t="str">
        <f>_xlfn.XLOOKUP(Table2[[#This Row],[Animal]],Table1[Animal],Table1[Region],"N/A",0)</f>
        <v>North America</v>
      </c>
      <c r="H279" s="17" t="str">
        <f>_xlfn.XLOOKUP(Table2[[#This Row],[Animal]],Table1[Animal],Table1[Transport],"N/A",0)</f>
        <v>Boat</v>
      </c>
      <c r="I279">
        <f>_xlfn.XLOOKUP(Table2[[#This Row],[Animal]],Table1[Animal],Table1[Revenue],"N/A",0)</f>
        <v>400</v>
      </c>
      <c r="J279">
        <f>_xlfn.XLOOKUP(Table2[[#This Row],[Animal]],Table1[Animal],Table1[Cost],"N/A",0)</f>
        <v>300</v>
      </c>
      <c r="K279">
        <f>Table2[[#This Row],[Revenue]]-Table2[[#This Row],[Cost]]</f>
        <v>100</v>
      </c>
    </row>
    <row r="280" spans="1:11" x14ac:dyDescent="0.25">
      <c r="A280" t="s">
        <v>401</v>
      </c>
      <c r="B280" t="str">
        <f>_xlfn.XLOOKUP(Table2[[#This Row],[Animal]],Table1[Animal],Table1[Diet],"Not Found",0)</f>
        <v>Omnivore</v>
      </c>
      <c r="C280" s="19">
        <f>_xlfn.XLOOKUP(Table2[[#This Row],[Animal]],Table1[Animal],Table1[Lifespan (Years)],"N/A",0)</f>
        <v>10</v>
      </c>
      <c r="D280" s="17" t="str">
        <f>_xlfn.XLOOKUP(Table2[[#This Row],[Animal]],Table1[Animal],Table1[Lifespan Group],"N/A",0)</f>
        <v>&lt;25</v>
      </c>
      <c r="E280" s="17">
        <f>_xlfn.XLOOKUP(Table2[[#This Row],[Animal]],Table1[Animal],Table1[Weight (lbs)],"N/A",0)</f>
        <v>130</v>
      </c>
      <c r="F280" s="17" t="str">
        <f>_xlfn.XLOOKUP(Table2[[#This Row],[Animal]],Table1[Animal],Table1[Weight Group],"N/A",0)</f>
        <v>100-199</v>
      </c>
      <c r="G280" t="str">
        <f>_xlfn.XLOOKUP(Table2[[#This Row],[Animal]],Table1[Animal],Table1[Region],"N/A",0)</f>
        <v>North America</v>
      </c>
      <c r="H280" s="17" t="str">
        <f>_xlfn.XLOOKUP(Table2[[#This Row],[Animal]],Table1[Animal],Table1[Transport],"N/A",0)</f>
        <v>Boat</v>
      </c>
      <c r="I280">
        <f>_xlfn.XLOOKUP(Table2[[#This Row],[Animal]],Table1[Animal],Table1[Revenue],"N/A",0)</f>
        <v>400</v>
      </c>
      <c r="J280">
        <f>_xlfn.XLOOKUP(Table2[[#This Row],[Animal]],Table1[Animal],Table1[Cost],"N/A",0)</f>
        <v>400</v>
      </c>
      <c r="K280">
        <f>Table2[[#This Row],[Revenue]]-Table2[[#This Row],[Cost]]</f>
        <v>0</v>
      </c>
    </row>
    <row r="281" spans="1:11" x14ac:dyDescent="0.25">
      <c r="A281" t="s">
        <v>402</v>
      </c>
      <c r="B281" t="str">
        <f>_xlfn.XLOOKUP(Table2[[#This Row],[Animal]],Table1[Animal],Table1[Diet],"Not Found",0)</f>
        <v>Omnivore</v>
      </c>
      <c r="C281" s="19">
        <f>_xlfn.XLOOKUP(Table2[[#This Row],[Animal]],Table1[Animal],Table1[Lifespan (Years)],"N/A",0)</f>
        <v>15</v>
      </c>
      <c r="D281" s="17" t="str">
        <f>_xlfn.XLOOKUP(Table2[[#This Row],[Animal]],Table1[Animal],Table1[Lifespan Group],"N/A",0)</f>
        <v>&lt;25</v>
      </c>
      <c r="E281" s="17">
        <f>_xlfn.XLOOKUP(Table2[[#This Row],[Animal]],Table1[Animal],Table1[Weight (lbs)],"N/A",0)</f>
        <v>0.3</v>
      </c>
      <c r="F281" s="17" t="str">
        <f>_xlfn.XLOOKUP(Table2[[#This Row],[Animal]],Table1[Animal],Table1[Weight Group],"N/A",0)</f>
        <v>&lt;100</v>
      </c>
      <c r="G281" t="str">
        <f>_xlfn.XLOOKUP(Table2[[#This Row],[Animal]],Table1[Animal],Table1[Region],"N/A",0)</f>
        <v>North America</v>
      </c>
      <c r="H281" s="17" t="str">
        <f>_xlfn.XLOOKUP(Table2[[#This Row],[Animal]],Table1[Animal],Table1[Transport],"N/A",0)</f>
        <v>Boat</v>
      </c>
      <c r="I281">
        <f>_xlfn.XLOOKUP(Table2[[#This Row],[Animal]],Table1[Animal],Table1[Revenue],"N/A",0)</f>
        <v>400</v>
      </c>
      <c r="J281">
        <f>_xlfn.XLOOKUP(Table2[[#This Row],[Animal]],Table1[Animal],Table1[Cost],"N/A",0)</f>
        <v>400</v>
      </c>
      <c r="K281">
        <f>Table2[[#This Row],[Revenue]]-Table2[[#This Row],[Cost]]</f>
        <v>0</v>
      </c>
    </row>
    <row r="282" spans="1:11" x14ac:dyDescent="0.25">
      <c r="A282" t="s">
        <v>403</v>
      </c>
      <c r="B282" t="str">
        <f>_xlfn.XLOOKUP(Table2[[#This Row],[Animal]],Table1[Animal],Table1[Diet],"Not Found",0)</f>
        <v>Omnivore</v>
      </c>
      <c r="C282" s="19">
        <f>_xlfn.XLOOKUP(Table2[[#This Row],[Animal]],Table1[Animal],Table1[Lifespan (Years)],"N/A",0)</f>
        <v>3</v>
      </c>
      <c r="D282" s="17" t="str">
        <f>_xlfn.XLOOKUP(Table2[[#This Row],[Animal]],Table1[Animal],Table1[Lifespan Group],"N/A",0)</f>
        <v>&lt;25</v>
      </c>
      <c r="E282" s="17">
        <f>_xlfn.XLOOKUP(Table2[[#This Row],[Animal]],Table1[Animal],Table1[Weight (lbs)],"N/A",0)</f>
        <v>3.125E-2</v>
      </c>
      <c r="F282" s="17" t="str">
        <f>_xlfn.XLOOKUP(Table2[[#This Row],[Animal]],Table1[Animal],Table1[Weight Group],"N/A",0)</f>
        <v>&lt;100</v>
      </c>
      <c r="G282" t="str">
        <f>_xlfn.XLOOKUP(Table2[[#This Row],[Animal]],Table1[Animal],Table1[Region],"N/A",0)</f>
        <v>Greater China</v>
      </c>
      <c r="H282" s="17" t="str">
        <f>_xlfn.XLOOKUP(Table2[[#This Row],[Animal]],Table1[Animal],Table1[Transport],"N/A",0)</f>
        <v>Air</v>
      </c>
      <c r="I282">
        <f>_xlfn.XLOOKUP(Table2[[#This Row],[Animal]],Table1[Animal],Table1[Revenue],"N/A",0)</f>
        <v>600</v>
      </c>
      <c r="J282">
        <f>_xlfn.XLOOKUP(Table2[[#This Row],[Animal]],Table1[Animal],Table1[Cost],"N/A",0)</f>
        <v>400</v>
      </c>
      <c r="K282">
        <f>Table2[[#This Row],[Revenue]]-Table2[[#This Row],[Cost]]</f>
        <v>200</v>
      </c>
    </row>
    <row r="283" spans="1:11" x14ac:dyDescent="0.25">
      <c r="A283" t="s">
        <v>404</v>
      </c>
      <c r="B283" t="str">
        <f>_xlfn.XLOOKUP(Table2[[#This Row],[Animal]],Table1[Animal],Table1[Diet],"Not Found",0)</f>
        <v>Omnivore</v>
      </c>
      <c r="C283" s="19">
        <f>_xlfn.XLOOKUP(Table2[[#This Row],[Animal]],Table1[Animal],Table1[Lifespan (Years)],"N/A",0)</f>
        <v>15</v>
      </c>
      <c r="D283" s="17" t="str">
        <f>_xlfn.XLOOKUP(Table2[[#This Row],[Animal]],Table1[Animal],Table1[Lifespan Group],"N/A",0)</f>
        <v>&lt;25</v>
      </c>
      <c r="E283" s="17">
        <f>_xlfn.XLOOKUP(Table2[[#This Row],[Animal]],Table1[Animal],Table1[Weight (lbs)],"N/A",0)</f>
        <v>12</v>
      </c>
      <c r="F283" s="17" t="str">
        <f>_xlfn.XLOOKUP(Table2[[#This Row],[Animal]],Table1[Animal],Table1[Weight Group],"N/A",0)</f>
        <v>&lt;100</v>
      </c>
      <c r="G283" t="str">
        <f>_xlfn.XLOOKUP(Table2[[#This Row],[Animal]],Table1[Animal],Table1[Region],"N/A",0)</f>
        <v>North America</v>
      </c>
      <c r="H283" s="17" t="str">
        <f>_xlfn.XLOOKUP(Table2[[#This Row],[Animal]],Table1[Animal],Table1[Transport],"N/A",0)</f>
        <v>Boat</v>
      </c>
      <c r="I283">
        <f>_xlfn.XLOOKUP(Table2[[#This Row],[Animal]],Table1[Animal],Table1[Revenue],"N/A",0)</f>
        <v>400</v>
      </c>
      <c r="J283">
        <f>_xlfn.XLOOKUP(Table2[[#This Row],[Animal]],Table1[Animal],Table1[Cost],"N/A",0)</f>
        <v>400</v>
      </c>
      <c r="K283">
        <f>Table2[[#This Row],[Revenue]]-Table2[[#This Row],[Cost]]</f>
        <v>0</v>
      </c>
    </row>
    <row r="284" spans="1:11" x14ac:dyDescent="0.25">
      <c r="A284" t="s">
        <v>405</v>
      </c>
      <c r="B284" t="str">
        <f>_xlfn.XLOOKUP(Table2[[#This Row],[Animal]],Table1[Animal],Table1[Diet],"Not Found",0)</f>
        <v>Carnivore</v>
      </c>
      <c r="C284" s="19">
        <f>_xlfn.XLOOKUP(Table2[[#This Row],[Animal]],Table1[Animal],Table1[Lifespan (Years)],"N/A",0)</f>
        <v>15</v>
      </c>
      <c r="D284" s="17" t="str">
        <f>_xlfn.XLOOKUP(Table2[[#This Row],[Animal]],Table1[Animal],Table1[Lifespan Group],"N/A",0)</f>
        <v>&lt;25</v>
      </c>
      <c r="E284" s="17">
        <f>_xlfn.XLOOKUP(Table2[[#This Row],[Animal]],Table1[Animal],Table1[Weight (lbs)],"N/A",0)</f>
        <v>22</v>
      </c>
      <c r="F284" s="17" t="str">
        <f>_xlfn.XLOOKUP(Table2[[#This Row],[Animal]],Table1[Animal],Table1[Weight Group],"N/A",0)</f>
        <v>&lt;100</v>
      </c>
      <c r="G284" t="str">
        <f>_xlfn.XLOOKUP(Table2[[#This Row],[Animal]],Table1[Animal],Table1[Region],"N/A",0)</f>
        <v>Europe &amp; Eurasia</v>
      </c>
      <c r="H284" s="17" t="str">
        <f>_xlfn.XLOOKUP(Table2[[#This Row],[Animal]],Table1[Animal],Table1[Transport],"N/A",0)</f>
        <v>Road</v>
      </c>
      <c r="I284">
        <f>_xlfn.XLOOKUP(Table2[[#This Row],[Animal]],Table1[Animal],Table1[Revenue],"N/A",0)</f>
        <v>450</v>
      </c>
      <c r="J284">
        <f>_xlfn.XLOOKUP(Table2[[#This Row],[Animal]],Table1[Animal],Table1[Cost],"N/A",0)</f>
        <v>500</v>
      </c>
      <c r="K284">
        <f>Table2[[#This Row],[Revenue]]-Table2[[#This Row],[Cost]]</f>
        <v>-50</v>
      </c>
    </row>
    <row r="285" spans="1:11" x14ac:dyDescent="0.25">
      <c r="A285" t="s">
        <v>406</v>
      </c>
      <c r="B285" t="str">
        <f>_xlfn.XLOOKUP(Table2[[#This Row],[Animal]],Table1[Animal],Table1[Diet],"Not Found",0)</f>
        <v>Omnivore</v>
      </c>
      <c r="C285" s="19">
        <f>_xlfn.XLOOKUP(Table2[[#This Row],[Animal]],Table1[Animal],Table1[Lifespan (Years)],"N/A",0)</f>
        <v>8</v>
      </c>
      <c r="D285" s="17" t="str">
        <f>_xlfn.XLOOKUP(Table2[[#This Row],[Animal]],Table1[Animal],Table1[Lifespan Group],"N/A",0)</f>
        <v>&lt;25</v>
      </c>
      <c r="E285" s="17">
        <f>_xlfn.XLOOKUP(Table2[[#This Row],[Animal]],Table1[Animal],Table1[Weight (lbs)],"N/A",0)</f>
        <v>9.9</v>
      </c>
      <c r="F285" s="17" t="str">
        <f>_xlfn.XLOOKUP(Table2[[#This Row],[Animal]],Table1[Animal],Table1[Weight Group],"N/A",0)</f>
        <v>&lt;100</v>
      </c>
      <c r="G285" t="str">
        <f>_xlfn.XLOOKUP(Table2[[#This Row],[Animal]],Table1[Animal],Table1[Region],"N/A",0)</f>
        <v>Europe &amp; Eurasia</v>
      </c>
      <c r="H285" s="17" t="str">
        <f>_xlfn.XLOOKUP(Table2[[#This Row],[Animal]],Table1[Animal],Table1[Transport],"N/A",0)</f>
        <v>Road</v>
      </c>
      <c r="I285">
        <f>_xlfn.XLOOKUP(Table2[[#This Row],[Animal]],Table1[Animal],Table1[Revenue],"N/A",0)</f>
        <v>450</v>
      </c>
      <c r="J285">
        <f>_xlfn.XLOOKUP(Table2[[#This Row],[Animal]],Table1[Animal],Table1[Cost],"N/A",0)</f>
        <v>400</v>
      </c>
      <c r="K285">
        <f>Table2[[#This Row],[Revenue]]-Table2[[#This Row],[Cost]]</f>
        <v>50</v>
      </c>
    </row>
    <row r="286" spans="1:11" x14ac:dyDescent="0.25">
      <c r="A286" t="s">
        <v>411</v>
      </c>
      <c r="B286" t="str">
        <f>_xlfn.XLOOKUP(Table2[[#This Row],[Animal]],Table1[Animal],Table1[Diet],"Not Found",0)</f>
        <v>Omnivore</v>
      </c>
      <c r="C286" s="19">
        <f>_xlfn.XLOOKUP(Table2[[#This Row],[Animal]],Table1[Animal],Table1[Lifespan (Years)],"N/A",0)</f>
        <v>12</v>
      </c>
      <c r="D286" s="17" t="str">
        <f>_xlfn.XLOOKUP(Table2[[#This Row],[Animal]],Table1[Animal],Table1[Lifespan Group],"N/A",0)</f>
        <v>&lt;25</v>
      </c>
      <c r="E286" s="17">
        <f>_xlfn.XLOOKUP(Table2[[#This Row],[Animal]],Table1[Animal],Table1[Weight (lbs)],"N/A",0)</f>
        <v>66</v>
      </c>
      <c r="F286" s="17" t="str">
        <f>_xlfn.XLOOKUP(Table2[[#This Row],[Animal]],Table1[Animal],Table1[Weight Group],"N/A",0)</f>
        <v>&lt;100</v>
      </c>
      <c r="G286" t="str">
        <f>_xlfn.XLOOKUP(Table2[[#This Row],[Animal]],Table1[Animal],Table1[Region],"N/A",0)</f>
        <v>Africa &amp; MENA</v>
      </c>
      <c r="H286" s="17" t="str">
        <f>_xlfn.XLOOKUP(Table2[[#This Row],[Animal]],Table1[Animal],Table1[Transport],"N/A",0)</f>
        <v>Air</v>
      </c>
      <c r="I286">
        <f>_xlfn.XLOOKUP(Table2[[#This Row],[Animal]],Table1[Animal],Table1[Revenue],"N/A",0)</f>
        <v>600</v>
      </c>
      <c r="J286">
        <f>_xlfn.XLOOKUP(Table2[[#This Row],[Animal]],Table1[Animal],Table1[Cost],"N/A",0)</f>
        <v>400</v>
      </c>
      <c r="K286">
        <f>Table2[[#This Row],[Revenue]]-Table2[[#This Row],[Cost]]</f>
        <v>200</v>
      </c>
    </row>
    <row r="287" spans="1:11" x14ac:dyDescent="0.25">
      <c r="A287" t="s">
        <v>412</v>
      </c>
      <c r="B287" t="str">
        <f>_xlfn.XLOOKUP(Table2[[#This Row],[Animal]],Table1[Animal],Table1[Diet],"Not Found",0)</f>
        <v>Omnivore</v>
      </c>
      <c r="C287" s="19">
        <f>_xlfn.XLOOKUP(Table2[[#This Row],[Animal]],Table1[Animal],Table1[Lifespan (Years)],"N/A",0)</f>
        <v>7</v>
      </c>
      <c r="D287" s="17" t="str">
        <f>_xlfn.XLOOKUP(Table2[[#This Row],[Animal]],Table1[Animal],Table1[Lifespan Group],"N/A",0)</f>
        <v>&lt;25</v>
      </c>
      <c r="E287" s="17">
        <f>_xlfn.XLOOKUP(Table2[[#This Row],[Animal]],Table1[Animal],Table1[Weight (lbs)],"N/A",0)</f>
        <v>1.1000000000000001</v>
      </c>
      <c r="F287" s="17" t="str">
        <f>_xlfn.XLOOKUP(Table2[[#This Row],[Animal]],Table1[Animal],Table1[Weight Group],"N/A",0)</f>
        <v>&lt;100</v>
      </c>
      <c r="G287" t="str">
        <f>_xlfn.XLOOKUP(Table2[[#This Row],[Animal]],Table1[Animal],Table1[Region],"N/A",0)</f>
        <v>Europe &amp; Eurasia</v>
      </c>
      <c r="H287" s="17" t="str">
        <f>_xlfn.XLOOKUP(Table2[[#This Row],[Animal]],Table1[Animal],Table1[Transport],"N/A",0)</f>
        <v>Road</v>
      </c>
      <c r="I287">
        <f>_xlfn.XLOOKUP(Table2[[#This Row],[Animal]],Table1[Animal],Table1[Revenue],"N/A",0)</f>
        <v>450</v>
      </c>
      <c r="J287">
        <f>_xlfn.XLOOKUP(Table2[[#This Row],[Animal]],Table1[Animal],Table1[Cost],"N/A",0)</f>
        <v>400</v>
      </c>
      <c r="K287">
        <f>Table2[[#This Row],[Revenue]]-Table2[[#This Row],[Cost]]</f>
        <v>50</v>
      </c>
    </row>
    <row r="288" spans="1:11" x14ac:dyDescent="0.25">
      <c r="A288" t="s">
        <v>413</v>
      </c>
      <c r="B288" t="str">
        <f>_xlfn.XLOOKUP(Table2[[#This Row],[Animal]],Table1[Animal],Table1[Diet],"Not Found",0)</f>
        <v>Omnivore</v>
      </c>
      <c r="C288" s="19">
        <f>_xlfn.XLOOKUP(Table2[[#This Row],[Animal]],Table1[Animal],Table1[Lifespan (Years)],"N/A",0)</f>
        <v>40</v>
      </c>
      <c r="D288" s="17" t="str">
        <f>_xlfn.XLOOKUP(Table2[[#This Row],[Animal]],Table1[Animal],Table1[Lifespan Group],"N/A",0)</f>
        <v>25-49</v>
      </c>
      <c r="E288" s="17">
        <f>_xlfn.XLOOKUP(Table2[[#This Row],[Animal]],Table1[Animal],Table1[Weight (lbs)],"N/A",0)</f>
        <v>66</v>
      </c>
      <c r="F288" s="17" t="str">
        <f>_xlfn.XLOOKUP(Table2[[#This Row],[Animal]],Table1[Animal],Table1[Weight Group],"N/A",0)</f>
        <v>&lt;100</v>
      </c>
      <c r="G288" t="str">
        <f>_xlfn.XLOOKUP(Table2[[#This Row],[Animal]],Table1[Animal],Table1[Region],"N/A",0)</f>
        <v>Africa &amp; MENA</v>
      </c>
      <c r="H288" s="17" t="str">
        <f>_xlfn.XLOOKUP(Table2[[#This Row],[Animal]],Table1[Animal],Table1[Transport],"N/A",0)</f>
        <v>Air</v>
      </c>
      <c r="I288">
        <f>_xlfn.XLOOKUP(Table2[[#This Row],[Animal]],Table1[Animal],Table1[Revenue],"N/A",0)</f>
        <v>600</v>
      </c>
      <c r="J288">
        <f>_xlfn.XLOOKUP(Table2[[#This Row],[Animal]],Table1[Animal],Table1[Cost],"N/A",0)</f>
        <v>400</v>
      </c>
      <c r="K288">
        <f>Table2[[#This Row],[Revenue]]-Table2[[#This Row],[Cost]]</f>
        <v>200</v>
      </c>
    </row>
    <row r="289" spans="1:11" x14ac:dyDescent="0.25">
      <c r="A289" t="s">
        <v>414</v>
      </c>
      <c r="B289" t="str">
        <f>_xlfn.XLOOKUP(Table2[[#This Row],[Animal]],Table1[Animal],Table1[Diet],"Not Found",0)</f>
        <v>Omnivore</v>
      </c>
      <c r="C289" s="19">
        <f>_xlfn.XLOOKUP(Table2[[#This Row],[Animal]],Table1[Animal],Table1[Lifespan (Years)],"N/A",0)</f>
        <v>70</v>
      </c>
      <c r="D289" s="17" t="str">
        <f>_xlfn.XLOOKUP(Table2[[#This Row],[Animal]],Table1[Animal],Table1[Lifespan Group],"N/A",0)</f>
        <v>50-74</v>
      </c>
      <c r="E289" s="17">
        <f>_xlfn.XLOOKUP(Table2[[#This Row],[Animal]],Table1[Animal],Table1[Weight (lbs)],"N/A",0)</f>
        <v>140</v>
      </c>
      <c r="F289" s="17" t="str">
        <f>_xlfn.XLOOKUP(Table2[[#This Row],[Animal]],Table1[Animal],Table1[Weight Group],"N/A",0)</f>
        <v>100-199</v>
      </c>
      <c r="G289" t="str">
        <f>_xlfn.XLOOKUP(Table2[[#This Row],[Animal]],Table1[Animal],Table1[Region],"N/A",0)</f>
        <v>North America</v>
      </c>
      <c r="H289" s="17" t="str">
        <f>_xlfn.XLOOKUP(Table2[[#This Row],[Animal]],Table1[Animal],Table1[Transport],"N/A",0)</f>
        <v>Boat</v>
      </c>
      <c r="I289">
        <f>_xlfn.XLOOKUP(Table2[[#This Row],[Animal]],Table1[Animal],Table1[Revenue],"N/A",0)</f>
        <v>400</v>
      </c>
      <c r="J289">
        <f>_xlfn.XLOOKUP(Table2[[#This Row],[Animal]],Table1[Animal],Table1[Cost],"N/A",0)</f>
        <v>400</v>
      </c>
      <c r="K289">
        <f>Table2[[#This Row],[Revenue]]-Table2[[#This Row],[Cost]]</f>
        <v>0</v>
      </c>
    </row>
    <row r="290" spans="1:11" x14ac:dyDescent="0.25">
      <c r="A290" t="s">
        <v>415</v>
      </c>
      <c r="B290" t="str">
        <f>_xlfn.XLOOKUP(Table2[[#This Row],[Animal]],Table1[Animal],Table1[Diet],"Not Found",0)</f>
        <v>Carnivore</v>
      </c>
      <c r="C290" s="19">
        <f>_xlfn.XLOOKUP(Table2[[#This Row],[Animal]],Table1[Animal],Table1[Lifespan (Years)],"N/A",0)</f>
        <v>25</v>
      </c>
      <c r="D290" s="17" t="str">
        <f>_xlfn.XLOOKUP(Table2[[#This Row],[Animal]],Table1[Animal],Table1[Lifespan Group],"N/A",0)</f>
        <v>25-49</v>
      </c>
      <c r="E290" s="17">
        <f>_xlfn.XLOOKUP(Table2[[#This Row],[Animal]],Table1[Animal],Table1[Weight (lbs)],"N/A",0)</f>
        <v>10</v>
      </c>
      <c r="F290" s="17" t="str">
        <f>_xlfn.XLOOKUP(Table2[[#This Row],[Animal]],Table1[Animal],Table1[Weight Group],"N/A",0)</f>
        <v>&lt;100</v>
      </c>
      <c r="G290" t="str">
        <f>_xlfn.XLOOKUP(Table2[[#This Row],[Animal]],Table1[Animal],Table1[Region],"N/A",0)</f>
        <v>North America</v>
      </c>
      <c r="H290" s="17" t="str">
        <f>_xlfn.XLOOKUP(Table2[[#This Row],[Animal]],Table1[Animal],Table1[Transport],"N/A",0)</f>
        <v>Boat</v>
      </c>
      <c r="I290">
        <f>_xlfn.XLOOKUP(Table2[[#This Row],[Animal]],Table1[Animal],Table1[Revenue],"N/A",0)</f>
        <v>400</v>
      </c>
      <c r="J290">
        <f>_xlfn.XLOOKUP(Table2[[#This Row],[Animal]],Table1[Animal],Table1[Cost],"N/A",0)</f>
        <v>500</v>
      </c>
      <c r="K290">
        <f>Table2[[#This Row],[Revenue]]-Table2[[#This Row],[Cost]]</f>
        <v>-100</v>
      </c>
    </row>
    <row r="291" spans="1:11" x14ac:dyDescent="0.25">
      <c r="A291" t="s">
        <v>416</v>
      </c>
      <c r="B291" t="str">
        <f>_xlfn.XLOOKUP(Table2[[#This Row],[Animal]],Table1[Animal],Table1[Diet],"Not Found",0)</f>
        <v>Omnivore</v>
      </c>
      <c r="C291" s="19">
        <f>_xlfn.XLOOKUP(Table2[[#This Row],[Animal]],Table1[Animal],Table1[Lifespan (Years)],"N/A",0)</f>
        <v>3</v>
      </c>
      <c r="D291" s="17" t="str">
        <f>_xlfn.XLOOKUP(Table2[[#This Row],[Animal]],Table1[Animal],Table1[Lifespan Group],"N/A",0)</f>
        <v>&lt;25</v>
      </c>
      <c r="E291" s="17">
        <f>_xlfn.XLOOKUP(Table2[[#This Row],[Animal]],Table1[Animal],Table1[Weight (lbs)],"N/A",0)</f>
        <v>0.10625</v>
      </c>
      <c r="F291" s="17" t="str">
        <f>_xlfn.XLOOKUP(Table2[[#This Row],[Animal]],Table1[Animal],Table1[Weight Group],"N/A",0)</f>
        <v>&lt;100</v>
      </c>
      <c r="G291" t="str">
        <f>_xlfn.XLOOKUP(Table2[[#This Row],[Animal]],Table1[Animal],Table1[Region],"N/A",0)</f>
        <v>North America</v>
      </c>
      <c r="H291" s="17" t="str">
        <f>_xlfn.XLOOKUP(Table2[[#This Row],[Animal]],Table1[Animal],Table1[Transport],"N/A",0)</f>
        <v>Boat</v>
      </c>
      <c r="I291">
        <f>_xlfn.XLOOKUP(Table2[[#This Row],[Animal]],Table1[Animal],Table1[Revenue],"N/A",0)</f>
        <v>400</v>
      </c>
      <c r="J291">
        <f>_xlfn.XLOOKUP(Table2[[#This Row],[Animal]],Table1[Animal],Table1[Cost],"N/A",0)</f>
        <v>400</v>
      </c>
      <c r="K291">
        <f>Table2[[#This Row],[Revenue]]-Table2[[#This Row],[Cost]]</f>
        <v>0</v>
      </c>
    </row>
    <row r="292" spans="1:11" x14ac:dyDescent="0.25">
      <c r="A292" t="s">
        <v>417</v>
      </c>
      <c r="B292" t="str">
        <f>_xlfn.XLOOKUP(Table2[[#This Row],[Animal]],Table1[Animal],Table1[Diet],"Not Found",0)</f>
        <v>Herbivore</v>
      </c>
      <c r="C292" s="19">
        <f>_xlfn.XLOOKUP(Table2[[#This Row],[Animal]],Table1[Animal],Table1[Lifespan (Years)],"N/A",0)</f>
        <v>8</v>
      </c>
      <c r="D292" s="17" t="str">
        <f>_xlfn.XLOOKUP(Table2[[#This Row],[Animal]],Table1[Animal],Table1[Lifespan Group],"N/A",0)</f>
        <v>&lt;25</v>
      </c>
      <c r="E292" s="17">
        <f>_xlfn.XLOOKUP(Table2[[#This Row],[Animal]],Table1[Animal],Table1[Weight (lbs)],"N/A",0)</f>
        <v>7.7</v>
      </c>
      <c r="F292" s="17" t="str">
        <f>_xlfn.XLOOKUP(Table2[[#This Row],[Animal]],Table1[Animal],Table1[Weight Group],"N/A",0)</f>
        <v>&lt;100</v>
      </c>
      <c r="G292" t="str">
        <f>_xlfn.XLOOKUP(Table2[[#This Row],[Animal]],Table1[Animal],Table1[Region],"N/A",0)</f>
        <v>Africa &amp; MENA</v>
      </c>
      <c r="H292" s="17" t="str">
        <f>_xlfn.XLOOKUP(Table2[[#This Row],[Animal]],Table1[Animal],Table1[Transport],"N/A",0)</f>
        <v>Air</v>
      </c>
      <c r="I292">
        <f>_xlfn.XLOOKUP(Table2[[#This Row],[Animal]],Table1[Animal],Table1[Revenue],"N/A",0)</f>
        <v>600</v>
      </c>
      <c r="J292">
        <f>_xlfn.XLOOKUP(Table2[[#This Row],[Animal]],Table1[Animal],Table1[Cost],"N/A",0)</f>
        <v>300</v>
      </c>
      <c r="K292">
        <f>Table2[[#This Row],[Revenue]]-Table2[[#This Row],[Cost]]</f>
        <v>300</v>
      </c>
    </row>
    <row r="293" spans="1:11" x14ac:dyDescent="0.25">
      <c r="A293" t="s">
        <v>418</v>
      </c>
      <c r="B293" t="str">
        <f>_xlfn.XLOOKUP(Table2[[#This Row],[Animal]],Table1[Animal],Table1[Diet],"Not Found",0)</f>
        <v>Carnivore</v>
      </c>
      <c r="C293" s="19">
        <f>_xlfn.XLOOKUP(Table2[[#This Row],[Animal]],Table1[Animal],Table1[Lifespan (Years)],"N/A",0)</f>
        <v>15</v>
      </c>
      <c r="D293" s="17" t="str">
        <f>_xlfn.XLOOKUP(Table2[[#This Row],[Animal]],Table1[Animal],Table1[Lifespan Group],"N/A",0)</f>
        <v>&lt;25</v>
      </c>
      <c r="E293" s="17">
        <f>_xlfn.XLOOKUP(Table2[[#This Row],[Animal]],Table1[Animal],Table1[Weight (lbs)],"N/A",0)</f>
        <v>79</v>
      </c>
      <c r="F293" s="17" t="str">
        <f>_xlfn.XLOOKUP(Table2[[#This Row],[Animal]],Table1[Animal],Table1[Weight Group],"N/A",0)</f>
        <v>&lt;100</v>
      </c>
      <c r="G293" t="str">
        <f>_xlfn.XLOOKUP(Table2[[#This Row],[Animal]],Table1[Animal],Table1[Region],"N/A",0)</f>
        <v>North America</v>
      </c>
      <c r="H293" s="17" t="str">
        <f>_xlfn.XLOOKUP(Table2[[#This Row],[Animal]],Table1[Animal],Table1[Transport],"N/A",0)</f>
        <v>Boat</v>
      </c>
      <c r="I293">
        <f>_xlfn.XLOOKUP(Table2[[#This Row],[Animal]],Table1[Animal],Table1[Revenue],"N/A",0)</f>
        <v>400</v>
      </c>
      <c r="J293">
        <f>_xlfn.XLOOKUP(Table2[[#This Row],[Animal]],Table1[Animal],Table1[Cost],"N/A",0)</f>
        <v>500</v>
      </c>
      <c r="K293">
        <f>Table2[[#This Row],[Revenue]]-Table2[[#This Row],[Cost]]</f>
        <v>-100</v>
      </c>
    </row>
    <row r="294" spans="1:11" x14ac:dyDescent="0.25">
      <c r="A294" t="s">
        <v>420</v>
      </c>
      <c r="B294" t="str">
        <f>_xlfn.XLOOKUP(Table2[[#This Row],[Animal]],Table1[Animal],Table1[Diet],"Not Found",0)</f>
        <v>Omnivore</v>
      </c>
      <c r="C294" s="19">
        <f>_xlfn.XLOOKUP(Table2[[#This Row],[Animal]],Table1[Animal],Table1[Lifespan (Years)],"N/A",0)</f>
        <v>20</v>
      </c>
      <c r="D294" s="17" t="str">
        <f>_xlfn.XLOOKUP(Table2[[#This Row],[Animal]],Table1[Animal],Table1[Lifespan Group],"N/A",0)</f>
        <v>&lt;25</v>
      </c>
      <c r="E294" s="17">
        <f>_xlfn.XLOOKUP(Table2[[#This Row],[Animal]],Table1[Animal],Table1[Weight (lbs)],"N/A",0)</f>
        <v>6</v>
      </c>
      <c r="F294" s="17" t="str">
        <f>_xlfn.XLOOKUP(Table2[[#This Row],[Animal]],Table1[Animal],Table1[Weight Group],"N/A",0)</f>
        <v>&lt;100</v>
      </c>
      <c r="G294" t="str">
        <f>_xlfn.XLOOKUP(Table2[[#This Row],[Animal]],Table1[Animal],Table1[Region],"N/A",0)</f>
        <v>Europe &amp; Eurasia</v>
      </c>
      <c r="H294" s="17" t="str">
        <f>_xlfn.XLOOKUP(Table2[[#This Row],[Animal]],Table1[Animal],Table1[Transport],"N/A",0)</f>
        <v>Road</v>
      </c>
      <c r="I294">
        <f>_xlfn.XLOOKUP(Table2[[#This Row],[Animal]],Table1[Animal],Table1[Revenue],"N/A",0)</f>
        <v>450</v>
      </c>
      <c r="J294">
        <f>_xlfn.XLOOKUP(Table2[[#This Row],[Animal]],Table1[Animal],Table1[Cost],"N/A",0)</f>
        <v>400</v>
      </c>
      <c r="K294">
        <f>Table2[[#This Row],[Revenue]]-Table2[[#This Row],[Cost]]</f>
        <v>50</v>
      </c>
    </row>
    <row r="295" spans="1:11" x14ac:dyDescent="0.25">
      <c r="A295" t="s">
        <v>421</v>
      </c>
      <c r="B295" t="str">
        <f>_xlfn.XLOOKUP(Table2[[#This Row],[Animal]],Table1[Animal],Table1[Diet],"Not Found",0)</f>
        <v>Omnivore</v>
      </c>
      <c r="C295" s="19">
        <f>_xlfn.XLOOKUP(Table2[[#This Row],[Animal]],Table1[Animal],Table1[Lifespan (Years)],"N/A",0)</f>
        <v>13</v>
      </c>
      <c r="D295" s="17" t="str">
        <f>_xlfn.XLOOKUP(Table2[[#This Row],[Animal]],Table1[Animal],Table1[Lifespan Group],"N/A",0)</f>
        <v>&lt;25</v>
      </c>
      <c r="E295" s="17">
        <f>_xlfn.XLOOKUP(Table2[[#This Row],[Animal]],Table1[Animal],Table1[Weight (lbs)],"N/A",0)</f>
        <v>14</v>
      </c>
      <c r="F295" s="17" t="str">
        <f>_xlfn.XLOOKUP(Table2[[#This Row],[Animal]],Table1[Animal],Table1[Weight Group],"N/A",0)</f>
        <v>&lt;100</v>
      </c>
      <c r="G295" t="str">
        <f>_xlfn.XLOOKUP(Table2[[#This Row],[Animal]],Table1[Animal],Table1[Region],"N/A",0)</f>
        <v>Europe &amp; Eurasia</v>
      </c>
      <c r="H295" s="17" t="str">
        <f>_xlfn.XLOOKUP(Table2[[#This Row],[Animal]],Table1[Animal],Table1[Transport],"N/A",0)</f>
        <v>Road</v>
      </c>
      <c r="I295">
        <f>_xlfn.XLOOKUP(Table2[[#This Row],[Animal]],Table1[Animal],Table1[Revenue],"N/A",0)</f>
        <v>450</v>
      </c>
      <c r="J295">
        <f>_xlfn.XLOOKUP(Table2[[#This Row],[Animal]],Table1[Animal],Table1[Cost],"N/A",0)</f>
        <v>400</v>
      </c>
      <c r="K295">
        <f>Table2[[#This Row],[Revenue]]-Table2[[#This Row],[Cost]]</f>
        <v>50</v>
      </c>
    </row>
    <row r="296" spans="1:11" x14ac:dyDescent="0.25">
      <c r="A296" t="s">
        <v>422</v>
      </c>
      <c r="B296" t="str">
        <f>_xlfn.XLOOKUP(Table2[[#This Row],[Animal]],Table1[Animal],Table1[Diet],"Not Found",0)</f>
        <v>Omnivore</v>
      </c>
      <c r="C296" s="19">
        <f>_xlfn.XLOOKUP(Table2[[#This Row],[Animal]],Table1[Animal],Table1[Lifespan (Years)],"N/A",0)</f>
        <v>23</v>
      </c>
      <c r="D296" s="17" t="str">
        <f>_xlfn.XLOOKUP(Table2[[#This Row],[Animal]],Table1[Animal],Table1[Lifespan Group],"N/A",0)</f>
        <v>&lt;25</v>
      </c>
      <c r="E296" s="17">
        <f>_xlfn.XLOOKUP(Table2[[#This Row],[Animal]],Table1[Animal],Table1[Weight (lbs)],"N/A",0)</f>
        <v>6</v>
      </c>
      <c r="F296" s="17" t="str">
        <f>_xlfn.XLOOKUP(Table2[[#This Row],[Animal]],Table1[Animal],Table1[Weight Group],"N/A",0)</f>
        <v>&lt;100</v>
      </c>
      <c r="G296" t="str">
        <f>_xlfn.XLOOKUP(Table2[[#This Row],[Animal]],Table1[Animal],Table1[Region],"N/A",0)</f>
        <v>North America</v>
      </c>
      <c r="H296" s="17" t="str">
        <f>_xlfn.XLOOKUP(Table2[[#This Row],[Animal]],Table1[Animal],Table1[Transport],"N/A",0)</f>
        <v>Boat</v>
      </c>
      <c r="I296">
        <f>_xlfn.XLOOKUP(Table2[[#This Row],[Animal]],Table1[Animal],Table1[Revenue],"N/A",0)</f>
        <v>400</v>
      </c>
      <c r="J296">
        <f>_xlfn.XLOOKUP(Table2[[#This Row],[Animal]],Table1[Animal],Table1[Cost],"N/A",0)</f>
        <v>400</v>
      </c>
      <c r="K296">
        <f>Table2[[#This Row],[Revenue]]-Table2[[#This Row],[Cost]]</f>
        <v>0</v>
      </c>
    </row>
    <row r="297" spans="1:11" x14ac:dyDescent="0.25">
      <c r="A297" t="s">
        <v>423</v>
      </c>
      <c r="B297" t="str">
        <f>_xlfn.XLOOKUP(Table2[[#This Row],[Animal]],Table1[Animal],Table1[Diet],"Not Found",0)</f>
        <v>Omnivore</v>
      </c>
      <c r="C297" s="19">
        <f>_xlfn.XLOOKUP(Table2[[#This Row],[Animal]],Table1[Animal],Table1[Lifespan (Years)],"N/A",0)</f>
        <v>30</v>
      </c>
      <c r="D297" s="17" t="str">
        <f>_xlfn.XLOOKUP(Table2[[#This Row],[Animal]],Table1[Animal],Table1[Lifespan Group],"N/A",0)</f>
        <v>25-49</v>
      </c>
      <c r="E297" s="17">
        <f>_xlfn.XLOOKUP(Table2[[#This Row],[Animal]],Table1[Animal],Table1[Weight (lbs)],"N/A",0)</f>
        <v>2.2000000000000002</v>
      </c>
      <c r="F297" s="17" t="str">
        <f>_xlfn.XLOOKUP(Table2[[#This Row],[Animal]],Table1[Animal],Table1[Weight Group],"N/A",0)</f>
        <v>&lt;100</v>
      </c>
      <c r="G297" t="str">
        <f>_xlfn.XLOOKUP(Table2[[#This Row],[Animal]],Table1[Animal],Table1[Region],"N/A",0)</f>
        <v>Europe &amp; Eurasia</v>
      </c>
      <c r="H297" s="17" t="str">
        <f>_xlfn.XLOOKUP(Table2[[#This Row],[Animal]],Table1[Animal],Table1[Transport],"N/A",0)</f>
        <v>Road</v>
      </c>
      <c r="I297">
        <f>_xlfn.XLOOKUP(Table2[[#This Row],[Animal]],Table1[Animal],Table1[Revenue],"N/A",0)</f>
        <v>450</v>
      </c>
      <c r="J297">
        <f>_xlfn.XLOOKUP(Table2[[#This Row],[Animal]],Table1[Animal],Table1[Cost],"N/A",0)</f>
        <v>400</v>
      </c>
      <c r="K297">
        <f>Table2[[#This Row],[Revenue]]-Table2[[#This Row],[Cost]]</f>
        <v>50</v>
      </c>
    </row>
    <row r="298" spans="1:11" x14ac:dyDescent="0.25">
      <c r="A298" t="s">
        <v>424</v>
      </c>
      <c r="B298" t="str">
        <f>_xlfn.XLOOKUP(Table2[[#This Row],[Animal]],Table1[Animal],Table1[Diet],"Not Found",0)</f>
        <v>Carnivore</v>
      </c>
      <c r="C298" s="19">
        <f>_xlfn.XLOOKUP(Table2[[#This Row],[Animal]],Table1[Animal],Table1[Lifespan (Years)],"N/A",0)</f>
        <v>19</v>
      </c>
      <c r="D298" s="17" t="str">
        <f>_xlfn.XLOOKUP(Table2[[#This Row],[Animal]],Table1[Animal],Table1[Lifespan Group],"N/A",0)</f>
        <v>&lt;25</v>
      </c>
      <c r="E298" s="17">
        <f>_xlfn.XLOOKUP(Table2[[#This Row],[Animal]],Table1[Animal],Table1[Weight (lbs)],"N/A",0)</f>
        <v>10</v>
      </c>
      <c r="F298" s="17" t="str">
        <f>_xlfn.XLOOKUP(Table2[[#This Row],[Animal]],Table1[Animal],Table1[Weight Group],"N/A",0)</f>
        <v>&lt;100</v>
      </c>
      <c r="G298" t="str">
        <f>_xlfn.XLOOKUP(Table2[[#This Row],[Animal]],Table1[Animal],Table1[Region],"N/A",0)</f>
        <v>North America</v>
      </c>
      <c r="H298" s="17" t="str">
        <f>_xlfn.XLOOKUP(Table2[[#This Row],[Animal]],Table1[Animal],Table1[Transport],"N/A",0)</f>
        <v>Boat</v>
      </c>
      <c r="I298">
        <f>_xlfn.XLOOKUP(Table2[[#This Row],[Animal]],Table1[Animal],Table1[Revenue],"N/A",0)</f>
        <v>400</v>
      </c>
      <c r="J298">
        <f>_xlfn.XLOOKUP(Table2[[#This Row],[Animal]],Table1[Animal],Table1[Cost],"N/A",0)</f>
        <v>500</v>
      </c>
      <c r="K298">
        <f>Table2[[#This Row],[Revenue]]-Table2[[#This Row],[Cost]]</f>
        <v>-100</v>
      </c>
    </row>
    <row r="299" spans="1:11" x14ac:dyDescent="0.25">
      <c r="A299" t="s">
        <v>427</v>
      </c>
      <c r="B299" t="str">
        <f>_xlfn.XLOOKUP(Table2[[#This Row],[Animal]],Table1[Animal],Table1[Diet],"Not Found",0)</f>
        <v>Herbivore</v>
      </c>
      <c r="C299" s="19">
        <f>_xlfn.XLOOKUP(Table2[[#This Row],[Animal]],Table1[Animal],Table1[Lifespan (Years)],"N/A",0)</f>
        <v>6</v>
      </c>
      <c r="D299" s="17" t="str">
        <f>_xlfn.XLOOKUP(Table2[[#This Row],[Animal]],Table1[Animal],Table1[Lifespan Group],"N/A",0)</f>
        <v>&lt;25</v>
      </c>
      <c r="E299" s="17">
        <f>_xlfn.XLOOKUP(Table2[[#This Row],[Animal]],Table1[Animal],Table1[Weight (lbs)],"N/A",0)</f>
        <v>2.6</v>
      </c>
      <c r="F299" s="17" t="str">
        <f>_xlfn.XLOOKUP(Table2[[#This Row],[Animal]],Table1[Animal],Table1[Weight Group],"N/A",0)</f>
        <v>&lt;100</v>
      </c>
      <c r="G299" t="str">
        <f>_xlfn.XLOOKUP(Table2[[#This Row],[Animal]],Table1[Animal],Table1[Region],"N/A",0)</f>
        <v>Asia Pacific</v>
      </c>
      <c r="H299" s="17" t="str">
        <f>_xlfn.XLOOKUP(Table2[[#This Row],[Animal]],Table1[Animal],Table1[Transport],"N/A",0)</f>
        <v>Air</v>
      </c>
      <c r="I299">
        <f>_xlfn.XLOOKUP(Table2[[#This Row],[Animal]],Table1[Animal],Table1[Revenue],"N/A",0)</f>
        <v>700</v>
      </c>
      <c r="J299">
        <f>_xlfn.XLOOKUP(Table2[[#This Row],[Animal]],Table1[Animal],Table1[Cost],"N/A",0)</f>
        <v>300</v>
      </c>
      <c r="K299">
        <f>Table2[[#This Row],[Revenue]]-Table2[[#This Row],[Cost]]</f>
        <v>400</v>
      </c>
    </row>
    <row r="300" spans="1:11" x14ac:dyDescent="0.25">
      <c r="A300" t="s">
        <v>428</v>
      </c>
      <c r="B300" t="str">
        <f>_xlfn.XLOOKUP(Table2[[#This Row],[Animal]],Table1[Animal],Table1[Diet],"Not Found",0)</f>
        <v>Carnivore</v>
      </c>
      <c r="C300" s="19">
        <f>_xlfn.XLOOKUP(Table2[[#This Row],[Animal]],Table1[Animal],Table1[Lifespan (Years)],"N/A",0)</f>
        <v>15</v>
      </c>
      <c r="D300" s="17" t="str">
        <f>_xlfn.XLOOKUP(Table2[[#This Row],[Animal]],Table1[Animal],Table1[Lifespan Group],"N/A",0)</f>
        <v>&lt;25</v>
      </c>
      <c r="E300" s="17">
        <f>_xlfn.XLOOKUP(Table2[[#This Row],[Animal]],Table1[Animal],Table1[Weight (lbs)],"N/A",0)</f>
        <v>0</v>
      </c>
      <c r="F300" s="17" t="str">
        <f>_xlfn.XLOOKUP(Table2[[#This Row],[Animal]],Table1[Animal],Table1[Weight Group],"N/A",0)</f>
        <v>N/A</v>
      </c>
      <c r="G300" t="str">
        <f>_xlfn.XLOOKUP(Table2[[#This Row],[Animal]],Table1[Animal],Table1[Region],"N/A",0)</f>
        <v>North America</v>
      </c>
      <c r="H300" s="17" t="str">
        <f>_xlfn.XLOOKUP(Table2[[#This Row],[Animal]],Table1[Animal],Table1[Transport],"N/A",0)</f>
        <v>Boat</v>
      </c>
      <c r="I300">
        <f>_xlfn.XLOOKUP(Table2[[#This Row],[Animal]],Table1[Animal],Table1[Revenue],"N/A",0)</f>
        <v>400</v>
      </c>
      <c r="J300">
        <f>_xlfn.XLOOKUP(Table2[[#This Row],[Animal]],Table1[Animal],Table1[Cost],"N/A",0)</f>
        <v>500</v>
      </c>
      <c r="K300">
        <f>Table2[[#This Row],[Revenue]]-Table2[[#This Row],[Cost]]</f>
        <v>-100</v>
      </c>
    </row>
    <row r="301" spans="1:11" x14ac:dyDescent="0.25">
      <c r="A301" t="s">
        <v>429</v>
      </c>
      <c r="B301" t="str">
        <f>_xlfn.XLOOKUP(Table2[[#This Row],[Animal]],Table1[Animal],Table1[Diet],"Not Found",0)</f>
        <v>Omnivore</v>
      </c>
      <c r="C301" s="19">
        <f>_xlfn.XLOOKUP(Table2[[#This Row],[Animal]],Table1[Animal],Table1[Lifespan (Years)],"N/A",0)</f>
        <v>25</v>
      </c>
      <c r="D301" s="17" t="str">
        <f>_xlfn.XLOOKUP(Table2[[#This Row],[Animal]],Table1[Animal],Table1[Lifespan Group],"N/A",0)</f>
        <v>25-49</v>
      </c>
      <c r="E301" s="17">
        <f>_xlfn.XLOOKUP(Table2[[#This Row],[Animal]],Table1[Animal],Table1[Weight (lbs)],"N/A",0)</f>
        <v>0</v>
      </c>
      <c r="F301" s="17" t="str">
        <f>_xlfn.XLOOKUP(Table2[[#This Row],[Animal]],Table1[Animal],Table1[Weight Group],"N/A",0)</f>
        <v>N/A</v>
      </c>
      <c r="G301" t="str">
        <f>_xlfn.XLOOKUP(Table2[[#This Row],[Animal]],Table1[Animal],Table1[Region],"N/A",0)</f>
        <v>Japan</v>
      </c>
      <c r="H301" s="17" t="str">
        <f>_xlfn.XLOOKUP(Table2[[#This Row],[Animal]],Table1[Animal],Table1[Transport],"N/A",0)</f>
        <v>Air</v>
      </c>
      <c r="I301">
        <f>_xlfn.XLOOKUP(Table2[[#This Row],[Animal]],Table1[Animal],Table1[Revenue],"N/A",0)</f>
        <v>350</v>
      </c>
      <c r="J301">
        <f>_xlfn.XLOOKUP(Table2[[#This Row],[Animal]],Table1[Animal],Table1[Cost],"N/A",0)</f>
        <v>400</v>
      </c>
      <c r="K301">
        <f>Table2[[#This Row],[Revenue]]-Table2[[#This Row],[Cost]]</f>
        <v>-50</v>
      </c>
    </row>
    <row r="302" spans="1:11" x14ac:dyDescent="0.25">
      <c r="A302" t="s">
        <v>430</v>
      </c>
      <c r="B302" t="str">
        <f>_xlfn.XLOOKUP(Table2[[#This Row],[Animal]],Table1[Animal],Table1[Diet],"Not Found",0)</f>
        <v>Carnivore</v>
      </c>
      <c r="C302" s="19">
        <f>_xlfn.XLOOKUP(Table2[[#This Row],[Animal]],Table1[Animal],Table1[Lifespan (Years)],"N/A",0)</f>
        <v>12</v>
      </c>
      <c r="D302" s="17" t="str">
        <f>_xlfn.XLOOKUP(Table2[[#This Row],[Animal]],Table1[Animal],Table1[Lifespan Group],"N/A",0)</f>
        <v>&lt;25</v>
      </c>
      <c r="E302" s="17">
        <f>_xlfn.XLOOKUP(Table2[[#This Row],[Animal]],Table1[Animal],Table1[Weight (lbs)],"N/A",0)</f>
        <v>1.5</v>
      </c>
      <c r="F302" s="17" t="str">
        <f>_xlfn.XLOOKUP(Table2[[#This Row],[Animal]],Table1[Animal],Table1[Weight Group],"N/A",0)</f>
        <v>&lt;100</v>
      </c>
      <c r="G302" t="str">
        <f>_xlfn.XLOOKUP(Table2[[#This Row],[Animal]],Table1[Animal],Table1[Region],"N/A",0)</f>
        <v>Africa &amp; MENA</v>
      </c>
      <c r="H302" s="17" t="str">
        <f>_xlfn.XLOOKUP(Table2[[#This Row],[Animal]],Table1[Animal],Table1[Transport],"N/A",0)</f>
        <v>Air</v>
      </c>
      <c r="I302">
        <f>_xlfn.XLOOKUP(Table2[[#This Row],[Animal]],Table1[Animal],Table1[Revenue],"N/A",0)</f>
        <v>600</v>
      </c>
      <c r="J302">
        <f>_xlfn.XLOOKUP(Table2[[#This Row],[Animal]],Table1[Animal],Table1[Cost],"N/A",0)</f>
        <v>500</v>
      </c>
      <c r="K302">
        <f>Table2[[#This Row],[Revenue]]-Table2[[#This Row],[Cost]]</f>
        <v>100</v>
      </c>
    </row>
    <row r="303" spans="1:11" x14ac:dyDescent="0.25">
      <c r="A303" t="s">
        <v>432</v>
      </c>
      <c r="B303" t="str">
        <f>_xlfn.XLOOKUP(Table2[[#This Row],[Animal]],Table1[Animal],Table1[Diet],"Not Found",0)</f>
        <v>Carnivore</v>
      </c>
      <c r="C303" s="19">
        <f>_xlfn.XLOOKUP(Table2[[#This Row],[Animal]],Table1[Animal],Table1[Lifespan (Years)],"N/A",0)</f>
        <v>4</v>
      </c>
      <c r="D303" s="17" t="str">
        <f>_xlfn.XLOOKUP(Table2[[#This Row],[Animal]],Table1[Animal],Table1[Lifespan Group],"N/A",0)</f>
        <v>&lt;25</v>
      </c>
      <c r="E303" s="17">
        <f>_xlfn.XLOOKUP(Table2[[#This Row],[Animal]],Table1[Animal],Table1[Weight (lbs)],"N/A",0)</f>
        <v>7.0000000000000007E-2</v>
      </c>
      <c r="F303" s="17" t="str">
        <f>_xlfn.XLOOKUP(Table2[[#This Row],[Animal]],Table1[Animal],Table1[Weight Group],"N/A",0)</f>
        <v>&lt;100</v>
      </c>
      <c r="G303" t="str">
        <f>_xlfn.XLOOKUP(Table2[[#This Row],[Animal]],Table1[Animal],Table1[Region],"N/A",0)</f>
        <v>Greater China</v>
      </c>
      <c r="H303" s="17" t="str">
        <f>_xlfn.XLOOKUP(Table2[[#This Row],[Animal]],Table1[Animal],Table1[Transport],"N/A",0)</f>
        <v>Air</v>
      </c>
      <c r="I303">
        <f>_xlfn.XLOOKUP(Table2[[#This Row],[Animal]],Table1[Animal],Table1[Revenue],"N/A",0)</f>
        <v>600</v>
      </c>
      <c r="J303">
        <f>_xlfn.XLOOKUP(Table2[[#This Row],[Animal]],Table1[Animal],Table1[Cost],"N/A",0)</f>
        <v>500</v>
      </c>
      <c r="K303">
        <f>Table2[[#This Row],[Revenue]]-Table2[[#This Row],[Cost]]</f>
        <v>100</v>
      </c>
    </row>
    <row r="304" spans="1:11" x14ac:dyDescent="0.25">
      <c r="A304" t="s">
        <v>434</v>
      </c>
      <c r="B304" t="str">
        <f>_xlfn.XLOOKUP(Table2[[#This Row],[Animal]],Table1[Animal],Table1[Diet],"Not Found",0)</f>
        <v>Herbivore</v>
      </c>
      <c r="C304" s="19">
        <f>_xlfn.XLOOKUP(Table2[[#This Row],[Animal]],Table1[Animal],Table1[Lifespan (Years)],"N/A",0)</f>
        <v>0.5</v>
      </c>
      <c r="D304" s="17" t="str">
        <f>_xlfn.XLOOKUP(Table2[[#This Row],[Animal]],Table1[Animal],Table1[Lifespan Group],"N/A",0)</f>
        <v>&lt;25</v>
      </c>
      <c r="E304" s="17">
        <f>_xlfn.XLOOKUP(Table2[[#This Row],[Animal]],Table1[Animal],Table1[Weight (lbs)],"N/A",0)</f>
        <v>2.5000000000000001E-4</v>
      </c>
      <c r="F304" s="17" t="str">
        <f>_xlfn.XLOOKUP(Table2[[#This Row],[Animal]],Table1[Animal],Table1[Weight Group],"N/A",0)</f>
        <v>&lt;100</v>
      </c>
      <c r="G304" t="str">
        <f>_xlfn.XLOOKUP(Table2[[#This Row],[Animal]],Table1[Animal],Table1[Region],"N/A",0)</f>
        <v>South Asia</v>
      </c>
      <c r="H304" s="17" t="str">
        <f>_xlfn.XLOOKUP(Table2[[#This Row],[Animal]],Table1[Animal],Table1[Transport],"N/A",0)</f>
        <v>Air</v>
      </c>
      <c r="I304">
        <f>_xlfn.XLOOKUP(Table2[[#This Row],[Animal]],Table1[Animal],Table1[Revenue],"N/A",0)</f>
        <v>450</v>
      </c>
      <c r="J304">
        <f>_xlfn.XLOOKUP(Table2[[#This Row],[Animal]],Table1[Animal],Table1[Cost],"N/A",0)</f>
        <v>300</v>
      </c>
      <c r="K304">
        <f>Table2[[#This Row],[Revenue]]-Table2[[#This Row],[Cost]]</f>
        <v>150</v>
      </c>
    </row>
    <row r="305" spans="1:11" x14ac:dyDescent="0.25">
      <c r="A305" t="s">
        <v>435</v>
      </c>
      <c r="B305" t="str">
        <f>_xlfn.XLOOKUP(Table2[[#This Row],[Animal]],Table1[Animal],Table1[Diet],"Not Found",0)</f>
        <v>Omnivore</v>
      </c>
      <c r="C305" s="19">
        <f>_xlfn.XLOOKUP(Table2[[#This Row],[Animal]],Table1[Animal],Table1[Lifespan (Years)],"N/A",0)</f>
        <v>16</v>
      </c>
      <c r="D305" s="17" t="str">
        <f>_xlfn.XLOOKUP(Table2[[#This Row],[Animal]],Table1[Animal],Table1[Lifespan Group],"N/A",0)</f>
        <v>&lt;25</v>
      </c>
      <c r="E305" s="17">
        <f>_xlfn.XLOOKUP(Table2[[#This Row],[Animal]],Table1[Animal],Table1[Weight (lbs)],"N/A",0)</f>
        <v>66</v>
      </c>
      <c r="F305" s="17" t="str">
        <f>_xlfn.XLOOKUP(Table2[[#This Row],[Animal]],Table1[Animal],Table1[Weight Group],"N/A",0)</f>
        <v>&lt;100</v>
      </c>
      <c r="G305" t="str">
        <f>_xlfn.XLOOKUP(Table2[[#This Row],[Animal]],Table1[Animal],Table1[Region],"N/A",0)</f>
        <v>Africa &amp; MENA</v>
      </c>
      <c r="H305" s="17" t="str">
        <f>_xlfn.XLOOKUP(Table2[[#This Row],[Animal]],Table1[Animal],Table1[Transport],"N/A",0)</f>
        <v>Air</v>
      </c>
      <c r="I305">
        <f>_xlfn.XLOOKUP(Table2[[#This Row],[Animal]],Table1[Animal],Table1[Revenue],"N/A",0)</f>
        <v>600</v>
      </c>
      <c r="J305">
        <f>_xlfn.XLOOKUP(Table2[[#This Row],[Animal]],Table1[Animal],Table1[Cost],"N/A",0)</f>
        <v>400</v>
      </c>
      <c r="K305">
        <f>Table2[[#This Row],[Revenue]]-Table2[[#This Row],[Cost]]</f>
        <v>200</v>
      </c>
    </row>
    <row r="306" spans="1:11" x14ac:dyDescent="0.25">
      <c r="A306" t="s">
        <v>436</v>
      </c>
      <c r="B306" t="str">
        <f>_xlfn.XLOOKUP(Table2[[#This Row],[Animal]],Table1[Animal],Table1[Diet],"Not Found",0)</f>
        <v>Carnivore</v>
      </c>
      <c r="C306" s="19">
        <f>_xlfn.XLOOKUP(Table2[[#This Row],[Animal]],Table1[Animal],Table1[Lifespan (Years)],"N/A",0)</f>
        <v>6</v>
      </c>
      <c r="D306" s="17" t="str">
        <f>_xlfn.XLOOKUP(Table2[[#This Row],[Animal]],Table1[Animal],Table1[Lifespan Group],"N/A",0)</f>
        <v>&lt;25</v>
      </c>
      <c r="E306" s="17">
        <f>_xlfn.XLOOKUP(Table2[[#This Row],[Animal]],Table1[Animal],Table1[Weight (lbs)],"N/A",0)</f>
        <v>4.3749999999999997E-2</v>
      </c>
      <c r="F306" s="17" t="str">
        <f>_xlfn.XLOOKUP(Table2[[#This Row],[Animal]],Table1[Animal],Table1[Weight Group],"N/A",0)</f>
        <v>&lt;100</v>
      </c>
      <c r="G306" t="str">
        <f>_xlfn.XLOOKUP(Table2[[#This Row],[Animal]],Table1[Animal],Table1[Region],"N/A",0)</f>
        <v>Europe &amp; Eurasia</v>
      </c>
      <c r="H306" s="17" t="str">
        <f>_xlfn.XLOOKUP(Table2[[#This Row],[Animal]],Table1[Animal],Table1[Transport],"N/A",0)</f>
        <v>Road</v>
      </c>
      <c r="I306">
        <f>_xlfn.XLOOKUP(Table2[[#This Row],[Animal]],Table1[Animal],Table1[Revenue],"N/A",0)</f>
        <v>450</v>
      </c>
      <c r="J306">
        <f>_xlfn.XLOOKUP(Table2[[#This Row],[Animal]],Table1[Animal],Table1[Cost],"N/A",0)</f>
        <v>500</v>
      </c>
      <c r="K306">
        <f>Table2[[#This Row],[Revenue]]-Table2[[#This Row],[Cost]]</f>
        <v>-50</v>
      </c>
    </row>
    <row r="307" spans="1:11" x14ac:dyDescent="0.25">
      <c r="A307" t="s">
        <v>437</v>
      </c>
      <c r="B307" t="str">
        <f>_xlfn.XLOOKUP(Table2[[#This Row],[Animal]],Table1[Animal],Table1[Diet],"Not Found",0)</f>
        <v>Omnivore</v>
      </c>
      <c r="C307" s="19">
        <f>_xlfn.XLOOKUP(Table2[[#This Row],[Animal]],Table1[Animal],Table1[Lifespan (Years)],"N/A",0)</f>
        <v>12</v>
      </c>
      <c r="D307" s="17" t="str">
        <f>_xlfn.XLOOKUP(Table2[[#This Row],[Animal]],Table1[Animal],Table1[Lifespan Group],"N/A",0)</f>
        <v>&lt;25</v>
      </c>
      <c r="E307" s="17">
        <f>_xlfn.XLOOKUP(Table2[[#This Row],[Animal]],Table1[Animal],Table1[Weight (lbs)],"N/A",0)</f>
        <v>12</v>
      </c>
      <c r="F307" s="17" t="str">
        <f>_xlfn.XLOOKUP(Table2[[#This Row],[Animal]],Table1[Animal],Table1[Weight Group],"N/A",0)</f>
        <v>&lt;100</v>
      </c>
      <c r="G307" t="str">
        <f>_xlfn.XLOOKUP(Table2[[#This Row],[Animal]],Table1[Animal],Table1[Region],"N/A",0)</f>
        <v>Africa &amp; MENA</v>
      </c>
      <c r="H307" s="17" t="str">
        <f>_xlfn.XLOOKUP(Table2[[#This Row],[Animal]],Table1[Animal],Table1[Transport],"N/A",0)</f>
        <v>Air</v>
      </c>
      <c r="I307">
        <f>_xlfn.XLOOKUP(Table2[[#This Row],[Animal]],Table1[Animal],Table1[Revenue],"N/A",0)</f>
        <v>600</v>
      </c>
      <c r="J307">
        <f>_xlfn.XLOOKUP(Table2[[#This Row],[Animal]],Table1[Animal],Table1[Cost],"N/A",0)</f>
        <v>400</v>
      </c>
      <c r="K307">
        <f>Table2[[#This Row],[Revenue]]-Table2[[#This Row],[Cost]]</f>
        <v>200</v>
      </c>
    </row>
    <row r="308" spans="1:11" x14ac:dyDescent="0.25">
      <c r="A308" t="s">
        <v>438</v>
      </c>
      <c r="B308" t="str">
        <f>_xlfn.XLOOKUP(Table2[[#This Row],[Animal]],Table1[Animal],Table1[Diet],"Not Found",0)</f>
        <v>Omnivore</v>
      </c>
      <c r="C308" s="19">
        <f>_xlfn.XLOOKUP(Table2[[#This Row],[Animal]],Table1[Animal],Table1[Lifespan (Years)],"N/A",0)</f>
        <v>4</v>
      </c>
      <c r="D308" s="17" t="str">
        <f>_xlfn.XLOOKUP(Table2[[#This Row],[Animal]],Table1[Animal],Table1[Lifespan Group],"N/A",0)</f>
        <v>&lt;25</v>
      </c>
      <c r="E308" s="17">
        <f>_xlfn.XLOOKUP(Table2[[#This Row],[Animal]],Table1[Animal],Table1[Weight (lbs)],"N/A",0)</f>
        <v>0</v>
      </c>
      <c r="F308" s="17" t="str">
        <f>_xlfn.XLOOKUP(Table2[[#This Row],[Animal]],Table1[Animal],Table1[Weight Group],"N/A",0)</f>
        <v>N/A</v>
      </c>
      <c r="G308" t="str">
        <f>_xlfn.XLOOKUP(Table2[[#This Row],[Animal]],Table1[Animal],Table1[Region],"N/A",0)</f>
        <v>Europe &amp; Eurasia</v>
      </c>
      <c r="H308" s="17" t="str">
        <f>_xlfn.XLOOKUP(Table2[[#This Row],[Animal]],Table1[Animal],Table1[Transport],"N/A",0)</f>
        <v>Road</v>
      </c>
      <c r="I308">
        <f>_xlfn.XLOOKUP(Table2[[#This Row],[Animal]],Table1[Animal],Table1[Revenue],"N/A",0)</f>
        <v>450</v>
      </c>
      <c r="J308">
        <f>_xlfn.XLOOKUP(Table2[[#This Row],[Animal]],Table1[Animal],Table1[Cost],"N/A",0)</f>
        <v>400</v>
      </c>
      <c r="K308">
        <f>Table2[[#This Row],[Revenue]]-Table2[[#This Row],[Cost]]</f>
        <v>50</v>
      </c>
    </row>
    <row r="309" spans="1:11" x14ac:dyDescent="0.25">
      <c r="A309" t="s">
        <v>439</v>
      </c>
      <c r="B309" t="str">
        <f>_xlfn.XLOOKUP(Table2[[#This Row],[Animal]],Table1[Animal],Table1[Diet],"Not Found",0)</f>
        <v>Omnivore</v>
      </c>
      <c r="C309" s="19">
        <f>_xlfn.XLOOKUP(Table2[[#This Row],[Animal]],Table1[Animal],Table1[Lifespan (Years)],"N/A",0)</f>
        <v>20</v>
      </c>
      <c r="D309" s="17" t="str">
        <f>_xlfn.XLOOKUP(Table2[[#This Row],[Animal]],Table1[Animal],Table1[Lifespan Group],"N/A",0)</f>
        <v>&lt;25</v>
      </c>
      <c r="E309" s="17">
        <f>_xlfn.XLOOKUP(Table2[[#This Row],[Animal]],Table1[Animal],Table1[Weight (lbs)],"N/A",0)</f>
        <v>15</v>
      </c>
      <c r="F309" s="17" t="str">
        <f>_xlfn.XLOOKUP(Table2[[#This Row],[Animal]],Table1[Animal],Table1[Weight Group],"N/A",0)</f>
        <v>&lt;100</v>
      </c>
      <c r="G309" t="str">
        <f>_xlfn.XLOOKUP(Table2[[#This Row],[Animal]],Table1[Animal],Table1[Region],"N/A",0)</f>
        <v>North America</v>
      </c>
      <c r="H309" s="17" t="str">
        <f>_xlfn.XLOOKUP(Table2[[#This Row],[Animal]],Table1[Animal],Table1[Transport],"N/A",0)</f>
        <v>Boat</v>
      </c>
      <c r="I309">
        <f>_xlfn.XLOOKUP(Table2[[#This Row],[Animal]],Table1[Animal],Table1[Revenue],"N/A",0)</f>
        <v>400</v>
      </c>
      <c r="J309">
        <f>_xlfn.XLOOKUP(Table2[[#This Row],[Animal]],Table1[Animal],Table1[Cost],"N/A",0)</f>
        <v>400</v>
      </c>
      <c r="K309">
        <f>Table2[[#This Row],[Revenue]]-Table2[[#This Row],[Cost]]</f>
        <v>0</v>
      </c>
    </row>
    <row r="310" spans="1:11" x14ac:dyDescent="0.25">
      <c r="A310" t="s">
        <v>440</v>
      </c>
      <c r="B310" t="str">
        <f>_xlfn.XLOOKUP(Table2[[#This Row],[Animal]],Table1[Animal],Table1[Diet],"Not Found",0)</f>
        <v>Omnivore</v>
      </c>
      <c r="C310" s="19">
        <f>_xlfn.XLOOKUP(Table2[[#This Row],[Animal]],Table1[Animal],Table1[Lifespan (Years)],"N/A",0)</f>
        <v>8</v>
      </c>
      <c r="D310" s="17" t="str">
        <f>_xlfn.XLOOKUP(Table2[[#This Row],[Animal]],Table1[Animal],Table1[Lifespan Group],"N/A",0)</f>
        <v>&lt;25</v>
      </c>
      <c r="E310" s="17">
        <f>_xlfn.XLOOKUP(Table2[[#This Row],[Animal]],Table1[Animal],Table1[Weight (lbs)],"N/A",0)</f>
        <v>0</v>
      </c>
      <c r="F310" s="17" t="str">
        <f>_xlfn.XLOOKUP(Table2[[#This Row],[Animal]],Table1[Animal],Table1[Weight Group],"N/A",0)</f>
        <v>N/A</v>
      </c>
      <c r="G310" t="str">
        <f>_xlfn.XLOOKUP(Table2[[#This Row],[Animal]],Table1[Animal],Table1[Region],"N/A",0)</f>
        <v>Greater China</v>
      </c>
      <c r="H310" s="17" t="str">
        <f>_xlfn.XLOOKUP(Table2[[#This Row],[Animal]],Table1[Animal],Table1[Transport],"N/A",0)</f>
        <v>Air</v>
      </c>
      <c r="I310">
        <f>_xlfn.XLOOKUP(Table2[[#This Row],[Animal]],Table1[Animal],Table1[Revenue],"N/A",0)</f>
        <v>600</v>
      </c>
      <c r="J310">
        <f>_xlfn.XLOOKUP(Table2[[#This Row],[Animal]],Table1[Animal],Table1[Cost],"N/A",0)</f>
        <v>400</v>
      </c>
      <c r="K310">
        <f>Table2[[#This Row],[Revenue]]-Table2[[#This Row],[Cost]]</f>
        <v>200</v>
      </c>
    </row>
    <row r="311" spans="1:11" x14ac:dyDescent="0.25">
      <c r="A311" t="s">
        <v>441</v>
      </c>
      <c r="B311" t="str">
        <f>_xlfn.XLOOKUP(Table2[[#This Row],[Animal]],Table1[Animal],Table1[Diet],"Not Found",0)</f>
        <v>Carnivore</v>
      </c>
      <c r="C311" s="19">
        <f>_xlfn.XLOOKUP(Table2[[#This Row],[Animal]],Table1[Animal],Table1[Lifespan (Years)],"N/A",0)</f>
        <v>30</v>
      </c>
      <c r="D311" s="17" t="str">
        <f>_xlfn.XLOOKUP(Table2[[#This Row],[Animal]],Table1[Animal],Table1[Lifespan Group],"N/A",0)</f>
        <v>25-49</v>
      </c>
      <c r="E311" s="17">
        <f>_xlfn.XLOOKUP(Table2[[#This Row],[Animal]],Table1[Animal],Table1[Weight (lbs)],"N/A",0)</f>
        <v>0.8125</v>
      </c>
      <c r="F311" s="17" t="str">
        <f>_xlfn.XLOOKUP(Table2[[#This Row],[Animal]],Table1[Animal],Table1[Weight Group],"N/A",0)</f>
        <v>&lt;100</v>
      </c>
      <c r="G311" t="str">
        <f>_xlfn.XLOOKUP(Table2[[#This Row],[Animal]],Table1[Animal],Table1[Region],"N/A",0)</f>
        <v>Africa &amp; MENA</v>
      </c>
      <c r="H311" s="17" t="str">
        <f>_xlfn.XLOOKUP(Table2[[#This Row],[Animal]],Table1[Animal],Table1[Transport],"N/A",0)</f>
        <v>Air</v>
      </c>
      <c r="I311">
        <f>_xlfn.XLOOKUP(Table2[[#This Row],[Animal]],Table1[Animal],Table1[Revenue],"N/A",0)</f>
        <v>600</v>
      </c>
      <c r="J311">
        <f>_xlfn.XLOOKUP(Table2[[#This Row],[Animal]],Table1[Animal],Table1[Cost],"N/A",0)</f>
        <v>500</v>
      </c>
      <c r="K311">
        <f>Table2[[#This Row],[Revenue]]-Table2[[#This Row],[Cost]]</f>
        <v>100</v>
      </c>
    </row>
    <row r="312" spans="1:11" x14ac:dyDescent="0.25">
      <c r="A312" t="s">
        <v>442</v>
      </c>
      <c r="B312" t="str">
        <f>_xlfn.XLOOKUP(Table2[[#This Row],[Animal]],Table1[Animal],Table1[Diet],"Not Found",0)</f>
        <v>Omnivore</v>
      </c>
      <c r="C312" s="19">
        <f>_xlfn.XLOOKUP(Table2[[#This Row],[Animal]],Table1[Animal],Table1[Lifespan (Years)],"N/A",0)</f>
        <v>14</v>
      </c>
      <c r="D312" s="17" t="str">
        <f>_xlfn.XLOOKUP(Table2[[#This Row],[Animal]],Table1[Animal],Table1[Lifespan Group],"N/A",0)</f>
        <v>&lt;25</v>
      </c>
      <c r="E312" s="17">
        <f>_xlfn.XLOOKUP(Table2[[#This Row],[Animal]],Table1[Animal],Table1[Weight (lbs)],"N/A",0)</f>
        <v>18</v>
      </c>
      <c r="F312" s="17" t="str">
        <f>_xlfn.XLOOKUP(Table2[[#This Row],[Animal]],Table1[Animal],Table1[Weight Group],"N/A",0)</f>
        <v>&lt;100</v>
      </c>
      <c r="G312" t="str">
        <f>_xlfn.XLOOKUP(Table2[[#This Row],[Animal]],Table1[Animal],Table1[Region],"N/A",0)</f>
        <v>Europe &amp; Eurasia</v>
      </c>
      <c r="H312" s="17" t="str">
        <f>_xlfn.XLOOKUP(Table2[[#This Row],[Animal]],Table1[Animal],Table1[Transport],"N/A",0)</f>
        <v>Road</v>
      </c>
      <c r="I312">
        <f>_xlfn.XLOOKUP(Table2[[#This Row],[Animal]],Table1[Animal],Table1[Revenue],"N/A",0)</f>
        <v>450</v>
      </c>
      <c r="J312">
        <f>_xlfn.XLOOKUP(Table2[[#This Row],[Animal]],Table1[Animal],Table1[Cost],"N/A",0)</f>
        <v>400</v>
      </c>
      <c r="K312">
        <f>Table2[[#This Row],[Revenue]]-Table2[[#This Row],[Cost]]</f>
        <v>50</v>
      </c>
    </row>
    <row r="313" spans="1:11" x14ac:dyDescent="0.25">
      <c r="A313" t="s">
        <v>443</v>
      </c>
      <c r="B313" t="str">
        <f>_xlfn.XLOOKUP(Table2[[#This Row],[Animal]],Table1[Animal],Table1[Diet],"Not Found",0)</f>
        <v>Carnivore</v>
      </c>
      <c r="C313" s="19">
        <f>_xlfn.XLOOKUP(Table2[[#This Row],[Animal]],Table1[Animal],Table1[Lifespan (Years)],"N/A",0)</f>
        <v>15</v>
      </c>
      <c r="D313" s="17" t="str">
        <f>_xlfn.XLOOKUP(Table2[[#This Row],[Animal]],Table1[Animal],Table1[Lifespan Group],"N/A",0)</f>
        <v>&lt;25</v>
      </c>
      <c r="E313" s="17">
        <f>_xlfn.XLOOKUP(Table2[[#This Row],[Animal]],Table1[Animal],Table1[Weight (lbs)],"N/A",0)</f>
        <v>148</v>
      </c>
      <c r="F313" s="17" t="str">
        <f>_xlfn.XLOOKUP(Table2[[#This Row],[Animal]],Table1[Animal],Table1[Weight Group],"N/A",0)</f>
        <v>100-199</v>
      </c>
      <c r="G313" t="str">
        <f>_xlfn.XLOOKUP(Table2[[#This Row],[Animal]],Table1[Animal],Table1[Region],"N/A",0)</f>
        <v>Asia Pacific</v>
      </c>
      <c r="H313" s="17" t="str">
        <f>_xlfn.XLOOKUP(Table2[[#This Row],[Animal]],Table1[Animal],Table1[Transport],"N/A",0)</f>
        <v>Air</v>
      </c>
      <c r="I313">
        <f>_xlfn.XLOOKUP(Table2[[#This Row],[Animal]],Table1[Animal],Table1[Revenue],"N/A",0)</f>
        <v>700</v>
      </c>
      <c r="J313">
        <f>_xlfn.XLOOKUP(Table2[[#This Row],[Animal]],Table1[Animal],Table1[Cost],"N/A",0)</f>
        <v>500</v>
      </c>
      <c r="K313">
        <f>Table2[[#This Row],[Revenue]]-Table2[[#This Row],[Cost]]</f>
        <v>200</v>
      </c>
    </row>
    <row r="314" spans="1:11" x14ac:dyDescent="0.25">
      <c r="A314" t="s">
        <v>444</v>
      </c>
      <c r="B314" t="str">
        <f>_xlfn.XLOOKUP(Table2[[#This Row],[Animal]],Table1[Animal],Table1[Diet],"Not Found",0)</f>
        <v>Omnivore</v>
      </c>
      <c r="C314" s="19">
        <f>_xlfn.XLOOKUP(Table2[[#This Row],[Animal]],Table1[Animal],Table1[Lifespan (Years)],"N/A",0)</f>
        <v>0.5</v>
      </c>
      <c r="D314" s="17" t="str">
        <f>_xlfn.XLOOKUP(Table2[[#This Row],[Animal]],Table1[Animal],Table1[Lifespan Group],"N/A",0)</f>
        <v>&lt;25</v>
      </c>
      <c r="E314" s="17">
        <f>_xlfn.XLOOKUP(Table2[[#This Row],[Animal]],Table1[Animal],Table1[Weight (lbs)],"N/A",0)</f>
        <v>0</v>
      </c>
      <c r="F314" s="17" t="str">
        <f>_xlfn.XLOOKUP(Table2[[#This Row],[Animal]],Table1[Animal],Table1[Weight Group],"N/A",0)</f>
        <v>N/A</v>
      </c>
      <c r="G314" t="str">
        <f>_xlfn.XLOOKUP(Table2[[#This Row],[Animal]],Table1[Animal],Table1[Region],"N/A",0)</f>
        <v>North America</v>
      </c>
      <c r="H314" s="17" t="str">
        <f>_xlfn.XLOOKUP(Table2[[#This Row],[Animal]],Table1[Animal],Table1[Transport],"N/A",0)</f>
        <v>Boat</v>
      </c>
      <c r="I314">
        <f>_xlfn.XLOOKUP(Table2[[#This Row],[Animal]],Table1[Animal],Table1[Revenue],"N/A",0)</f>
        <v>400</v>
      </c>
      <c r="J314">
        <f>_xlfn.XLOOKUP(Table2[[#This Row],[Animal]],Table1[Animal],Table1[Cost],"N/A",0)</f>
        <v>400</v>
      </c>
      <c r="K314">
        <f>Table2[[#This Row],[Revenue]]-Table2[[#This Row],[Cost]]</f>
        <v>0</v>
      </c>
    </row>
    <row r="315" spans="1:11" x14ac:dyDescent="0.25">
      <c r="A315" t="s">
        <v>445</v>
      </c>
      <c r="B315" t="str">
        <f>_xlfn.XLOOKUP(Table2[[#This Row],[Animal]],Table1[Animal],Table1[Diet],"Not Found",0)</f>
        <v>Omnivore</v>
      </c>
      <c r="C315" s="19">
        <f>_xlfn.XLOOKUP(Table2[[#This Row],[Animal]],Table1[Animal],Table1[Lifespan (Years)],"N/A",0)</f>
        <v>0.41666666666666669</v>
      </c>
      <c r="D315" s="17" t="str">
        <f>_xlfn.XLOOKUP(Table2[[#This Row],[Animal]],Table1[Animal],Table1[Lifespan Group],"N/A",0)</f>
        <v>&lt;25</v>
      </c>
      <c r="E315" s="17">
        <f>_xlfn.XLOOKUP(Table2[[#This Row],[Animal]],Table1[Animal],Table1[Weight (lbs)],"N/A",0)</f>
        <v>0</v>
      </c>
      <c r="F315" s="17" t="str">
        <f>_xlfn.XLOOKUP(Table2[[#This Row],[Animal]],Table1[Animal],Table1[Weight Group],"N/A",0)</f>
        <v>N/A</v>
      </c>
      <c r="G315" t="str">
        <f>_xlfn.XLOOKUP(Table2[[#This Row],[Animal]],Table1[Animal],Table1[Region],"N/A",0)</f>
        <v>North America</v>
      </c>
      <c r="H315" s="17" t="str">
        <f>_xlfn.XLOOKUP(Table2[[#This Row],[Animal]],Table1[Animal],Table1[Transport],"N/A",0)</f>
        <v>Boat</v>
      </c>
      <c r="I315">
        <f>_xlfn.XLOOKUP(Table2[[#This Row],[Animal]],Table1[Animal],Table1[Revenue],"N/A",0)</f>
        <v>400</v>
      </c>
      <c r="J315">
        <f>_xlfn.XLOOKUP(Table2[[#This Row],[Animal]],Table1[Animal],Table1[Cost],"N/A",0)</f>
        <v>400</v>
      </c>
      <c r="K315">
        <f>Table2[[#This Row],[Revenue]]-Table2[[#This Row],[Cost]]</f>
        <v>0</v>
      </c>
    </row>
    <row r="316" spans="1:11" x14ac:dyDescent="0.25">
      <c r="A316" t="s">
        <v>446</v>
      </c>
      <c r="B316" t="str">
        <f>_xlfn.XLOOKUP(Table2[[#This Row],[Animal]],Table1[Animal],Table1[Diet],"Not Found",0)</f>
        <v>Herbivore</v>
      </c>
      <c r="C316" s="19">
        <f>_xlfn.XLOOKUP(Table2[[#This Row],[Animal]],Table1[Animal],Table1[Lifespan (Years)],"N/A",0)</f>
        <v>40</v>
      </c>
      <c r="D316" s="17" t="str">
        <f>_xlfn.XLOOKUP(Table2[[#This Row],[Animal]],Table1[Animal],Table1[Lifespan Group],"N/A",0)</f>
        <v>25-49</v>
      </c>
      <c r="E316" s="17">
        <f>_xlfn.XLOOKUP(Table2[[#This Row],[Animal]],Table1[Animal],Table1[Weight (lbs)],"N/A",0)</f>
        <v>350</v>
      </c>
      <c r="F316" s="17" t="str">
        <f>_xlfn.XLOOKUP(Table2[[#This Row],[Animal]],Table1[Animal],Table1[Weight Group],"N/A",0)</f>
        <v>300-399</v>
      </c>
      <c r="G316" t="str">
        <f>_xlfn.XLOOKUP(Table2[[#This Row],[Animal]],Table1[Animal],Table1[Region],"N/A",0)</f>
        <v>Africa &amp; MENA</v>
      </c>
      <c r="H316" s="17" t="str">
        <f>_xlfn.XLOOKUP(Table2[[#This Row],[Animal]],Table1[Animal],Table1[Transport],"N/A",0)</f>
        <v>Air</v>
      </c>
      <c r="I316">
        <f>_xlfn.XLOOKUP(Table2[[#This Row],[Animal]],Table1[Animal],Table1[Revenue],"N/A",0)</f>
        <v>600</v>
      </c>
      <c r="J316">
        <f>_xlfn.XLOOKUP(Table2[[#This Row],[Animal]],Table1[Animal],Table1[Cost],"N/A",0)</f>
        <v>300</v>
      </c>
      <c r="K316">
        <f>Table2[[#This Row],[Revenue]]-Table2[[#This Row],[Cost]]</f>
        <v>300</v>
      </c>
    </row>
    <row r="317" spans="1:11" x14ac:dyDescent="0.25">
      <c r="A317" t="s">
        <v>448</v>
      </c>
      <c r="B317" t="str">
        <f>_xlfn.XLOOKUP(Table2[[#This Row],[Animal]],Table1[Animal],Table1[Diet],"Not Found",0)</f>
        <v>Omnivore</v>
      </c>
      <c r="C317" s="19">
        <f>_xlfn.XLOOKUP(Table2[[#This Row],[Animal]],Table1[Animal],Table1[Lifespan (Years)],"N/A",0)</f>
        <v>5</v>
      </c>
      <c r="D317" s="17" t="str">
        <f>_xlfn.XLOOKUP(Table2[[#This Row],[Animal]],Table1[Animal],Table1[Lifespan Group],"N/A",0)</f>
        <v>&lt;25</v>
      </c>
      <c r="E317" s="17">
        <f>_xlfn.XLOOKUP(Table2[[#This Row],[Animal]],Table1[Animal],Table1[Weight (lbs)],"N/A",0)</f>
        <v>0.15</v>
      </c>
      <c r="F317" s="17" t="str">
        <f>_xlfn.XLOOKUP(Table2[[#This Row],[Animal]],Table1[Animal],Table1[Weight Group],"N/A",0)</f>
        <v>&lt;100</v>
      </c>
      <c r="G317" t="str">
        <f>_xlfn.XLOOKUP(Table2[[#This Row],[Animal]],Table1[Animal],Table1[Region],"N/A",0)</f>
        <v>Asia Pacific</v>
      </c>
      <c r="H317" s="17" t="str">
        <f>_xlfn.XLOOKUP(Table2[[#This Row],[Animal]],Table1[Animal],Table1[Transport],"N/A",0)</f>
        <v>Air</v>
      </c>
      <c r="I317">
        <f>_xlfn.XLOOKUP(Table2[[#This Row],[Animal]],Table1[Animal],Table1[Revenue],"N/A",0)</f>
        <v>700</v>
      </c>
      <c r="J317">
        <f>_xlfn.XLOOKUP(Table2[[#This Row],[Animal]],Table1[Animal],Table1[Cost],"N/A",0)</f>
        <v>400</v>
      </c>
      <c r="K317">
        <f>Table2[[#This Row],[Revenue]]-Table2[[#This Row],[Cost]]</f>
        <v>300</v>
      </c>
    </row>
    <row r="318" spans="1:11" x14ac:dyDescent="0.25">
      <c r="A318" t="s">
        <v>449</v>
      </c>
      <c r="B318" t="str">
        <f>_xlfn.XLOOKUP(Table2[[#This Row],[Animal]],Table1[Animal],Table1[Diet],"Not Found",0)</f>
        <v>Omnivore</v>
      </c>
      <c r="C318" s="19">
        <f>_xlfn.XLOOKUP(Table2[[#This Row],[Animal]],Table1[Animal],Table1[Lifespan (Years)],"N/A",0)</f>
        <v>25</v>
      </c>
      <c r="D318" s="17" t="str">
        <f>_xlfn.XLOOKUP(Table2[[#This Row],[Animal]],Table1[Animal],Table1[Lifespan Group],"N/A",0)</f>
        <v>25-49</v>
      </c>
      <c r="E318" s="17">
        <f>_xlfn.XLOOKUP(Table2[[#This Row],[Animal]],Table1[Animal],Table1[Weight (lbs)],"N/A",0)</f>
        <v>0.4375</v>
      </c>
      <c r="F318" s="17" t="str">
        <f>_xlfn.XLOOKUP(Table2[[#This Row],[Animal]],Table1[Animal],Table1[Weight Group],"N/A",0)</f>
        <v>&lt;100</v>
      </c>
      <c r="G318" t="str">
        <f>_xlfn.XLOOKUP(Table2[[#This Row],[Animal]],Table1[Animal],Table1[Region],"N/A",0)</f>
        <v>Europe &amp; Eurasia</v>
      </c>
      <c r="H318" s="17" t="str">
        <f>_xlfn.XLOOKUP(Table2[[#This Row],[Animal]],Table1[Animal],Table1[Transport],"N/A",0)</f>
        <v>Road</v>
      </c>
      <c r="I318">
        <f>_xlfn.XLOOKUP(Table2[[#This Row],[Animal]],Table1[Animal],Table1[Revenue],"N/A",0)</f>
        <v>450</v>
      </c>
      <c r="J318">
        <f>_xlfn.XLOOKUP(Table2[[#This Row],[Animal]],Table1[Animal],Table1[Cost],"N/A",0)</f>
        <v>400</v>
      </c>
      <c r="K318">
        <f>Table2[[#This Row],[Revenue]]-Table2[[#This Row],[Cost]]</f>
        <v>50</v>
      </c>
    </row>
    <row r="319" spans="1:11" x14ac:dyDescent="0.25">
      <c r="A319" t="s">
        <v>451</v>
      </c>
      <c r="B319" t="str">
        <f>_xlfn.XLOOKUP(Table2[[#This Row],[Animal]],Table1[Animal],Table1[Diet],"Not Found",0)</f>
        <v>Herbivore</v>
      </c>
      <c r="C319" s="19">
        <f>_xlfn.XLOOKUP(Table2[[#This Row],[Animal]],Table1[Animal],Table1[Lifespan (Years)],"N/A",0)</f>
        <v>8</v>
      </c>
      <c r="D319" s="17" t="str">
        <f>_xlfn.XLOOKUP(Table2[[#This Row],[Animal]],Table1[Animal],Table1[Lifespan Group],"N/A",0)</f>
        <v>&lt;25</v>
      </c>
      <c r="E319" s="17">
        <f>_xlfn.XLOOKUP(Table2[[#This Row],[Animal]],Table1[Animal],Table1[Weight (lbs)],"N/A",0)</f>
        <v>1.1000000000000001</v>
      </c>
      <c r="F319" s="17" t="str">
        <f>_xlfn.XLOOKUP(Table2[[#This Row],[Animal]],Table1[Animal],Table1[Weight Group],"N/A",0)</f>
        <v>&lt;100</v>
      </c>
      <c r="G319" t="str">
        <f>_xlfn.XLOOKUP(Table2[[#This Row],[Animal]],Table1[Animal],Table1[Region],"N/A",0)</f>
        <v>North America</v>
      </c>
      <c r="H319" s="17" t="str">
        <f>_xlfn.XLOOKUP(Table2[[#This Row],[Animal]],Table1[Animal],Table1[Transport],"N/A",0)</f>
        <v>Boat</v>
      </c>
      <c r="I319">
        <f>_xlfn.XLOOKUP(Table2[[#This Row],[Animal]],Table1[Animal],Table1[Revenue],"N/A",0)</f>
        <v>400</v>
      </c>
      <c r="J319">
        <f>_xlfn.XLOOKUP(Table2[[#This Row],[Animal]],Table1[Animal],Table1[Cost],"N/A",0)</f>
        <v>300</v>
      </c>
      <c r="K319">
        <f>Table2[[#This Row],[Revenue]]-Table2[[#This Row],[Cost]]</f>
        <v>100</v>
      </c>
    </row>
    <row r="320" spans="1:11" x14ac:dyDescent="0.25">
      <c r="A320" t="s">
        <v>452</v>
      </c>
      <c r="B320" t="str">
        <f>_xlfn.XLOOKUP(Table2[[#This Row],[Animal]],Table1[Animal],Table1[Diet],"Not Found",0)</f>
        <v>Omnivore</v>
      </c>
      <c r="C320" s="19">
        <f>_xlfn.XLOOKUP(Table2[[#This Row],[Animal]],Table1[Animal],Table1[Lifespan (Years)],"N/A",0)</f>
        <v>16</v>
      </c>
      <c r="D320" s="17" t="str">
        <f>_xlfn.XLOOKUP(Table2[[#This Row],[Animal]],Table1[Animal],Table1[Lifespan Group],"N/A",0)</f>
        <v>&lt;25</v>
      </c>
      <c r="E320" s="17">
        <f>_xlfn.XLOOKUP(Table2[[#This Row],[Animal]],Table1[Animal],Table1[Weight (lbs)],"N/A",0)</f>
        <v>7.7</v>
      </c>
      <c r="F320" s="17" t="str">
        <f>_xlfn.XLOOKUP(Table2[[#This Row],[Animal]],Table1[Animal],Table1[Weight Group],"N/A",0)</f>
        <v>&lt;100</v>
      </c>
      <c r="G320" t="str">
        <f>_xlfn.XLOOKUP(Table2[[#This Row],[Animal]],Table1[Animal],Table1[Region],"N/A",0)</f>
        <v>Latin America</v>
      </c>
      <c r="H320" s="17" t="str">
        <f>_xlfn.XLOOKUP(Table2[[#This Row],[Animal]],Table1[Animal],Table1[Transport],"N/A",0)</f>
        <v>Boat</v>
      </c>
      <c r="I320">
        <f>_xlfn.XLOOKUP(Table2[[#This Row],[Animal]],Table1[Animal],Table1[Revenue],"N/A",0)</f>
        <v>200</v>
      </c>
      <c r="J320">
        <f>_xlfn.XLOOKUP(Table2[[#This Row],[Animal]],Table1[Animal],Table1[Cost],"N/A",0)</f>
        <v>400</v>
      </c>
      <c r="K320">
        <f>Table2[[#This Row],[Revenue]]-Table2[[#This Row],[Cost]]</f>
        <v>-200</v>
      </c>
    </row>
    <row r="321" spans="1:11" x14ac:dyDescent="0.25">
      <c r="A321" t="s">
        <v>453</v>
      </c>
      <c r="B321" t="str">
        <f>_xlfn.XLOOKUP(Table2[[#This Row],[Animal]],Table1[Animal],Table1[Diet],"Not Found",0)</f>
        <v>Carnivore</v>
      </c>
      <c r="C321" s="19">
        <f>_xlfn.XLOOKUP(Table2[[#This Row],[Animal]],Table1[Animal],Table1[Lifespan (Years)],"N/A",0)</f>
        <v>8</v>
      </c>
      <c r="D321" s="17" t="str">
        <f>_xlfn.XLOOKUP(Table2[[#This Row],[Animal]],Table1[Animal],Table1[Lifespan Group],"N/A",0)</f>
        <v>&lt;25</v>
      </c>
      <c r="E321" s="17">
        <f>_xlfn.XLOOKUP(Table2[[#This Row],[Animal]],Table1[Animal],Table1[Weight (lbs)],"N/A",0)</f>
        <v>6.6</v>
      </c>
      <c r="F321" s="17" t="str">
        <f>_xlfn.XLOOKUP(Table2[[#This Row],[Animal]],Table1[Animal],Table1[Weight Group],"N/A",0)</f>
        <v>&lt;100</v>
      </c>
      <c r="G321" t="str">
        <f>_xlfn.XLOOKUP(Table2[[#This Row],[Animal]],Table1[Animal],Table1[Region],"N/A",0)</f>
        <v>North America</v>
      </c>
      <c r="H321" s="17" t="str">
        <f>_xlfn.XLOOKUP(Table2[[#This Row],[Animal]],Table1[Animal],Table1[Transport],"N/A",0)</f>
        <v>Boat</v>
      </c>
      <c r="I321">
        <f>_xlfn.XLOOKUP(Table2[[#This Row],[Animal]],Table1[Animal],Table1[Revenue],"N/A",0)</f>
        <v>400</v>
      </c>
      <c r="J321">
        <f>_xlfn.XLOOKUP(Table2[[#This Row],[Animal]],Table1[Animal],Table1[Cost],"N/A",0)</f>
        <v>500</v>
      </c>
      <c r="K321">
        <f>Table2[[#This Row],[Revenue]]-Table2[[#This Row],[Cost]]</f>
        <v>-100</v>
      </c>
    </row>
    <row r="322" spans="1:11" x14ac:dyDescent="0.25">
      <c r="A322" t="s">
        <v>454</v>
      </c>
      <c r="B322" t="str">
        <f>_xlfn.XLOOKUP(Table2[[#This Row],[Animal]],Table1[Animal],Table1[Diet],"Not Found",0)</f>
        <v>Carnivore</v>
      </c>
      <c r="C322" s="19">
        <f>_xlfn.XLOOKUP(Table2[[#This Row],[Animal]],Table1[Animal],Table1[Lifespan (Years)],"N/A",0)</f>
        <v>14</v>
      </c>
      <c r="D322" s="17" t="str">
        <f>_xlfn.XLOOKUP(Table2[[#This Row],[Animal]],Table1[Animal],Table1[Lifespan Group],"N/A",0)</f>
        <v>&lt;25</v>
      </c>
      <c r="E322" s="17">
        <f>_xlfn.XLOOKUP(Table2[[#This Row],[Animal]],Table1[Animal],Table1[Weight (lbs)],"N/A",0)</f>
        <v>35</v>
      </c>
      <c r="F322" s="17" t="str">
        <f>_xlfn.XLOOKUP(Table2[[#This Row],[Animal]],Table1[Animal],Table1[Weight Group],"N/A",0)</f>
        <v>&lt;100</v>
      </c>
      <c r="G322" t="str">
        <f>_xlfn.XLOOKUP(Table2[[#This Row],[Animal]],Table1[Animal],Table1[Region],"N/A",0)</f>
        <v>North America</v>
      </c>
      <c r="H322" s="17" t="str">
        <f>_xlfn.XLOOKUP(Table2[[#This Row],[Animal]],Table1[Animal],Table1[Transport],"N/A",0)</f>
        <v>Boat</v>
      </c>
      <c r="I322">
        <f>_xlfn.XLOOKUP(Table2[[#This Row],[Animal]],Table1[Animal],Table1[Revenue],"N/A",0)</f>
        <v>400</v>
      </c>
      <c r="J322">
        <f>_xlfn.XLOOKUP(Table2[[#This Row],[Animal]],Table1[Animal],Table1[Cost],"N/A",0)</f>
        <v>500</v>
      </c>
      <c r="K322">
        <f>Table2[[#This Row],[Revenue]]-Table2[[#This Row],[Cost]]</f>
        <v>-100</v>
      </c>
    </row>
    <row r="323" spans="1:11" x14ac:dyDescent="0.25">
      <c r="A323" t="s">
        <v>455</v>
      </c>
      <c r="B323" t="str">
        <f>_xlfn.XLOOKUP(Table2[[#This Row],[Animal]],Table1[Animal],Table1[Diet],"Not Found",0)</f>
        <v>Omnivore</v>
      </c>
      <c r="C323" s="19">
        <f>_xlfn.XLOOKUP(Table2[[#This Row],[Animal]],Table1[Animal],Table1[Lifespan (Years)],"N/A",0)</f>
        <v>5</v>
      </c>
      <c r="D323" s="17" t="str">
        <f>_xlfn.XLOOKUP(Table2[[#This Row],[Animal]],Table1[Animal],Table1[Lifespan Group],"N/A",0)</f>
        <v>&lt;25</v>
      </c>
      <c r="E323" s="17">
        <f>_xlfn.XLOOKUP(Table2[[#This Row],[Animal]],Table1[Animal],Table1[Weight (lbs)],"N/A",0)</f>
        <v>0.4</v>
      </c>
      <c r="F323" s="17" t="str">
        <f>_xlfn.XLOOKUP(Table2[[#This Row],[Animal]],Table1[Animal],Table1[Weight Group],"N/A",0)</f>
        <v>&lt;100</v>
      </c>
      <c r="G323" t="str">
        <f>_xlfn.XLOOKUP(Table2[[#This Row],[Animal]],Table1[Animal],Table1[Region],"N/A",0)</f>
        <v>North America</v>
      </c>
      <c r="H323" s="17" t="str">
        <f>_xlfn.XLOOKUP(Table2[[#This Row],[Animal]],Table1[Animal],Table1[Transport],"N/A",0)</f>
        <v>Boat</v>
      </c>
      <c r="I323">
        <f>_xlfn.XLOOKUP(Table2[[#This Row],[Animal]],Table1[Animal],Table1[Revenue],"N/A",0)</f>
        <v>400</v>
      </c>
      <c r="J323">
        <f>_xlfn.XLOOKUP(Table2[[#This Row],[Animal]],Table1[Animal],Table1[Cost],"N/A",0)</f>
        <v>400</v>
      </c>
      <c r="K323">
        <f>Table2[[#This Row],[Revenue]]-Table2[[#This Row],[Cost]]</f>
        <v>0</v>
      </c>
    </row>
    <row r="324" spans="1:11" x14ac:dyDescent="0.25">
      <c r="A324" t="s">
        <v>456</v>
      </c>
      <c r="B324" t="str">
        <f>_xlfn.XLOOKUP(Table2[[#This Row],[Animal]],Table1[Animal],Table1[Diet],"Not Found",0)</f>
        <v>Omnivore</v>
      </c>
      <c r="C324" s="19">
        <f>_xlfn.XLOOKUP(Table2[[#This Row],[Animal]],Table1[Animal],Table1[Lifespan (Years)],"N/A",0)</f>
        <v>15</v>
      </c>
      <c r="D324" s="17" t="str">
        <f>_xlfn.XLOOKUP(Table2[[#This Row],[Animal]],Table1[Animal],Table1[Lifespan Group],"N/A",0)</f>
        <v>&lt;25</v>
      </c>
      <c r="E324" s="17">
        <f>_xlfn.XLOOKUP(Table2[[#This Row],[Animal]],Table1[Animal],Table1[Weight (lbs)],"N/A",0)</f>
        <v>0.48125000000000001</v>
      </c>
      <c r="F324" s="17" t="str">
        <f>_xlfn.XLOOKUP(Table2[[#This Row],[Animal]],Table1[Animal],Table1[Weight Group],"N/A",0)</f>
        <v>&lt;100</v>
      </c>
      <c r="G324" t="str">
        <f>_xlfn.XLOOKUP(Table2[[#This Row],[Animal]],Table1[Animal],Table1[Region],"N/A",0)</f>
        <v>North America</v>
      </c>
      <c r="H324" s="17" t="str">
        <f>_xlfn.XLOOKUP(Table2[[#This Row],[Animal]],Table1[Animal],Table1[Transport],"N/A",0)</f>
        <v>Boat</v>
      </c>
      <c r="I324">
        <f>_xlfn.XLOOKUP(Table2[[#This Row],[Animal]],Table1[Animal],Table1[Revenue],"N/A",0)</f>
        <v>400</v>
      </c>
      <c r="J324">
        <f>_xlfn.XLOOKUP(Table2[[#This Row],[Animal]],Table1[Animal],Table1[Cost],"N/A",0)</f>
        <v>400</v>
      </c>
      <c r="K324">
        <f>Table2[[#This Row],[Revenue]]-Table2[[#This Row],[Cost]]</f>
        <v>0</v>
      </c>
    </row>
    <row r="325" spans="1:11" x14ac:dyDescent="0.25">
      <c r="A325" t="s">
        <v>457</v>
      </c>
      <c r="B325" t="str">
        <f>_xlfn.XLOOKUP(Table2[[#This Row],[Animal]],Table1[Animal],Table1[Diet],"Not Found",0)</f>
        <v>Carnivore</v>
      </c>
      <c r="C325" s="19">
        <f>_xlfn.XLOOKUP(Table2[[#This Row],[Animal]],Table1[Animal],Table1[Lifespan (Years)],"N/A",0)</f>
        <v>30</v>
      </c>
      <c r="D325" s="17" t="str">
        <f>_xlfn.XLOOKUP(Table2[[#This Row],[Animal]],Table1[Animal],Table1[Lifespan Group],"N/A",0)</f>
        <v>25-49</v>
      </c>
      <c r="E325" s="17">
        <f>_xlfn.XLOOKUP(Table2[[#This Row],[Animal]],Table1[Animal],Table1[Weight (lbs)],"N/A",0)</f>
        <v>0.5</v>
      </c>
      <c r="F325" s="17" t="str">
        <f>_xlfn.XLOOKUP(Table2[[#This Row],[Animal]],Table1[Animal],Table1[Weight Group],"N/A",0)</f>
        <v>&lt;100</v>
      </c>
      <c r="G325" t="str">
        <f>_xlfn.XLOOKUP(Table2[[#This Row],[Animal]],Table1[Animal],Table1[Region],"N/A",0)</f>
        <v>Europe &amp; Eurasia</v>
      </c>
      <c r="H325" s="17" t="str">
        <f>_xlfn.XLOOKUP(Table2[[#This Row],[Animal]],Table1[Animal],Table1[Transport],"N/A",0)</f>
        <v>Road</v>
      </c>
      <c r="I325">
        <f>_xlfn.XLOOKUP(Table2[[#This Row],[Animal]],Table1[Animal],Table1[Revenue],"N/A",0)</f>
        <v>450</v>
      </c>
      <c r="J325">
        <f>_xlfn.XLOOKUP(Table2[[#This Row],[Animal]],Table1[Animal],Table1[Cost],"N/A",0)</f>
        <v>500</v>
      </c>
      <c r="K325">
        <f>Table2[[#This Row],[Revenue]]-Table2[[#This Row],[Cost]]</f>
        <v>-50</v>
      </c>
    </row>
    <row r="326" spans="1:11" x14ac:dyDescent="0.25">
      <c r="A326" t="s">
        <v>458</v>
      </c>
      <c r="B326" t="str">
        <f>_xlfn.XLOOKUP(Table2[[#This Row],[Animal]],Table1[Animal],Table1[Diet],"Not Found",0)</f>
        <v>Omnivore</v>
      </c>
      <c r="C326" s="19">
        <f>_xlfn.XLOOKUP(Table2[[#This Row],[Animal]],Table1[Animal],Table1[Lifespan (Years)],"N/A",0)</f>
        <v>12</v>
      </c>
      <c r="D326" s="17" t="str">
        <f>_xlfn.XLOOKUP(Table2[[#This Row],[Animal]],Table1[Animal],Table1[Lifespan Group],"N/A",0)</f>
        <v>&lt;25</v>
      </c>
      <c r="E326" s="17">
        <f>_xlfn.XLOOKUP(Table2[[#This Row],[Animal]],Table1[Animal],Table1[Weight (lbs)],"N/A",0)</f>
        <v>7</v>
      </c>
      <c r="F326" s="17" t="str">
        <f>_xlfn.XLOOKUP(Table2[[#This Row],[Animal]],Table1[Animal],Table1[Weight Group],"N/A",0)</f>
        <v>&lt;100</v>
      </c>
      <c r="G326" t="str">
        <f>_xlfn.XLOOKUP(Table2[[#This Row],[Animal]],Table1[Animal],Table1[Region],"N/A",0)</f>
        <v>Japan</v>
      </c>
      <c r="H326" s="17" t="str">
        <f>_xlfn.XLOOKUP(Table2[[#This Row],[Animal]],Table1[Animal],Table1[Transport],"N/A",0)</f>
        <v>Air</v>
      </c>
      <c r="I326">
        <f>_xlfn.XLOOKUP(Table2[[#This Row],[Animal]],Table1[Animal],Table1[Revenue],"N/A",0)</f>
        <v>350</v>
      </c>
      <c r="J326">
        <f>_xlfn.XLOOKUP(Table2[[#This Row],[Animal]],Table1[Animal],Table1[Cost],"N/A",0)</f>
        <v>400</v>
      </c>
      <c r="K326">
        <f>Table2[[#This Row],[Revenue]]-Table2[[#This Row],[Cost]]</f>
        <v>-50</v>
      </c>
    </row>
    <row r="327" spans="1:11" x14ac:dyDescent="0.25">
      <c r="A327" t="s">
        <v>459</v>
      </c>
      <c r="B327" t="str">
        <f>_xlfn.XLOOKUP(Table2[[#This Row],[Animal]],Table1[Animal],Table1[Diet],"Not Found",0)</f>
        <v>Carnivore</v>
      </c>
      <c r="C327" s="19">
        <f>_xlfn.XLOOKUP(Table2[[#This Row],[Animal]],Table1[Animal],Table1[Lifespan (Years)],"N/A",0)</f>
        <v>12</v>
      </c>
      <c r="D327" s="17" t="str">
        <f>_xlfn.XLOOKUP(Table2[[#This Row],[Animal]],Table1[Animal],Table1[Lifespan Group],"N/A",0)</f>
        <v>&lt;25</v>
      </c>
      <c r="E327" s="17">
        <f>_xlfn.XLOOKUP(Table2[[#This Row],[Animal]],Table1[Animal],Table1[Weight (lbs)],"N/A",0)</f>
        <v>40</v>
      </c>
      <c r="F327" s="17" t="str">
        <f>_xlfn.XLOOKUP(Table2[[#This Row],[Animal]],Table1[Animal],Table1[Weight Group],"N/A",0)</f>
        <v>&lt;100</v>
      </c>
      <c r="G327" t="str">
        <f>_xlfn.XLOOKUP(Table2[[#This Row],[Animal]],Table1[Animal],Table1[Region],"N/A",0)</f>
        <v>South Asia</v>
      </c>
      <c r="H327" s="17" t="str">
        <f>_xlfn.XLOOKUP(Table2[[#This Row],[Animal]],Table1[Animal],Table1[Transport],"N/A",0)</f>
        <v>Air</v>
      </c>
      <c r="I327">
        <f>_xlfn.XLOOKUP(Table2[[#This Row],[Animal]],Table1[Animal],Table1[Revenue],"N/A",0)</f>
        <v>450</v>
      </c>
      <c r="J327">
        <f>_xlfn.XLOOKUP(Table2[[#This Row],[Animal]],Table1[Animal],Table1[Cost],"N/A",0)</f>
        <v>500</v>
      </c>
      <c r="K327">
        <f>Table2[[#This Row],[Revenue]]-Table2[[#This Row],[Cost]]</f>
        <v>-50</v>
      </c>
    </row>
    <row r="328" spans="1:11" x14ac:dyDescent="0.25">
      <c r="A328" t="s">
        <v>460</v>
      </c>
      <c r="B328" t="str">
        <f>_xlfn.XLOOKUP(Table2[[#This Row],[Animal]],Table1[Animal],Table1[Diet],"Not Found",0)</f>
        <v>Herbivore</v>
      </c>
      <c r="C328" s="19">
        <f>_xlfn.XLOOKUP(Table2[[#This Row],[Animal]],Table1[Animal],Table1[Lifespan (Years)],"N/A",0)</f>
        <v>15</v>
      </c>
      <c r="D328" s="17" t="str">
        <f>_xlfn.XLOOKUP(Table2[[#This Row],[Animal]],Table1[Animal],Table1[Lifespan Group],"N/A",0)</f>
        <v>&lt;25</v>
      </c>
      <c r="E328" s="17">
        <f>_xlfn.XLOOKUP(Table2[[#This Row],[Animal]],Table1[Animal],Table1[Weight (lbs)],"N/A",0)</f>
        <v>132</v>
      </c>
      <c r="F328" s="17" t="str">
        <f>_xlfn.XLOOKUP(Table2[[#This Row],[Animal]],Table1[Animal],Table1[Weight Group],"N/A",0)</f>
        <v>100-199</v>
      </c>
      <c r="G328" t="str">
        <f>_xlfn.XLOOKUP(Table2[[#This Row],[Animal]],Table1[Animal],Table1[Region],"N/A",0)</f>
        <v>North America</v>
      </c>
      <c r="H328" s="17" t="str">
        <f>_xlfn.XLOOKUP(Table2[[#This Row],[Animal]],Table1[Animal],Table1[Transport],"N/A",0)</f>
        <v>Boat</v>
      </c>
      <c r="I328">
        <f>_xlfn.XLOOKUP(Table2[[#This Row],[Animal]],Table1[Animal],Table1[Revenue],"N/A",0)</f>
        <v>400</v>
      </c>
      <c r="J328">
        <f>_xlfn.XLOOKUP(Table2[[#This Row],[Animal]],Table1[Animal],Table1[Cost],"N/A",0)</f>
        <v>300</v>
      </c>
      <c r="K328">
        <f>Table2[[#This Row],[Revenue]]-Table2[[#This Row],[Cost]]</f>
        <v>100</v>
      </c>
    </row>
    <row r="329" spans="1:11" x14ac:dyDescent="0.25">
      <c r="A329" t="s">
        <v>461</v>
      </c>
      <c r="B329" t="str">
        <f>_xlfn.XLOOKUP(Table2[[#This Row],[Animal]],Table1[Animal],Table1[Diet],"Not Found",0)</f>
        <v>Herbivore</v>
      </c>
      <c r="C329" s="19">
        <f>_xlfn.XLOOKUP(Table2[[#This Row],[Animal]],Table1[Animal],Table1[Lifespan (Years)],"N/A",0)</f>
        <v>50</v>
      </c>
      <c r="D329" s="17" t="str">
        <f>_xlfn.XLOOKUP(Table2[[#This Row],[Animal]],Table1[Animal],Table1[Lifespan Group],"N/A",0)</f>
        <v>50-74</v>
      </c>
      <c r="E329" s="17">
        <f>_xlfn.XLOOKUP(Table2[[#This Row],[Animal]],Table1[Animal],Table1[Weight (lbs)],"N/A",0)</f>
        <v>1765</v>
      </c>
      <c r="F329" s="17" t="str">
        <f>_xlfn.XLOOKUP(Table2[[#This Row],[Animal]],Table1[Animal],Table1[Weight Group],"N/A",0)</f>
        <v>&gt;=500</v>
      </c>
      <c r="G329" t="str">
        <f>_xlfn.XLOOKUP(Table2[[#This Row],[Animal]],Table1[Animal],Table1[Region],"N/A",0)</f>
        <v>Europe &amp; Eurasia</v>
      </c>
      <c r="H329" s="17" t="str">
        <f>_xlfn.XLOOKUP(Table2[[#This Row],[Animal]],Table1[Animal],Table1[Transport],"N/A",0)</f>
        <v>Road</v>
      </c>
      <c r="I329">
        <f>_xlfn.XLOOKUP(Table2[[#This Row],[Animal]],Table1[Animal],Table1[Revenue],"N/A",0)</f>
        <v>450</v>
      </c>
      <c r="J329">
        <f>_xlfn.XLOOKUP(Table2[[#This Row],[Animal]],Table1[Animal],Table1[Cost],"N/A",0)</f>
        <v>300</v>
      </c>
      <c r="K329">
        <f>Table2[[#This Row],[Revenue]]-Table2[[#This Row],[Cost]]</f>
        <v>150</v>
      </c>
    </row>
    <row r="330" spans="1:11" x14ac:dyDescent="0.25">
      <c r="A330" t="s">
        <v>462</v>
      </c>
      <c r="B330" t="str">
        <f>_xlfn.XLOOKUP(Table2[[#This Row],[Animal]],Table1[Animal],Table1[Diet],"Not Found",0)</f>
        <v>Carnivore</v>
      </c>
      <c r="C330" s="19">
        <f>_xlfn.XLOOKUP(Table2[[#This Row],[Animal]],Table1[Animal],Table1[Lifespan (Years)],"N/A",0)</f>
        <v>18</v>
      </c>
      <c r="D330" s="17" t="str">
        <f>_xlfn.XLOOKUP(Table2[[#This Row],[Animal]],Table1[Animal],Table1[Lifespan Group],"N/A",0)</f>
        <v>&lt;25</v>
      </c>
      <c r="E330" s="17">
        <f>_xlfn.XLOOKUP(Table2[[#This Row],[Animal]],Table1[Animal],Table1[Weight (lbs)],"N/A",0)</f>
        <v>220</v>
      </c>
      <c r="F330" s="17" t="str">
        <f>_xlfn.XLOOKUP(Table2[[#This Row],[Animal]],Table1[Animal],Table1[Weight Group],"N/A",0)</f>
        <v>200-299</v>
      </c>
      <c r="G330" t="str">
        <f>_xlfn.XLOOKUP(Table2[[#This Row],[Animal]],Table1[Animal],Table1[Region],"N/A",0)</f>
        <v>Europe &amp; Eurasia</v>
      </c>
      <c r="H330" s="17" t="str">
        <f>_xlfn.XLOOKUP(Table2[[#This Row],[Animal]],Table1[Animal],Table1[Transport],"N/A",0)</f>
        <v>Road</v>
      </c>
      <c r="I330">
        <f>_xlfn.XLOOKUP(Table2[[#This Row],[Animal]],Table1[Animal],Table1[Revenue],"N/A",0)</f>
        <v>450</v>
      </c>
      <c r="J330">
        <f>_xlfn.XLOOKUP(Table2[[#This Row],[Animal]],Table1[Animal],Table1[Cost],"N/A",0)</f>
        <v>500</v>
      </c>
      <c r="K330">
        <f>Table2[[#This Row],[Revenue]]-Table2[[#This Row],[Cost]]</f>
        <v>-50</v>
      </c>
    </row>
    <row r="331" spans="1:11" x14ac:dyDescent="0.25">
      <c r="A331" t="s">
        <v>466</v>
      </c>
      <c r="B331" t="str">
        <f>_xlfn.XLOOKUP(Table2[[#This Row],[Animal]],Table1[Animal],Table1[Diet],"Not Found",0)</f>
        <v>Carnivore</v>
      </c>
      <c r="C331" s="19">
        <f>_xlfn.XLOOKUP(Table2[[#This Row],[Animal]],Table1[Animal],Table1[Lifespan (Years)],"N/A",0)</f>
        <v>20</v>
      </c>
      <c r="D331" s="17" t="str">
        <f>_xlfn.XLOOKUP(Table2[[#This Row],[Animal]],Table1[Animal],Table1[Lifespan Group],"N/A",0)</f>
        <v>&lt;25</v>
      </c>
      <c r="E331" s="17">
        <f>_xlfn.XLOOKUP(Table2[[#This Row],[Animal]],Table1[Animal],Table1[Weight (lbs)],"N/A",0)</f>
        <v>4.4000000000000004</v>
      </c>
      <c r="F331" s="17" t="str">
        <f>_xlfn.XLOOKUP(Table2[[#This Row],[Animal]],Table1[Animal],Table1[Weight Group],"N/A",0)</f>
        <v>&lt;100</v>
      </c>
      <c r="G331" t="str">
        <f>_xlfn.XLOOKUP(Table2[[#This Row],[Animal]],Table1[Animal],Table1[Region],"N/A",0)</f>
        <v>North America</v>
      </c>
      <c r="H331" s="17" t="str">
        <f>_xlfn.XLOOKUP(Table2[[#This Row],[Animal]],Table1[Animal],Table1[Transport],"N/A",0)</f>
        <v>Boat</v>
      </c>
      <c r="I331">
        <f>_xlfn.XLOOKUP(Table2[[#This Row],[Animal]],Table1[Animal],Table1[Revenue],"N/A",0)</f>
        <v>400</v>
      </c>
      <c r="J331">
        <f>_xlfn.XLOOKUP(Table2[[#This Row],[Animal]],Table1[Animal],Table1[Cost],"N/A",0)</f>
        <v>500</v>
      </c>
      <c r="K331">
        <f>Table2[[#This Row],[Revenue]]-Table2[[#This Row],[Cost]]</f>
        <v>-100</v>
      </c>
    </row>
    <row r="332" spans="1:11" x14ac:dyDescent="0.25">
      <c r="A332" t="s">
        <v>467</v>
      </c>
      <c r="B332" t="str">
        <f>_xlfn.XLOOKUP(Table2[[#This Row],[Animal]],Table1[Animal],Table1[Diet],"Not Found",0)</f>
        <v>Omnivore</v>
      </c>
      <c r="C332" s="19">
        <f>_xlfn.XLOOKUP(Table2[[#This Row],[Animal]],Table1[Animal],Table1[Lifespan (Years)],"N/A",0)</f>
        <v>15</v>
      </c>
      <c r="D332" s="17" t="str">
        <f>_xlfn.XLOOKUP(Table2[[#This Row],[Animal]],Table1[Animal],Table1[Lifespan Group],"N/A",0)</f>
        <v>&lt;25</v>
      </c>
      <c r="E332" s="17">
        <f>_xlfn.XLOOKUP(Table2[[#This Row],[Animal]],Table1[Animal],Table1[Weight (lbs)],"N/A",0)</f>
        <v>2.6</v>
      </c>
      <c r="F332" s="17" t="str">
        <f>_xlfn.XLOOKUP(Table2[[#This Row],[Animal]],Table1[Animal],Table1[Weight Group],"N/A",0)</f>
        <v>&lt;100</v>
      </c>
      <c r="G332" t="str">
        <f>_xlfn.XLOOKUP(Table2[[#This Row],[Animal]],Table1[Animal],Table1[Region],"N/A",0)</f>
        <v>Europe &amp; Eurasia</v>
      </c>
      <c r="H332" s="17" t="str">
        <f>_xlfn.XLOOKUP(Table2[[#This Row],[Animal]],Table1[Animal],Table1[Transport],"N/A",0)</f>
        <v>Road</v>
      </c>
      <c r="I332">
        <f>_xlfn.XLOOKUP(Table2[[#This Row],[Animal]],Table1[Animal],Table1[Revenue],"N/A",0)</f>
        <v>450</v>
      </c>
      <c r="J332">
        <f>_xlfn.XLOOKUP(Table2[[#This Row],[Animal]],Table1[Animal],Table1[Cost],"N/A",0)</f>
        <v>400</v>
      </c>
      <c r="K332">
        <f>Table2[[#This Row],[Revenue]]-Table2[[#This Row],[Cost]]</f>
        <v>50</v>
      </c>
    </row>
    <row r="333" spans="1:11" x14ac:dyDescent="0.25">
      <c r="A333" t="s">
        <v>469</v>
      </c>
      <c r="B333" t="str">
        <f>_xlfn.XLOOKUP(Table2[[#This Row],[Animal]],Table1[Animal],Table1[Diet],"Not Found",0)</f>
        <v>Carnivore</v>
      </c>
      <c r="C333" s="19">
        <f>_xlfn.XLOOKUP(Table2[[#This Row],[Animal]],Table1[Animal],Table1[Lifespan (Years)],"N/A",0)</f>
        <v>14</v>
      </c>
      <c r="D333" s="17" t="str">
        <f>_xlfn.XLOOKUP(Table2[[#This Row],[Animal]],Table1[Animal],Table1[Lifespan Group],"N/A",0)</f>
        <v>&lt;25</v>
      </c>
      <c r="E333" s="17">
        <f>_xlfn.XLOOKUP(Table2[[#This Row],[Animal]],Table1[Animal],Table1[Weight (lbs)],"N/A",0)</f>
        <v>10</v>
      </c>
      <c r="F333" s="17" t="str">
        <f>_xlfn.XLOOKUP(Table2[[#This Row],[Animal]],Table1[Animal],Table1[Weight Group],"N/A",0)</f>
        <v>&lt;100</v>
      </c>
      <c r="G333" t="str">
        <f>_xlfn.XLOOKUP(Table2[[#This Row],[Animal]],Table1[Animal],Table1[Region],"N/A",0)</f>
        <v>North America</v>
      </c>
      <c r="H333" s="17" t="str">
        <f>_xlfn.XLOOKUP(Table2[[#This Row],[Animal]],Table1[Animal],Table1[Transport],"N/A",0)</f>
        <v>Boat</v>
      </c>
      <c r="I333">
        <f>_xlfn.XLOOKUP(Table2[[#This Row],[Animal]],Table1[Animal],Table1[Revenue],"N/A",0)</f>
        <v>400</v>
      </c>
      <c r="J333">
        <f>_xlfn.XLOOKUP(Table2[[#This Row],[Animal]],Table1[Animal],Table1[Cost],"N/A",0)</f>
        <v>500</v>
      </c>
      <c r="K333">
        <f>Table2[[#This Row],[Revenue]]-Table2[[#This Row],[Cost]]</f>
        <v>-100</v>
      </c>
    </row>
    <row r="334" spans="1:11" x14ac:dyDescent="0.25">
      <c r="A334" t="s">
        <v>470</v>
      </c>
      <c r="B334" t="str">
        <f>_xlfn.XLOOKUP(Table2[[#This Row],[Animal]],Table1[Animal],Table1[Diet],"Not Found",0)</f>
        <v>Omnivore</v>
      </c>
      <c r="C334" s="19">
        <f>_xlfn.XLOOKUP(Table2[[#This Row],[Animal]],Table1[Animal],Table1[Lifespan (Years)],"N/A",0)</f>
        <v>10</v>
      </c>
      <c r="D334" s="17" t="str">
        <f>_xlfn.XLOOKUP(Table2[[#This Row],[Animal]],Table1[Animal],Table1[Lifespan Group],"N/A",0)</f>
        <v>&lt;25</v>
      </c>
      <c r="E334" s="17">
        <f>_xlfn.XLOOKUP(Table2[[#This Row],[Animal]],Table1[Animal],Table1[Weight (lbs)],"N/A",0)</f>
        <v>200</v>
      </c>
      <c r="F334" s="17" t="str">
        <f>_xlfn.XLOOKUP(Table2[[#This Row],[Animal]],Table1[Animal],Table1[Weight Group],"N/A",0)</f>
        <v>200-299</v>
      </c>
      <c r="G334" t="str">
        <f>_xlfn.XLOOKUP(Table2[[#This Row],[Animal]],Table1[Animal],Table1[Region],"N/A",0)</f>
        <v>North America</v>
      </c>
      <c r="H334" s="17" t="str">
        <f>_xlfn.XLOOKUP(Table2[[#This Row],[Animal]],Table1[Animal],Table1[Transport],"N/A",0)</f>
        <v>Boat</v>
      </c>
      <c r="I334">
        <f>_xlfn.XLOOKUP(Table2[[#This Row],[Animal]],Table1[Animal],Table1[Revenue],"N/A",0)</f>
        <v>400</v>
      </c>
      <c r="J334">
        <f>_xlfn.XLOOKUP(Table2[[#This Row],[Animal]],Table1[Animal],Table1[Cost],"N/A",0)</f>
        <v>400</v>
      </c>
      <c r="K334">
        <f>Table2[[#This Row],[Revenue]]-Table2[[#This Row],[Cost]]</f>
        <v>0</v>
      </c>
    </row>
    <row r="335" spans="1:11" x14ac:dyDescent="0.25">
      <c r="A335" t="s">
        <v>472</v>
      </c>
      <c r="B335" t="str">
        <f>_xlfn.XLOOKUP(Table2[[#This Row],[Animal]],Table1[Animal],Table1[Diet],"Not Found",0)</f>
        <v>Carnivore</v>
      </c>
      <c r="C335" s="19">
        <f>_xlfn.XLOOKUP(Table2[[#This Row],[Animal]],Table1[Animal],Table1[Lifespan (Years)],"N/A",0)</f>
        <v>20</v>
      </c>
      <c r="D335" s="17" t="str">
        <f>_xlfn.XLOOKUP(Table2[[#This Row],[Animal]],Table1[Animal],Table1[Lifespan Group],"N/A",0)</f>
        <v>&lt;25</v>
      </c>
      <c r="E335" s="17">
        <f>_xlfn.XLOOKUP(Table2[[#This Row],[Animal]],Table1[Animal],Table1[Weight (lbs)],"N/A",0)</f>
        <v>0.2</v>
      </c>
      <c r="F335" s="17" t="str">
        <f>_xlfn.XLOOKUP(Table2[[#This Row],[Animal]],Table1[Animal],Table1[Weight Group],"N/A",0)</f>
        <v>&lt;100</v>
      </c>
      <c r="G335" t="str">
        <f>_xlfn.XLOOKUP(Table2[[#This Row],[Animal]],Table1[Animal],Table1[Region],"N/A",0)</f>
        <v>Europe &amp; Eurasia</v>
      </c>
      <c r="H335" s="17" t="str">
        <f>_xlfn.XLOOKUP(Table2[[#This Row],[Animal]],Table1[Animal],Table1[Transport],"N/A",0)</f>
        <v>Road</v>
      </c>
      <c r="I335">
        <f>_xlfn.XLOOKUP(Table2[[#This Row],[Animal]],Table1[Animal],Table1[Revenue],"N/A",0)</f>
        <v>450</v>
      </c>
      <c r="J335">
        <f>_xlfn.XLOOKUP(Table2[[#This Row],[Animal]],Table1[Animal],Table1[Cost],"N/A",0)</f>
        <v>500</v>
      </c>
      <c r="K335">
        <f>Table2[[#This Row],[Revenue]]-Table2[[#This Row],[Cost]]</f>
        <v>-50</v>
      </c>
    </row>
    <row r="336" spans="1:11" x14ac:dyDescent="0.25">
      <c r="A336" t="s">
        <v>473</v>
      </c>
      <c r="B336" t="str">
        <f>_xlfn.XLOOKUP(Table2[[#This Row],[Animal]],Table1[Animal],Table1[Diet],"Not Found",0)</f>
        <v>Carnivore</v>
      </c>
      <c r="C336" s="19">
        <f>_xlfn.XLOOKUP(Table2[[#This Row],[Animal]],Table1[Animal],Table1[Lifespan (Years)],"N/A",0)</f>
        <v>8</v>
      </c>
      <c r="D336" s="17" t="str">
        <f>_xlfn.XLOOKUP(Table2[[#This Row],[Animal]],Table1[Animal],Table1[Lifespan Group],"N/A",0)</f>
        <v>&lt;25</v>
      </c>
      <c r="E336" s="17">
        <f>_xlfn.XLOOKUP(Table2[[#This Row],[Animal]],Table1[Animal],Table1[Weight (lbs)],"N/A",0)</f>
        <v>2.1874999999999999E-2</v>
      </c>
      <c r="F336" s="17" t="str">
        <f>_xlfn.XLOOKUP(Table2[[#This Row],[Animal]],Table1[Animal],Table1[Weight Group],"N/A",0)</f>
        <v>&lt;100</v>
      </c>
      <c r="G336" t="str">
        <f>_xlfn.XLOOKUP(Table2[[#This Row],[Animal]],Table1[Animal],Table1[Region],"N/A",0)</f>
        <v>Europe &amp; Eurasia</v>
      </c>
      <c r="H336" s="17" t="str">
        <f>_xlfn.XLOOKUP(Table2[[#This Row],[Animal]],Table1[Animal],Table1[Transport],"N/A",0)</f>
        <v>Road</v>
      </c>
      <c r="I336">
        <f>_xlfn.XLOOKUP(Table2[[#This Row],[Animal]],Table1[Animal],Table1[Revenue],"N/A",0)</f>
        <v>450</v>
      </c>
      <c r="J336">
        <f>_xlfn.XLOOKUP(Table2[[#This Row],[Animal]],Table1[Animal],Table1[Cost],"N/A",0)</f>
        <v>500</v>
      </c>
      <c r="K336">
        <f>Table2[[#This Row],[Revenue]]-Table2[[#This Row],[Cost]]</f>
        <v>-50</v>
      </c>
    </row>
    <row r="337" spans="1:11" x14ac:dyDescent="0.25">
      <c r="A337" t="s">
        <v>474</v>
      </c>
      <c r="B337" t="str">
        <f>_xlfn.XLOOKUP(Table2[[#This Row],[Animal]],Table1[Animal],Table1[Diet],"Not Found",0)</f>
        <v>Carnivore</v>
      </c>
      <c r="C337" s="19">
        <f>_xlfn.XLOOKUP(Table2[[#This Row],[Animal]],Table1[Animal],Table1[Lifespan (Years)],"N/A",0)</f>
        <v>25</v>
      </c>
      <c r="D337" s="17" t="str">
        <f>_xlfn.XLOOKUP(Table2[[#This Row],[Animal]],Table1[Animal],Table1[Lifespan Group],"N/A",0)</f>
        <v>25-49</v>
      </c>
      <c r="E337" s="17">
        <f>_xlfn.XLOOKUP(Table2[[#This Row],[Animal]],Table1[Animal],Table1[Weight (lbs)],"N/A",0)</f>
        <v>0.4</v>
      </c>
      <c r="F337" s="17" t="str">
        <f>_xlfn.XLOOKUP(Table2[[#This Row],[Animal]],Table1[Animal],Table1[Weight Group],"N/A",0)</f>
        <v>&lt;100</v>
      </c>
      <c r="G337" t="str">
        <f>_xlfn.XLOOKUP(Table2[[#This Row],[Animal]],Table1[Animal],Table1[Region],"N/A",0)</f>
        <v>Europe &amp; Eurasia</v>
      </c>
      <c r="H337" s="17" t="str">
        <f>_xlfn.XLOOKUP(Table2[[#This Row],[Animal]],Table1[Animal],Table1[Transport],"N/A",0)</f>
        <v>Road</v>
      </c>
      <c r="I337">
        <f>_xlfn.XLOOKUP(Table2[[#This Row],[Animal]],Table1[Animal],Table1[Revenue],"N/A",0)</f>
        <v>450</v>
      </c>
      <c r="J337">
        <f>_xlfn.XLOOKUP(Table2[[#This Row],[Animal]],Table1[Animal],Table1[Cost],"N/A",0)</f>
        <v>500</v>
      </c>
      <c r="K337">
        <f>Table2[[#This Row],[Revenue]]-Table2[[#This Row],[Cost]]</f>
        <v>-50</v>
      </c>
    </row>
    <row r="338" spans="1:11" x14ac:dyDescent="0.25">
      <c r="A338" t="s">
        <v>476</v>
      </c>
      <c r="B338" t="str">
        <f>_xlfn.XLOOKUP(Table2[[#This Row],[Animal]],Table1[Animal],Table1[Diet],"Not Found",0)</f>
        <v>Omnivore</v>
      </c>
      <c r="C338" s="19">
        <f>_xlfn.XLOOKUP(Table2[[#This Row],[Animal]],Table1[Animal],Table1[Lifespan (Years)],"N/A",0)</f>
        <v>22</v>
      </c>
      <c r="D338" s="17" t="str">
        <f>_xlfn.XLOOKUP(Table2[[#This Row],[Animal]],Table1[Animal],Table1[Lifespan Group],"N/A",0)</f>
        <v>&lt;25</v>
      </c>
      <c r="E338" s="17">
        <f>_xlfn.XLOOKUP(Table2[[#This Row],[Animal]],Table1[Animal],Table1[Weight (lbs)],"N/A",0)</f>
        <v>660</v>
      </c>
      <c r="F338" s="17" t="str">
        <f>_xlfn.XLOOKUP(Table2[[#This Row],[Animal]],Table1[Animal],Table1[Weight Group],"N/A",0)</f>
        <v>&gt;=500</v>
      </c>
      <c r="G338" t="str">
        <f>_xlfn.XLOOKUP(Table2[[#This Row],[Animal]],Table1[Animal],Table1[Region],"N/A",0)</f>
        <v>Asia Pacific</v>
      </c>
      <c r="H338" s="17" t="str">
        <f>_xlfn.XLOOKUP(Table2[[#This Row],[Animal]],Table1[Animal],Table1[Transport],"N/A",0)</f>
        <v>Air</v>
      </c>
      <c r="I338">
        <f>_xlfn.XLOOKUP(Table2[[#This Row],[Animal]],Table1[Animal],Table1[Revenue],"N/A",0)</f>
        <v>700</v>
      </c>
      <c r="J338">
        <f>_xlfn.XLOOKUP(Table2[[#This Row],[Animal]],Table1[Animal],Table1[Cost],"N/A",0)</f>
        <v>400</v>
      </c>
      <c r="K338">
        <f>Table2[[#This Row],[Revenue]]-Table2[[#This Row],[Cost]]</f>
        <v>300</v>
      </c>
    </row>
    <row r="339" spans="1:11" x14ac:dyDescent="0.25">
      <c r="A339" t="s">
        <v>477</v>
      </c>
      <c r="B339" t="str">
        <f>_xlfn.XLOOKUP(Table2[[#This Row],[Animal]],Table1[Animal],Table1[Diet],"Not Found",0)</f>
        <v>Omnivore</v>
      </c>
      <c r="C339" s="19">
        <f>_xlfn.XLOOKUP(Table2[[#This Row],[Animal]],Table1[Animal],Table1[Lifespan (Years)],"N/A",0)</f>
        <v>15</v>
      </c>
      <c r="D339" s="17" t="str">
        <f>_xlfn.XLOOKUP(Table2[[#This Row],[Animal]],Table1[Animal],Table1[Lifespan Group],"N/A",0)</f>
        <v>&lt;25</v>
      </c>
      <c r="E339" s="17">
        <f>_xlfn.XLOOKUP(Table2[[#This Row],[Animal]],Table1[Animal],Table1[Weight (lbs)],"N/A",0)</f>
        <v>30</v>
      </c>
      <c r="F339" s="17" t="str">
        <f>_xlfn.XLOOKUP(Table2[[#This Row],[Animal]],Table1[Animal],Table1[Weight Group],"N/A",0)</f>
        <v>&lt;100</v>
      </c>
      <c r="G339" t="str">
        <f>_xlfn.XLOOKUP(Table2[[#This Row],[Animal]],Table1[Animal],Table1[Region],"N/A",0)</f>
        <v>Europe &amp; Eurasia</v>
      </c>
      <c r="H339" s="17" t="str">
        <f>_xlfn.XLOOKUP(Table2[[#This Row],[Animal]],Table1[Animal],Table1[Transport],"N/A",0)</f>
        <v>Road</v>
      </c>
      <c r="I339">
        <f>_xlfn.XLOOKUP(Table2[[#This Row],[Animal]],Table1[Animal],Table1[Revenue],"N/A",0)</f>
        <v>450</v>
      </c>
      <c r="J339">
        <f>_xlfn.XLOOKUP(Table2[[#This Row],[Animal]],Table1[Animal],Table1[Cost],"N/A",0)</f>
        <v>400</v>
      </c>
      <c r="K339">
        <f>Table2[[#This Row],[Revenue]]-Table2[[#This Row],[Cost]]</f>
        <v>50</v>
      </c>
    </row>
    <row r="340" spans="1:11" x14ac:dyDescent="0.25">
      <c r="A340" t="s">
        <v>478</v>
      </c>
      <c r="B340" t="str">
        <f>_xlfn.XLOOKUP(Table2[[#This Row],[Animal]],Table1[Animal],Table1[Diet],"Not Found",0)</f>
        <v>Herbivore</v>
      </c>
      <c r="C340" s="19">
        <f>_xlfn.XLOOKUP(Table2[[#This Row],[Animal]],Table1[Animal],Table1[Lifespan (Years)],"N/A",0)</f>
        <v>4</v>
      </c>
      <c r="D340" s="17" t="str">
        <f>_xlfn.XLOOKUP(Table2[[#This Row],[Animal]],Table1[Animal],Table1[Lifespan Group],"N/A",0)</f>
        <v>&lt;25</v>
      </c>
      <c r="E340" s="17">
        <f>_xlfn.XLOOKUP(Table2[[#This Row],[Animal]],Table1[Animal],Table1[Weight (lbs)],"N/A",0)</f>
        <v>0</v>
      </c>
      <c r="F340" s="17" t="str">
        <f>_xlfn.XLOOKUP(Table2[[#This Row],[Animal]],Table1[Animal],Table1[Weight Group],"N/A",0)</f>
        <v>N/A</v>
      </c>
      <c r="G340" t="str">
        <f>_xlfn.XLOOKUP(Table2[[#This Row],[Animal]],Table1[Animal],Table1[Region],"N/A",0)</f>
        <v>Europe &amp; Eurasia</v>
      </c>
      <c r="H340" s="17" t="str">
        <f>_xlfn.XLOOKUP(Table2[[#This Row],[Animal]],Table1[Animal],Table1[Transport],"N/A",0)</f>
        <v>Road</v>
      </c>
      <c r="I340">
        <f>_xlfn.XLOOKUP(Table2[[#This Row],[Animal]],Table1[Animal],Table1[Revenue],"N/A",0)</f>
        <v>450</v>
      </c>
      <c r="J340">
        <f>_xlfn.XLOOKUP(Table2[[#This Row],[Animal]],Table1[Animal],Table1[Cost],"N/A",0)</f>
        <v>300</v>
      </c>
      <c r="K340">
        <f>Table2[[#This Row],[Revenue]]-Table2[[#This Row],[Cost]]</f>
        <v>150</v>
      </c>
    </row>
    <row r="341" spans="1:11" x14ac:dyDescent="0.25">
      <c r="A341" t="s">
        <v>479</v>
      </c>
      <c r="B341" t="str">
        <f>_xlfn.XLOOKUP(Table2[[#This Row],[Animal]],Table1[Animal],Table1[Diet],"Not Found",0)</f>
        <v>Omnivore</v>
      </c>
      <c r="C341" s="19">
        <f>_xlfn.XLOOKUP(Table2[[#This Row],[Animal]],Table1[Animal],Table1[Lifespan (Years)],"N/A",0)</f>
        <v>30</v>
      </c>
      <c r="D341" s="17" t="str">
        <f>_xlfn.XLOOKUP(Table2[[#This Row],[Animal]],Table1[Animal],Table1[Lifespan Group],"N/A",0)</f>
        <v>25-49</v>
      </c>
      <c r="E341" s="17">
        <f>_xlfn.XLOOKUP(Table2[[#This Row],[Animal]],Table1[Animal],Table1[Weight (lbs)],"N/A",0)</f>
        <v>3.5</v>
      </c>
      <c r="F341" s="17" t="str">
        <f>_xlfn.XLOOKUP(Table2[[#This Row],[Animal]],Table1[Animal],Table1[Weight Group],"N/A",0)</f>
        <v>&lt;100</v>
      </c>
      <c r="G341" t="str">
        <f>_xlfn.XLOOKUP(Table2[[#This Row],[Animal]],Table1[Animal],Table1[Region],"N/A",0)</f>
        <v>North America</v>
      </c>
      <c r="H341" s="17" t="str">
        <f>_xlfn.XLOOKUP(Table2[[#This Row],[Animal]],Table1[Animal],Table1[Transport],"N/A",0)</f>
        <v>Boat</v>
      </c>
      <c r="I341">
        <f>_xlfn.XLOOKUP(Table2[[#This Row],[Animal]],Table1[Animal],Table1[Revenue],"N/A",0)</f>
        <v>400</v>
      </c>
      <c r="J341">
        <f>_xlfn.XLOOKUP(Table2[[#This Row],[Animal]],Table1[Animal],Table1[Cost],"N/A",0)</f>
        <v>400</v>
      </c>
      <c r="K341">
        <f>Table2[[#This Row],[Revenue]]-Table2[[#This Row],[Cost]]</f>
        <v>0</v>
      </c>
    </row>
    <row r="342" spans="1:11" x14ac:dyDescent="0.25">
      <c r="A342" t="s">
        <v>480</v>
      </c>
      <c r="B342" t="str">
        <f>_xlfn.XLOOKUP(Table2[[#This Row],[Animal]],Table1[Animal],Table1[Diet],"Not Found",0)</f>
        <v>Omnivore</v>
      </c>
      <c r="C342" s="19">
        <f>_xlfn.XLOOKUP(Table2[[#This Row],[Animal]],Table1[Animal],Table1[Lifespan (Years)],"N/A",0)</f>
        <v>80</v>
      </c>
      <c r="D342" s="17" t="str">
        <f>_xlfn.XLOOKUP(Table2[[#This Row],[Animal]],Table1[Animal],Table1[Lifespan Group],"N/A",0)</f>
        <v>75-99</v>
      </c>
      <c r="E342" s="17">
        <f>_xlfn.XLOOKUP(Table2[[#This Row],[Animal]],Table1[Animal],Table1[Weight (lbs)],"N/A",0)</f>
        <v>350</v>
      </c>
      <c r="F342" s="17" t="str">
        <f>_xlfn.XLOOKUP(Table2[[#This Row],[Animal]],Table1[Animal],Table1[Weight Group],"N/A",0)</f>
        <v>300-399</v>
      </c>
      <c r="G342" t="str">
        <f>_xlfn.XLOOKUP(Table2[[#This Row],[Animal]],Table1[Animal],Table1[Region],"N/A",0)</f>
        <v>North America</v>
      </c>
      <c r="H342" s="17" t="str">
        <f>_xlfn.XLOOKUP(Table2[[#This Row],[Animal]],Table1[Animal],Table1[Transport],"N/A",0)</f>
        <v>Boat</v>
      </c>
      <c r="I342">
        <f>_xlfn.XLOOKUP(Table2[[#This Row],[Animal]],Table1[Animal],Table1[Revenue],"N/A",0)</f>
        <v>400</v>
      </c>
      <c r="J342">
        <f>_xlfn.XLOOKUP(Table2[[#This Row],[Animal]],Table1[Animal],Table1[Cost],"N/A",0)</f>
        <v>400</v>
      </c>
      <c r="K342">
        <f>Table2[[#This Row],[Revenue]]-Table2[[#This Row],[Cost]]</f>
        <v>0</v>
      </c>
    </row>
    <row r="343" spans="1:11" x14ac:dyDescent="0.25">
      <c r="A343" t="s">
        <v>481</v>
      </c>
      <c r="B343" t="str">
        <f>_xlfn.XLOOKUP(Table2[[#This Row],[Animal]],Table1[Animal],Table1[Diet],"Not Found",0)</f>
        <v>Omnivore</v>
      </c>
      <c r="C343" s="19">
        <f>_xlfn.XLOOKUP(Table2[[#This Row],[Animal]],Table1[Animal],Table1[Lifespan (Years)],"N/A",0)</f>
        <v>200</v>
      </c>
      <c r="D343" s="17" t="str">
        <f>_xlfn.XLOOKUP(Table2[[#This Row],[Animal]],Table1[Animal],Table1[Lifespan Group],"N/A",0)</f>
        <v>&gt;=100</v>
      </c>
      <c r="E343" s="17">
        <f>_xlfn.XLOOKUP(Table2[[#This Row],[Animal]],Table1[Animal],Table1[Weight (lbs)],"N/A",0)</f>
        <v>0</v>
      </c>
      <c r="F343" s="17" t="str">
        <f>_xlfn.XLOOKUP(Table2[[#This Row],[Animal]],Table1[Animal],Table1[Weight Group],"N/A",0)</f>
        <v>N/A</v>
      </c>
      <c r="G343" t="str">
        <f>_xlfn.XLOOKUP(Table2[[#This Row],[Animal]],Table1[Animal],Table1[Region],"N/A",0)</f>
        <v>Africa &amp; MENA</v>
      </c>
      <c r="H343" s="17" t="str">
        <f>_xlfn.XLOOKUP(Table2[[#This Row],[Animal]],Table1[Animal],Table1[Transport],"N/A",0)</f>
        <v>Air</v>
      </c>
      <c r="I343">
        <f>_xlfn.XLOOKUP(Table2[[#This Row],[Animal]],Table1[Animal],Table1[Revenue],"N/A",0)</f>
        <v>600</v>
      </c>
      <c r="J343">
        <f>_xlfn.XLOOKUP(Table2[[#This Row],[Animal]],Table1[Animal],Table1[Cost],"N/A",0)</f>
        <v>400</v>
      </c>
      <c r="K343">
        <f>Table2[[#This Row],[Revenue]]-Table2[[#This Row],[Cost]]</f>
        <v>200</v>
      </c>
    </row>
    <row r="344" spans="1:11" x14ac:dyDescent="0.25">
      <c r="A344" t="s">
        <v>482</v>
      </c>
      <c r="B344" t="str">
        <f>_xlfn.XLOOKUP(Table2[[#This Row],[Animal]],Table1[Animal],Table1[Diet],"Not Found",0)</f>
        <v>Omnivore</v>
      </c>
      <c r="C344" s="19">
        <f>_xlfn.XLOOKUP(Table2[[#This Row],[Animal]],Table1[Animal],Table1[Lifespan (Years)],"N/A",0)</f>
        <v>6</v>
      </c>
      <c r="D344" s="17" t="str">
        <f>_xlfn.XLOOKUP(Table2[[#This Row],[Animal]],Table1[Animal],Table1[Lifespan Group],"N/A",0)</f>
        <v>&lt;25</v>
      </c>
      <c r="E344" s="17">
        <f>_xlfn.XLOOKUP(Table2[[#This Row],[Animal]],Table1[Animal],Table1[Weight (lbs)],"N/A",0)</f>
        <v>0</v>
      </c>
      <c r="F344" s="17" t="str">
        <f>_xlfn.XLOOKUP(Table2[[#This Row],[Animal]],Table1[Animal],Table1[Weight Group],"N/A",0)</f>
        <v>N/A</v>
      </c>
      <c r="G344" t="str">
        <f>_xlfn.XLOOKUP(Table2[[#This Row],[Animal]],Table1[Animal],Table1[Region],"N/A",0)</f>
        <v>South Asia</v>
      </c>
      <c r="H344" s="17" t="str">
        <f>_xlfn.XLOOKUP(Table2[[#This Row],[Animal]],Table1[Animal],Table1[Transport],"N/A",0)</f>
        <v>Air</v>
      </c>
      <c r="I344">
        <f>_xlfn.XLOOKUP(Table2[[#This Row],[Animal]],Table1[Animal],Table1[Revenue],"N/A",0)</f>
        <v>450</v>
      </c>
      <c r="J344">
        <f>_xlfn.XLOOKUP(Table2[[#This Row],[Animal]],Table1[Animal],Table1[Cost],"N/A",0)</f>
        <v>400</v>
      </c>
      <c r="K344">
        <f>Table2[[#This Row],[Revenue]]-Table2[[#This Row],[Cost]]</f>
        <v>50</v>
      </c>
    </row>
    <row r="345" spans="1:11" x14ac:dyDescent="0.25">
      <c r="A345" t="s">
        <v>483</v>
      </c>
      <c r="B345" t="str">
        <f>_xlfn.XLOOKUP(Table2[[#This Row],[Animal]],Table1[Animal],Table1[Diet],"Not Found",0)</f>
        <v>Carnivore</v>
      </c>
      <c r="C345" s="19">
        <f>_xlfn.XLOOKUP(Table2[[#This Row],[Animal]],Table1[Animal],Table1[Lifespan (Years)],"N/A",0)</f>
        <v>25</v>
      </c>
      <c r="D345" s="17" t="str">
        <f>_xlfn.XLOOKUP(Table2[[#This Row],[Animal]],Table1[Animal],Table1[Lifespan Group],"N/A",0)</f>
        <v>25-49</v>
      </c>
      <c r="E345" s="17">
        <f>_xlfn.XLOOKUP(Table2[[#This Row],[Animal]],Table1[Animal],Table1[Weight (lbs)],"N/A",0)</f>
        <v>230</v>
      </c>
      <c r="F345" s="17" t="str">
        <f>_xlfn.XLOOKUP(Table2[[#This Row],[Animal]],Table1[Animal],Table1[Weight Group],"N/A",0)</f>
        <v>200-299</v>
      </c>
      <c r="G345" t="str">
        <f>_xlfn.XLOOKUP(Table2[[#This Row],[Animal]],Table1[Animal],Table1[Region],"N/A",0)</f>
        <v>North America</v>
      </c>
      <c r="H345" s="17" t="str">
        <f>_xlfn.XLOOKUP(Table2[[#This Row],[Animal]],Table1[Animal],Table1[Transport],"N/A",0)</f>
        <v>Boat</v>
      </c>
      <c r="I345">
        <f>_xlfn.XLOOKUP(Table2[[#This Row],[Animal]],Table1[Animal],Table1[Revenue],"N/A",0)</f>
        <v>400</v>
      </c>
      <c r="J345">
        <f>_xlfn.XLOOKUP(Table2[[#This Row],[Animal]],Table1[Animal],Table1[Cost],"N/A",0)</f>
        <v>500</v>
      </c>
      <c r="K345">
        <f>Table2[[#This Row],[Revenue]]-Table2[[#This Row],[Cost]]</f>
        <v>-100</v>
      </c>
    </row>
    <row r="346" spans="1:11" x14ac:dyDescent="0.25">
      <c r="A346" t="s">
        <v>485</v>
      </c>
      <c r="B346" t="str">
        <f>_xlfn.XLOOKUP(Table2[[#This Row],[Animal]],Table1[Animal],Table1[Diet],"Not Found",0)</f>
        <v>Herbivore</v>
      </c>
      <c r="C346" s="19">
        <f>_xlfn.XLOOKUP(Table2[[#This Row],[Animal]],Table1[Animal],Table1[Lifespan (Years)],"N/A",0)</f>
        <v>10</v>
      </c>
      <c r="D346" s="17" t="str">
        <f>_xlfn.XLOOKUP(Table2[[#This Row],[Animal]],Table1[Animal],Table1[Lifespan Group],"N/A",0)</f>
        <v>&lt;25</v>
      </c>
      <c r="E346" s="17">
        <f>_xlfn.XLOOKUP(Table2[[#This Row],[Animal]],Table1[Animal],Table1[Weight (lbs)],"N/A",0)</f>
        <v>88</v>
      </c>
      <c r="F346" s="17" t="str">
        <f>_xlfn.XLOOKUP(Table2[[#This Row],[Animal]],Table1[Animal],Table1[Weight Group],"N/A",0)</f>
        <v>&lt;100</v>
      </c>
      <c r="G346" t="str">
        <f>_xlfn.XLOOKUP(Table2[[#This Row],[Animal]],Table1[Animal],Table1[Region],"N/A",0)</f>
        <v>Greater China</v>
      </c>
      <c r="H346" s="17" t="str">
        <f>_xlfn.XLOOKUP(Table2[[#This Row],[Animal]],Table1[Animal],Table1[Transport],"N/A",0)</f>
        <v>Air</v>
      </c>
      <c r="I346">
        <f>_xlfn.XLOOKUP(Table2[[#This Row],[Animal]],Table1[Animal],Table1[Revenue],"N/A",0)</f>
        <v>600</v>
      </c>
      <c r="J346">
        <f>_xlfn.XLOOKUP(Table2[[#This Row],[Animal]],Table1[Animal],Table1[Cost],"N/A",0)</f>
        <v>300</v>
      </c>
      <c r="K346">
        <f>Table2[[#This Row],[Revenue]]-Table2[[#This Row],[Cost]]</f>
        <v>300</v>
      </c>
    </row>
    <row r="347" spans="1:11" x14ac:dyDescent="0.25">
      <c r="A347" t="s">
        <v>486</v>
      </c>
      <c r="B347" t="str">
        <f>_xlfn.XLOOKUP(Table2[[#This Row],[Animal]],Table1[Animal],Table1[Diet],"Not Found",0)</f>
        <v>Omnivore</v>
      </c>
      <c r="C347" s="19">
        <f>_xlfn.XLOOKUP(Table2[[#This Row],[Animal]],Table1[Animal],Table1[Lifespan (Years)],"N/A",0)</f>
        <v>15</v>
      </c>
      <c r="D347" s="17" t="str">
        <f>_xlfn.XLOOKUP(Table2[[#This Row],[Animal]],Table1[Animal],Table1[Lifespan Group],"N/A",0)</f>
        <v>&lt;25</v>
      </c>
      <c r="E347" s="17">
        <f>_xlfn.XLOOKUP(Table2[[#This Row],[Animal]],Table1[Animal],Table1[Weight (lbs)],"N/A",0)</f>
        <v>18</v>
      </c>
      <c r="F347" s="17" t="str">
        <f>_xlfn.XLOOKUP(Table2[[#This Row],[Animal]],Table1[Animal],Table1[Weight Group],"N/A",0)</f>
        <v>&lt;100</v>
      </c>
      <c r="G347" t="str">
        <f>_xlfn.XLOOKUP(Table2[[#This Row],[Animal]],Table1[Animal],Table1[Region],"N/A",0)</f>
        <v>Europe &amp; Eurasia</v>
      </c>
      <c r="H347" s="17" t="str">
        <f>_xlfn.XLOOKUP(Table2[[#This Row],[Animal]],Table1[Animal],Table1[Transport],"N/A",0)</f>
        <v>Road</v>
      </c>
      <c r="I347">
        <f>_xlfn.XLOOKUP(Table2[[#This Row],[Animal]],Table1[Animal],Table1[Revenue],"N/A",0)</f>
        <v>450</v>
      </c>
      <c r="J347">
        <f>_xlfn.XLOOKUP(Table2[[#This Row],[Animal]],Table1[Animal],Table1[Cost],"N/A",0)</f>
        <v>400</v>
      </c>
      <c r="K347">
        <f>Table2[[#This Row],[Revenue]]-Table2[[#This Row],[Cost]]</f>
        <v>50</v>
      </c>
    </row>
    <row r="348" spans="1:11" x14ac:dyDescent="0.25">
      <c r="A348" t="s">
        <v>487</v>
      </c>
      <c r="B348" t="str">
        <f>_xlfn.XLOOKUP(Table2[[#This Row],[Animal]],Table1[Animal],Table1[Diet],"Not Found",0)</f>
        <v>Carnivore</v>
      </c>
      <c r="C348" s="19">
        <f>_xlfn.XLOOKUP(Table2[[#This Row],[Animal]],Table1[Animal],Table1[Lifespan (Years)],"N/A",0)</f>
        <v>12</v>
      </c>
      <c r="D348" s="17" t="str">
        <f>_xlfn.XLOOKUP(Table2[[#This Row],[Animal]],Table1[Animal],Table1[Lifespan Group],"N/A",0)</f>
        <v>&lt;25</v>
      </c>
      <c r="E348" s="17">
        <f>_xlfn.XLOOKUP(Table2[[#This Row],[Animal]],Table1[Animal],Table1[Weight (lbs)],"N/A",0)</f>
        <v>10</v>
      </c>
      <c r="F348" s="17" t="str">
        <f>_xlfn.XLOOKUP(Table2[[#This Row],[Animal]],Table1[Animal],Table1[Weight Group],"N/A",0)</f>
        <v>&lt;100</v>
      </c>
      <c r="G348" t="str">
        <f>_xlfn.XLOOKUP(Table2[[#This Row],[Animal]],Table1[Animal],Table1[Region],"N/A",0)</f>
        <v>Europe &amp; Eurasia</v>
      </c>
      <c r="H348" s="17" t="str">
        <f>_xlfn.XLOOKUP(Table2[[#This Row],[Animal]],Table1[Animal],Table1[Transport],"N/A",0)</f>
        <v>Road</v>
      </c>
      <c r="I348">
        <f>_xlfn.XLOOKUP(Table2[[#This Row],[Animal]],Table1[Animal],Table1[Revenue],"N/A",0)</f>
        <v>450</v>
      </c>
      <c r="J348">
        <f>_xlfn.XLOOKUP(Table2[[#This Row],[Animal]],Table1[Animal],Table1[Cost],"N/A",0)</f>
        <v>500</v>
      </c>
      <c r="K348">
        <f>Table2[[#This Row],[Revenue]]-Table2[[#This Row],[Cost]]</f>
        <v>-50</v>
      </c>
    </row>
    <row r="349" spans="1:11" x14ac:dyDescent="0.25">
      <c r="A349" t="s">
        <v>488</v>
      </c>
      <c r="B349" t="str">
        <f>_xlfn.XLOOKUP(Table2[[#This Row],[Animal]],Table1[Animal],Table1[Diet],"Not Found",0)</f>
        <v>Carnivore</v>
      </c>
      <c r="C349" s="19">
        <f>_xlfn.XLOOKUP(Table2[[#This Row],[Animal]],Table1[Animal],Table1[Lifespan (Years)],"N/A",0)</f>
        <v>4</v>
      </c>
      <c r="D349" s="17" t="str">
        <f>_xlfn.XLOOKUP(Table2[[#This Row],[Animal]],Table1[Animal],Table1[Lifespan Group],"N/A",0)</f>
        <v>&lt;25</v>
      </c>
      <c r="E349" s="17">
        <f>_xlfn.XLOOKUP(Table2[[#This Row],[Animal]],Table1[Animal],Table1[Weight (lbs)],"N/A",0)</f>
        <v>0</v>
      </c>
      <c r="F349" s="17" t="str">
        <f>_xlfn.XLOOKUP(Table2[[#This Row],[Animal]],Table1[Animal],Table1[Weight Group],"N/A",0)</f>
        <v>N/A</v>
      </c>
      <c r="G349" t="str">
        <f>_xlfn.XLOOKUP(Table2[[#This Row],[Animal]],Table1[Animal],Table1[Region],"N/A",0)</f>
        <v>North America</v>
      </c>
      <c r="H349" s="17" t="str">
        <f>_xlfn.XLOOKUP(Table2[[#This Row],[Animal]],Table1[Animal],Table1[Transport],"N/A",0)</f>
        <v>Boat</v>
      </c>
      <c r="I349">
        <f>_xlfn.XLOOKUP(Table2[[#This Row],[Animal]],Table1[Animal],Table1[Revenue],"N/A",0)</f>
        <v>400</v>
      </c>
      <c r="J349">
        <f>_xlfn.XLOOKUP(Table2[[#This Row],[Animal]],Table1[Animal],Table1[Cost],"N/A",0)</f>
        <v>500</v>
      </c>
      <c r="K349">
        <f>Table2[[#This Row],[Revenue]]-Table2[[#This Row],[Cost]]</f>
        <v>-100</v>
      </c>
    </row>
    <row r="350" spans="1:11" x14ac:dyDescent="0.25">
      <c r="A350" t="s">
        <v>489</v>
      </c>
      <c r="B350" t="str">
        <f>_xlfn.XLOOKUP(Table2[[#This Row],[Animal]],Table1[Animal],Table1[Diet],"Not Found",0)</f>
        <v>Carnivore</v>
      </c>
      <c r="C350" s="19">
        <f>_xlfn.XLOOKUP(Table2[[#This Row],[Animal]],Table1[Animal],Table1[Lifespan (Years)],"N/A",0)</f>
        <v>15</v>
      </c>
      <c r="D350" s="17" t="str">
        <f>_xlfn.XLOOKUP(Table2[[#This Row],[Animal]],Table1[Animal],Table1[Lifespan Group],"N/A",0)</f>
        <v>&lt;25</v>
      </c>
      <c r="E350" s="17">
        <f>_xlfn.XLOOKUP(Table2[[#This Row],[Animal]],Table1[Animal],Table1[Weight (lbs)],"N/A",0)</f>
        <v>22</v>
      </c>
      <c r="F350" s="17" t="str">
        <f>_xlfn.XLOOKUP(Table2[[#This Row],[Animal]],Table1[Animal],Table1[Weight Group],"N/A",0)</f>
        <v>&lt;100</v>
      </c>
      <c r="G350" t="str">
        <f>_xlfn.XLOOKUP(Table2[[#This Row],[Animal]],Table1[Animal],Table1[Region],"N/A",0)</f>
        <v>Africa &amp; MENA</v>
      </c>
      <c r="H350" s="17" t="str">
        <f>_xlfn.XLOOKUP(Table2[[#This Row],[Animal]],Table1[Animal],Table1[Transport],"N/A",0)</f>
        <v>Air</v>
      </c>
      <c r="I350">
        <f>_xlfn.XLOOKUP(Table2[[#This Row],[Animal]],Table1[Animal],Table1[Revenue],"N/A",0)</f>
        <v>600</v>
      </c>
      <c r="J350">
        <f>_xlfn.XLOOKUP(Table2[[#This Row],[Animal]],Table1[Animal],Table1[Cost],"N/A",0)</f>
        <v>500</v>
      </c>
      <c r="K350">
        <f>Table2[[#This Row],[Revenue]]-Table2[[#This Row],[Cost]]</f>
        <v>100</v>
      </c>
    </row>
    <row r="351" spans="1:11" x14ac:dyDescent="0.25">
      <c r="A351" t="s">
        <v>490</v>
      </c>
      <c r="B351" t="str">
        <f>_xlfn.XLOOKUP(Table2[[#This Row],[Animal]],Table1[Animal],Table1[Diet],"Not Found",0)</f>
        <v>Omnivore</v>
      </c>
      <c r="C351" s="19">
        <f>_xlfn.XLOOKUP(Table2[[#This Row],[Animal]],Table1[Animal],Table1[Lifespan (Years)],"N/A",0)</f>
        <v>14</v>
      </c>
      <c r="D351" s="17" t="str">
        <f>_xlfn.XLOOKUP(Table2[[#This Row],[Animal]],Table1[Animal],Table1[Lifespan Group],"N/A",0)</f>
        <v>&lt;25</v>
      </c>
      <c r="E351" s="17">
        <f>_xlfn.XLOOKUP(Table2[[#This Row],[Animal]],Table1[Animal],Table1[Weight (lbs)],"N/A",0)</f>
        <v>60</v>
      </c>
      <c r="F351" s="17" t="str">
        <f>_xlfn.XLOOKUP(Table2[[#This Row],[Animal]],Table1[Animal],Table1[Weight Group],"N/A",0)</f>
        <v>&lt;100</v>
      </c>
      <c r="G351" t="str">
        <f>_xlfn.XLOOKUP(Table2[[#This Row],[Animal]],Table1[Animal],Table1[Region],"N/A",0)</f>
        <v>Europe &amp; Eurasia</v>
      </c>
      <c r="H351" s="17" t="str">
        <f>_xlfn.XLOOKUP(Table2[[#This Row],[Animal]],Table1[Animal],Table1[Transport],"N/A",0)</f>
        <v>Road</v>
      </c>
      <c r="I351">
        <f>_xlfn.XLOOKUP(Table2[[#This Row],[Animal]],Table1[Animal],Table1[Revenue],"N/A",0)</f>
        <v>450</v>
      </c>
      <c r="J351">
        <f>_xlfn.XLOOKUP(Table2[[#This Row],[Animal]],Table1[Animal],Table1[Cost],"N/A",0)</f>
        <v>400</v>
      </c>
      <c r="K351">
        <f>Table2[[#This Row],[Revenue]]-Table2[[#This Row],[Cost]]</f>
        <v>50</v>
      </c>
    </row>
    <row r="352" spans="1:11" x14ac:dyDescent="0.25">
      <c r="A352" t="s">
        <v>491</v>
      </c>
      <c r="B352" t="str">
        <f>_xlfn.XLOOKUP(Table2[[#This Row],[Animal]],Table1[Animal],Table1[Diet],"Not Found",0)</f>
        <v>Carnivore</v>
      </c>
      <c r="C352" s="19">
        <f>_xlfn.XLOOKUP(Table2[[#This Row],[Animal]],Table1[Animal],Table1[Lifespan (Years)],"N/A",0)</f>
        <v>25</v>
      </c>
      <c r="D352" s="17" t="str">
        <f>_xlfn.XLOOKUP(Table2[[#This Row],[Animal]],Table1[Animal],Table1[Lifespan Group],"N/A",0)</f>
        <v>25-49</v>
      </c>
      <c r="E352" s="17">
        <f>_xlfn.XLOOKUP(Table2[[#This Row],[Animal]],Table1[Animal],Table1[Weight (lbs)],"N/A",0)</f>
        <v>220</v>
      </c>
      <c r="F352" s="17" t="str">
        <f>_xlfn.XLOOKUP(Table2[[#This Row],[Animal]],Table1[Animal],Table1[Weight Group],"N/A",0)</f>
        <v>200-299</v>
      </c>
      <c r="G352" t="str">
        <f>_xlfn.XLOOKUP(Table2[[#This Row],[Animal]],Table1[Animal],Table1[Region],"N/A",0)</f>
        <v>North America</v>
      </c>
      <c r="H352" s="17" t="str">
        <f>_xlfn.XLOOKUP(Table2[[#This Row],[Animal]],Table1[Animal],Table1[Transport],"N/A",0)</f>
        <v>Boat</v>
      </c>
      <c r="I352">
        <f>_xlfn.XLOOKUP(Table2[[#This Row],[Animal]],Table1[Animal],Table1[Revenue],"N/A",0)</f>
        <v>400</v>
      </c>
      <c r="J352">
        <f>_xlfn.XLOOKUP(Table2[[#This Row],[Animal]],Table1[Animal],Table1[Cost],"N/A",0)</f>
        <v>500</v>
      </c>
      <c r="K352">
        <f>Table2[[#This Row],[Revenue]]-Table2[[#This Row],[Cost]]</f>
        <v>-100</v>
      </c>
    </row>
    <row r="353" spans="1:11" x14ac:dyDescent="0.25">
      <c r="A353" t="s">
        <v>493</v>
      </c>
      <c r="B353" t="str">
        <f>_xlfn.XLOOKUP(Table2[[#This Row],[Animal]],Table1[Animal],Table1[Diet],"Not Found",0)</f>
        <v>Omnivore</v>
      </c>
      <c r="C353" s="19">
        <f>_xlfn.XLOOKUP(Table2[[#This Row],[Animal]],Table1[Animal],Table1[Lifespan (Years)],"N/A",0)</f>
        <v>40</v>
      </c>
      <c r="D353" s="17" t="str">
        <f>_xlfn.XLOOKUP(Table2[[#This Row],[Animal]],Table1[Animal],Table1[Lifespan Group],"N/A",0)</f>
        <v>25-49</v>
      </c>
      <c r="E353" s="17">
        <f>_xlfn.XLOOKUP(Table2[[#This Row],[Animal]],Table1[Animal],Table1[Weight (lbs)],"N/A",0)</f>
        <v>10</v>
      </c>
      <c r="F353" s="17" t="str">
        <f>_xlfn.XLOOKUP(Table2[[#This Row],[Animal]],Table1[Animal],Table1[Weight Group],"N/A",0)</f>
        <v>&lt;100</v>
      </c>
      <c r="G353" t="str">
        <f>_xlfn.XLOOKUP(Table2[[#This Row],[Animal]],Table1[Animal],Table1[Region],"N/A",0)</f>
        <v>Africa &amp; MENA</v>
      </c>
      <c r="H353" s="17" t="str">
        <f>_xlfn.XLOOKUP(Table2[[#This Row],[Animal]],Table1[Animal],Table1[Transport],"N/A",0)</f>
        <v>Air</v>
      </c>
      <c r="I353">
        <f>_xlfn.XLOOKUP(Table2[[#This Row],[Animal]],Table1[Animal],Table1[Revenue],"N/A",0)</f>
        <v>600</v>
      </c>
      <c r="J353">
        <f>_xlfn.XLOOKUP(Table2[[#This Row],[Animal]],Table1[Animal],Table1[Cost],"N/A",0)</f>
        <v>400</v>
      </c>
      <c r="K353">
        <f>Table2[[#This Row],[Revenue]]-Table2[[#This Row],[Cost]]</f>
        <v>200</v>
      </c>
    </row>
    <row r="354" spans="1:11" x14ac:dyDescent="0.25">
      <c r="A354" t="s">
        <v>494</v>
      </c>
      <c r="B354" t="str">
        <f>_xlfn.XLOOKUP(Table2[[#This Row],[Animal]],Table1[Animal],Table1[Diet],"Not Found",0)</f>
        <v>Carnivore</v>
      </c>
      <c r="C354" s="19">
        <f>_xlfn.XLOOKUP(Table2[[#This Row],[Animal]],Table1[Animal],Table1[Lifespan (Years)],"N/A",0)</f>
        <v>30</v>
      </c>
      <c r="D354" s="17" t="str">
        <f>_xlfn.XLOOKUP(Table2[[#This Row],[Animal]],Table1[Animal],Table1[Lifespan Group],"N/A",0)</f>
        <v>25-49</v>
      </c>
      <c r="E354" s="17">
        <f>_xlfn.XLOOKUP(Table2[[#This Row],[Animal]],Table1[Animal],Table1[Weight (lbs)],"N/A",0)</f>
        <v>4.3749999999999997E-2</v>
      </c>
      <c r="F354" s="17" t="str">
        <f>_xlfn.XLOOKUP(Table2[[#This Row],[Animal]],Table1[Animal],Table1[Weight Group],"N/A",0)</f>
        <v>&lt;100</v>
      </c>
      <c r="G354" t="str">
        <f>_xlfn.XLOOKUP(Table2[[#This Row],[Animal]],Table1[Animal],Table1[Region],"N/A",0)</f>
        <v>North America</v>
      </c>
      <c r="H354" s="17" t="str">
        <f>_xlfn.XLOOKUP(Table2[[#This Row],[Animal]],Table1[Animal],Table1[Transport],"N/A",0)</f>
        <v>Boat</v>
      </c>
      <c r="I354">
        <f>_xlfn.XLOOKUP(Table2[[#This Row],[Animal]],Table1[Animal],Table1[Revenue],"N/A",0)</f>
        <v>400</v>
      </c>
      <c r="J354">
        <f>_xlfn.XLOOKUP(Table2[[#This Row],[Animal]],Table1[Animal],Table1[Cost],"N/A",0)</f>
        <v>500</v>
      </c>
      <c r="K354">
        <f>Table2[[#This Row],[Revenue]]-Table2[[#This Row],[Cost]]</f>
        <v>-100</v>
      </c>
    </row>
    <row r="355" spans="1:11" x14ac:dyDescent="0.25">
      <c r="A355" t="s">
        <v>495</v>
      </c>
      <c r="B355" t="str">
        <f>_xlfn.XLOOKUP(Table2[[#This Row],[Animal]],Table1[Animal],Table1[Diet],"Not Found",0)</f>
        <v>Herbivore</v>
      </c>
      <c r="C355" s="19">
        <f>_xlfn.XLOOKUP(Table2[[#This Row],[Animal]],Table1[Animal],Table1[Lifespan (Years)],"N/A",0)</f>
        <v>20</v>
      </c>
      <c r="D355" s="17" t="str">
        <f>_xlfn.XLOOKUP(Table2[[#This Row],[Animal]],Table1[Animal],Table1[Lifespan Group],"N/A",0)</f>
        <v>&lt;25</v>
      </c>
      <c r="E355" s="17">
        <f>_xlfn.XLOOKUP(Table2[[#This Row],[Animal]],Table1[Animal],Table1[Weight (lbs)],"N/A",0)</f>
        <v>0.02</v>
      </c>
      <c r="F355" s="17" t="str">
        <f>_xlfn.XLOOKUP(Table2[[#This Row],[Animal]],Table1[Animal],Table1[Weight Group],"N/A",0)</f>
        <v>&lt;100</v>
      </c>
      <c r="G355" t="str">
        <f>_xlfn.XLOOKUP(Table2[[#This Row],[Animal]],Table1[Animal],Table1[Region],"N/A",0)</f>
        <v>Africa &amp; MENA</v>
      </c>
      <c r="H355" s="17" t="str">
        <f>_xlfn.XLOOKUP(Table2[[#This Row],[Animal]],Table1[Animal],Table1[Transport],"N/A",0)</f>
        <v>Air</v>
      </c>
      <c r="I355">
        <f>_xlfn.XLOOKUP(Table2[[#This Row],[Animal]],Table1[Animal],Table1[Revenue],"N/A",0)</f>
        <v>600</v>
      </c>
      <c r="J355">
        <f>_xlfn.XLOOKUP(Table2[[#This Row],[Animal]],Table1[Animal],Table1[Cost],"N/A",0)</f>
        <v>300</v>
      </c>
      <c r="K355">
        <f>Table2[[#This Row],[Revenue]]-Table2[[#This Row],[Cost]]</f>
        <v>300</v>
      </c>
    </row>
    <row r="356" spans="1:11" x14ac:dyDescent="0.25">
      <c r="A356" t="s">
        <v>496</v>
      </c>
      <c r="B356" t="str">
        <f>_xlfn.XLOOKUP(Table2[[#This Row],[Animal]],Table1[Animal],Table1[Diet],"Not Found",0)</f>
        <v>Carnivore</v>
      </c>
      <c r="C356" s="19">
        <f>_xlfn.XLOOKUP(Table2[[#This Row],[Animal]],Table1[Animal],Table1[Lifespan (Years)],"N/A",0)</f>
        <v>30</v>
      </c>
      <c r="D356" s="17" t="str">
        <f>_xlfn.XLOOKUP(Table2[[#This Row],[Animal]],Table1[Animal],Table1[Lifespan Group],"N/A",0)</f>
        <v>25-49</v>
      </c>
      <c r="E356" s="17">
        <f>_xlfn.XLOOKUP(Table2[[#This Row],[Animal]],Table1[Animal],Table1[Weight (lbs)],"N/A",0)</f>
        <v>330</v>
      </c>
      <c r="F356" s="17" t="str">
        <f>_xlfn.XLOOKUP(Table2[[#This Row],[Animal]],Table1[Animal],Table1[Weight Group],"N/A",0)</f>
        <v>300-399</v>
      </c>
      <c r="G356" t="str">
        <f>_xlfn.XLOOKUP(Table2[[#This Row],[Animal]],Table1[Animal],Table1[Region],"N/A",0)</f>
        <v>Greater China</v>
      </c>
      <c r="H356" s="17" t="str">
        <f>_xlfn.XLOOKUP(Table2[[#This Row],[Animal]],Table1[Animal],Table1[Transport],"N/A",0)</f>
        <v>Air</v>
      </c>
      <c r="I356">
        <f>_xlfn.XLOOKUP(Table2[[#This Row],[Animal]],Table1[Animal],Table1[Revenue],"N/A",0)</f>
        <v>600</v>
      </c>
      <c r="J356">
        <f>_xlfn.XLOOKUP(Table2[[#This Row],[Animal]],Table1[Animal],Table1[Cost],"N/A",0)</f>
        <v>500</v>
      </c>
      <c r="K356">
        <f>Table2[[#This Row],[Revenue]]-Table2[[#This Row],[Cost]]</f>
        <v>100</v>
      </c>
    </row>
    <row r="357" spans="1:11" x14ac:dyDescent="0.25">
      <c r="A357" t="s">
        <v>499</v>
      </c>
      <c r="B357" t="str">
        <f>_xlfn.XLOOKUP(Table2[[#This Row],[Animal]],Table1[Animal],Table1[Diet],"Not Found",0)</f>
        <v>Omnivore</v>
      </c>
      <c r="C357" s="19">
        <f>_xlfn.XLOOKUP(Table2[[#This Row],[Animal]],Table1[Animal],Table1[Lifespan (Years)],"N/A",0)</f>
        <v>17</v>
      </c>
      <c r="D357" s="17" t="str">
        <f>_xlfn.XLOOKUP(Table2[[#This Row],[Animal]],Table1[Animal],Table1[Lifespan Group],"N/A",0)</f>
        <v>&lt;25</v>
      </c>
      <c r="E357" s="17">
        <f>_xlfn.XLOOKUP(Table2[[#This Row],[Animal]],Table1[Animal],Table1[Weight (lbs)],"N/A",0)</f>
        <v>2.4</v>
      </c>
      <c r="F357" s="17" t="str">
        <f>_xlfn.XLOOKUP(Table2[[#This Row],[Animal]],Table1[Animal],Table1[Weight Group],"N/A",0)</f>
        <v>&lt;100</v>
      </c>
      <c r="G357" t="str">
        <f>_xlfn.XLOOKUP(Table2[[#This Row],[Animal]],Table1[Animal],Table1[Region],"N/A",0)</f>
        <v>North America</v>
      </c>
      <c r="H357" s="17" t="str">
        <f>_xlfn.XLOOKUP(Table2[[#This Row],[Animal]],Table1[Animal],Table1[Transport],"N/A",0)</f>
        <v>Boat</v>
      </c>
      <c r="I357">
        <f>_xlfn.XLOOKUP(Table2[[#This Row],[Animal]],Table1[Animal],Table1[Revenue],"N/A",0)</f>
        <v>400</v>
      </c>
      <c r="J357">
        <f>_xlfn.XLOOKUP(Table2[[#This Row],[Animal]],Table1[Animal],Table1[Cost],"N/A",0)</f>
        <v>400</v>
      </c>
      <c r="K357">
        <f>Table2[[#This Row],[Revenue]]-Table2[[#This Row],[Cost]]</f>
        <v>0</v>
      </c>
    </row>
    <row r="358" spans="1:11" x14ac:dyDescent="0.25">
      <c r="A358" t="s">
        <v>500</v>
      </c>
      <c r="B358" t="str">
        <f>_xlfn.XLOOKUP(Table2[[#This Row],[Animal]],Table1[Animal],Table1[Diet],"Not Found",0)</f>
        <v>Omnivore</v>
      </c>
      <c r="C358" s="19">
        <f>_xlfn.XLOOKUP(Table2[[#This Row],[Animal]],Table1[Animal],Table1[Lifespan (Years)],"N/A",0)</f>
        <v>7</v>
      </c>
      <c r="D358" s="17" t="str">
        <f>_xlfn.XLOOKUP(Table2[[#This Row],[Animal]],Table1[Animal],Table1[Lifespan Group],"N/A",0)</f>
        <v>&lt;25</v>
      </c>
      <c r="E358" s="17">
        <f>_xlfn.XLOOKUP(Table2[[#This Row],[Animal]],Table1[Animal],Table1[Weight (lbs)],"N/A",0)</f>
        <v>3.125E-2</v>
      </c>
      <c r="F358" s="17" t="str">
        <f>_xlfn.XLOOKUP(Table2[[#This Row],[Animal]],Table1[Animal],Table1[Weight Group],"N/A",0)</f>
        <v>&lt;100</v>
      </c>
      <c r="G358" t="str">
        <f>_xlfn.XLOOKUP(Table2[[#This Row],[Animal]],Table1[Animal],Table1[Region],"N/A",0)</f>
        <v>Latin America</v>
      </c>
      <c r="H358" s="17" t="str">
        <f>_xlfn.XLOOKUP(Table2[[#This Row],[Animal]],Table1[Animal],Table1[Transport],"N/A",0)</f>
        <v>Boat</v>
      </c>
      <c r="I358">
        <f>_xlfn.XLOOKUP(Table2[[#This Row],[Animal]],Table1[Animal],Table1[Revenue],"N/A",0)</f>
        <v>200</v>
      </c>
      <c r="J358">
        <f>_xlfn.XLOOKUP(Table2[[#This Row],[Animal]],Table1[Animal],Table1[Cost],"N/A",0)</f>
        <v>400</v>
      </c>
      <c r="K358">
        <f>Table2[[#This Row],[Revenue]]-Table2[[#This Row],[Cost]]</f>
        <v>-200</v>
      </c>
    </row>
    <row r="359" spans="1:11" x14ac:dyDescent="0.25">
      <c r="A359" t="s">
        <v>501</v>
      </c>
      <c r="B359" t="str">
        <f>_xlfn.XLOOKUP(Table2[[#This Row],[Animal]],Table1[Animal],Table1[Diet],"Not Found",0)</f>
        <v>Omnivore</v>
      </c>
      <c r="C359" s="19">
        <f>_xlfn.XLOOKUP(Table2[[#This Row],[Animal]],Table1[Animal],Table1[Lifespan (Years)],"N/A",0)</f>
        <v>30</v>
      </c>
      <c r="D359" s="17" t="str">
        <f>_xlfn.XLOOKUP(Table2[[#This Row],[Animal]],Table1[Animal],Table1[Lifespan Group],"N/A",0)</f>
        <v>25-49</v>
      </c>
      <c r="E359" s="17">
        <f>_xlfn.XLOOKUP(Table2[[#This Row],[Animal]],Table1[Animal],Table1[Weight (lbs)],"N/A",0)</f>
        <v>286</v>
      </c>
      <c r="F359" s="17" t="str">
        <f>_xlfn.XLOOKUP(Table2[[#This Row],[Animal]],Table1[Animal],Table1[Weight Group],"N/A",0)</f>
        <v>200-299</v>
      </c>
      <c r="G359" t="str">
        <f>_xlfn.XLOOKUP(Table2[[#This Row],[Animal]],Table1[Animal],Table1[Region],"N/A",0)</f>
        <v>Europe &amp; Eurasia</v>
      </c>
      <c r="H359" s="17" t="str">
        <f>_xlfn.XLOOKUP(Table2[[#This Row],[Animal]],Table1[Animal],Table1[Transport],"N/A",0)</f>
        <v>Road</v>
      </c>
      <c r="I359">
        <f>_xlfn.XLOOKUP(Table2[[#This Row],[Animal]],Table1[Animal],Table1[Revenue],"N/A",0)</f>
        <v>450</v>
      </c>
      <c r="J359">
        <f>_xlfn.XLOOKUP(Table2[[#This Row],[Animal]],Table1[Animal],Table1[Cost],"N/A",0)</f>
        <v>400</v>
      </c>
      <c r="K359">
        <f>Table2[[#This Row],[Revenue]]-Table2[[#This Row],[Cost]]</f>
        <v>50</v>
      </c>
    </row>
    <row r="360" spans="1:11" x14ac:dyDescent="0.25">
      <c r="A360" t="s">
        <v>502</v>
      </c>
      <c r="B360" t="str">
        <f>_xlfn.XLOOKUP(Table2[[#This Row],[Animal]],Table1[Animal],Table1[Diet],"Not Found",0)</f>
        <v>Omnivore</v>
      </c>
      <c r="C360" s="19">
        <f>_xlfn.XLOOKUP(Table2[[#This Row],[Animal]],Table1[Animal],Table1[Lifespan (Years)],"N/A",0)</f>
        <v>27</v>
      </c>
      <c r="D360" s="17" t="str">
        <f>_xlfn.XLOOKUP(Table2[[#This Row],[Animal]],Table1[Animal],Table1[Lifespan Group],"N/A",0)</f>
        <v>25-49</v>
      </c>
      <c r="E360" s="17">
        <f>_xlfn.XLOOKUP(Table2[[#This Row],[Animal]],Table1[Animal],Table1[Weight (lbs)],"N/A",0)</f>
        <v>14</v>
      </c>
      <c r="F360" s="17" t="str">
        <f>_xlfn.XLOOKUP(Table2[[#This Row],[Animal]],Table1[Animal],Table1[Weight Group],"N/A",0)</f>
        <v>&lt;100</v>
      </c>
      <c r="G360" t="str">
        <f>_xlfn.XLOOKUP(Table2[[#This Row],[Animal]],Table1[Animal],Table1[Region],"N/A",0)</f>
        <v>North America</v>
      </c>
      <c r="H360" s="17" t="str">
        <f>_xlfn.XLOOKUP(Table2[[#This Row],[Animal]],Table1[Animal],Table1[Transport],"N/A",0)</f>
        <v>Boat</v>
      </c>
      <c r="I360">
        <f>_xlfn.XLOOKUP(Table2[[#This Row],[Animal]],Table1[Animal],Table1[Revenue],"N/A",0)</f>
        <v>400</v>
      </c>
      <c r="J360">
        <f>_xlfn.XLOOKUP(Table2[[#This Row],[Animal]],Table1[Animal],Table1[Cost],"N/A",0)</f>
        <v>400</v>
      </c>
      <c r="K360">
        <f>Table2[[#This Row],[Revenue]]-Table2[[#This Row],[Cost]]</f>
        <v>0</v>
      </c>
    </row>
    <row r="361" spans="1:11" x14ac:dyDescent="0.25">
      <c r="A361" t="s">
        <v>505</v>
      </c>
      <c r="B361" t="str">
        <f>_xlfn.XLOOKUP(Table2[[#This Row],[Animal]],Table1[Animal],Table1[Diet],"Not Found",0)</f>
        <v>Omnivore</v>
      </c>
      <c r="C361" s="19">
        <f>_xlfn.XLOOKUP(Table2[[#This Row],[Animal]],Table1[Animal],Table1[Lifespan (Years)],"N/A",0)</f>
        <v>20</v>
      </c>
      <c r="D361" s="17" t="str">
        <f>_xlfn.XLOOKUP(Table2[[#This Row],[Animal]],Table1[Animal],Table1[Lifespan Group],"N/A",0)</f>
        <v>&lt;25</v>
      </c>
      <c r="E361" s="17">
        <f>_xlfn.XLOOKUP(Table2[[#This Row],[Animal]],Table1[Animal],Table1[Weight (lbs)],"N/A",0)</f>
        <v>1.7</v>
      </c>
      <c r="F361" s="17" t="str">
        <f>_xlfn.XLOOKUP(Table2[[#This Row],[Animal]],Table1[Animal],Table1[Weight Group],"N/A",0)</f>
        <v>&lt;100</v>
      </c>
      <c r="G361" t="str">
        <f>_xlfn.XLOOKUP(Table2[[#This Row],[Animal]],Table1[Animal],Table1[Region],"N/A",0)</f>
        <v>Europe &amp; Eurasia</v>
      </c>
      <c r="H361" s="17" t="str">
        <f>_xlfn.XLOOKUP(Table2[[#This Row],[Animal]],Table1[Animal],Table1[Transport],"N/A",0)</f>
        <v>Road</v>
      </c>
      <c r="I361">
        <f>_xlfn.XLOOKUP(Table2[[#This Row],[Animal]],Table1[Animal],Table1[Revenue],"N/A",0)</f>
        <v>450</v>
      </c>
      <c r="J361">
        <f>_xlfn.XLOOKUP(Table2[[#This Row],[Animal]],Table1[Animal],Table1[Cost],"N/A",0)</f>
        <v>400</v>
      </c>
      <c r="K361">
        <f>Table2[[#This Row],[Revenue]]-Table2[[#This Row],[Cost]]</f>
        <v>50</v>
      </c>
    </row>
    <row r="362" spans="1:11" x14ac:dyDescent="0.25">
      <c r="A362" t="s">
        <v>506</v>
      </c>
      <c r="B362" t="str">
        <f>_xlfn.XLOOKUP(Table2[[#This Row],[Animal]],Table1[Animal],Table1[Diet],"Not Found",0)</f>
        <v>Herbivore</v>
      </c>
      <c r="C362" s="19">
        <f>_xlfn.XLOOKUP(Table2[[#This Row],[Animal]],Table1[Animal],Table1[Lifespan (Years)],"N/A",0)</f>
        <v>70</v>
      </c>
      <c r="D362" s="17" t="str">
        <f>_xlfn.XLOOKUP(Table2[[#This Row],[Animal]],Table1[Animal],Table1[Lifespan Group],"N/A",0)</f>
        <v>50-74</v>
      </c>
      <c r="E362" s="17">
        <f>_xlfn.XLOOKUP(Table2[[#This Row],[Animal]],Table1[Animal],Table1[Weight (lbs)],"N/A",0)</f>
        <v>6500</v>
      </c>
      <c r="F362" s="17" t="str">
        <f>_xlfn.XLOOKUP(Table2[[#This Row],[Animal]],Table1[Animal],Table1[Weight Group],"N/A",0)</f>
        <v>&gt;=500</v>
      </c>
      <c r="G362" t="str">
        <f>_xlfn.XLOOKUP(Table2[[#This Row],[Animal]],Table1[Animal],Table1[Region],"N/A",0)</f>
        <v>Europe &amp; Eurasia</v>
      </c>
      <c r="H362" s="17" t="str">
        <f>_xlfn.XLOOKUP(Table2[[#This Row],[Animal]],Table1[Animal],Table1[Transport],"N/A",0)</f>
        <v>Road</v>
      </c>
      <c r="I362">
        <f>_xlfn.XLOOKUP(Table2[[#This Row],[Animal]],Table1[Animal],Table1[Revenue],"N/A",0)</f>
        <v>450</v>
      </c>
      <c r="J362">
        <f>_xlfn.XLOOKUP(Table2[[#This Row],[Animal]],Table1[Animal],Table1[Cost],"N/A",0)</f>
        <v>300</v>
      </c>
      <c r="K362">
        <f>Table2[[#This Row],[Revenue]]-Table2[[#This Row],[Cost]]</f>
        <v>150</v>
      </c>
    </row>
    <row r="363" spans="1:11" x14ac:dyDescent="0.25">
      <c r="A363" t="s">
        <v>507</v>
      </c>
      <c r="B363" t="str">
        <f>_xlfn.XLOOKUP(Table2[[#This Row],[Animal]],Table1[Animal],Table1[Diet],"Not Found",0)</f>
        <v>Omnivore</v>
      </c>
      <c r="C363" s="19">
        <f>_xlfn.XLOOKUP(Table2[[#This Row],[Animal]],Table1[Animal],Table1[Lifespan (Years)],"N/A",0)</f>
        <v>14</v>
      </c>
      <c r="D363" s="17" t="str">
        <f>_xlfn.XLOOKUP(Table2[[#This Row],[Animal]],Table1[Animal],Table1[Lifespan Group],"N/A",0)</f>
        <v>&lt;25</v>
      </c>
      <c r="E363" s="17">
        <f>_xlfn.XLOOKUP(Table2[[#This Row],[Animal]],Table1[Animal],Table1[Weight (lbs)],"N/A",0)</f>
        <v>38</v>
      </c>
      <c r="F363" s="17" t="str">
        <f>_xlfn.XLOOKUP(Table2[[#This Row],[Animal]],Table1[Animal],Table1[Weight Group],"N/A",0)</f>
        <v>&lt;100</v>
      </c>
      <c r="G363" t="str">
        <f>_xlfn.XLOOKUP(Table2[[#This Row],[Animal]],Table1[Animal],Table1[Region],"N/A",0)</f>
        <v>Europe &amp; Eurasia</v>
      </c>
      <c r="H363" s="17" t="str">
        <f>_xlfn.XLOOKUP(Table2[[#This Row],[Animal]],Table1[Animal],Table1[Transport],"N/A",0)</f>
        <v>Road</v>
      </c>
      <c r="I363">
        <f>_xlfn.XLOOKUP(Table2[[#This Row],[Animal]],Table1[Animal],Table1[Revenue],"N/A",0)</f>
        <v>450</v>
      </c>
      <c r="J363">
        <f>_xlfn.XLOOKUP(Table2[[#This Row],[Animal]],Table1[Animal],Table1[Cost],"N/A",0)</f>
        <v>400</v>
      </c>
      <c r="K363">
        <f>Table2[[#This Row],[Revenue]]-Table2[[#This Row],[Cost]]</f>
        <v>50</v>
      </c>
    </row>
    <row r="364" spans="1:11" x14ac:dyDescent="0.25">
      <c r="A364" t="s">
        <v>508</v>
      </c>
      <c r="B364" t="str">
        <f>_xlfn.XLOOKUP(Table2[[#This Row],[Animal]],Table1[Animal],Table1[Diet],"Not Found",0)</f>
        <v>Omnivore</v>
      </c>
      <c r="C364" s="19">
        <f>_xlfn.XLOOKUP(Table2[[#This Row],[Animal]],Table1[Animal],Table1[Lifespan (Years)],"N/A",0)</f>
        <v>0.41666666666666669</v>
      </c>
      <c r="D364" s="17" t="str">
        <f>_xlfn.XLOOKUP(Table2[[#This Row],[Animal]],Table1[Animal],Table1[Lifespan Group],"N/A",0)</f>
        <v>&lt;25</v>
      </c>
      <c r="E364" s="17">
        <f>_xlfn.XLOOKUP(Table2[[#This Row],[Animal]],Table1[Animal],Table1[Weight (lbs)],"N/A",0)</f>
        <v>0</v>
      </c>
      <c r="F364" s="17" t="str">
        <f>_xlfn.XLOOKUP(Table2[[#This Row],[Animal]],Table1[Animal],Table1[Weight Group],"N/A",0)</f>
        <v>N/A</v>
      </c>
      <c r="G364" t="str">
        <f>_xlfn.XLOOKUP(Table2[[#This Row],[Animal]],Table1[Animal],Table1[Region],"N/A",0)</f>
        <v>Europe &amp; Eurasia</v>
      </c>
      <c r="H364" s="17" t="str">
        <f>_xlfn.XLOOKUP(Table2[[#This Row],[Animal]],Table1[Animal],Table1[Transport],"N/A",0)</f>
        <v>Road</v>
      </c>
      <c r="I364">
        <f>_xlfn.XLOOKUP(Table2[[#This Row],[Animal]],Table1[Animal],Table1[Revenue],"N/A",0)</f>
        <v>450</v>
      </c>
      <c r="J364">
        <f>_xlfn.XLOOKUP(Table2[[#This Row],[Animal]],Table1[Animal],Table1[Cost],"N/A",0)</f>
        <v>400</v>
      </c>
      <c r="K364">
        <f>Table2[[#This Row],[Revenue]]-Table2[[#This Row],[Cost]]</f>
        <v>50</v>
      </c>
    </row>
    <row r="365" spans="1:11" x14ac:dyDescent="0.25">
      <c r="A365" t="s">
        <v>510</v>
      </c>
      <c r="B365" t="str">
        <f>_xlfn.XLOOKUP(Table2[[#This Row],[Animal]],Table1[Animal],Table1[Diet],"Not Found",0)</f>
        <v>Herbivore</v>
      </c>
      <c r="C365" s="19">
        <f>_xlfn.XLOOKUP(Table2[[#This Row],[Animal]],Table1[Animal],Table1[Lifespan (Years)],"N/A",0)</f>
        <v>2</v>
      </c>
      <c r="D365" s="17" t="str">
        <f>_xlfn.XLOOKUP(Table2[[#This Row],[Animal]],Table1[Animal],Table1[Lifespan Group],"N/A",0)</f>
        <v>&lt;25</v>
      </c>
      <c r="E365" s="17">
        <f>_xlfn.XLOOKUP(Table2[[#This Row],[Animal]],Table1[Animal],Table1[Weight (lbs)],"N/A",0)</f>
        <v>0</v>
      </c>
      <c r="F365" s="17" t="str">
        <f>_xlfn.XLOOKUP(Table2[[#This Row],[Animal]],Table1[Animal],Table1[Weight Group],"N/A",0)</f>
        <v>N/A</v>
      </c>
      <c r="G365" t="str">
        <f>_xlfn.XLOOKUP(Table2[[#This Row],[Animal]],Table1[Animal],Table1[Region],"N/A",0)</f>
        <v>North America</v>
      </c>
      <c r="H365" s="17" t="str">
        <f>_xlfn.XLOOKUP(Table2[[#This Row],[Animal]],Table1[Animal],Table1[Transport],"N/A",0)</f>
        <v>Boat</v>
      </c>
      <c r="I365">
        <f>_xlfn.XLOOKUP(Table2[[#This Row],[Animal]],Table1[Animal],Table1[Revenue],"N/A",0)</f>
        <v>400</v>
      </c>
      <c r="J365">
        <f>_xlfn.XLOOKUP(Table2[[#This Row],[Animal]],Table1[Animal],Table1[Cost],"N/A",0)</f>
        <v>300</v>
      </c>
      <c r="K365">
        <f>Table2[[#This Row],[Revenue]]-Table2[[#This Row],[Cost]]</f>
        <v>100</v>
      </c>
    </row>
    <row r="366" spans="1:11" x14ac:dyDescent="0.25">
      <c r="A366" t="s">
        <v>511</v>
      </c>
      <c r="B366" t="str">
        <f>_xlfn.XLOOKUP(Table2[[#This Row],[Animal]],Table1[Animal],Table1[Diet],"Not Found",0)</f>
        <v>Carnivore</v>
      </c>
      <c r="C366" s="19">
        <f>_xlfn.XLOOKUP(Table2[[#This Row],[Animal]],Table1[Animal],Table1[Lifespan (Years)],"N/A",0)</f>
        <v>25</v>
      </c>
      <c r="D366" s="17" t="str">
        <f>_xlfn.XLOOKUP(Table2[[#This Row],[Animal]],Table1[Animal],Table1[Lifespan Group],"N/A",0)</f>
        <v>25-49</v>
      </c>
      <c r="E366" s="17">
        <f>_xlfn.XLOOKUP(Table2[[#This Row],[Animal]],Table1[Animal],Table1[Weight (lbs)],"N/A",0)</f>
        <v>55</v>
      </c>
      <c r="F366" s="17" t="str">
        <f>_xlfn.XLOOKUP(Table2[[#This Row],[Animal]],Table1[Animal],Table1[Weight Group],"N/A",0)</f>
        <v>&lt;100</v>
      </c>
      <c r="G366" t="str">
        <f>_xlfn.XLOOKUP(Table2[[#This Row],[Animal]],Table1[Animal],Table1[Region],"N/A",0)</f>
        <v>Europe &amp; Eurasia</v>
      </c>
      <c r="H366" s="17" t="str">
        <f>_xlfn.XLOOKUP(Table2[[#This Row],[Animal]],Table1[Animal],Table1[Transport],"N/A",0)</f>
        <v>Road</v>
      </c>
      <c r="I366">
        <f>_xlfn.XLOOKUP(Table2[[#This Row],[Animal]],Table1[Animal],Table1[Revenue],"N/A",0)</f>
        <v>450</v>
      </c>
      <c r="J366">
        <f>_xlfn.XLOOKUP(Table2[[#This Row],[Animal]],Table1[Animal],Table1[Cost],"N/A",0)</f>
        <v>500</v>
      </c>
      <c r="K366">
        <f>Table2[[#This Row],[Revenue]]-Table2[[#This Row],[Cost]]</f>
        <v>-50</v>
      </c>
    </row>
    <row r="367" spans="1:11" x14ac:dyDescent="0.25">
      <c r="A367" t="s">
        <v>512</v>
      </c>
      <c r="B367" t="str">
        <f>_xlfn.XLOOKUP(Table2[[#This Row],[Animal]],Table1[Animal],Table1[Diet],"Not Found",0)</f>
        <v>Omnivore</v>
      </c>
      <c r="C367" s="19">
        <f>_xlfn.XLOOKUP(Table2[[#This Row],[Animal]],Table1[Animal],Table1[Lifespan (Years)],"N/A",0)</f>
        <v>30</v>
      </c>
      <c r="D367" s="17" t="str">
        <f>_xlfn.XLOOKUP(Table2[[#This Row],[Animal]],Table1[Animal],Table1[Lifespan Group],"N/A",0)</f>
        <v>25-49</v>
      </c>
      <c r="E367" s="17">
        <f>_xlfn.XLOOKUP(Table2[[#This Row],[Animal]],Table1[Animal],Table1[Weight (lbs)],"N/A",0)</f>
        <v>66</v>
      </c>
      <c r="F367" s="17" t="str">
        <f>_xlfn.XLOOKUP(Table2[[#This Row],[Animal]],Table1[Animal],Table1[Weight Group],"N/A",0)</f>
        <v>&lt;100</v>
      </c>
      <c r="G367" t="str">
        <f>_xlfn.XLOOKUP(Table2[[#This Row],[Animal]],Table1[Animal],Table1[Region],"N/A",0)</f>
        <v>North America</v>
      </c>
      <c r="H367" s="17" t="str">
        <f>_xlfn.XLOOKUP(Table2[[#This Row],[Animal]],Table1[Animal],Table1[Transport],"N/A",0)</f>
        <v>Boat</v>
      </c>
      <c r="I367">
        <f>_xlfn.XLOOKUP(Table2[[#This Row],[Animal]],Table1[Animal],Table1[Revenue],"N/A",0)</f>
        <v>400</v>
      </c>
      <c r="J367">
        <f>_xlfn.XLOOKUP(Table2[[#This Row],[Animal]],Table1[Animal],Table1[Cost],"N/A",0)</f>
        <v>400</v>
      </c>
      <c r="K367">
        <f>Table2[[#This Row],[Revenue]]-Table2[[#This Row],[Cost]]</f>
        <v>0</v>
      </c>
    </row>
    <row r="368" spans="1:11" x14ac:dyDescent="0.25">
      <c r="A368" t="s">
        <v>513</v>
      </c>
      <c r="B368" t="str">
        <f>_xlfn.XLOOKUP(Table2[[#This Row],[Animal]],Table1[Animal],Table1[Diet],"Not Found",0)</f>
        <v>Omnivore</v>
      </c>
      <c r="C368" s="19">
        <f>_xlfn.XLOOKUP(Table2[[#This Row],[Animal]],Table1[Animal],Table1[Lifespan (Years)],"N/A",0)</f>
        <v>12</v>
      </c>
      <c r="D368" s="17" t="str">
        <f>_xlfn.XLOOKUP(Table2[[#This Row],[Animal]],Table1[Animal],Table1[Lifespan Group],"N/A",0)</f>
        <v>&lt;25</v>
      </c>
      <c r="E368" s="17">
        <f>_xlfn.XLOOKUP(Table2[[#This Row],[Animal]],Table1[Animal],Table1[Weight (lbs)],"N/A",0)</f>
        <v>22</v>
      </c>
      <c r="F368" s="17" t="str">
        <f>_xlfn.XLOOKUP(Table2[[#This Row],[Animal]],Table1[Animal],Table1[Weight Group],"N/A",0)</f>
        <v>&lt;100</v>
      </c>
      <c r="G368" t="str">
        <f>_xlfn.XLOOKUP(Table2[[#This Row],[Animal]],Table1[Animal],Table1[Region],"N/A",0)</f>
        <v>Africa &amp; MENA</v>
      </c>
      <c r="H368" s="17" t="str">
        <f>_xlfn.XLOOKUP(Table2[[#This Row],[Animal]],Table1[Animal],Table1[Transport],"N/A",0)</f>
        <v>Air</v>
      </c>
      <c r="I368">
        <f>_xlfn.XLOOKUP(Table2[[#This Row],[Animal]],Table1[Animal],Table1[Revenue],"N/A",0)</f>
        <v>600</v>
      </c>
      <c r="J368">
        <f>_xlfn.XLOOKUP(Table2[[#This Row],[Animal]],Table1[Animal],Table1[Cost],"N/A",0)</f>
        <v>400</v>
      </c>
      <c r="K368">
        <f>Table2[[#This Row],[Revenue]]-Table2[[#This Row],[Cost]]</f>
        <v>200</v>
      </c>
    </row>
    <row r="369" spans="1:11" x14ac:dyDescent="0.25">
      <c r="A369" t="s">
        <v>514</v>
      </c>
      <c r="B369" t="str">
        <f>_xlfn.XLOOKUP(Table2[[#This Row],[Animal]],Table1[Animal],Table1[Diet],"Not Found",0)</f>
        <v>Omnivore</v>
      </c>
      <c r="C369" s="19">
        <f>_xlfn.XLOOKUP(Table2[[#This Row],[Animal]],Table1[Animal],Table1[Lifespan (Years)],"N/A",0)</f>
        <v>12</v>
      </c>
      <c r="D369" s="17" t="str">
        <f>_xlfn.XLOOKUP(Table2[[#This Row],[Animal]],Table1[Animal],Table1[Lifespan Group],"N/A",0)</f>
        <v>&lt;25</v>
      </c>
      <c r="E369" s="17">
        <f>_xlfn.XLOOKUP(Table2[[#This Row],[Animal]],Table1[Animal],Table1[Weight (lbs)],"N/A",0)</f>
        <v>0</v>
      </c>
      <c r="F369" s="17" t="str">
        <f>_xlfn.XLOOKUP(Table2[[#This Row],[Animal]],Table1[Animal],Table1[Weight Group],"N/A",0)</f>
        <v>N/A</v>
      </c>
      <c r="G369" t="str">
        <f>_xlfn.XLOOKUP(Table2[[#This Row],[Animal]],Table1[Animal],Table1[Region],"N/A",0)</f>
        <v>Africa &amp; MENA</v>
      </c>
      <c r="H369" s="17" t="str">
        <f>_xlfn.XLOOKUP(Table2[[#This Row],[Animal]],Table1[Animal],Table1[Transport],"N/A",0)</f>
        <v>Air</v>
      </c>
      <c r="I369">
        <f>_xlfn.XLOOKUP(Table2[[#This Row],[Animal]],Table1[Animal],Table1[Revenue],"N/A",0)</f>
        <v>600</v>
      </c>
      <c r="J369">
        <f>_xlfn.XLOOKUP(Table2[[#This Row],[Animal]],Table1[Animal],Table1[Cost],"N/A",0)</f>
        <v>400</v>
      </c>
      <c r="K369">
        <f>Table2[[#This Row],[Revenue]]-Table2[[#This Row],[Cost]]</f>
        <v>200</v>
      </c>
    </row>
    <row r="370" spans="1:11" x14ac:dyDescent="0.25">
      <c r="A370" t="s">
        <v>516</v>
      </c>
      <c r="B370" t="str">
        <f>_xlfn.XLOOKUP(Table2[[#This Row],[Animal]],Table1[Animal],Table1[Diet],"Not Found",0)</f>
        <v>Carnivore</v>
      </c>
      <c r="C370" s="19">
        <f>_xlfn.XLOOKUP(Table2[[#This Row],[Animal]],Table1[Animal],Table1[Lifespan (Years)],"N/A",0)</f>
        <v>20</v>
      </c>
      <c r="D370" s="17" t="str">
        <f>_xlfn.XLOOKUP(Table2[[#This Row],[Animal]],Table1[Animal],Table1[Lifespan Group],"N/A",0)</f>
        <v>&lt;25</v>
      </c>
      <c r="E370" s="17">
        <f>_xlfn.XLOOKUP(Table2[[#This Row],[Animal]],Table1[Animal],Table1[Weight (lbs)],"N/A",0)</f>
        <v>0.17499999999999999</v>
      </c>
      <c r="F370" s="17" t="str">
        <f>_xlfn.XLOOKUP(Table2[[#This Row],[Animal]],Table1[Animal],Table1[Weight Group],"N/A",0)</f>
        <v>&lt;100</v>
      </c>
      <c r="G370" t="str">
        <f>_xlfn.XLOOKUP(Table2[[#This Row],[Animal]],Table1[Animal],Table1[Region],"N/A",0)</f>
        <v>Greater China</v>
      </c>
      <c r="H370" s="17" t="str">
        <f>_xlfn.XLOOKUP(Table2[[#This Row],[Animal]],Table1[Animal],Table1[Transport],"N/A",0)</f>
        <v>Air</v>
      </c>
      <c r="I370">
        <f>_xlfn.XLOOKUP(Table2[[#This Row],[Animal]],Table1[Animal],Table1[Revenue],"N/A",0)</f>
        <v>600</v>
      </c>
      <c r="J370">
        <f>_xlfn.XLOOKUP(Table2[[#This Row],[Animal]],Table1[Animal],Table1[Cost],"N/A",0)</f>
        <v>500</v>
      </c>
      <c r="K370">
        <f>Table2[[#This Row],[Revenue]]-Table2[[#This Row],[Cost]]</f>
        <v>100</v>
      </c>
    </row>
    <row r="371" spans="1:11" x14ac:dyDescent="0.25">
      <c r="A371" t="s">
        <v>517</v>
      </c>
      <c r="B371" t="str">
        <f>_xlfn.XLOOKUP(Table2[[#This Row],[Animal]],Table1[Animal],Table1[Diet],"Not Found",0)</f>
        <v>Omnivore</v>
      </c>
      <c r="C371" s="19">
        <f>_xlfn.XLOOKUP(Table2[[#This Row],[Animal]],Table1[Animal],Table1[Lifespan (Years)],"N/A",0)</f>
        <v>8</v>
      </c>
      <c r="D371" s="17" t="str">
        <f>_xlfn.XLOOKUP(Table2[[#This Row],[Animal]],Table1[Animal],Table1[Lifespan Group],"N/A",0)</f>
        <v>&lt;25</v>
      </c>
      <c r="E371" s="17">
        <f>_xlfn.XLOOKUP(Table2[[#This Row],[Animal]],Table1[Animal],Table1[Weight (lbs)],"N/A",0)</f>
        <v>13</v>
      </c>
      <c r="F371" s="17" t="str">
        <f>_xlfn.XLOOKUP(Table2[[#This Row],[Animal]],Table1[Animal],Table1[Weight Group],"N/A",0)</f>
        <v>&lt;100</v>
      </c>
      <c r="G371" t="str">
        <f>_xlfn.XLOOKUP(Table2[[#This Row],[Animal]],Table1[Animal],Table1[Region],"N/A",0)</f>
        <v>Europe &amp; Eurasia</v>
      </c>
      <c r="H371" s="17" t="str">
        <f>_xlfn.XLOOKUP(Table2[[#This Row],[Animal]],Table1[Animal],Table1[Transport],"N/A",0)</f>
        <v>Road</v>
      </c>
      <c r="I371">
        <f>_xlfn.XLOOKUP(Table2[[#This Row],[Animal]],Table1[Animal],Table1[Revenue],"N/A",0)</f>
        <v>450</v>
      </c>
      <c r="J371">
        <f>_xlfn.XLOOKUP(Table2[[#This Row],[Animal]],Table1[Animal],Table1[Cost],"N/A",0)</f>
        <v>400</v>
      </c>
      <c r="K371">
        <f>Table2[[#This Row],[Revenue]]-Table2[[#This Row],[Cost]]</f>
        <v>50</v>
      </c>
    </row>
    <row r="372" spans="1:11" x14ac:dyDescent="0.25">
      <c r="A372" t="s">
        <v>519</v>
      </c>
      <c r="B372" t="str">
        <f>_xlfn.XLOOKUP(Table2[[#This Row],[Animal]],Table1[Animal],Table1[Diet],"Not Found",0)</f>
        <v>Herbivore</v>
      </c>
      <c r="C372" s="19">
        <f>_xlfn.XLOOKUP(Table2[[#This Row],[Animal]],Table1[Animal],Table1[Lifespan (Years)],"N/A",0)</f>
        <v>2</v>
      </c>
      <c r="D372" s="17" t="str">
        <f>_xlfn.XLOOKUP(Table2[[#This Row],[Animal]],Table1[Animal],Table1[Lifespan Group],"N/A",0)</f>
        <v>&lt;25</v>
      </c>
      <c r="E372" s="17">
        <f>_xlfn.XLOOKUP(Table2[[#This Row],[Animal]],Table1[Animal],Table1[Weight (lbs)],"N/A",0)</f>
        <v>0</v>
      </c>
      <c r="F372" s="17" t="str">
        <f>_xlfn.XLOOKUP(Table2[[#This Row],[Animal]],Table1[Animal],Table1[Weight Group],"N/A",0)</f>
        <v>N/A</v>
      </c>
      <c r="G372" t="str">
        <f>_xlfn.XLOOKUP(Table2[[#This Row],[Animal]],Table1[Animal],Table1[Region],"N/A",0)</f>
        <v>Europe &amp; Eurasia</v>
      </c>
      <c r="H372" s="17" t="str">
        <f>_xlfn.XLOOKUP(Table2[[#This Row],[Animal]],Table1[Animal],Table1[Transport],"N/A",0)</f>
        <v>Road</v>
      </c>
      <c r="I372">
        <f>_xlfn.XLOOKUP(Table2[[#This Row],[Animal]],Table1[Animal],Table1[Revenue],"N/A",0)</f>
        <v>450</v>
      </c>
      <c r="J372">
        <f>_xlfn.XLOOKUP(Table2[[#This Row],[Animal]],Table1[Animal],Table1[Cost],"N/A",0)</f>
        <v>300</v>
      </c>
      <c r="K372">
        <f>Table2[[#This Row],[Revenue]]-Table2[[#This Row],[Cost]]</f>
        <v>150</v>
      </c>
    </row>
    <row r="373" spans="1:11" x14ac:dyDescent="0.25">
      <c r="A373" t="s">
        <v>520</v>
      </c>
      <c r="B373" t="str">
        <f>_xlfn.XLOOKUP(Table2[[#This Row],[Animal]],Table1[Animal],Table1[Diet],"Not Found",0)</f>
        <v>Omnivore</v>
      </c>
      <c r="C373" s="19">
        <f>_xlfn.XLOOKUP(Table2[[#This Row],[Animal]],Table1[Animal],Table1[Lifespan (Years)],"N/A",0)</f>
        <v>5</v>
      </c>
      <c r="D373" s="17" t="str">
        <f>_xlfn.XLOOKUP(Table2[[#This Row],[Animal]],Table1[Animal],Table1[Lifespan Group],"N/A",0)</f>
        <v>&lt;25</v>
      </c>
      <c r="E373" s="17">
        <f>_xlfn.XLOOKUP(Table2[[#This Row],[Animal]],Table1[Animal],Table1[Weight (lbs)],"N/A",0)</f>
        <v>0</v>
      </c>
      <c r="F373" s="17" t="str">
        <f>_xlfn.XLOOKUP(Table2[[#This Row],[Animal]],Table1[Animal],Table1[Weight Group],"N/A",0)</f>
        <v>N/A</v>
      </c>
      <c r="G373" t="str">
        <f>_xlfn.XLOOKUP(Table2[[#This Row],[Animal]],Table1[Animal],Table1[Region],"N/A",0)</f>
        <v>North America</v>
      </c>
      <c r="H373" s="17" t="str">
        <f>_xlfn.XLOOKUP(Table2[[#This Row],[Animal]],Table1[Animal],Table1[Transport],"N/A",0)</f>
        <v>Boat</v>
      </c>
      <c r="I373">
        <f>_xlfn.XLOOKUP(Table2[[#This Row],[Animal]],Table1[Animal],Table1[Revenue],"N/A",0)</f>
        <v>400</v>
      </c>
      <c r="J373">
        <f>_xlfn.XLOOKUP(Table2[[#This Row],[Animal]],Table1[Animal],Table1[Cost],"N/A",0)</f>
        <v>400</v>
      </c>
      <c r="K373">
        <f>Table2[[#This Row],[Revenue]]-Table2[[#This Row],[Cost]]</f>
        <v>0</v>
      </c>
    </row>
    <row r="374" spans="1:11" x14ac:dyDescent="0.25">
      <c r="A374" t="s">
        <v>521</v>
      </c>
      <c r="B374" t="str">
        <f>_xlfn.XLOOKUP(Table2[[#This Row],[Animal]],Table1[Animal],Table1[Diet],"Not Found",0)</f>
        <v>Omnivore</v>
      </c>
      <c r="C374" s="19">
        <f>_xlfn.XLOOKUP(Table2[[#This Row],[Animal]],Table1[Animal],Table1[Lifespan (Years)],"N/A",0)</f>
        <v>20</v>
      </c>
      <c r="D374" s="17" t="str">
        <f>_xlfn.XLOOKUP(Table2[[#This Row],[Animal]],Table1[Animal],Table1[Lifespan Group],"N/A",0)</f>
        <v>&lt;25</v>
      </c>
      <c r="E374" s="17">
        <f>_xlfn.XLOOKUP(Table2[[#This Row],[Animal]],Table1[Animal],Table1[Weight (lbs)],"N/A",0)</f>
        <v>2.5</v>
      </c>
      <c r="F374" s="17" t="str">
        <f>_xlfn.XLOOKUP(Table2[[#This Row],[Animal]],Table1[Animal],Table1[Weight Group],"N/A",0)</f>
        <v>&lt;100</v>
      </c>
      <c r="G374" t="str">
        <f>_xlfn.XLOOKUP(Table2[[#This Row],[Animal]],Table1[Animal],Table1[Region],"N/A",0)</f>
        <v>Europe &amp; Eurasia</v>
      </c>
      <c r="H374" s="17" t="str">
        <f>_xlfn.XLOOKUP(Table2[[#This Row],[Animal]],Table1[Animal],Table1[Transport],"N/A",0)</f>
        <v>Road</v>
      </c>
      <c r="I374">
        <f>_xlfn.XLOOKUP(Table2[[#This Row],[Animal]],Table1[Animal],Table1[Revenue],"N/A",0)</f>
        <v>450</v>
      </c>
      <c r="J374">
        <f>_xlfn.XLOOKUP(Table2[[#This Row],[Animal]],Table1[Animal],Table1[Cost],"N/A",0)</f>
        <v>400</v>
      </c>
      <c r="K374">
        <f>Table2[[#This Row],[Revenue]]-Table2[[#This Row],[Cost]]</f>
        <v>50</v>
      </c>
    </row>
    <row r="375" spans="1:11" x14ac:dyDescent="0.25">
      <c r="A375" t="s">
        <v>522</v>
      </c>
      <c r="B375" t="str">
        <f>_xlfn.XLOOKUP(Table2[[#This Row],[Animal]],Table1[Animal],Table1[Diet],"Not Found",0)</f>
        <v>Omnivore</v>
      </c>
      <c r="C375" s="19">
        <f>_xlfn.XLOOKUP(Table2[[#This Row],[Animal]],Table1[Animal],Table1[Lifespan (Years)],"N/A",0)</f>
        <v>15</v>
      </c>
      <c r="D375" s="17" t="str">
        <f>_xlfn.XLOOKUP(Table2[[#This Row],[Animal]],Table1[Animal],Table1[Lifespan Group],"N/A",0)</f>
        <v>&lt;25</v>
      </c>
      <c r="E375" s="17">
        <f>_xlfn.XLOOKUP(Table2[[#This Row],[Animal]],Table1[Animal],Table1[Weight (lbs)],"N/A",0)</f>
        <v>180</v>
      </c>
      <c r="F375" s="17" t="str">
        <f>_xlfn.XLOOKUP(Table2[[#This Row],[Animal]],Table1[Animal],Table1[Weight Group],"N/A",0)</f>
        <v>100-199</v>
      </c>
      <c r="G375" t="str">
        <f>_xlfn.XLOOKUP(Table2[[#This Row],[Animal]],Table1[Animal],Table1[Region],"N/A",0)</f>
        <v>Europe &amp; Eurasia</v>
      </c>
      <c r="H375" s="17" t="str">
        <f>_xlfn.XLOOKUP(Table2[[#This Row],[Animal]],Table1[Animal],Table1[Transport],"N/A",0)</f>
        <v>Road</v>
      </c>
      <c r="I375">
        <f>_xlfn.XLOOKUP(Table2[[#This Row],[Animal]],Table1[Animal],Table1[Revenue],"N/A",0)</f>
        <v>450</v>
      </c>
      <c r="J375">
        <f>_xlfn.XLOOKUP(Table2[[#This Row],[Animal]],Table1[Animal],Table1[Cost],"N/A",0)</f>
        <v>400</v>
      </c>
      <c r="K375">
        <f>Table2[[#This Row],[Revenue]]-Table2[[#This Row],[Cost]]</f>
        <v>50</v>
      </c>
    </row>
    <row r="376" spans="1:11" x14ac:dyDescent="0.25">
      <c r="A376" t="s">
        <v>525</v>
      </c>
      <c r="B376" t="str">
        <f>_xlfn.XLOOKUP(Table2[[#This Row],[Animal]],Table1[Animal],Table1[Diet],"Not Found",0)</f>
        <v>Omnivore</v>
      </c>
      <c r="C376" s="19">
        <f>_xlfn.XLOOKUP(Table2[[#This Row],[Animal]],Table1[Animal],Table1[Lifespan (Years)],"N/A",0)</f>
        <v>20</v>
      </c>
      <c r="D376" s="17" t="str">
        <f>_xlfn.XLOOKUP(Table2[[#This Row],[Animal]],Table1[Animal],Table1[Lifespan Group],"N/A",0)</f>
        <v>&lt;25</v>
      </c>
      <c r="E376" s="17">
        <f>_xlfn.XLOOKUP(Table2[[#This Row],[Animal]],Table1[Animal],Table1[Weight (lbs)],"N/A",0)</f>
        <v>0.28749999999999998</v>
      </c>
      <c r="F376" s="17" t="str">
        <f>_xlfn.XLOOKUP(Table2[[#This Row],[Animal]],Table1[Animal],Table1[Weight Group],"N/A",0)</f>
        <v>&lt;100</v>
      </c>
      <c r="G376" t="str">
        <f>_xlfn.XLOOKUP(Table2[[#This Row],[Animal]],Table1[Animal],Table1[Region],"N/A",0)</f>
        <v>Europe &amp; Eurasia</v>
      </c>
      <c r="H376" s="17" t="str">
        <f>_xlfn.XLOOKUP(Table2[[#This Row],[Animal]],Table1[Animal],Table1[Transport],"N/A",0)</f>
        <v>Road</v>
      </c>
      <c r="I376">
        <f>_xlfn.XLOOKUP(Table2[[#This Row],[Animal]],Table1[Animal],Table1[Revenue],"N/A",0)</f>
        <v>450</v>
      </c>
      <c r="J376">
        <f>_xlfn.XLOOKUP(Table2[[#This Row],[Animal]],Table1[Animal],Table1[Cost],"N/A",0)</f>
        <v>400</v>
      </c>
      <c r="K376">
        <f>Table2[[#This Row],[Revenue]]-Table2[[#This Row],[Cost]]</f>
        <v>50</v>
      </c>
    </row>
    <row r="377" spans="1:11" x14ac:dyDescent="0.25">
      <c r="A377" t="s">
        <v>527</v>
      </c>
      <c r="B377" t="str">
        <f>_xlfn.XLOOKUP(Table2[[#This Row],[Animal]],Table1[Animal],Table1[Diet],"Not Found",0)</f>
        <v>Carnivore</v>
      </c>
      <c r="C377" s="19">
        <f>_xlfn.XLOOKUP(Table2[[#This Row],[Animal]],Table1[Animal],Table1[Lifespan (Years)],"N/A",0)</f>
        <v>16</v>
      </c>
      <c r="D377" s="17" t="str">
        <f>_xlfn.XLOOKUP(Table2[[#This Row],[Animal]],Table1[Animal],Table1[Lifespan Group],"N/A",0)</f>
        <v>&lt;25</v>
      </c>
      <c r="E377" s="17">
        <f>_xlfn.XLOOKUP(Table2[[#This Row],[Animal]],Table1[Animal],Table1[Weight (lbs)],"N/A",0)</f>
        <v>0.6</v>
      </c>
      <c r="F377" s="17" t="str">
        <f>_xlfn.XLOOKUP(Table2[[#This Row],[Animal]],Table1[Animal],Table1[Weight Group],"N/A",0)</f>
        <v>&lt;100</v>
      </c>
      <c r="G377" t="str">
        <f>_xlfn.XLOOKUP(Table2[[#This Row],[Animal]],Table1[Animal],Table1[Region],"N/A",0)</f>
        <v>Europe &amp; Eurasia</v>
      </c>
      <c r="H377" s="17" t="str">
        <f>_xlfn.XLOOKUP(Table2[[#This Row],[Animal]],Table1[Animal],Table1[Transport],"N/A",0)</f>
        <v>Road</v>
      </c>
      <c r="I377">
        <f>_xlfn.XLOOKUP(Table2[[#This Row],[Animal]],Table1[Animal],Table1[Revenue],"N/A",0)</f>
        <v>450</v>
      </c>
      <c r="J377">
        <f>_xlfn.XLOOKUP(Table2[[#This Row],[Animal]],Table1[Animal],Table1[Cost],"N/A",0)</f>
        <v>500</v>
      </c>
      <c r="K377">
        <f>Table2[[#This Row],[Revenue]]-Table2[[#This Row],[Cost]]</f>
        <v>-50</v>
      </c>
    </row>
    <row r="378" spans="1:11" x14ac:dyDescent="0.25">
      <c r="A378" t="s">
        <v>529</v>
      </c>
      <c r="B378" t="str">
        <f>_xlfn.XLOOKUP(Table2[[#This Row],[Animal]],Table1[Animal],Table1[Diet],"Not Found",0)</f>
        <v>Carnivore</v>
      </c>
      <c r="C378" s="19">
        <f>_xlfn.XLOOKUP(Table2[[#This Row],[Animal]],Table1[Animal],Table1[Lifespan (Years)],"N/A",0)</f>
        <v>14</v>
      </c>
      <c r="D378" s="17" t="str">
        <f>_xlfn.XLOOKUP(Table2[[#This Row],[Animal]],Table1[Animal],Table1[Lifespan Group],"N/A",0)</f>
        <v>&lt;25</v>
      </c>
      <c r="E378" s="17">
        <f>_xlfn.XLOOKUP(Table2[[#This Row],[Animal]],Table1[Animal],Table1[Weight (lbs)],"N/A",0)</f>
        <v>10</v>
      </c>
      <c r="F378" s="17" t="str">
        <f>_xlfn.XLOOKUP(Table2[[#This Row],[Animal]],Table1[Animal],Table1[Weight Group],"N/A",0)</f>
        <v>&lt;100</v>
      </c>
      <c r="G378" t="str">
        <f>_xlfn.XLOOKUP(Table2[[#This Row],[Animal]],Table1[Animal],Table1[Region],"N/A",0)</f>
        <v>Europe &amp; Eurasia</v>
      </c>
      <c r="H378" s="17" t="str">
        <f>_xlfn.XLOOKUP(Table2[[#This Row],[Animal]],Table1[Animal],Table1[Transport],"N/A",0)</f>
        <v>Road</v>
      </c>
      <c r="I378">
        <f>_xlfn.XLOOKUP(Table2[[#This Row],[Animal]],Table1[Animal],Table1[Revenue],"N/A",0)</f>
        <v>450</v>
      </c>
      <c r="J378">
        <f>_xlfn.XLOOKUP(Table2[[#This Row],[Animal]],Table1[Animal],Table1[Cost],"N/A",0)</f>
        <v>500</v>
      </c>
      <c r="K378">
        <f>Table2[[#This Row],[Revenue]]-Table2[[#This Row],[Cost]]</f>
        <v>-50</v>
      </c>
    </row>
    <row r="379" spans="1:11" x14ac:dyDescent="0.25">
      <c r="A379" t="s">
        <v>530</v>
      </c>
      <c r="B379" t="str">
        <f>_xlfn.XLOOKUP(Table2[[#This Row],[Animal]],Table1[Animal],Table1[Diet],"Not Found",0)</f>
        <v>Carnivore</v>
      </c>
      <c r="C379" s="19">
        <f>_xlfn.XLOOKUP(Table2[[#This Row],[Animal]],Table1[Animal],Table1[Lifespan (Years)],"N/A",0)</f>
        <v>12</v>
      </c>
      <c r="D379" s="17" t="str">
        <f>_xlfn.XLOOKUP(Table2[[#This Row],[Animal]],Table1[Animal],Table1[Lifespan Group],"N/A",0)</f>
        <v>&lt;25</v>
      </c>
      <c r="E379" s="17">
        <f>_xlfn.XLOOKUP(Table2[[#This Row],[Animal]],Table1[Animal],Table1[Weight (lbs)],"N/A",0)</f>
        <v>4.3749999999999997E-2</v>
      </c>
      <c r="F379" s="17" t="str">
        <f>_xlfn.XLOOKUP(Table2[[#This Row],[Animal]],Table1[Animal],Table1[Weight Group],"N/A",0)</f>
        <v>&lt;100</v>
      </c>
      <c r="G379" t="str">
        <f>_xlfn.XLOOKUP(Table2[[#This Row],[Animal]],Table1[Animal],Table1[Region],"N/A",0)</f>
        <v>North America</v>
      </c>
      <c r="H379" s="17" t="str">
        <f>_xlfn.XLOOKUP(Table2[[#This Row],[Animal]],Table1[Animal],Table1[Transport],"N/A",0)</f>
        <v>Boat</v>
      </c>
      <c r="I379">
        <f>_xlfn.XLOOKUP(Table2[[#This Row],[Animal]],Table1[Animal],Table1[Revenue],"N/A",0)</f>
        <v>400</v>
      </c>
      <c r="J379">
        <f>_xlfn.XLOOKUP(Table2[[#This Row],[Animal]],Table1[Animal],Table1[Cost],"N/A",0)</f>
        <v>500</v>
      </c>
      <c r="K379">
        <f>Table2[[#This Row],[Revenue]]-Table2[[#This Row],[Cost]]</f>
        <v>-100</v>
      </c>
    </row>
    <row r="380" spans="1:11" x14ac:dyDescent="0.25">
      <c r="A380" t="s">
        <v>532</v>
      </c>
      <c r="B380" t="str">
        <f>_xlfn.XLOOKUP(Table2[[#This Row],[Animal]],Table1[Animal],Table1[Diet],"Not Found",0)</f>
        <v>Carnivore</v>
      </c>
      <c r="C380" s="19">
        <f>_xlfn.XLOOKUP(Table2[[#This Row],[Animal]],Table1[Animal],Table1[Lifespan (Years)],"N/A",0)</f>
        <v>30</v>
      </c>
      <c r="D380" s="17" t="str">
        <f>_xlfn.XLOOKUP(Table2[[#This Row],[Animal]],Table1[Animal],Table1[Lifespan Group],"N/A",0)</f>
        <v>25-49</v>
      </c>
      <c r="E380" s="17">
        <f>_xlfn.XLOOKUP(Table2[[#This Row],[Animal]],Table1[Animal],Table1[Weight (lbs)],"N/A",0)</f>
        <v>1.9</v>
      </c>
      <c r="F380" s="17" t="str">
        <f>_xlfn.XLOOKUP(Table2[[#This Row],[Animal]],Table1[Animal],Table1[Weight Group],"N/A",0)</f>
        <v>&lt;100</v>
      </c>
      <c r="G380" t="str">
        <f>_xlfn.XLOOKUP(Table2[[#This Row],[Animal]],Table1[Animal],Table1[Region],"N/A",0)</f>
        <v>Europe &amp; Eurasia</v>
      </c>
      <c r="H380" s="17" t="str">
        <f>_xlfn.XLOOKUP(Table2[[#This Row],[Animal]],Table1[Animal],Table1[Transport],"N/A",0)</f>
        <v>Road</v>
      </c>
      <c r="I380">
        <f>_xlfn.XLOOKUP(Table2[[#This Row],[Animal]],Table1[Animal],Table1[Revenue],"N/A",0)</f>
        <v>450</v>
      </c>
      <c r="J380">
        <f>_xlfn.XLOOKUP(Table2[[#This Row],[Animal]],Table1[Animal],Table1[Cost],"N/A",0)</f>
        <v>500</v>
      </c>
      <c r="K380">
        <f>Table2[[#This Row],[Revenue]]-Table2[[#This Row],[Cost]]</f>
        <v>-50</v>
      </c>
    </row>
    <row r="381" spans="1:11" x14ac:dyDescent="0.25">
      <c r="A381" t="s">
        <v>533</v>
      </c>
      <c r="B381" t="str">
        <f>_xlfn.XLOOKUP(Table2[[#This Row],[Animal]],Table1[Animal],Table1[Diet],"Not Found",0)</f>
        <v>Herbivore</v>
      </c>
      <c r="C381" s="19">
        <f>_xlfn.XLOOKUP(Table2[[#This Row],[Animal]],Table1[Animal],Table1[Lifespan (Years)],"N/A",0)</f>
        <v>15</v>
      </c>
      <c r="D381" s="17" t="str">
        <f>_xlfn.XLOOKUP(Table2[[#This Row],[Animal]],Table1[Animal],Table1[Lifespan Group],"N/A",0)</f>
        <v>&lt;25</v>
      </c>
      <c r="E381" s="17">
        <f>_xlfn.XLOOKUP(Table2[[#This Row],[Animal]],Table1[Animal],Table1[Weight (lbs)],"N/A",0)</f>
        <v>2.2000000000000002</v>
      </c>
      <c r="F381" s="17" t="str">
        <f>_xlfn.XLOOKUP(Table2[[#This Row],[Animal]],Table1[Animal],Table1[Weight Group],"N/A",0)</f>
        <v>&lt;100</v>
      </c>
      <c r="G381" t="str">
        <f>_xlfn.XLOOKUP(Table2[[#This Row],[Animal]],Table1[Animal],Table1[Region],"N/A",0)</f>
        <v>Europe &amp; Eurasia</v>
      </c>
      <c r="H381" s="17" t="str">
        <f>_xlfn.XLOOKUP(Table2[[#This Row],[Animal]],Table1[Animal],Table1[Transport],"N/A",0)</f>
        <v>Road</v>
      </c>
      <c r="I381">
        <f>_xlfn.XLOOKUP(Table2[[#This Row],[Animal]],Table1[Animal],Table1[Revenue],"N/A",0)</f>
        <v>450</v>
      </c>
      <c r="J381">
        <f>_xlfn.XLOOKUP(Table2[[#This Row],[Animal]],Table1[Animal],Table1[Cost],"N/A",0)</f>
        <v>300</v>
      </c>
      <c r="K381">
        <f>Table2[[#This Row],[Revenue]]-Table2[[#This Row],[Cost]]</f>
        <v>150</v>
      </c>
    </row>
    <row r="382" spans="1:11" x14ac:dyDescent="0.25">
      <c r="A382" t="s">
        <v>534</v>
      </c>
      <c r="B382" t="str">
        <f>_xlfn.XLOOKUP(Table2[[#This Row],[Animal]],Table1[Animal],Table1[Diet],"Not Found",0)</f>
        <v>Carnivore</v>
      </c>
      <c r="C382" s="19">
        <f>_xlfn.XLOOKUP(Table2[[#This Row],[Animal]],Table1[Animal],Table1[Lifespan (Years)],"N/A",0)</f>
        <v>50</v>
      </c>
      <c r="D382" s="17" t="str">
        <f>_xlfn.XLOOKUP(Table2[[#This Row],[Animal]],Table1[Animal],Table1[Lifespan Group],"N/A",0)</f>
        <v>50-74</v>
      </c>
      <c r="E382" s="17">
        <f>_xlfn.XLOOKUP(Table2[[#This Row],[Animal]],Table1[Animal],Table1[Weight (lbs)],"N/A",0)</f>
        <v>880</v>
      </c>
      <c r="F382" s="17" t="str">
        <f>_xlfn.XLOOKUP(Table2[[#This Row],[Animal]],Table1[Animal],Table1[Weight Group],"N/A",0)</f>
        <v>&gt;=500</v>
      </c>
      <c r="G382" t="str">
        <f>_xlfn.XLOOKUP(Table2[[#This Row],[Animal]],Table1[Animal],Table1[Region],"N/A",0)</f>
        <v>Greater China</v>
      </c>
      <c r="H382" s="17" t="str">
        <f>_xlfn.XLOOKUP(Table2[[#This Row],[Animal]],Table1[Animal],Table1[Transport],"N/A",0)</f>
        <v>Air</v>
      </c>
      <c r="I382">
        <f>_xlfn.XLOOKUP(Table2[[#This Row],[Animal]],Table1[Animal],Table1[Revenue],"N/A",0)</f>
        <v>600</v>
      </c>
      <c r="J382">
        <f>_xlfn.XLOOKUP(Table2[[#This Row],[Animal]],Table1[Animal],Table1[Cost],"N/A",0)</f>
        <v>500</v>
      </c>
      <c r="K382">
        <f>Table2[[#This Row],[Revenue]]-Table2[[#This Row],[Cost]]</f>
        <v>100</v>
      </c>
    </row>
    <row r="383" spans="1:11" x14ac:dyDescent="0.25">
      <c r="A383" t="s">
        <v>535</v>
      </c>
      <c r="B383" t="str">
        <f>_xlfn.XLOOKUP(Table2[[#This Row],[Animal]],Table1[Animal],Table1[Diet],"Not Found",0)</f>
        <v>Omnivore</v>
      </c>
      <c r="C383" s="19">
        <f>_xlfn.XLOOKUP(Table2[[#This Row],[Animal]],Table1[Animal],Table1[Lifespan (Years)],"N/A",0)</f>
        <v>18</v>
      </c>
      <c r="D383" s="17" t="str">
        <f>_xlfn.XLOOKUP(Table2[[#This Row],[Animal]],Table1[Animal],Table1[Lifespan Group],"N/A",0)</f>
        <v>&lt;25</v>
      </c>
      <c r="E383" s="17">
        <f>_xlfn.XLOOKUP(Table2[[#This Row],[Animal]],Table1[Animal],Table1[Weight (lbs)],"N/A",0)</f>
        <v>110</v>
      </c>
      <c r="F383" s="17" t="str">
        <f>_xlfn.XLOOKUP(Table2[[#This Row],[Animal]],Table1[Animal],Table1[Weight Group],"N/A",0)</f>
        <v>100-199</v>
      </c>
      <c r="G383" t="str">
        <f>_xlfn.XLOOKUP(Table2[[#This Row],[Animal]],Table1[Animal],Table1[Region],"N/A",0)</f>
        <v>South Asia</v>
      </c>
      <c r="H383" s="17" t="str">
        <f>_xlfn.XLOOKUP(Table2[[#This Row],[Animal]],Table1[Animal],Table1[Transport],"N/A",0)</f>
        <v>Air</v>
      </c>
      <c r="I383">
        <f>_xlfn.XLOOKUP(Table2[[#This Row],[Animal]],Table1[Animal],Table1[Revenue],"N/A",0)</f>
        <v>450</v>
      </c>
      <c r="J383">
        <f>_xlfn.XLOOKUP(Table2[[#This Row],[Animal]],Table1[Animal],Table1[Cost],"N/A",0)</f>
        <v>400</v>
      </c>
      <c r="K383">
        <f>Table2[[#This Row],[Revenue]]-Table2[[#This Row],[Cost]]</f>
        <v>50</v>
      </c>
    </row>
    <row r="384" spans="1:11" x14ac:dyDescent="0.25">
      <c r="A384" t="s">
        <v>536</v>
      </c>
      <c r="B384" t="str">
        <f>_xlfn.XLOOKUP(Table2[[#This Row],[Animal]],Table1[Animal],Table1[Diet],"Not Found",0)</f>
        <v>Omnivore</v>
      </c>
      <c r="C384" s="19">
        <f>_xlfn.XLOOKUP(Table2[[#This Row],[Animal]],Table1[Animal],Table1[Lifespan (Years)],"N/A",0)</f>
        <v>22</v>
      </c>
      <c r="D384" s="17" t="str">
        <f>_xlfn.XLOOKUP(Table2[[#This Row],[Animal]],Table1[Animal],Table1[Lifespan Group],"N/A",0)</f>
        <v>&lt;25</v>
      </c>
      <c r="E384" s="17">
        <f>_xlfn.XLOOKUP(Table2[[#This Row],[Animal]],Table1[Animal],Table1[Weight (lbs)],"N/A",0)</f>
        <v>0</v>
      </c>
      <c r="F384" s="17" t="str">
        <f>_xlfn.XLOOKUP(Table2[[#This Row],[Animal]],Table1[Animal],Table1[Weight Group],"N/A",0)</f>
        <v>N/A</v>
      </c>
      <c r="G384" t="str">
        <f>_xlfn.XLOOKUP(Table2[[#This Row],[Animal]],Table1[Animal],Table1[Region],"N/A",0)</f>
        <v>Africa &amp; MENA</v>
      </c>
      <c r="H384" s="17" t="str">
        <f>_xlfn.XLOOKUP(Table2[[#This Row],[Animal]],Table1[Animal],Table1[Transport],"N/A",0)</f>
        <v>Air</v>
      </c>
      <c r="I384">
        <f>_xlfn.XLOOKUP(Table2[[#This Row],[Animal]],Table1[Animal],Table1[Revenue],"N/A",0)</f>
        <v>600</v>
      </c>
      <c r="J384">
        <f>_xlfn.XLOOKUP(Table2[[#This Row],[Animal]],Table1[Animal],Table1[Cost],"N/A",0)</f>
        <v>400</v>
      </c>
      <c r="K384">
        <f>Table2[[#This Row],[Revenue]]-Table2[[#This Row],[Cost]]</f>
        <v>200</v>
      </c>
    </row>
    <row r="385" spans="1:11" x14ac:dyDescent="0.25">
      <c r="A385" t="s">
        <v>537</v>
      </c>
      <c r="B385" t="str">
        <f>_xlfn.XLOOKUP(Table2[[#This Row],[Animal]],Table1[Animal],Table1[Diet],"Not Found",0)</f>
        <v>Herbivore</v>
      </c>
      <c r="C385" s="19">
        <f>_xlfn.XLOOKUP(Table2[[#This Row],[Animal]],Table1[Animal],Table1[Lifespan (Years)],"N/A",0)</f>
        <v>25</v>
      </c>
      <c r="D385" s="17" t="str">
        <f>_xlfn.XLOOKUP(Table2[[#This Row],[Animal]],Table1[Animal],Table1[Lifespan Group],"N/A",0)</f>
        <v>25-49</v>
      </c>
      <c r="E385" s="17">
        <f>_xlfn.XLOOKUP(Table2[[#This Row],[Animal]],Table1[Animal],Table1[Weight (lbs)],"N/A",0)</f>
        <v>880</v>
      </c>
      <c r="F385" s="17" t="str">
        <f>_xlfn.XLOOKUP(Table2[[#This Row],[Animal]],Table1[Animal],Table1[Weight Group],"N/A",0)</f>
        <v>&gt;=500</v>
      </c>
      <c r="G385" t="str">
        <f>_xlfn.XLOOKUP(Table2[[#This Row],[Animal]],Table1[Animal],Table1[Region],"N/A",0)</f>
        <v>Europe &amp; Eurasia</v>
      </c>
      <c r="H385" s="17" t="str">
        <f>_xlfn.XLOOKUP(Table2[[#This Row],[Animal]],Table1[Animal],Table1[Transport],"N/A",0)</f>
        <v>Road</v>
      </c>
      <c r="I385">
        <f>_xlfn.XLOOKUP(Table2[[#This Row],[Animal]],Table1[Animal],Table1[Revenue],"N/A",0)</f>
        <v>450</v>
      </c>
      <c r="J385">
        <f>_xlfn.XLOOKUP(Table2[[#This Row],[Animal]],Table1[Animal],Table1[Cost],"N/A",0)</f>
        <v>300</v>
      </c>
      <c r="K385">
        <f>Table2[[#This Row],[Revenue]]-Table2[[#This Row],[Cost]]</f>
        <v>150</v>
      </c>
    </row>
    <row r="386" spans="1:11" x14ac:dyDescent="0.25">
      <c r="A386" t="s">
        <v>538</v>
      </c>
      <c r="B386" t="str">
        <f>_xlfn.XLOOKUP(Table2[[#This Row],[Animal]],Table1[Animal],Table1[Diet],"Not Found",0)</f>
        <v>Omnivore</v>
      </c>
      <c r="C386" s="19">
        <f>_xlfn.XLOOKUP(Table2[[#This Row],[Animal]],Table1[Animal],Table1[Lifespan (Years)],"N/A",0)</f>
        <v>20</v>
      </c>
      <c r="D386" s="17" t="str">
        <f>_xlfn.XLOOKUP(Table2[[#This Row],[Animal]],Table1[Animal],Table1[Lifespan Group],"N/A",0)</f>
        <v>&lt;25</v>
      </c>
      <c r="E386" s="17">
        <f>_xlfn.XLOOKUP(Table2[[#This Row],[Animal]],Table1[Animal],Table1[Weight (lbs)],"N/A",0)</f>
        <v>1.1000000000000001</v>
      </c>
      <c r="F386" s="17" t="str">
        <f>_xlfn.XLOOKUP(Table2[[#This Row],[Animal]],Table1[Animal],Table1[Weight Group],"N/A",0)</f>
        <v>&lt;100</v>
      </c>
      <c r="G386" t="str">
        <f>_xlfn.XLOOKUP(Table2[[#This Row],[Animal]],Table1[Animal],Table1[Region],"N/A",0)</f>
        <v>Asia Pacific</v>
      </c>
      <c r="H386" s="17" t="str">
        <f>_xlfn.XLOOKUP(Table2[[#This Row],[Animal]],Table1[Animal],Table1[Transport],"N/A",0)</f>
        <v>Air</v>
      </c>
      <c r="I386">
        <f>_xlfn.XLOOKUP(Table2[[#This Row],[Animal]],Table1[Animal],Table1[Revenue],"N/A",0)</f>
        <v>700</v>
      </c>
      <c r="J386">
        <f>_xlfn.XLOOKUP(Table2[[#This Row],[Animal]],Table1[Animal],Table1[Cost],"N/A",0)</f>
        <v>400</v>
      </c>
      <c r="K386">
        <f>Table2[[#This Row],[Revenue]]-Table2[[#This Row],[Cost]]</f>
        <v>300</v>
      </c>
    </row>
    <row r="387" spans="1:11" x14ac:dyDescent="0.25">
      <c r="A387" t="s">
        <v>540</v>
      </c>
      <c r="B387" t="str">
        <f>_xlfn.XLOOKUP(Table2[[#This Row],[Animal]],Table1[Animal],Table1[Diet],"Not Found",0)</f>
        <v>Carnivore</v>
      </c>
      <c r="C387" s="19">
        <f>_xlfn.XLOOKUP(Table2[[#This Row],[Animal]],Table1[Animal],Table1[Lifespan (Years)],"N/A",0)</f>
        <v>3</v>
      </c>
      <c r="D387" s="17" t="str">
        <f>_xlfn.XLOOKUP(Table2[[#This Row],[Animal]],Table1[Animal],Table1[Lifespan Group],"N/A",0)</f>
        <v>&lt;25</v>
      </c>
      <c r="E387" s="17">
        <f>_xlfn.XLOOKUP(Table2[[#This Row],[Animal]],Table1[Animal],Table1[Weight (lbs)],"N/A",0)</f>
        <v>0.26250000000000001</v>
      </c>
      <c r="F387" s="17" t="str">
        <f>_xlfn.XLOOKUP(Table2[[#This Row],[Animal]],Table1[Animal],Table1[Weight Group],"N/A",0)</f>
        <v>&lt;100</v>
      </c>
      <c r="G387" t="str">
        <f>_xlfn.XLOOKUP(Table2[[#This Row],[Animal]],Table1[Animal],Table1[Region],"N/A",0)</f>
        <v>Europe &amp; Eurasia</v>
      </c>
      <c r="H387" s="17" t="str">
        <f>_xlfn.XLOOKUP(Table2[[#This Row],[Animal]],Table1[Animal],Table1[Transport],"N/A",0)</f>
        <v>Road</v>
      </c>
      <c r="I387">
        <f>_xlfn.XLOOKUP(Table2[[#This Row],[Animal]],Table1[Animal],Table1[Revenue],"N/A",0)</f>
        <v>450</v>
      </c>
      <c r="J387">
        <f>_xlfn.XLOOKUP(Table2[[#This Row],[Animal]],Table1[Animal],Table1[Cost],"N/A",0)</f>
        <v>500</v>
      </c>
      <c r="K387">
        <f>Table2[[#This Row],[Revenue]]-Table2[[#This Row],[Cost]]</f>
        <v>-50</v>
      </c>
    </row>
    <row r="388" spans="1:11" x14ac:dyDescent="0.25">
      <c r="A388" t="s">
        <v>541</v>
      </c>
      <c r="B388" t="str">
        <f>_xlfn.XLOOKUP(Table2[[#This Row],[Animal]],Table1[Animal],Table1[Diet],"Not Found",0)</f>
        <v>Omnivore</v>
      </c>
      <c r="C388" s="19">
        <f>_xlfn.XLOOKUP(Table2[[#This Row],[Animal]],Table1[Animal],Table1[Lifespan (Years)],"N/A",0)</f>
        <v>13</v>
      </c>
      <c r="D388" s="17" t="str">
        <f>_xlfn.XLOOKUP(Table2[[#This Row],[Animal]],Table1[Animal],Table1[Lifespan Group],"N/A",0)</f>
        <v>&lt;25</v>
      </c>
      <c r="E388" s="17">
        <f>_xlfn.XLOOKUP(Table2[[#This Row],[Animal]],Table1[Animal],Table1[Weight (lbs)],"N/A",0)</f>
        <v>30</v>
      </c>
      <c r="F388" s="17" t="str">
        <f>_xlfn.XLOOKUP(Table2[[#This Row],[Animal]],Table1[Animal],Table1[Weight Group],"N/A",0)</f>
        <v>&lt;100</v>
      </c>
      <c r="G388" t="str">
        <f>_xlfn.XLOOKUP(Table2[[#This Row],[Animal]],Table1[Animal],Table1[Region],"N/A",0)</f>
        <v>Europe &amp; Eurasia</v>
      </c>
      <c r="H388" s="17" t="str">
        <f>_xlfn.XLOOKUP(Table2[[#This Row],[Animal]],Table1[Animal],Table1[Transport],"N/A",0)</f>
        <v>Road</v>
      </c>
      <c r="I388">
        <f>_xlfn.XLOOKUP(Table2[[#This Row],[Animal]],Table1[Animal],Table1[Revenue],"N/A",0)</f>
        <v>450</v>
      </c>
      <c r="J388">
        <f>_xlfn.XLOOKUP(Table2[[#This Row],[Animal]],Table1[Animal],Table1[Cost],"N/A",0)</f>
        <v>400</v>
      </c>
      <c r="K388">
        <f>Table2[[#This Row],[Revenue]]-Table2[[#This Row],[Cost]]</f>
        <v>50</v>
      </c>
    </row>
    <row r="389" spans="1:11" x14ac:dyDescent="0.25">
      <c r="A389" t="s">
        <v>543</v>
      </c>
      <c r="B389" t="str">
        <f>_xlfn.XLOOKUP(Table2[[#This Row],[Animal]],Table1[Animal],Table1[Diet],"Not Found",0)</f>
        <v>Herbivore</v>
      </c>
      <c r="C389" s="19">
        <f>_xlfn.XLOOKUP(Table2[[#This Row],[Animal]],Table1[Animal],Table1[Lifespan (Years)],"N/A",0)</f>
        <v>50</v>
      </c>
      <c r="D389" s="17" t="str">
        <f>_xlfn.XLOOKUP(Table2[[#This Row],[Animal]],Table1[Animal],Table1[Lifespan Group],"N/A",0)</f>
        <v>50-74</v>
      </c>
      <c r="E389" s="17">
        <f>_xlfn.XLOOKUP(Table2[[#This Row],[Animal]],Table1[Animal],Table1[Weight (lbs)],"N/A",0)</f>
        <v>220</v>
      </c>
      <c r="F389" s="17" t="str">
        <f>_xlfn.XLOOKUP(Table2[[#This Row],[Animal]],Table1[Animal],Table1[Weight Group],"N/A",0)</f>
        <v>200-299</v>
      </c>
      <c r="G389" t="str">
        <f>_xlfn.XLOOKUP(Table2[[#This Row],[Animal]],Table1[Animal],Table1[Region],"N/A",0)</f>
        <v>South Asia</v>
      </c>
      <c r="H389" s="17" t="str">
        <f>_xlfn.XLOOKUP(Table2[[#This Row],[Animal]],Table1[Animal],Table1[Transport],"N/A",0)</f>
        <v>Air</v>
      </c>
      <c r="I389">
        <f>_xlfn.XLOOKUP(Table2[[#This Row],[Animal]],Table1[Animal],Table1[Revenue],"N/A",0)</f>
        <v>450</v>
      </c>
      <c r="J389">
        <f>_xlfn.XLOOKUP(Table2[[#This Row],[Animal]],Table1[Animal],Table1[Cost],"N/A",0)</f>
        <v>300</v>
      </c>
      <c r="K389">
        <f>Table2[[#This Row],[Revenue]]-Table2[[#This Row],[Cost]]</f>
        <v>150</v>
      </c>
    </row>
    <row r="390" spans="1:11" x14ac:dyDescent="0.25">
      <c r="A390" t="s">
        <v>545</v>
      </c>
      <c r="B390" t="str">
        <f>_xlfn.XLOOKUP(Table2[[#This Row],[Animal]],Table1[Animal],Table1[Diet],"Not Found",0)</f>
        <v>Omnivore</v>
      </c>
      <c r="C390" s="19">
        <f>_xlfn.XLOOKUP(Table2[[#This Row],[Animal]],Table1[Animal],Table1[Lifespan (Years)],"N/A",0)</f>
        <v>15</v>
      </c>
      <c r="D390" s="17" t="str">
        <f>_xlfn.XLOOKUP(Table2[[#This Row],[Animal]],Table1[Animal],Table1[Lifespan Group],"N/A",0)</f>
        <v>&lt;25</v>
      </c>
      <c r="E390" s="17">
        <f>_xlfn.XLOOKUP(Table2[[#This Row],[Animal]],Table1[Animal],Table1[Weight (lbs)],"N/A",0)</f>
        <v>28</v>
      </c>
      <c r="F390" s="17" t="str">
        <f>_xlfn.XLOOKUP(Table2[[#This Row],[Animal]],Table1[Animal],Table1[Weight Group],"N/A",0)</f>
        <v>&lt;100</v>
      </c>
      <c r="G390" t="str">
        <f>_xlfn.XLOOKUP(Table2[[#This Row],[Animal]],Table1[Animal],Table1[Region],"N/A",0)</f>
        <v>North America</v>
      </c>
      <c r="H390" s="17" t="str">
        <f>_xlfn.XLOOKUP(Table2[[#This Row],[Animal]],Table1[Animal],Table1[Transport],"N/A",0)</f>
        <v>Boat</v>
      </c>
      <c r="I390">
        <f>_xlfn.XLOOKUP(Table2[[#This Row],[Animal]],Table1[Animal],Table1[Revenue],"N/A",0)</f>
        <v>400</v>
      </c>
      <c r="J390">
        <f>_xlfn.XLOOKUP(Table2[[#This Row],[Animal]],Table1[Animal],Table1[Cost],"N/A",0)</f>
        <v>400</v>
      </c>
      <c r="K390">
        <f>Table2[[#This Row],[Revenue]]-Table2[[#This Row],[Cost]]</f>
        <v>0</v>
      </c>
    </row>
    <row r="391" spans="1:11" x14ac:dyDescent="0.25">
      <c r="A391" t="s">
        <v>546</v>
      </c>
      <c r="B391" t="str">
        <f>_xlfn.XLOOKUP(Table2[[#This Row],[Animal]],Table1[Animal],Table1[Diet],"Not Found",0)</f>
        <v>Herbivore</v>
      </c>
      <c r="C391" s="19">
        <f>_xlfn.XLOOKUP(Table2[[#This Row],[Animal]],Table1[Animal],Table1[Lifespan (Years)],"N/A",0)</f>
        <v>50</v>
      </c>
      <c r="D391" s="17" t="str">
        <f>_xlfn.XLOOKUP(Table2[[#This Row],[Animal]],Table1[Animal],Table1[Lifespan Group],"N/A",0)</f>
        <v>50-74</v>
      </c>
      <c r="E391" s="17">
        <f>_xlfn.XLOOKUP(Table2[[#This Row],[Animal]],Table1[Animal],Table1[Weight (lbs)],"N/A",0)</f>
        <v>3168</v>
      </c>
      <c r="F391" s="17" t="str">
        <f>_xlfn.XLOOKUP(Table2[[#This Row],[Animal]],Table1[Animal],Table1[Weight Group],"N/A",0)</f>
        <v>&gt;=500</v>
      </c>
      <c r="G391" t="str">
        <f>_xlfn.XLOOKUP(Table2[[#This Row],[Animal]],Table1[Animal],Table1[Region],"N/A",0)</f>
        <v>North America</v>
      </c>
      <c r="H391" s="17" t="str">
        <f>_xlfn.XLOOKUP(Table2[[#This Row],[Animal]],Table1[Animal],Table1[Transport],"N/A",0)</f>
        <v>Boat</v>
      </c>
      <c r="I391">
        <f>_xlfn.XLOOKUP(Table2[[#This Row],[Animal]],Table1[Animal],Table1[Revenue],"N/A",0)</f>
        <v>400</v>
      </c>
      <c r="J391">
        <f>_xlfn.XLOOKUP(Table2[[#This Row],[Animal]],Table1[Animal],Table1[Cost],"N/A",0)</f>
        <v>300</v>
      </c>
      <c r="K391">
        <f>Table2[[#This Row],[Revenue]]-Table2[[#This Row],[Cost]]</f>
        <v>100</v>
      </c>
    </row>
    <row r="392" spans="1:11" x14ac:dyDescent="0.25">
      <c r="A392" t="s">
        <v>547</v>
      </c>
      <c r="B392" t="str">
        <f>_xlfn.XLOOKUP(Table2[[#This Row],[Animal]],Table1[Animal],Table1[Diet],"Not Found",0)</f>
        <v>Carnivore</v>
      </c>
      <c r="C392" s="19">
        <f>_xlfn.XLOOKUP(Table2[[#This Row],[Animal]],Table1[Animal],Table1[Lifespan (Years)],"N/A",0)</f>
        <v>20</v>
      </c>
      <c r="D392" s="17" t="str">
        <f>_xlfn.XLOOKUP(Table2[[#This Row],[Animal]],Table1[Animal],Table1[Lifespan Group],"N/A",0)</f>
        <v>&lt;25</v>
      </c>
      <c r="E392" s="17">
        <f>_xlfn.XLOOKUP(Table2[[#This Row],[Animal]],Table1[Animal],Table1[Weight (lbs)],"N/A",0)</f>
        <v>309</v>
      </c>
      <c r="F392" s="17" t="str">
        <f>_xlfn.XLOOKUP(Table2[[#This Row],[Animal]],Table1[Animal],Table1[Weight Group],"N/A",0)</f>
        <v>300-399</v>
      </c>
      <c r="G392" t="str">
        <f>_xlfn.XLOOKUP(Table2[[#This Row],[Animal]],Table1[Animal],Table1[Region],"N/A",0)</f>
        <v>Europe &amp; Eurasia</v>
      </c>
      <c r="H392" s="17" t="str">
        <f>_xlfn.XLOOKUP(Table2[[#This Row],[Animal]],Table1[Animal],Table1[Transport],"N/A",0)</f>
        <v>Road</v>
      </c>
      <c r="I392">
        <f>_xlfn.XLOOKUP(Table2[[#This Row],[Animal]],Table1[Animal],Table1[Revenue],"N/A",0)</f>
        <v>450</v>
      </c>
      <c r="J392">
        <f>_xlfn.XLOOKUP(Table2[[#This Row],[Animal]],Table1[Animal],Table1[Cost],"N/A",0)</f>
        <v>500</v>
      </c>
      <c r="K392">
        <f>Table2[[#This Row],[Revenue]]-Table2[[#This Row],[Cost]]</f>
        <v>-50</v>
      </c>
    </row>
    <row r="393" spans="1:11" x14ac:dyDescent="0.25">
      <c r="A393" t="s">
        <v>548</v>
      </c>
      <c r="B393" t="str">
        <f>_xlfn.XLOOKUP(Table2[[#This Row],[Animal]],Table1[Animal],Table1[Diet],"Not Found",0)</f>
        <v>Omnivore</v>
      </c>
      <c r="C393" s="19">
        <f>_xlfn.XLOOKUP(Table2[[#This Row],[Animal]],Table1[Animal],Table1[Lifespan (Years)],"N/A",0)</f>
        <v>20</v>
      </c>
      <c r="D393" s="17" t="str">
        <f>_xlfn.XLOOKUP(Table2[[#This Row],[Animal]],Table1[Animal],Table1[Lifespan Group],"N/A",0)</f>
        <v>&lt;25</v>
      </c>
      <c r="E393" s="17">
        <f>_xlfn.XLOOKUP(Table2[[#This Row],[Animal]],Table1[Animal],Table1[Weight (lbs)],"N/A",0)</f>
        <v>176</v>
      </c>
      <c r="F393" s="17" t="str">
        <f>_xlfn.XLOOKUP(Table2[[#This Row],[Animal]],Table1[Animal],Table1[Weight Group],"N/A",0)</f>
        <v>100-199</v>
      </c>
      <c r="G393" t="str">
        <f>_xlfn.XLOOKUP(Table2[[#This Row],[Animal]],Table1[Animal],Table1[Region],"N/A",0)</f>
        <v>North America</v>
      </c>
      <c r="H393" s="17" t="str">
        <f>_xlfn.XLOOKUP(Table2[[#This Row],[Animal]],Table1[Animal],Table1[Transport],"N/A",0)</f>
        <v>Boat</v>
      </c>
      <c r="I393">
        <f>_xlfn.XLOOKUP(Table2[[#This Row],[Animal]],Table1[Animal],Table1[Revenue],"N/A",0)</f>
        <v>400</v>
      </c>
      <c r="J393">
        <f>_xlfn.XLOOKUP(Table2[[#This Row],[Animal]],Table1[Animal],Table1[Cost],"N/A",0)</f>
        <v>400</v>
      </c>
      <c r="K393">
        <f>Table2[[#This Row],[Revenue]]-Table2[[#This Row],[Cost]]</f>
        <v>0</v>
      </c>
    </row>
    <row r="394" spans="1:11" x14ac:dyDescent="0.25">
      <c r="A394" t="s">
        <v>549</v>
      </c>
      <c r="B394" t="str">
        <f>_xlfn.XLOOKUP(Table2[[#This Row],[Animal]],Table1[Animal],Table1[Diet],"Not Found",0)</f>
        <v>Herbivore</v>
      </c>
      <c r="C394" s="19">
        <f>_xlfn.XLOOKUP(Table2[[#This Row],[Animal]],Table1[Animal],Table1[Lifespan (Years)],"N/A",0)</f>
        <v>20</v>
      </c>
      <c r="D394" s="17" t="str">
        <f>_xlfn.XLOOKUP(Table2[[#This Row],[Animal]],Table1[Animal],Table1[Lifespan Group],"N/A",0)</f>
        <v>&lt;25</v>
      </c>
      <c r="E394" s="17">
        <f>_xlfn.XLOOKUP(Table2[[#This Row],[Animal]],Table1[Animal],Table1[Weight (lbs)],"N/A",0)</f>
        <v>265</v>
      </c>
      <c r="F394" s="17" t="str">
        <f>_xlfn.XLOOKUP(Table2[[#This Row],[Animal]],Table1[Animal],Table1[Weight Group],"N/A",0)</f>
        <v>200-299</v>
      </c>
      <c r="G394" t="str">
        <f>_xlfn.XLOOKUP(Table2[[#This Row],[Animal]],Table1[Animal],Table1[Region],"N/A",0)</f>
        <v>North America</v>
      </c>
      <c r="H394" s="17" t="str">
        <f>_xlfn.XLOOKUP(Table2[[#This Row],[Animal]],Table1[Animal],Table1[Transport],"N/A",0)</f>
        <v>Boat</v>
      </c>
      <c r="I394">
        <f>_xlfn.XLOOKUP(Table2[[#This Row],[Animal]],Table1[Animal],Table1[Revenue],"N/A",0)</f>
        <v>400</v>
      </c>
      <c r="J394">
        <f>_xlfn.XLOOKUP(Table2[[#This Row],[Animal]],Table1[Animal],Table1[Cost],"N/A",0)</f>
        <v>300</v>
      </c>
      <c r="K394">
        <f>Table2[[#This Row],[Revenue]]-Table2[[#This Row],[Cost]]</f>
        <v>100</v>
      </c>
    </row>
    <row r="395" spans="1:11" x14ac:dyDescent="0.25">
      <c r="A395" t="s">
        <v>550</v>
      </c>
      <c r="B395" t="str">
        <f>_xlfn.XLOOKUP(Table2[[#This Row],[Animal]],Table1[Animal],Table1[Diet],"Not Found",0)</f>
        <v>Carnivore</v>
      </c>
      <c r="C395" s="19">
        <f>_xlfn.XLOOKUP(Table2[[#This Row],[Animal]],Table1[Animal],Table1[Lifespan (Years)],"N/A",0)</f>
        <v>12</v>
      </c>
      <c r="D395" s="17" t="str">
        <f>_xlfn.XLOOKUP(Table2[[#This Row],[Animal]],Table1[Animal],Table1[Lifespan Group],"N/A",0)</f>
        <v>&lt;25</v>
      </c>
      <c r="E395" s="17">
        <f>_xlfn.XLOOKUP(Table2[[#This Row],[Animal]],Table1[Animal],Table1[Weight (lbs)],"N/A",0)</f>
        <v>55</v>
      </c>
      <c r="F395" s="17" t="str">
        <f>_xlfn.XLOOKUP(Table2[[#This Row],[Animal]],Table1[Animal],Table1[Weight Group],"N/A",0)</f>
        <v>&lt;100</v>
      </c>
      <c r="G395" t="str">
        <f>_xlfn.XLOOKUP(Table2[[#This Row],[Animal]],Table1[Animal],Table1[Region],"N/A",0)</f>
        <v>North America</v>
      </c>
      <c r="H395" s="17" t="str">
        <f>_xlfn.XLOOKUP(Table2[[#This Row],[Animal]],Table1[Animal],Table1[Transport],"N/A",0)</f>
        <v>Boat</v>
      </c>
      <c r="I395">
        <f>_xlfn.XLOOKUP(Table2[[#This Row],[Animal]],Table1[Animal],Table1[Revenue],"N/A",0)</f>
        <v>400</v>
      </c>
      <c r="J395">
        <f>_xlfn.XLOOKUP(Table2[[#This Row],[Animal]],Table1[Animal],Table1[Cost],"N/A",0)</f>
        <v>500</v>
      </c>
      <c r="K395">
        <f>Table2[[#This Row],[Revenue]]-Table2[[#This Row],[Cost]]</f>
        <v>-100</v>
      </c>
    </row>
    <row r="396" spans="1:11" x14ac:dyDescent="0.25">
      <c r="A396" t="s">
        <v>551</v>
      </c>
      <c r="B396" t="str">
        <f>_xlfn.XLOOKUP(Table2[[#This Row],[Animal]],Table1[Animal],Table1[Diet],"Not Found",0)</f>
        <v>Carnivore</v>
      </c>
      <c r="C396" s="19">
        <f>_xlfn.XLOOKUP(Table2[[#This Row],[Animal]],Table1[Animal],Table1[Lifespan (Years)],"N/A",0)</f>
        <v>15</v>
      </c>
      <c r="D396" s="17" t="str">
        <f>_xlfn.XLOOKUP(Table2[[#This Row],[Animal]],Table1[Animal],Table1[Lifespan Group],"N/A",0)</f>
        <v>&lt;25</v>
      </c>
      <c r="E396" s="17">
        <f>_xlfn.XLOOKUP(Table2[[#This Row],[Animal]],Table1[Animal],Table1[Weight (lbs)],"N/A",0)</f>
        <v>22</v>
      </c>
      <c r="F396" s="17" t="str">
        <f>_xlfn.XLOOKUP(Table2[[#This Row],[Animal]],Table1[Animal],Table1[Weight Group],"N/A",0)</f>
        <v>&lt;100</v>
      </c>
      <c r="G396" t="str">
        <f>_xlfn.XLOOKUP(Table2[[#This Row],[Animal]],Table1[Animal],Table1[Region],"N/A",0)</f>
        <v>Africa &amp; MENA</v>
      </c>
      <c r="H396" s="17" t="str">
        <f>_xlfn.XLOOKUP(Table2[[#This Row],[Animal]],Table1[Animal],Table1[Transport],"N/A",0)</f>
        <v>Air</v>
      </c>
      <c r="I396">
        <f>_xlfn.XLOOKUP(Table2[[#This Row],[Animal]],Table1[Animal],Table1[Revenue],"N/A",0)</f>
        <v>600</v>
      </c>
      <c r="J396">
        <f>_xlfn.XLOOKUP(Table2[[#This Row],[Animal]],Table1[Animal],Table1[Cost],"N/A",0)</f>
        <v>500</v>
      </c>
      <c r="K396">
        <f>Table2[[#This Row],[Revenue]]-Table2[[#This Row],[Cost]]</f>
        <v>100</v>
      </c>
    </row>
    <row r="397" spans="1:11" x14ac:dyDescent="0.25">
      <c r="A397" t="s">
        <v>553</v>
      </c>
      <c r="B397" t="str">
        <f>_xlfn.XLOOKUP(Table2[[#This Row],[Animal]],Table1[Animal],Table1[Diet],"Not Found",0)</f>
        <v>Herbivore</v>
      </c>
      <c r="C397" s="19">
        <f>_xlfn.XLOOKUP(Table2[[#This Row],[Animal]],Table1[Animal],Table1[Lifespan (Years)],"N/A",0)</f>
        <v>2</v>
      </c>
      <c r="D397" s="17" t="str">
        <f>_xlfn.XLOOKUP(Table2[[#This Row],[Animal]],Table1[Animal],Table1[Lifespan Group],"N/A",0)</f>
        <v>&lt;25</v>
      </c>
      <c r="E397" s="17">
        <f>_xlfn.XLOOKUP(Table2[[#This Row],[Animal]],Table1[Animal],Table1[Weight (lbs)],"N/A",0)</f>
        <v>0</v>
      </c>
      <c r="F397" s="17" t="str">
        <f>_xlfn.XLOOKUP(Table2[[#This Row],[Animal]],Table1[Animal],Table1[Weight Group],"N/A",0)</f>
        <v>N/A</v>
      </c>
      <c r="G397" t="str">
        <f>_xlfn.XLOOKUP(Table2[[#This Row],[Animal]],Table1[Animal],Table1[Region],"N/A",0)</f>
        <v>Europe &amp; Eurasia</v>
      </c>
      <c r="H397" s="17" t="str">
        <f>_xlfn.XLOOKUP(Table2[[#This Row],[Animal]],Table1[Animal],Table1[Transport],"N/A",0)</f>
        <v>Road</v>
      </c>
      <c r="I397">
        <f>_xlfn.XLOOKUP(Table2[[#This Row],[Animal]],Table1[Animal],Table1[Revenue],"N/A",0)</f>
        <v>450</v>
      </c>
      <c r="J397">
        <f>_xlfn.XLOOKUP(Table2[[#This Row],[Animal]],Table1[Animal],Table1[Cost],"N/A",0)</f>
        <v>300</v>
      </c>
      <c r="K397">
        <f>Table2[[#This Row],[Revenue]]-Table2[[#This Row],[Cost]]</f>
        <v>150</v>
      </c>
    </row>
    <row r="398" spans="1:11" x14ac:dyDescent="0.25">
      <c r="A398" t="s">
        <v>554</v>
      </c>
      <c r="B398" t="str">
        <f>_xlfn.XLOOKUP(Table2[[#This Row],[Animal]],Table1[Animal],Table1[Diet],"Not Found",0)</f>
        <v>Omnivore</v>
      </c>
      <c r="C398" s="19">
        <f>_xlfn.XLOOKUP(Table2[[#This Row],[Animal]],Table1[Animal],Table1[Lifespan (Years)],"N/A",0)</f>
        <v>11</v>
      </c>
      <c r="D398" s="17" t="str">
        <f>_xlfn.XLOOKUP(Table2[[#This Row],[Animal]],Table1[Animal],Table1[Lifespan Group],"N/A",0)</f>
        <v>&lt;25</v>
      </c>
      <c r="E398" s="17">
        <f>_xlfn.XLOOKUP(Table2[[#This Row],[Animal]],Table1[Animal],Table1[Weight (lbs)],"N/A",0)</f>
        <v>1.2500000000000001E-2</v>
      </c>
      <c r="F398" s="17" t="str">
        <f>_xlfn.XLOOKUP(Table2[[#This Row],[Animal]],Table1[Animal],Table1[Weight Group],"N/A",0)</f>
        <v>&lt;100</v>
      </c>
      <c r="G398" t="str">
        <f>_xlfn.XLOOKUP(Table2[[#This Row],[Animal]],Table1[Animal],Table1[Region],"N/A",0)</f>
        <v>Japan</v>
      </c>
      <c r="H398" s="17" t="str">
        <f>_xlfn.XLOOKUP(Table2[[#This Row],[Animal]],Table1[Animal],Table1[Transport],"N/A",0)</f>
        <v>Air</v>
      </c>
      <c r="I398">
        <f>_xlfn.XLOOKUP(Table2[[#This Row],[Animal]],Table1[Animal],Table1[Revenue],"N/A",0)</f>
        <v>350</v>
      </c>
      <c r="J398">
        <f>_xlfn.XLOOKUP(Table2[[#This Row],[Animal]],Table1[Animal],Table1[Cost],"N/A",0)</f>
        <v>400</v>
      </c>
      <c r="K398">
        <f>Table2[[#This Row],[Revenue]]-Table2[[#This Row],[Cost]]</f>
        <v>-50</v>
      </c>
    </row>
    <row r="399" spans="1:11" x14ac:dyDescent="0.25">
      <c r="A399" t="s">
        <v>555</v>
      </c>
      <c r="B399" t="str">
        <f>_xlfn.XLOOKUP(Table2[[#This Row],[Animal]],Table1[Animal],Table1[Diet],"Not Found",0)</f>
        <v>Carnivore</v>
      </c>
      <c r="C399" s="19">
        <f>_xlfn.XLOOKUP(Table2[[#This Row],[Animal]],Table1[Animal],Table1[Lifespan (Years)],"N/A",0)</f>
        <v>10</v>
      </c>
      <c r="D399" s="17" t="str">
        <f>_xlfn.XLOOKUP(Table2[[#This Row],[Animal]],Table1[Animal],Table1[Lifespan Group],"N/A",0)</f>
        <v>&lt;25</v>
      </c>
      <c r="E399" s="17">
        <f>_xlfn.XLOOKUP(Table2[[#This Row],[Animal]],Table1[Animal],Table1[Weight (lbs)],"N/A",0)</f>
        <v>0</v>
      </c>
      <c r="F399" s="17" t="str">
        <f>_xlfn.XLOOKUP(Table2[[#This Row],[Animal]],Table1[Animal],Table1[Weight Group],"N/A",0)</f>
        <v>N/A</v>
      </c>
      <c r="G399" t="str">
        <f>_xlfn.XLOOKUP(Table2[[#This Row],[Animal]],Table1[Animal],Table1[Region],"N/A",0)</f>
        <v>Europe &amp; Eurasia</v>
      </c>
      <c r="H399" s="17" t="str">
        <f>_xlfn.XLOOKUP(Table2[[#This Row],[Animal]],Table1[Animal],Table1[Transport],"N/A",0)</f>
        <v>Road</v>
      </c>
      <c r="I399">
        <f>_xlfn.XLOOKUP(Table2[[#This Row],[Animal]],Table1[Animal],Table1[Revenue],"N/A",0)</f>
        <v>450</v>
      </c>
      <c r="J399">
        <f>_xlfn.XLOOKUP(Table2[[#This Row],[Animal]],Table1[Animal],Table1[Cost],"N/A",0)</f>
        <v>500</v>
      </c>
      <c r="K399">
        <f>Table2[[#This Row],[Revenue]]-Table2[[#This Row],[Cost]]</f>
        <v>-50</v>
      </c>
    </row>
    <row r="400" spans="1:11" x14ac:dyDescent="0.25">
      <c r="A400" t="s">
        <v>557</v>
      </c>
      <c r="B400" t="str">
        <f>_xlfn.XLOOKUP(Table2[[#This Row],[Animal]],Table1[Animal],Table1[Diet],"Not Found",0)</f>
        <v>Omnivore</v>
      </c>
      <c r="C400" s="19">
        <f>_xlfn.XLOOKUP(Table2[[#This Row],[Animal]],Table1[Animal],Table1[Lifespan (Years)],"N/A",0)</f>
        <v>15</v>
      </c>
      <c r="D400" s="17" t="str">
        <f>_xlfn.XLOOKUP(Table2[[#This Row],[Animal]],Table1[Animal],Table1[Lifespan Group],"N/A",0)</f>
        <v>&lt;25</v>
      </c>
      <c r="E400" s="17">
        <f>_xlfn.XLOOKUP(Table2[[#This Row],[Animal]],Table1[Animal],Table1[Weight (lbs)],"N/A",0)</f>
        <v>7</v>
      </c>
      <c r="F400" s="17" t="str">
        <f>_xlfn.XLOOKUP(Table2[[#This Row],[Animal]],Table1[Animal],Table1[Weight Group],"N/A",0)</f>
        <v>&lt;100</v>
      </c>
      <c r="G400" t="str">
        <f>_xlfn.XLOOKUP(Table2[[#This Row],[Animal]],Table1[Animal],Table1[Region],"N/A",0)</f>
        <v>Africa &amp; MENA</v>
      </c>
      <c r="H400" s="17" t="str">
        <f>_xlfn.XLOOKUP(Table2[[#This Row],[Animal]],Table1[Animal],Table1[Transport],"N/A",0)</f>
        <v>Air</v>
      </c>
      <c r="I400">
        <f>_xlfn.XLOOKUP(Table2[[#This Row],[Animal]],Table1[Animal],Table1[Revenue],"N/A",0)</f>
        <v>600</v>
      </c>
      <c r="J400">
        <f>_xlfn.XLOOKUP(Table2[[#This Row],[Animal]],Table1[Animal],Table1[Cost],"N/A",0)</f>
        <v>400</v>
      </c>
      <c r="K400">
        <f>Table2[[#This Row],[Revenue]]-Table2[[#This Row],[Cost]]</f>
        <v>200</v>
      </c>
    </row>
    <row r="401" spans="1:11" x14ac:dyDescent="0.25">
      <c r="A401" t="s">
        <v>558</v>
      </c>
      <c r="B401" t="str">
        <f>_xlfn.XLOOKUP(Table2[[#This Row],[Animal]],Table1[Animal],Table1[Diet],"Not Found",0)</f>
        <v>Herbivore</v>
      </c>
      <c r="C401" s="19">
        <f>_xlfn.XLOOKUP(Table2[[#This Row],[Animal]],Table1[Animal],Table1[Lifespan (Years)],"N/A",0)</f>
        <v>30</v>
      </c>
      <c r="D401" s="17" t="str">
        <f>_xlfn.XLOOKUP(Table2[[#This Row],[Animal]],Table1[Animal],Table1[Lifespan Group],"N/A",0)</f>
        <v>25-49</v>
      </c>
      <c r="E401" s="17">
        <f>_xlfn.XLOOKUP(Table2[[#This Row],[Animal]],Table1[Animal],Table1[Weight (lbs)],"N/A",0)</f>
        <v>485</v>
      </c>
      <c r="F401" s="17" t="str">
        <f>_xlfn.XLOOKUP(Table2[[#This Row],[Animal]],Table1[Animal],Table1[Weight Group],"N/A",0)</f>
        <v>400-499</v>
      </c>
      <c r="G401" t="str">
        <f>_xlfn.XLOOKUP(Table2[[#This Row],[Animal]],Table1[Animal],Table1[Region],"N/A",0)</f>
        <v>South Asia</v>
      </c>
      <c r="H401" s="17" t="str">
        <f>_xlfn.XLOOKUP(Table2[[#This Row],[Animal]],Table1[Animal],Table1[Transport],"N/A",0)</f>
        <v>Air</v>
      </c>
      <c r="I401">
        <f>_xlfn.XLOOKUP(Table2[[#This Row],[Animal]],Table1[Animal],Table1[Revenue],"N/A",0)</f>
        <v>450</v>
      </c>
      <c r="J401">
        <f>_xlfn.XLOOKUP(Table2[[#This Row],[Animal]],Table1[Animal],Table1[Cost],"N/A",0)</f>
        <v>300</v>
      </c>
      <c r="K401">
        <f>Table2[[#This Row],[Revenue]]-Table2[[#This Row],[Cost]]</f>
        <v>150</v>
      </c>
    </row>
    <row r="402" spans="1:11" x14ac:dyDescent="0.25">
      <c r="A402" t="s">
        <v>559</v>
      </c>
      <c r="B402" t="str">
        <f>_xlfn.XLOOKUP(Table2[[#This Row],[Animal]],Table1[Animal],Table1[Diet],"Not Found",0)</f>
        <v>Herbivore</v>
      </c>
      <c r="C402" s="19">
        <f>_xlfn.XLOOKUP(Table2[[#This Row],[Animal]],Table1[Animal],Table1[Lifespan (Years)],"N/A",0)</f>
        <v>16</v>
      </c>
      <c r="D402" s="17" t="str">
        <f>_xlfn.XLOOKUP(Table2[[#This Row],[Animal]],Table1[Animal],Table1[Lifespan Group],"N/A",0)</f>
        <v>&lt;25</v>
      </c>
      <c r="E402" s="17">
        <f>_xlfn.XLOOKUP(Table2[[#This Row],[Animal]],Table1[Animal],Table1[Weight (lbs)],"N/A",0)</f>
        <v>331</v>
      </c>
      <c r="F402" s="17" t="str">
        <f>_xlfn.XLOOKUP(Table2[[#This Row],[Animal]],Table1[Animal],Table1[Weight Group],"N/A",0)</f>
        <v>300-399</v>
      </c>
      <c r="G402" t="str">
        <f>_xlfn.XLOOKUP(Table2[[#This Row],[Animal]],Table1[Animal],Table1[Region],"N/A",0)</f>
        <v>Latin America</v>
      </c>
      <c r="H402" s="17" t="str">
        <f>_xlfn.XLOOKUP(Table2[[#This Row],[Animal]],Table1[Animal],Table1[Transport],"N/A",0)</f>
        <v>Boat</v>
      </c>
      <c r="I402">
        <f>_xlfn.XLOOKUP(Table2[[#This Row],[Animal]],Table1[Animal],Table1[Revenue],"N/A",0)</f>
        <v>200</v>
      </c>
      <c r="J402">
        <f>_xlfn.XLOOKUP(Table2[[#This Row],[Animal]],Table1[Animal],Table1[Cost],"N/A",0)</f>
        <v>300</v>
      </c>
      <c r="K402">
        <f>Table2[[#This Row],[Revenue]]-Table2[[#This Row],[Cost]]</f>
        <v>-100</v>
      </c>
    </row>
    <row r="403" spans="1:11" x14ac:dyDescent="0.25">
      <c r="A403" t="s">
        <v>560</v>
      </c>
      <c r="B403" t="str">
        <f>_xlfn.XLOOKUP(Table2[[#This Row],[Animal]],Table1[Animal],Table1[Diet],"Not Found",0)</f>
        <v>Herbivore</v>
      </c>
      <c r="C403" s="19">
        <f>_xlfn.XLOOKUP(Table2[[#This Row],[Animal]],Table1[Animal],Table1[Lifespan (Years)],"N/A",0)</f>
        <v>25</v>
      </c>
      <c r="D403" s="17" t="str">
        <f>_xlfn.XLOOKUP(Table2[[#This Row],[Animal]],Table1[Animal],Table1[Lifespan Group],"N/A",0)</f>
        <v>25-49</v>
      </c>
      <c r="E403" s="17">
        <f>_xlfn.XLOOKUP(Table2[[#This Row],[Animal]],Table1[Animal],Table1[Weight (lbs)],"N/A",0)</f>
        <v>500</v>
      </c>
      <c r="F403" s="17" t="str">
        <f>_xlfn.XLOOKUP(Table2[[#This Row],[Animal]],Table1[Animal],Table1[Weight Group],"N/A",0)</f>
        <v>&gt;=500</v>
      </c>
      <c r="G403" t="str">
        <f>_xlfn.XLOOKUP(Table2[[#This Row],[Animal]],Table1[Animal],Table1[Region],"N/A",0)</f>
        <v>Europe &amp; Eurasia</v>
      </c>
      <c r="H403" s="17" t="str">
        <f>_xlfn.XLOOKUP(Table2[[#This Row],[Animal]],Table1[Animal],Table1[Transport],"N/A",0)</f>
        <v>Road</v>
      </c>
      <c r="I403">
        <f>_xlfn.XLOOKUP(Table2[[#This Row],[Animal]],Table1[Animal],Table1[Revenue],"N/A",0)</f>
        <v>450</v>
      </c>
      <c r="J403">
        <f>_xlfn.XLOOKUP(Table2[[#This Row],[Animal]],Table1[Animal],Table1[Cost],"N/A",0)</f>
        <v>300</v>
      </c>
      <c r="K403">
        <f>Table2[[#This Row],[Revenue]]-Table2[[#This Row],[Cost]]</f>
        <v>150</v>
      </c>
    </row>
  </sheetData>
  <pageMargins left="0.7" right="0.7" top="0.75" bottom="0.75" header="0.3" footer="0.3"/>
  <pageSetup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CE768-855D-4F28-BB73-DBEC9D35301F}">
  <sheetPr codeName="Sheet5">
    <tabColor theme="8"/>
  </sheetPr>
  <dimension ref="B1:D16"/>
  <sheetViews>
    <sheetView showGridLines="0" zoomScale="115" zoomScaleNormal="115" workbookViewId="0">
      <selection activeCell="B13" sqref="B13:C16"/>
    </sheetView>
  </sheetViews>
  <sheetFormatPr defaultRowHeight="15" x14ac:dyDescent="0.25"/>
  <cols>
    <col min="1" max="1" width="1.85546875" customWidth="1"/>
    <col min="2" max="2" width="17" customWidth="1"/>
    <col min="3" max="3" width="11.85546875" customWidth="1"/>
    <col min="4" max="4" width="11.140625" customWidth="1"/>
    <col min="7" max="7" width="22" bestFit="1" customWidth="1"/>
  </cols>
  <sheetData>
    <row r="1" spans="2:4" ht="5.0999999999999996" customHeight="1" x14ac:dyDescent="0.25"/>
    <row r="2" spans="2:4" x14ac:dyDescent="0.25">
      <c r="B2" t="s">
        <v>0</v>
      </c>
      <c r="C2" t="s">
        <v>8</v>
      </c>
      <c r="D2" t="s">
        <v>561</v>
      </c>
    </row>
    <row r="3" spans="2:4" x14ac:dyDescent="0.25">
      <c r="B3" t="s">
        <v>1</v>
      </c>
      <c r="C3" s="17">
        <v>700</v>
      </c>
      <c r="D3" s="17" t="s">
        <v>562</v>
      </c>
    </row>
    <row r="4" spans="2:4" x14ac:dyDescent="0.25">
      <c r="B4" t="s">
        <v>725</v>
      </c>
      <c r="C4" s="17">
        <v>600</v>
      </c>
      <c r="D4" s="17" t="s">
        <v>562</v>
      </c>
    </row>
    <row r="5" spans="2:4" x14ac:dyDescent="0.25">
      <c r="B5" t="s">
        <v>2</v>
      </c>
      <c r="C5" s="17">
        <v>600</v>
      </c>
      <c r="D5" s="17" t="s">
        <v>562</v>
      </c>
    </row>
    <row r="6" spans="2:4" x14ac:dyDescent="0.25">
      <c r="B6" t="s">
        <v>724</v>
      </c>
      <c r="C6" s="17">
        <v>450</v>
      </c>
      <c r="D6" s="17" t="s">
        <v>563</v>
      </c>
    </row>
    <row r="7" spans="2:4" x14ac:dyDescent="0.25">
      <c r="B7" t="s">
        <v>6</v>
      </c>
      <c r="C7" s="17">
        <v>450</v>
      </c>
      <c r="D7" s="17" t="s">
        <v>562</v>
      </c>
    </row>
    <row r="8" spans="2:4" x14ac:dyDescent="0.25">
      <c r="B8" t="s">
        <v>5</v>
      </c>
      <c r="C8" s="17">
        <v>400</v>
      </c>
      <c r="D8" s="17" t="s">
        <v>564</v>
      </c>
    </row>
    <row r="9" spans="2:4" x14ac:dyDescent="0.25">
      <c r="B9" t="s">
        <v>3</v>
      </c>
      <c r="C9" s="17">
        <v>350</v>
      </c>
      <c r="D9" s="17" t="s">
        <v>562</v>
      </c>
    </row>
    <row r="10" spans="2:4" x14ac:dyDescent="0.25">
      <c r="B10" t="s">
        <v>4</v>
      </c>
      <c r="C10" s="17">
        <v>200</v>
      </c>
      <c r="D10" s="17" t="s">
        <v>564</v>
      </c>
    </row>
    <row r="13" spans="2:4" x14ac:dyDescent="0.25">
      <c r="B13" t="s">
        <v>10</v>
      </c>
      <c r="C13" t="s">
        <v>693</v>
      </c>
    </row>
    <row r="14" spans="2:4" x14ac:dyDescent="0.25">
      <c r="B14" t="s">
        <v>15</v>
      </c>
      <c r="C14" s="1">
        <v>500</v>
      </c>
    </row>
    <row r="15" spans="2:4" x14ac:dyDescent="0.25">
      <c r="B15" t="s">
        <v>13</v>
      </c>
      <c r="C15" s="1">
        <v>400</v>
      </c>
    </row>
    <row r="16" spans="2:4" x14ac:dyDescent="0.25">
      <c r="B16" t="s">
        <v>23</v>
      </c>
      <c r="C16" s="1">
        <v>300</v>
      </c>
    </row>
  </sheetData>
  <sortState xmlns:xlrd2="http://schemas.microsoft.com/office/spreadsheetml/2017/richdata2" ref="G3:G7">
    <sortCondition ref="G3:G7"/>
  </sortState>
  <conditionalFormatting sqref="C14:C16">
    <cfRule type="iconSet" priority="1">
      <iconSet reverse="1">
        <cfvo type="percent" val="0"/>
        <cfvo type="percent" val="33"/>
        <cfvo type="percent" val="67"/>
      </iconSet>
    </cfRule>
  </conditionalFormatting>
  <conditionalFormatting sqref="H16">
    <cfRule type="iconSet" priority="2">
      <iconSet reverse="1">
        <cfvo type="percent" val="0"/>
        <cfvo type="percent" val="33"/>
        <cfvo type="percent" val="67"/>
      </iconSet>
    </cfRule>
  </conditionalFormatting>
  <pageMargins left="0.7" right="0.7" top="0.75" bottom="0.75" header="0.3" footer="0.3"/>
  <tableParts count="2">
    <tablePart r:id="rId1"/>
    <tablePart r:id="rId2"/>
  </tableParts>
  <extLst>
    <ext xmlns:x14="http://schemas.microsoft.com/office/spreadsheetml/2009/9/main" uri="{78C0D931-6437-407d-A8EE-F0AAD7539E65}">
      <x14:conditionalFormattings>
        <x14:conditionalFormatting xmlns:xm="http://schemas.microsoft.com/office/excel/2006/main">
          <x14:cfRule type="iconSet" priority="4" id="{EB588C24-6A7A-46FC-8A9C-D38F234BC6E4}">
            <x14:iconSet iconSet="3Triangles">
              <x14:cfvo type="percent">
                <xm:f>0</xm:f>
              </x14:cfvo>
              <x14:cfvo type="percent">
                <xm:f>33</xm:f>
              </x14:cfvo>
              <x14:cfvo type="percent">
                <xm:f>67</xm:f>
              </x14:cfvo>
            </x14:iconSet>
          </x14:cfRule>
          <xm:sqref>C3:C10</xm:sqref>
        </x14:conditionalFormatting>
        <x14:conditionalFormatting xmlns:xm="http://schemas.microsoft.com/office/excel/2006/main">
          <x14:cfRule type="iconSet" priority="3" id="{6F5B61D7-8615-4C61-ADB4-8BF8445117E6}">
            <x14:iconSet iconSet="3Triangles">
              <x14:cfvo type="percent">
                <xm:f>0</xm:f>
              </x14:cfvo>
              <x14:cfvo type="percent">
                <xm:f>33</xm:f>
              </x14:cfvo>
              <x14:cfvo type="percent">
                <xm:f>67</xm:f>
              </x14:cfvo>
            </x14:iconSet>
          </x14:cfRule>
          <xm:sqref>C14:C16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D27E6-3A5F-4876-BFEC-3C95CAF898A9}">
  <dimension ref="C6:L30"/>
  <sheetViews>
    <sheetView workbookViewId="0">
      <selection activeCell="F30" sqref="F30"/>
    </sheetView>
  </sheetViews>
  <sheetFormatPr defaultRowHeight="15" x14ac:dyDescent="0.25"/>
  <cols>
    <col min="3" max="3" width="17.85546875" customWidth="1"/>
    <col min="4" max="4" width="10" customWidth="1"/>
    <col min="5" max="5" width="11" customWidth="1"/>
  </cols>
  <sheetData>
    <row r="6" spans="3:12" x14ac:dyDescent="0.25">
      <c r="C6" t="s">
        <v>779</v>
      </c>
      <c r="D6" s="50">
        <v>10174</v>
      </c>
      <c r="E6" s="11">
        <f>D6/$D$11</f>
        <v>2.6537500456463789E-2</v>
      </c>
    </row>
    <row r="7" spans="3:12" x14ac:dyDescent="0.25">
      <c r="C7" t="s">
        <v>780</v>
      </c>
      <c r="D7" s="50">
        <v>28921</v>
      </c>
      <c r="E7" s="11">
        <f t="shared" ref="E7:E10" si="0">D7/$D$11</f>
        <v>7.5436509799625434E-2</v>
      </c>
    </row>
    <row r="8" spans="3:12" x14ac:dyDescent="0.25">
      <c r="C8" t="s">
        <v>781</v>
      </c>
      <c r="D8" s="50">
        <v>240689</v>
      </c>
      <c r="E8" s="11">
        <f t="shared" si="0"/>
        <v>0.62780464393216162</v>
      </c>
      <c r="F8" t="s">
        <v>784</v>
      </c>
      <c r="I8" s="10" t="s">
        <v>785</v>
      </c>
      <c r="L8" t="s">
        <v>786</v>
      </c>
    </row>
    <row r="9" spans="3:12" x14ac:dyDescent="0.25">
      <c r="C9" t="s">
        <v>782</v>
      </c>
      <c r="D9" s="50">
        <v>46537</v>
      </c>
      <c r="E9" s="11">
        <f t="shared" si="0"/>
        <v>0.12138545888956706</v>
      </c>
      <c r="L9" t="s">
        <v>787</v>
      </c>
    </row>
    <row r="10" spans="3:12" x14ac:dyDescent="0.25">
      <c r="C10" t="s">
        <v>783</v>
      </c>
      <c r="D10" s="50">
        <v>57061</v>
      </c>
      <c r="E10" s="11">
        <f t="shared" si="0"/>
        <v>0.14883588692218205</v>
      </c>
      <c r="L10" t="s">
        <v>788</v>
      </c>
    </row>
    <row r="11" spans="3:12" x14ac:dyDescent="0.25">
      <c r="C11" t="s">
        <v>778</v>
      </c>
      <c r="D11" s="50">
        <v>383382</v>
      </c>
      <c r="E11" s="11">
        <f>D11/$D$11</f>
        <v>1</v>
      </c>
      <c r="L11" t="s">
        <v>789</v>
      </c>
    </row>
    <row r="12" spans="3:12" x14ac:dyDescent="0.25">
      <c r="L12" t="s">
        <v>781</v>
      </c>
    </row>
    <row r="13" spans="3:12" x14ac:dyDescent="0.25">
      <c r="L13" t="s">
        <v>790</v>
      </c>
    </row>
    <row r="14" spans="3:12" x14ac:dyDescent="0.25">
      <c r="L14" t="s">
        <v>791</v>
      </c>
    </row>
    <row r="15" spans="3:12" x14ac:dyDescent="0.25">
      <c r="L15" t="s">
        <v>792</v>
      </c>
    </row>
    <row r="16" spans="3:12" x14ac:dyDescent="0.25">
      <c r="L16" t="s">
        <v>793</v>
      </c>
    </row>
    <row r="17" spans="3:12" x14ac:dyDescent="0.25">
      <c r="L17" t="s">
        <v>794</v>
      </c>
    </row>
    <row r="21" spans="3:12" ht="17.25" x14ac:dyDescent="0.25">
      <c r="C21" s="51"/>
    </row>
    <row r="22" spans="3:12" ht="17.25" x14ac:dyDescent="0.25">
      <c r="C22" s="51"/>
    </row>
    <row r="23" spans="3:12" ht="17.25" x14ac:dyDescent="0.25">
      <c r="C23" s="53"/>
    </row>
    <row r="24" spans="3:12" ht="16.5" x14ac:dyDescent="0.3">
      <c r="C24" s="54"/>
    </row>
    <row r="28" spans="3:12" ht="17.25" x14ac:dyDescent="0.3">
      <c r="C28" s="52"/>
    </row>
    <row r="29" spans="3:12" ht="17.25" x14ac:dyDescent="0.25">
      <c r="C29" s="51"/>
    </row>
    <row r="30" spans="3:12" ht="17.25" x14ac:dyDescent="0.25">
      <c r="C30" s="5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9270AA-3404-491A-8EAF-CEEEFFC0FB0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Data - Current</vt:lpstr>
      <vt:lpstr>Data - Previous</vt:lpstr>
      <vt:lpstr>Support - Tables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Joep.Merkx@weforum.org</dc:creator>
  <cp:keywords/>
  <dc:description/>
  <cp:lastModifiedBy>Lan Hoang</cp:lastModifiedBy>
  <cp:revision/>
  <cp:lastPrinted>2022-12-14T14:25:11Z</cp:lastPrinted>
  <dcterms:created xsi:type="dcterms:W3CDTF">2021-07-02T15:44:10Z</dcterms:created>
  <dcterms:modified xsi:type="dcterms:W3CDTF">2023-08-17T15:31:57Z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9006cc7-c70d-4bd8-a78b-fbf04854936c_Enabled">
    <vt:lpwstr>true</vt:lpwstr>
  </property>
  <property fmtid="{D5CDD505-2E9C-101B-9397-08002B2CF9AE}" pid="3" name="MSIP_Label_19006cc7-c70d-4bd8-a78b-fbf04854936c_SetDate">
    <vt:lpwstr>2023-07-28T12:06:31Z</vt:lpwstr>
  </property>
  <property fmtid="{D5CDD505-2E9C-101B-9397-08002B2CF9AE}" pid="4" name="MSIP_Label_19006cc7-c70d-4bd8-a78b-fbf04854936c_Method">
    <vt:lpwstr>Standard</vt:lpwstr>
  </property>
  <property fmtid="{D5CDD505-2E9C-101B-9397-08002B2CF9AE}" pid="5" name="MSIP_Label_19006cc7-c70d-4bd8-a78b-fbf04854936c_Name">
    <vt:lpwstr>19006cc7-c70d-4bd8-a78b-fbf04854936c</vt:lpwstr>
  </property>
  <property fmtid="{D5CDD505-2E9C-101B-9397-08002B2CF9AE}" pid="6" name="MSIP_Label_19006cc7-c70d-4bd8-a78b-fbf04854936c_SiteId">
    <vt:lpwstr>8e321739-7ad8-452b-9db9-5d4406095d62</vt:lpwstr>
  </property>
  <property fmtid="{D5CDD505-2E9C-101B-9397-08002B2CF9AE}" pid="7" name="MSIP_Label_19006cc7-c70d-4bd8-a78b-fbf04854936c_ActionId">
    <vt:lpwstr>61929dc2-cd3e-44ad-82d8-ec14870c8ad9</vt:lpwstr>
  </property>
  <property fmtid="{D5CDD505-2E9C-101B-9397-08002B2CF9AE}" pid="8" name="MSIP_Label_19006cc7-c70d-4bd8-a78b-fbf04854936c_ContentBits">
    <vt:lpwstr>0</vt:lpwstr>
  </property>
</Properties>
</file>