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<sst xmlns="http://schemas.openxmlformats.org/spreadsheetml/2006/main" count="3205" uniqueCount="3147">
  <si>
    <t>link</t>
  </si>
  <si>
    <t>created_at</t>
  </si>
  <si>
    <t>fav</t>
  </si>
  <si>
    <t>rt</t>
  </si>
  <si>
    <t>text</t>
  </si>
  <si>
    <t>More than half of all home fire deaths occur btwn 10 pm - 6 am. Be #FDNYSmart, plan your escape w/ these tips https://t.co/6mkOPeyCiW</t>
  </si>
  <si>
    <t>#FDNY Officers Management Institute (FOMI), funded by @FDNYFoundation, is underway at @GeneralElectric Crotonville https://t.co/GK5kBdgcpa</t>
  </si>
  <si>
    <t>RT @NYCDHS: We need at least 3,000 New Yorkers in all 5 boroughs counting on Monday, January 23. Will you join us? https://t.co/5UCyO1WJ4P…</t>
  </si>
  <si>
    <t>Congrats on learning CPR! Your skills may save a life one day. NYers- be #FDNYSmart, sign up for a FREE CPR class a… https://t.co/vFJozsmvpm</t>
  </si>
  <si>
    <t>Buy your #Christmas tree early to ensure you have the freshest tree possible. Read more #FDNYSmart tips at https://t.co/5wTTX2ea1B</t>
  </si>
  <si>
    <t>RT @nycgob: 1/3+ de los incendios del hogar ocurren de diciembre a febrero. Manténgase seguro con consejos de @FDNY: https://t.co/fiMU8mt6J…</t>
  </si>
  <si>
    <t>#FDNY Fire Safety Education Unit sharing #FDNYSmart holiday tips TOMORROW at Target, 517 E 117th St E. Harlem, 10am-2pm</t>
  </si>
  <si>
    <t>Be #FDNYSmart &amp;amp; avoid placing other blankets on top of an electric blanket while in use</t>
  </si>
  <si>
    <t>Space heaters need space. Watch to see how you can be #FDNYSmart this winter https://t.co/Y2s47XkUig</t>
  </si>
  <si>
    <t>Kerosene &amp;amp; propane space heaters are ILLEGAL to use in NYC. Be #FDNYSmart &amp;amp; purchase an electric space heater with… https://t.co/O3IiDsNyVf</t>
  </si>
  <si>
    <t>TOMORROW #FDNY Fire Safety Education Unit sharing #FDNYSmart holiday tips at #Queens Center Mall, JCPenney wing, 90-15 Queens Blvd 10am-2pm</t>
  </si>
  <si>
    <t>Always put candles out before you leave a room. Read more #FDNYSmart tips at https://t.co/qqEKf7EWt2 https://t.co/bHKM9vARzD</t>
  </si>
  <si>
    <t>Be #FDNYSmart – always keep a glass or metal screen in front of fireplace openings</t>
  </si>
  <si>
    <t>RT @NewYorkFBI: FBI Explorer Post #1908 with @FDNY chief today after participating in an active shooter drill with multiple agencies at JFK…</t>
  </si>
  <si>
    <t>More than 1/3 of home fires occur during the months of Dec-Feb. Stay safe w/ #FDNYSmart tips at: https://t.co/x8dx7ROcod</t>
  </si>
  <si>
    <t>Be #FDNYSmart while you stay warm - if using an electric blanket, warm your bed with it, then turn it OFF before you sleep</t>
  </si>
  <si>
    <t>Take a FREE CPR class TODAY w #FDNY Mobile CPR Unit! PS 197 Health Fair, 825 Hicksville Rd, Far Rockaway, until 2pm https://t.co/m1QndfKXIU</t>
  </si>
  <si>
    <t>Read #FDNYSmart tips for both real &amp;amp; artificial #Christmas trees at https://t.co/Ofzg5Qvc9L https://t.co/a6elN1q2MK</t>
  </si>
  <si>
    <t>#FDNY members write to Santa for #MacysBelieve! Learn how you can help @MakeAWish at https://t.co/BxwfrT2RfE https://t.co/slxUdy0Evg</t>
  </si>
  <si>
    <t>#FDNY members help kick off #MacysBelieve w/ @MakeAWish! Learn how you can make a difference https://t.co/BxwfrT2RfE https://t.co/lHlZASmVxR</t>
  </si>
  <si>
    <t>RT @nycgob: Tome una clase gratis de resucitación #cardiopulmonar mañana 10AM con @FDNY en la Feria de salud de PS 197, 825 Hicksville Rd,…</t>
  </si>
  <si>
    <t>If you’re using a space heater to stay warm, be #FDNYSmart and plug your heater directly into the wall. Learn more https://t.co/Y2s47XkUig</t>
  </si>
  <si>
    <t>RT @FDNYPro: We've got big news coming soon and it's called #FDNY Pro FIT. Stay tuned for our launch in 2017... https://t.co/HIEUc8hFdL</t>
  </si>
  <si>
    <t>TOMORROW #FDNY Fire Safety Education Unit sharing #FDNYSmart holiday safety tips at Jamaica YMCA, 89-25 Parsons Blvd #Queens, 10am-1pm</t>
  </si>
  <si>
    <t>RT @nycgob: Si tienes un árbol de #Navidad artificial, asegúrate de que sea resistente al fuego. Consejos de @FDNY: https://t.co/SoytDLWFOK…</t>
  </si>
  <si>
    <t>If you burn candles, make your home safer with #FDNYSmart tips at https://t.co/qqEKf7EWt2 https://t.co/W0mLYWGtlC</t>
  </si>
  <si>
    <t>Be #FDNYSmart - follow e-cigarette manufacturer’s guidelines to ensure your safety &amp;amp; the safety of those around you… https://t.co/GbK4gElkdF</t>
  </si>
  <si>
    <t>Take a FREE CPR class TOMORROW w/ the #FDNY Mobile CPR Unit! PS 197 Health Fair at 825 Hicksville Rd, Far Rockaway, 10am-2pm</t>
  </si>
  <si>
    <t>RT @nycgob: #JohnnyCarson visitando el Buró de entrenamiento del @FDNY el 8 de diciembre de 1967. https://t.co/42ZHfvw0Of https://t.co/PYz0…</t>
  </si>
  <si>
    <t>RT @nycgob: El #bombero Koellner rescató a una mujer de edificio en llamas anoche en Queens. https://t.co/golkuxU6Lf https://t.co/uNI1cj6uC…</t>
  </si>
  <si>
    <t>RT @nycgob: Apaga y desconecta los calefactores eléctricos al salir de la habitación. Consejos de @FDNY: https://t.co/GC7OTzje5r https://t.…</t>
  </si>
  <si>
    <t>Be #FDNYSmart - NEVER use your oven/stove to heat your home. Use appliances only for their intended purposes</t>
  </si>
  <si>
    <t>If choosing an artificial #Christmas tree, be #FDNYSmart &amp;amp; make sure it is labeled fire-retardant. See more tips at https://t.co/Ofzg5Qvc9L</t>
  </si>
  <si>
    <t>Be #FDNYSmart, have your wood-burning fireplace + chimney &amp;amp; connectors inspected annually by a professional</t>
  </si>
  <si>
    <t>Space heaters need space. Watch to learn how you can be #FDNYSmart this winter https://t.co/Y2s47XCv9O</t>
  </si>
  <si>
    <t>Per #FDNY Fire Marshals: smoke detectors were present &amp;amp; operational in today’s 2nd alarm at 157-11 Sanford Ave #Queens</t>
  </si>
  <si>
    <t>Per #FDNY Fire Marshals: Cause of today’s 2nd alarm at 157-11 Sanford Ave #Queens was accidental, space heater plugged into power strip</t>
  </si>
  <si>
    <t>RT @nyc311: Whether it’s a real or artificial tree, safety comes first. @FDNY has fire prevention tips to have a good time: https://t.co/qA…</t>
  </si>
  <si>
    <t>You're welcome! Everyone can learn more about the Be 911 Teens Take Heart CPR training for NYC HS students at… https://t.co/isJOgvVYqv</t>
  </si>
  <si>
    <t>Always turn off/unplug space heaters when leaving the room. Be #FDNYSmart w/ these tips https://t.co/bpunKwr0t6 https://t.co/PZfirIED0I</t>
  </si>
  <si>
    <t>Tomorrow – #FDNY FSE &amp;amp; @NYC_Buildings will be at Broadway Junction Station in #Brooklyn 7-9am, distributing info to help you live safely</t>
  </si>
  <si>
    <t>#FDNY FF Koellner, #Ladder167, rescues woman from burning building in #Queens. Read more https://t.co/WFYXhhXWsj https://t.co/BRAaIxmOW1</t>
  </si>
  <si>
    <t>Today’s #FDNY #tbt photo is from 1967 – Johnny Carson visiting the FDNY Bureau of Training. See more photos at… https://t.co/6mgppG3GJw</t>
  </si>
  <si>
    <t>Tomorrow – #FDNY FSE &amp;amp; @NYC_Buildings will be at Gun Hill Rd Station in the #Bronx 7-9am, distributing info to help you live safely</t>
  </si>
  <si>
    <t>#FDNY FSE &amp;amp; @NYC_Buildings will be at Grand St Station in #Manhattan 5-7pm today, distributing info to help you live safely</t>
  </si>
  <si>
    <t>RT @nycgob: La Unidad de educación del @FDNY y @NYC_Buildings vuelven a compartir info de seguridad en la estación 53rd St #Brooklyn HOY de…</t>
  </si>
  <si>
    <t>RT @nycgob: La Unidad de educación del @FDNY y @NYC_Buildings comparten información de seguridad en la estación 168St de #Manhattan mañana…</t>
  </si>
  <si>
    <t>RT @nycgob: .@FDNY recuerda a los que dieron sus vidas defendiendo nuestra libertad en #PearlHarbor. #PearlHarborRemembranceDay https://t.c…</t>
  </si>
  <si>
    <t>#FDNY remembers those who lost their lives defending our freedom 75 years ago today #PearlHarborRemembranceDay https://t.co/R6I6i0x0QP</t>
  </si>
  <si>
    <t>TOMORROW #FDNY FSE &amp;amp; @NYC_Buildings to be at Ozone Park - Lefferts Blvd Station #Queens 7-9am &amp;amp; 5-7pm, sharing info to help you live safely</t>
  </si>
  <si>
    <t>#FDNY FSE &amp;amp; @NYC_Buildings will be at 168th St Station in #Manhattan  5-7pm TOMORROW, distributing info to help you live safely</t>
  </si>
  <si>
    <t>#FDNY FSE &amp;amp; @NYC_Buildings will be at 53rd St Station in #Brooklyn 5-7pm TOMORROW, distributing info to help you live safely</t>
  </si>
  <si>
    <t>RT @nycgob: Conozca la Unidad de entrenamientos para rescates en agua helada del @FDNY en: https://t.co/Azf93OFeUo https://t.co/eKEADiZ3Wn</t>
  </si>
  <si>
    <t>RT @FDNYPro: @FDNYPro offers a unique chance to train with #FDNY. Learn how you or your Department can sign up at https://t.co/iiSMTnx6U9 h…</t>
  </si>
  <si>
    <t>RT @FDNYPro: Retired #FDNY Chiefs Dunn and Butler recorded a podcast episode to commemorate the 23rd Street fire. Listen at https://t.co/v3…</t>
  </si>
  <si>
    <t>Learn more about #FDNY Ice and Cold Water Rescue Training Unit https://t.co/HEnJDHLQMd https://t.co/r5wprserxR</t>
  </si>
  <si>
    <t>RT @nycgob: La Unidad de educación del @FDNY y @NYC_Buildings comparten información de seguridad en la estación 53rd St #Brooklyn HOY de 5…</t>
  </si>
  <si>
    <t>.@JimmyVanBramer @MMViverito &amp;amp; @NYCCouncil honor #FDNY members
from #Ladder163 #Station45 #Station46 for heroic, li… https://t.co/ahd2SFf5h6</t>
  </si>
  <si>
    <t>RT @JimmyVanBramer: Honoring the truly heroic work of @FDNY #Woodside Ladder 163 and EMS Stations 45 &amp;amp; 46 for their life saving efforts! ht…</t>
  </si>
  <si>
    <t>Watch #FDNY members conduct an ice &amp;amp; cold water rescue drill at #SouthStreetSeaport. https://t.co/7alfK3FB67</t>
  </si>
  <si>
    <t>RT @NYCFirstLady: Connections to Care provides mental health services where they are needed. #ThriveNYC https://t.co/giDcSRuc3t</t>
  </si>
  <si>
    <t>RT @nycgob: Nunca use velas o dispositivos inflamables cerca del arbolito de #Navidad. Más consejos de @FDNY: https://t.co/SoytDLWFOK #FDNY…</t>
  </si>
  <si>
    <t>RT @nycgob: Valientes miembros de @FDNY rescataron a #SantaClaus ayer del techo de !@FDNYMuseum! https://t.co/tNz3xtQl9k</t>
  </si>
  <si>
    <t>RT @nycgob: La Unidad de educación del @FDNY y @NYC_Buildings comparten info de seguridad en la estación Ozone Park/Lefferts Blvd Queens HO…</t>
  </si>
  <si>
    <t>RT @nycgob: No sobrecargue las regletas/extensiones eléctricas y no confíe demasiado en ellas. Consejos de @FDNY: https://t.co/fUD6f2UCEf #…</t>
  </si>
  <si>
    <t>RT @nycgob: Comisarios de @FDNY: El incendio 3230 Corsa Ave #ElBronx fue accidental, causado por una extensión eléctrica. No había alarmas…</t>
  </si>
  <si>
    <t>Brave #FDNY members rescued Santa from the @FDNYMuseum roof on Sunday! https://t.co/HMIFnciUpT</t>
  </si>
  <si>
    <t>An operable smoke alarm cuts your chances of dying in a fire nearly in half. Be #FDNYSmart w/ tips at… https://t.co/gkfnqMJnnh</t>
  </si>
  <si>
    <t>Be #FDNYSmart, never plug more than 2 appliances into an outlet at once or piggyback extra appliances on extension cords or wall outlets</t>
  </si>
  <si>
    <t>Don't overload power strips/surge protectors &amp;amp; don't rely on them too heavily. Stay safe w/ #FDNYSmart tips at https://t.co/dNSdYtrOmH</t>
  </si>
  <si>
    <t>Per #FDNY Fire Marshals: Cause of 12/4 all-hands fatal fire, 3230 Corsa Ave #Bronx was accidental, extension cord. Smoke alarm not present</t>
  </si>
  <si>
    <t>Congrats to John “Jack” Ginley, #FDNY #Engine233, who works his last tour today after 35 yrs on the job https://t.co/zMsY5u5OtN</t>
  </si>
  <si>
    <t>#FDNY FSE &amp;amp; @NYC_Buildings to be at Ozone Park - Lefferts Blvd Station #Queens TOMORROW 7-9am &amp;amp; 5-7pm, sharing info to help you live safely</t>
  </si>
  <si>
    <t>Never use candles or other flaming devices on or near your #Christmas tree. Read more #FDNYSmart tips at https://t.co/Ofzg5Qvc9L</t>
  </si>
  <si>
    <t>Tomorrow – #FDNY FSE &amp;amp; @NYC_Buildings will be at the SI Ferry (Manhattan side) 5-7pm, distributing info to help you live safely</t>
  </si>
  <si>
    <t>RT @nycgob: HOY! La Unidad de educación del @FDNY y @NYC_Buildings comparten info de seguridad en estación Ozone Park/Lefferts Blvd Queens,…</t>
  </si>
  <si>
    <t>RT @nycgob: Mañana! La Unidad de educación del @FDNY y @NYC_Buildings compartirán info de seguridad en la estación Ozone Park/Lefferts Blvd…</t>
  </si>
  <si>
    <t>RT @joinFDNY: FFer Vanessa Schoening will be featured on @CMT tonight at 10/9c. Learn more: https://t.co/FBMsGxSX0U. #FDNYfit https://t.co/…</t>
  </si>
  <si>
    <t>Some lights are meant for indoor or outdoor use only. Be #FDNYSmart when holiday decorating &amp;amp; use lights properly https://t.co/1ZRlufLx0O</t>
  </si>
  <si>
    <t>When decorating for the holidays be #FDNYSmart by using clips, not nails, to hang lights. Learn more at https://t.co/x0DKw8XfCV</t>
  </si>
  <si>
    <t>RT @nycgob: Vea las fotos del entrenamiento del @FDNY con la 59na Compañía de químicos de @USArmy en: https://t.co/UYGGSKjVxu https://t.co/…</t>
  </si>
  <si>
    <t>See more photos from this week’s #FDNY @USArmy 59th Chemical Co. joint training operation at https://t.co/9efb3jyqpF https://t.co/TBOTzOhMUk</t>
  </si>
  <si>
    <t>#FDNY Haz-Mat members &amp;amp; @USArmy 59th Chemical Company process &amp;amp; decontaminate 100+ patients in drill at Ft Hamilton… https://t.co/m9KXy76g6y</t>
  </si>
  <si>
    <t>This week #FDNY Haz-Mat &amp;amp; @USArmy 59th Chemical Company performed joint training operations. Learn more… https://t.co/p3hJ5oyrfV</t>
  </si>
  <si>
    <t>RT @NYCFirstLady: We're losing too many loved ones as they attempt to self-medicate mental illnesses. #ThriveNYC https://t.co/a4aXSblmCS</t>
  </si>
  <si>
    <t>#FDNY members from Rescue Ops attend Mass Casualty Incidents in Underground Facilities conference in Switzerland… https://t.co/UYl0IoDXnb</t>
  </si>
  <si>
    <t>#FDNY FF Jackie Michelle-Martinez spoke to crowd yesterday at #WOTC16, shared her experiences as a Firefighter https://t.co/N3D7z2V9ju</t>
  </si>
  <si>
    <t>If choosing an artificial #Christmas tree, be #FDNYSmart &amp;amp; make sure it is labeled fire-retardant. See more tips at https://t.co/5kg8hJgY4X</t>
  </si>
  <si>
    <t>RT @FDNYPro: Podcast: One on One with #FDNY Firefighter A. Caterino and Deputy Chief J. Jonas on @FDNY FAST Teams https://t.co/i0XUA8xaXY h…</t>
  </si>
  <si>
    <t>The tree shines bright over #FDNY HQ &amp;amp; all of #MetroTech #Brooklyn https://t.co/yTiM6AtW6v</t>
  </si>
  <si>
    <t>RT @nycgob: El @FDNY en el incendio del buque de carga Manchester Miller el 1 de diciembre de 1968. https://t.co/ixVqbztGgE https://t.co/Kl…</t>
  </si>
  <si>
    <t>More than 1/3 of home fires occur during the months of Dec-Feb. Keep your family safe w/ #FDNYSmart tips at: https://t.co/x8dx7ROcod</t>
  </si>
  <si>
    <t>Read more about today's #FDNY Admin Awards &amp;amp; Medals ceremony at https://t.co/HZELHQ3TVu https://t.co/IOYtBuyD3O</t>
  </si>
  <si>
    <t>#FDNY members from Rescue Operations Division attend conference at IFA in Switzerland https://t.co/HMc3ZL9aOB https://t.co/pzpg07mOEP</t>
  </si>
  <si>
    <t>#FDNY Haz-Tac Training Unit receives Fire Commissioner’s Award for Meritorious Service https://t.co/j1ZE8mJi5E https://t.co/7fZP0AvDWQ</t>
  </si>
  <si>
    <t>RT @nycgob: Gracias, Tishman Speyer, apoyar a familias del #NYPD @FDNY #PAPD #LODD con la fiesta anual del fin de año: https://t.co/3zWlV5W…</t>
  </si>
  <si>
    <t>Dr Alexandrou, Capt Caicedo &amp;amp; Paramedic Joshua Bucklan awarded Dr Sheridan Commendation https://t.co/YUJKXzfR2q https://t.co/l9jNUog84N</t>
  </si>
  <si>
    <t>Fabricio Caro, Clement James &amp;amp; Capt Tim Smith awarded Community Mayor’s Nick DeGaeta Award https://t.co/SaamugSN3N https://t.co/SO2nVo3sYy</t>
  </si>
  <si>
    <t>Tamara Saakian, Director of Engineering in #FDNY BFP receives Moe Ginsburg Award https://t.co/ZEpSCAoqdg https://t.co/QjEfZ9cBVf</t>
  </si>
  <si>
    <t>Natalia Tobon, #FDNY Fire Alarm Dispatcher, awarded the Chief Thomas P. O’Brien Award https://t.co/zvWkfoloIb https://t.co/TGGGn1E8MB</t>
  </si>
  <si>
    <t>Always remember that each of you is such an important part of our team and your work is why the #FDNY continues to thrive –FDNY COD Leonard</t>
  </si>
  <si>
    <t>We set the standard for all Fire Depts to follow &amp;amp; all of you continue to raise the bar through your extraordinary work –#FDNY Comm Nigro</t>
  </si>
  <si>
    <t>#FDNY 2016 Administrative Medals &amp;amp; Awards Ceremony begins at Dept headquarters in #Brooklyn https://t.co/XC0BJFUTjS</t>
  </si>
  <si>
    <t>TY Tishman Speyer for supporting #NYPD #FDNY #PAPD LODD families w/ annual holiday party https://t.co/Z7wNeXKqmx</t>
  </si>
  <si>
    <t>Today’s #FDNY #tbt photo is from December 1968. See more photos at https://t.co/tN2AOFU7iu https://t.co/VlzxfiM8zZ</t>
  </si>
  <si>
    <t>RT @FDNYPro: Have you ordered your copy of 23rd Street Fire? Learn from #FDNY history! Proceeds support the @FDNYFoundation https://t.co/Be…</t>
  </si>
  <si>
    <t>Mr. Jomar Pichardo, #FDNY Auto Mechanic, to receive Honorable COD Jack Lerch Medal tomorrow. Read more… https://t.co/nWsu6MIimF</t>
  </si>
  <si>
    <t>RT @NYCFirstLady: A mental health crisis is a health crisis. We're thankful for our first responders! https://t.co/0VXuQpI8lM</t>
  </si>
  <si>
    <t>RT @NYCFirstLady: It's been one year since we launched #ThriveNYC to begin an open conversation with NYers about mental health. Follow me a…</t>
  </si>
  <si>
    <t>RT @nycgob: 33% + de los incendios por velas ocurren por descuidos. Celebre el fin de año con consejos de @FDNY: https://t.co/h3TDB0d38n #F…</t>
  </si>
  <si>
    <t>RT @FDNYPro: 2/14/16 #FDNY units were dispatched to Box 0086 Bklyn. Lessons from this row frame fire are found in the latest mag https://t.…</t>
  </si>
  <si>
    <t>RT @FDNYPro: Blog: #WednesdayWisdom from #FDNY Pro Firefighter Anthony Caterino...more at https://t.co/LYFsRk5jAm https://t.co/uhbXrUrsvh</t>
  </si>
  <si>
    <t>Read more about today's #FDNY Fire Protection Inspector Promo Ceremony at https://t.co/SxFQy64BM8 https://t.co/qyOatKpIPs</t>
  </si>
  <si>
    <t>See more photos of today's #FDNY Fire Protection Inspector Promo Ceremony at https://t.co/uKjX95QIVE https://t.co/BySKmjxMmR</t>
  </si>
  <si>
    <t>It is a privilege that the Dept entrusts me in making sure that fire &amp;amp; safety requirements are met -#FDNY Chief Ins… https://t.co/7gfjcqHUYZ</t>
  </si>
  <si>
    <t>We ensure properties are able to achieve the highest level of safety -#FDNY Deputy Chief Inspector Andrew Dushynskiy https://t.co/HXZIxBIDsz</t>
  </si>
  <si>
    <t>Michael Berolatti is promoted today to #FDNY Supervising Inspector Level II. Read more https://t.co/d8hiO128U0 https://t.co/GZX1BvR6yc</t>
  </si>
  <si>
    <t>Our mission is preserving life &amp;amp; ensuring the safety of the citizens of NY - #FDNY Supervising Inspector Level I, D… https://t.co/AbBzJBDUYH</t>
  </si>
  <si>
    <t>Your work is so critical to not only the safety of NYers, but also for the safety of the men &amp;amp; women who serve in this Dept -#FDNY COD</t>
  </si>
  <si>
    <t>Your work has been instrumental as we have driven fire deaths to historic lows -#FDNY First Deputy Commissioner Turner</t>
  </si>
  <si>
    <t>Today #FDNY honors 35 members at the Bureau of Fire Prevention Fire Protection Inspectors Promo Ceremony https://t.co/Asek9yBkVw</t>
  </si>
  <si>
    <t>If your clothes catch fire, running can make it worse. Be #FDNYSmart &amp;amp; Stop, Drop, Roll, Cool, Call. Learn more at https://t.co/hYYM3g1i22</t>
  </si>
  <si>
    <t>RT @nycgob: Es fácil inscribirse para aprender resucitación cardiopulmonar gratis con el @FDNY! https://t.co/oC8IJIlp6Z https://t.co/XMhz9J…</t>
  </si>
  <si>
    <t>More than 33 percent of candle fires occur when candles are left unattended. Be #FDNYSmart when you celebrate https://t.co/aX1pCp68Da</t>
  </si>
  <si>
    <t>RT @nycgob: .@BenKallos @ElizCrowleyNYC @MMViverito y @NYCCouncil honraron a #bomberos del @FDNY por osado rescate en UES: https://t.co/yEv…</t>
  </si>
  <si>
    <t>Shout out to #FDNY members from #Station16 who assisted woman &amp;amp; young child when vehicle became stuck in flooded area</t>
  </si>
  <si>
    <t>RT @FDNYFoundation: There’s still time to make a difference. Your donation helps #FDNY keep us all safe. #GivingTuesday https://t.co/CFu3cn…</t>
  </si>
  <si>
    <t>RT @NYCCouncil: .@FDNY Firefighters recognized by Speaker @MMViverito @BenKallos &amp;amp; @ElizCrowleyNYC for their life saving actions at #NYCCst…</t>
  </si>
  <si>
    <t>.@BenKallos @ElizCrowleyNYC @MMViverito &amp;amp; @NYCCouncil honor #FDNY members involved in October’s daring roof-rope re… https://t.co/YDzxnItokO</t>
  </si>
  <si>
    <t>RT @NoradNorthcom: The 59th CBRN Co. is training with @FDNY on joint response efforts during the 2016 NYC CBRN Sustainment Training Exercis…</t>
  </si>
  <si>
    <t>RT @AndrewCohenNYC: Honored to be a part of @NYCCouncil ceremonial for @FDNY heroic roof rescue, esp my community member Jim Lee who rope r…</t>
  </si>
  <si>
    <t>RT @BenKallos: It is an honor to present @FDNY with a #Proclamation alongside @MMViverito &amp;amp; @ElizCrowleyNYC for their heroic actions on the…</t>
  </si>
  <si>
    <t>RT @nycgob: Los consejos de seguridad de #FDNYSmart son buenos en diciembre - y el resto del año! @FDNY https://t.co/iZ18XmGnpE https://t.c…</t>
  </si>
  <si>
    <t>CPR saves lives &amp;amp; it's easy to sign up for a FREE class! Learn more at https://t.co/AoBcTSCebi https://t.co/DhhrjNAWpR</t>
  </si>
  <si>
    <t>RT @FDNYFoundation: Our friend Chelsea recently gave to the #FDNYFoundation after her experience with the #FDNY. Her story, in her words fo…</t>
  </si>
  <si>
    <t>RT @FDNYFoundation: "Fire broke out on a balcony on the 22nd floor of our building, engulfing the entire apartment &amp;amp; spilling below…"</t>
  </si>
  <si>
    <t>RT @FDNYFoundation: "The Captain ran over... He looked me dead in the eye and told me he would come get me if it was serious &amp;amp; I needed to…</t>
  </si>
  <si>
    <t>RT @FDNYFoundation: "While all I could think of was how do I get OUT, these guys are thinking how can they get IN. It’s incredible to witne…</t>
  </si>
  <si>
    <t>RT @FDNYFoundation: "Not only do we live in the greatest city in the world, but we’re protected by the bravest, toughest men &amp;amp; women on ear…</t>
  </si>
  <si>
    <t>RT @FDNYFoundation: “I was planning on becoming a volunteer firefighter anyway once I moved out of the city, and this pretty much sealed th…</t>
  </si>
  <si>
    <t>RT @FDNYFoundation: "I became an Infantry Officer because of 9/11 and I never, ever forget. The FDNY is the most professional firefighting…</t>
  </si>
  <si>
    <t>RT @FDNYFoundation: "We ran into the FDNY as they were putting out the fire, and they didn’t skip a beat in giving us concise, clear and ca…</t>
  </si>
  <si>
    <t>RT @FDNYFoundation: Jon gave to the #FDNYFoundation after escaping fire in his building: "My girlfriend and I sprinted to the stairs to get…</t>
  </si>
  <si>
    <t>RT @FDNYFoundation: In Jon’s words, “service to country and community never ends.” He gave back. What can you give? https://t.co/CFu3cn8R89…</t>
  </si>
  <si>
    <t>RT @FDNYFoundation: Chelsea gave back. You can, too. Thank the men and women of the #FDNY for their incredible service. https://t.co/CFu3cn…</t>
  </si>
  <si>
    <t>RT @FDNYFoundation: This #GivingTuesday, make a difference with the #FDNYFoundation. Your support helps the #FDNY keep New Yorkers safe. ht…</t>
  </si>
  <si>
    <t>#FDNY members from #Ladder48 rescued a woman from burning building in #Bronx last night. Read more… https://t.co/putsYByGeY</t>
  </si>
  <si>
    <t>The annual Santa Rescue at the @FDNYMuseum is this Sunday, 12/4! Get your tickets at https://t.co/wkXWFyuc6r https://t.co/lNRHHQy1xe</t>
  </si>
  <si>
    <t>RT @nycgob: Compra tu arbolito de #Navidad temprano para que sea lo más fresco posible. Consejos de @FDNY: https://t.co/NkBwrqIbjy #FDNYSma…</t>
  </si>
  <si>
    <t>RT @FDNYPro: Did you know you can Train With New York's Bravest online? Discounted digital accounts are available at https://t.co/iiSMTnx6U…</t>
  </si>
  <si>
    <t>RT @nycgob: ¿Sabía? Los consejos de seguridad en la cocina de #FDNYSmart son buenos en diciembre - y el resto del año! @FDNY https://t.co/i…</t>
  </si>
  <si>
    <t>2/3 of all electrical fires begin in plugs or cords on appliances, such as refrigerators. Be #FDNYSmart w/ tips at https://t.co/dNSdYtrOmH</t>
  </si>
  <si>
    <t>Buy your #Christmas tree early to ensure you have the freshest tree possible. See more #FDNYSmart tips at https://t.co/5wTTX2ea1B</t>
  </si>
  <si>
    <t>Plain tap water is best for your #Christmas tree, no need for additives. See more #FDNYSmart tips at https://t.co/5wTTX2ea1B</t>
  </si>
  <si>
    <t>RT @nycgob: Miembros de @FDNY en #Queens cuidaron un cachorrito extraviado en #Thanksgiving. https://t.co/feFbPnGGRo https://t.co/eJJYxHp5S…</t>
  </si>
  <si>
    <t>RT @nycgob: Más incendios de cocinas ocurren en #Thanksgiving que el resto del año. Consejos de @FDNY: https://t.co/QIUD7cyGMp--------- #FD…</t>
  </si>
  <si>
    <t>#FDNY members from #Station49 in #Queens tends to a wounded stray puppy on Thanksgiving night. Read more… https://t.co/Moi2elFaAf</t>
  </si>
  <si>
    <t>Yesterday, #FDNY Comm Nigro spoke at the @NLEAFCF Thanksgiving day breakfast to honor the families of fallen First… https://t.co/g2Bzih2DAP</t>
  </si>
  <si>
    <t>If there is a fire in your home, be #FDNYSmart &amp;amp; do not try to fight the fire yourself. Plan your exit strategy at https://t.co/DSnTZ8l8CZ</t>
  </si>
  <si>
    <t>More cooking fires occur on #Thanksgiving than any other day of the year. Be #FDNYSmart w/ these tips https://t.co/qrK1poO5MM</t>
  </si>
  <si>
    <t>Have a safe #Thanksgiving, be #FDNYSmart &amp;amp; keep the area around the stove clear of towels, pot holders, paper, anyt… https://t.co/qnsdiiY566</t>
  </si>
  <si>
    <t>Today’s #FDNY #tbt photo is from this week in 1973, a 4-alarm fire in #Brooklyn. See more https://t.co/jeRWbbKuRk https://t.co/K8VnGqeSCP</t>
  </si>
  <si>
    <t>RT @nycHealthy: Cooking fires are the leading cause of home fires &amp;amp; fire injuries. Be #FDNYSmart on Thanksgiving. Tips: https://t.co/vq2FKW…</t>
  </si>
  <si>
    <t>Use precaution if deep-frying your #Thanksgiving turkey today. Read tips on how to be #FDNYSmart at… https://t.co/pykq8EiTa9</t>
  </si>
  <si>
    <t>RT @HotDogFDNY: Siren and I are thankful for all our #FDNYSmart friends. For more safety tips head to https://t.co/jfgdXTmVC5.  Happy Thank…</t>
  </si>
  <si>
    <t>RT @nycgob: .@FDNY comparte estos consejos para un #Thanksgiving seguro en la cocina de cada neoyorquino. https://t.co/iZ18XmGnpE https://t…</t>
  </si>
  <si>
    <t>Watch @NewDay TOMORROW 7:30am EST for reunion between #FDNY members &amp;amp; man saved in daring roof-rope rescue. Airs ag… https://t.co/YE7ayA5jcq</t>
  </si>
  <si>
    <t>RT @nycgob: Felicidades a miembros de @FDNY que salvaron a niño atrapado bajo auto el sábado en #Queens! https://t.co/J0LVrnEGyB https://t.…</t>
  </si>
  <si>
    <t>RT @NYCMayorsOffice: Please read these safety tips for a safe holiday from @FDNY before you don your Thanksgiving Pants. https://t.co/rMG8j…</t>
  </si>
  <si>
    <t>RT @nycgob: Consejos de seguridad para la cena de mañana. @HotDogFDNY y @FDNY les desean un feliz #Thanksgivings! https://t.co/wcvA53VhhR #…</t>
  </si>
  <si>
    <t>RT @nycgob: Más consejos de seguridad para la cena de mañana. @SirenFDNY y @FDNY les desean un feliz #Thanksgivings! https://t.co/wcvA53Vhh…</t>
  </si>
  <si>
    <t>RT @nycgob: Por favor lea estos consejos de seguridad del @FDNY para #Thanksgiving: https://t.co/iZ18XmGnpE @NYCMayorsOffice https://t.co/S…</t>
  </si>
  <si>
    <t>Be safe while you celebrate #Thanksgiving tomorrow with these tips: https://t.co/qrK1poO5MM</t>
  </si>
  <si>
    <t>#FDNY members reunited w/ woman they saved from a fire on October 7th in #Queens. Read more https://t.co/L4KN2yoqQo https://t.co/I8GQN4WzhR</t>
  </si>
  <si>
    <t>More cooking fires occur on #Thanksgiving than any other day of the year. Be #FDNYSmart &amp;amp; prepare w/ these tips https://t.co/qrK1poO5MM</t>
  </si>
  <si>
    <t>RT @FDNYPro: #WednesdayWisdom from #FDNY Pro Deputy Chief Michael McLaughlin and Division Chief Christine Mazzola...more at https://t.co/3w…</t>
  </si>
  <si>
    <t>Be #FDNYSmart this #Thanksgiving by keeping the area around the stove clear of towels, pot holders, paper, anything that could burn</t>
  </si>
  <si>
    <t>Yesterday #FDNY Probationary EMTs participated in a Spirit Run at #FortTotten. https://t.co/4jJ2ffqg3z</t>
  </si>
  <si>
    <t>RT @nycgob: Recuerda que @FDNY está compartiendo consejos de seguridad de #Thanksgiving hasta las 3PM en @Target 517 E 117 St East Harlem!…</t>
  </si>
  <si>
    <t>RT @nycgov: Stay safe this Thanksgiving with these tips from @FDNY! https://t.co/NJdtWZEcAn</t>
  </si>
  <si>
    <t>Stand by your pan! Don't leave cooking food unattended. Be #FDNYSmart this #Thanksgiving with these tips https://t.co/m5wQo3Tpwi</t>
  </si>
  <si>
    <t>Be #FDNYSmart, have a pot lid handy to smother a pan fire when cooking this #Thanksgiving. Read more safety tips at https://t.co/qrK1poO5MM</t>
  </si>
  <si>
    <t>TODAY #FDNY Fire Safety Education Unit sharing #Thanksgiving cooking safety tips at Stop &amp;amp; Shop, 134-40 Springfield Blvd #Queens 10am-3pm</t>
  </si>
  <si>
    <t>#FDNY Fire Safety Education Unit sharing #Thanksgiving cooking safety tips TODAY at #Bronx Terminal Market, 610 Exterior St, 10am-3pm</t>
  </si>
  <si>
    <t>RT @HotDogFDNY: DO remember to be #FDNYSmart  this Thanksgiving.  Read up on these safety tips for the kitchen. For more head to https://t.…</t>
  </si>
  <si>
    <t>RT @SirenFDNY: DON’T forget to be #FDNYSmart. Avoid these things in order to stay safe in the kitchen. https://t.co/t6jbJL96fi</t>
  </si>
  <si>
    <t>TODAY 10am-3pm: #FDNY Fire Safety Education Unit to share #Thanksgiving cooking safety tips at @Target 517 E 117 St East Harlem</t>
  </si>
  <si>
    <t>RT @nycgob: 2 personas murieron hoy en un accidente de grúa en 81-10 134 St #Queens. El @FDNY y @NYPDnews estuvieron presentes. https://t.c…</t>
  </si>
  <si>
    <t>RT @FDNYFoundation: Wonderful day partnering with @accuweather to prepare New Yorkers for the cold months ahead. Winter brings more hazards…</t>
  </si>
  <si>
    <t>RT @FDNYFoundation: We want to make sure every New Yorker is prepared for winter! Click here to learn more about #BeReady Day: https://t.co…</t>
  </si>
  <si>
    <t>#FDNY members operate w/ @NYCOEM at crane incident in #Queens. Incident remains open to investigation https://t.co/3TcrcffCLf</t>
  </si>
  <si>
    <t>FDNY members on scene alongside @NYPDnews at 81-10 134 St #Queens, 2 patients confirmed DOA https://t.co/OcSWnr0Lj2</t>
  </si>
  <si>
    <t>2 patients confirmed DOA from fallen beam at 81-10 134 St #Queens. FDNY members operating on scene</t>
  </si>
  <si>
    <t>#FDNY Fire Safety Education Unit sharing #Thanksgiving cooking safety tips TODAY #OnStatenIsland! Met Food, 1795 Victory Blvd, 6-9pm</t>
  </si>
  <si>
    <t>Get #Thanksgiving cooking safety tips from #FDNY Fire Safety Education Unit #OnStatenIsland TODAY! Western Beef, 425 Bay St, 7-10pm</t>
  </si>
  <si>
    <t>Be #FDNYSmart &amp;amp; enforce a kid-free zone of 3 ft around your stove this #Thanksgiving. Read more tips at https://t.co/qrK1poO5MM</t>
  </si>
  <si>
    <t>Shout out to #FDNY members who saved a child pinned underneath a car on Saturday in #Queens. https://t.co/NB32UCOhQr https://t.co/b2XKPYPJ1J</t>
  </si>
  <si>
    <t>RT @nycgob: .@FDNYPro ofrece oportunidad única de entrenarse con el @FDNY. Info de registro en: https://t.co/xbKzX96F3Z https://t.co/rJEXny…</t>
  </si>
  <si>
    <t>RT @FDNYFoundation: Such an important tip to keep your kids #FDNYSmart! https://t.co/u0HT0H7gN9</t>
  </si>
  <si>
    <t>RT @FDNYFoundation: Making sure our city's youngest residents know what to do in case of emergency! #FDNYSmart https://t.co/xtOdFO98Ms</t>
  </si>
  <si>
    <t>RT @nycgob: Unidad de educación de @FDNY comparte consejos de seguridad en #Thanksgiving HOY hasta las 4PM en @Target 517 E117 St East Harl…</t>
  </si>
  <si>
    <t>Deep-frying turkeys could be a recipe for a #Thanksgiving tragedy. Be #FDNYSmart while you celebrate w/ these tips… https://t.co/qqGM1Co1Ta</t>
  </si>
  <si>
    <t>RT @FDNYFoundation: Awesome photo! Look at all those #FDNYSmart #AccuWeatherReady kids! https://t.co/5a5RcjVqS7</t>
  </si>
  <si>
    <t>RT @FDNYFoundation: Thank you for joining us and for spreading the word about staying safe as we head into the winter months! #FDNYSmart ht…</t>
  </si>
  <si>
    <t>RT @FDNYFoundation: Great tips on figuring out how to escape in case of a fire, all based on your building type: https://t.co/6ggBuxQBfD ht…</t>
  </si>
  <si>
    <t>TODAY #OnStatenIsland, visit #FDNY Fire Safety Education Unit at Shop Rite for #Thanksgiving cooking tips! 985 Richmond Ave, 3-6pm</t>
  </si>
  <si>
    <t>RT @FDNYFoundation: Amazing opportunity to learn how to be #FDNYSmart from the #FDNY Chief of Department himself! https://t.co/zFKI3X5j9c</t>
  </si>
  <si>
    <t>RT @FDNYFoundation: Making sure everyone is #FDNYSmart as we head into the cold weather! #BeReady https://t.co/IzxOGQUEKm</t>
  </si>
  <si>
    <t>RT @FDNYFoundation: We have a whole program for school kids! Sign up here: https://t.co/O3s1OBNz68 https://t.co/9lhjpC88eF</t>
  </si>
  <si>
    <t>RT @FDNYFoundation: We are so proud to partner with @accuweather in hosting #BeReady day today... We want all New Yorkers to be ready for t…</t>
  </si>
  <si>
    <t>Visit Key Food at 450 Forest Ave #OnStatenIsland TODAY &amp;amp; learn #Thanksgiving cooking tips from #FDNY Fire Safety Education Unit! 3-6pm</t>
  </si>
  <si>
    <t>RT @SirenFDNY: Spending #TravelTuesday with kids? Download our FREE #FDNYSmart Activity Book for on-the-go fun! https://t.co/YPJoYTiaVO</t>
  </si>
  <si>
    <t>Get #Thanksgiving cooking safety tips from #FDNY Fire Safety Education Unit #OnStatenIsland TODAY! Stop &amp;amp; Shop 1351 Forest Ave 12-3pm</t>
  </si>
  <si>
    <t>RT @SirenFDNY: Friends, do you know what to do if you get burned?  Be #FDNYSmart and treat burns properly.  For more tips head to https://t…</t>
  </si>
  <si>
    <t>Cook safely on #Thanksgiving w/ tips from #FDNY Fire Safety Education Unit TODAY, 5100 Kings Plaza #Brooklyn, 6-8pm</t>
  </si>
  <si>
    <t>RT @HotDogFDNY: Stand by your pan! Cooking fires remain the leading cause of home fires and fire injuries. Head to https://t.co/V9lSXhYrCH…</t>
  </si>
  <si>
    <t>TODAY #FDNY Fire Safety Education Unit sharing #Thanksgiving cooking safety tips at Stop &amp;amp; Shop, 134-40 Springfield Blvd #Queens 2-8pm</t>
  </si>
  <si>
    <t>#FDNY Fire Safety Education Unit sharing #Thanksgiving cooking safety tips TODAY at #Bronx Terminal Market, 610 Exterior St, 12-8pm</t>
  </si>
  <si>
    <t>Visit #FDNY Fire Safety Education Unit #OnStatenIsland TODAY for #Thanksgiving cooking safety tips! Western Beef, 2040 Forest Ave, 9am-12pm</t>
  </si>
  <si>
    <t>RT @nycgob: Traiga la familia a Santa Rescue el domingo 4 diciembre en el Museo del @FDNY! https://t.co/Qh0ikRkv9k https://t.co/d96JDHU9Vy…</t>
  </si>
  <si>
    <t>TODAY 11am-4pm &amp;amp; 6-8 pm: #FDNY Fire Safety Education Unit to share #Thanksgiving cooking safety tips at @Target 517 E 117 St East Harlem</t>
  </si>
  <si>
    <t>RT @FDNYPro: @FDNYPro offers a unique chance to train with #FDNY. Learn how you or your Department can sign up at https://t.co/iiSMTnfvvz h…</t>
  </si>
  <si>
    <t>RT @NYRangers: "I wanted to do something with some 'New York style' like Richter used to do" #NYR @ARaanta31 https://t.co/JlOXJNTu4z</t>
  </si>
  <si>
    <t>Per #FDNY Fire Marshals: Cause of 11/1 fatal 3-alarm fire at 420 Lincoln Ave #Brooklyn was accidental, unattended candle</t>
  </si>
  <si>
    <t>Be safe while you celebrate #Thanksgiving on Thursday with these tips: https://t.co/qrK1poO5MM https://t.co/JVGVdGm5iR</t>
  </si>
  <si>
    <t>Bring your family to the annual Santa Rescue at the @FDNYMuseum on Sunday, 12/4! Learn more at… https://t.co/11aLfWDx1n</t>
  </si>
  <si>
    <t>On #Thanksgiving remember that a pot lid can smother a cooking fire if you act quickly. Read #FDNYSmart tips at https://t.co/qrK1poO5MM</t>
  </si>
  <si>
    <t>.@NYCMayor Bill de Blasio &amp;amp; #FDNY Commissioner Daniel A. Nigro Announce New FDNY EEO Policy https://t.co/SxClBxVVd3</t>
  </si>
  <si>
    <t>Read #FDNYSmart tips for #Thanksgiving &amp;amp; find a fire safety education event in your borough by visiting: https://t.co/kRcJJluDQR</t>
  </si>
  <si>
    <t>RT @nycgob: Comisarios de @FDNY: El incendio mortal ayer en 1270 Webster Ave #ElBronx fue causado por accidente al cocinar. Las alarmas no…</t>
  </si>
  <si>
    <t>RT @HotDogFDNY: Be #FDNYSmart this Thanksgiving!  Read my latest blog post on ways to prepare your meal safely. 
https://t.co/S07v8g0TJo ht…</t>
  </si>
  <si>
    <t>Andrew Whitaker presents Steel Standing photo to #FDNY Comm Nigro. Learn more at https://t.co/dVBKo9pKiZ… https://t.co/HjaqoPhUlf</t>
  </si>
  <si>
    <t>Per #FDNY Fire Marshals: Cause of 11/20 fatal fire at 1270 Webster Ave #Bronx was accidental, cooking. Smoke alarm present, not operational</t>
  </si>
  <si>
    <t>RT @NYCMayorsOffice: #AlwaysNewYork https://t.co/x5Rm0sFzLr</t>
  </si>
  <si>
    <t>RT @NYCFirstLady: We'll protect these rights with hope and joy. It's not an obligation -- it's a way of life. And it gives us a strength th…</t>
  </si>
  <si>
    <t>RT @NYCMayorsOffice: Watch @NYCMayor live from @CooperUnion now. https://t.co/TlNDap70l5</t>
  </si>
  <si>
    <t>#Thanksgiving is almost here! Keep kids safe while you're busy in the kitchen with these #FDNYSmart tips https://t.co/qrK1poO5MM</t>
  </si>
  <si>
    <t>RT @FDNYFoundation: So grateful to @NYRangers &amp;amp; @HLundqvist30 for unwavering support of the @FDNY &amp;amp; the Fahy family. Support the Fahys: htt…</t>
  </si>
  <si>
    <t>RT @nycgov: Join @NYCMayor Bill de Blasio LIVE on Facebook at 11am – https://t.co/LgBkqF2iLe https://t.co/LSyOFhufne</t>
  </si>
  <si>
    <t>#FDNY Fire Safety Education Unit sharing #Thanksgiving cooking safety tips TODAY at #Bronx Terminal Market, 610 Exterior St 10am-3pm &amp;amp; 5-8pm</t>
  </si>
  <si>
    <t>RT @NYRangers: Join us saluting @FDNY Deputy Chief Michael Fahy who lost his life in the line of duty and welcoming his wife and children @…</t>
  </si>
  <si>
    <t>RT @NYRangers: #NYR @HLundqvist30 meets @FDNY Deputy Chief Michael Fahy's children after the game. https://t.co/aDCIXTE7eJ</t>
  </si>
  <si>
    <t>RT @nycgob: La Unidad de educación del @FDNY comparte info de seguridad en #Thanksgiving HOY 10AM en el Mercado Terminal de #ElBronx, 610 E…</t>
  </si>
  <si>
    <t>#FDNY Fire Safety Education Unit sharing #Thanksgiving cooking safety tips at Stop &amp;amp; Shop, 134-40 Springfield Blvd #Queens 10am-3pm &amp;amp; 5-8pm</t>
  </si>
  <si>
    <t>TODAY 10am-3pm &amp;amp; 5-8 pm: #FDNY Fire Safety Education Unit to share #Thanksgiving cooking safety tips at @Target 517 E 117 St East Harlem</t>
  </si>
  <si>
    <t>Cook safely on #Thanksgiving w/ tips from #FDNY Fire Safety Education Unit TOMORROW, 5100 Kings Plaza #Brooklyn, 6-8pm</t>
  </si>
  <si>
    <t>TOMORROW #FDNY Fire Safety Education Unit sharing #Thanksgiving cooking safety tips at 134-40 Springfield Blvd #Queens 10am-3pm &amp;amp; 5-8pm</t>
  </si>
  <si>
    <t>Cooking fires are the leading cause of home fires &amp;amp; fire injuries. Be #FDNYSmart on #Thanksgiving w/ these tips https://t.co/qrK1poO5MM</t>
  </si>
  <si>
    <t>#FDNY Fire Safety Education Unit sharing #Thanksgiving cooking safety tips TOMORROW #Bronx Terminal Market, 610 Exterior St 10am-3pm &amp;amp; 5-8pm</t>
  </si>
  <si>
    <t>TOMORROW 10am-3pm &amp;amp; 5-8 pm: #FDNY Fire Safety Education Unit to share #Thanksgiving cooking safety tips at @Target 517 E 117 St East Harlem</t>
  </si>
  <si>
    <t>#Thanksgiving is coming up soon! Be #FDNYSmart while you celebrate with these cooking safety tips https://t.co/qrK1poO5MM</t>
  </si>
  <si>
    <t>RT @USAMurphy: Gr8 way 2 join America's @USArmy #VarsityTeam is in front leaning rest position w/ the legendary @FDNY Ladder 10 Firefighter…</t>
  </si>
  <si>
    <t>RT @nycgob: El @FDNY rescató hoy a un perrito sordo y ciego atrapado en un muro: https://t.co/BxCJV4IAGo https://t.co/HpykLi9wQ2 #Engine83</t>
  </si>
  <si>
    <t>Approx 11 pm, FDNY responded to report of loud noise in Chelsea, 23 St &amp;amp; 8th Ave. Confirmed blow out of truck tire</t>
  </si>
  <si>
    <t>RT @nycgob: El @FDNY apoya a la comunidad #LGBTQ. Vea nuestro aporte al proyecto   @ItGetsBetter: https://t.co/lOTOZIfxAY  #TransWeek</t>
  </si>
  <si>
    <t>#FDNY supports the LGBTQ community. Watch our contribution to the @ItGetsBetter project https://t.co/aeONRhycc6  #TransWeek</t>
  </si>
  <si>
    <t>Smoke alarms save lives. At today's all-hands fire 65-64 Parsons Blvd #Queens, family was alerted to evacuate by wo… https://t.co/8xoh7TPrBg</t>
  </si>
  <si>
    <t>Per #FDNY Fire Marshals: Cause of today's all-hands fire 65-64 Parsons Blvd #Queens was accidental, careless discar… https://t.co/q3Sb4XU68t</t>
  </si>
  <si>
    <t>Deaf and blind puppy trapped in wall rescued by #FDNY #Engine83! Read more at https://t.co/JdW5XOdNhf https://t.co/w1NH1lTSQs</t>
  </si>
  <si>
    <t>How do you get to #CarnegieHall? Sometimes with the help of the FDNY! Members rescue HS Choir from ESB elevator… https://t.co/lDNVMeFQaU</t>
  </si>
  <si>
    <t>Use precaution if deep-frying your #Thanksgiving turkey next week. Read tips on how to be #FDNYSmart at https://t.co/FKTPjxYZ0R</t>
  </si>
  <si>
    <t>Thank you for visiting! We love teaching kids to be #FDNYSmart https://t.co/ETXZR2uV1C</t>
  </si>
  <si>
    <t>#Thanksgiving is just around the corner! Be #FDNYSmart while you celebrate with these cooking safety tips https://t.co/qrK1powuoc</t>
  </si>
  <si>
    <t>Today’s #FDNY #tbt photo is from this day in 1975, a 3-alarm fire on 42nd St. in #Manhattan. See more at… https://t.co/UOxDpYanx8</t>
  </si>
  <si>
    <t>Per #FDNY Fire Marshals: Cause of all-hands fire at 603 W. 184 St Manhattan was accidental, electrical https://t.co/gBMkvSCPBo</t>
  </si>
  <si>
    <t>RT @FDNYFoundation: New Yorkers, be #FDNYSmart by following important safety tips when it comes to your power strips &amp;amp; outlets! https://t.c…</t>
  </si>
  <si>
    <t>Per #FDNY Fire Marshals: Cause of 10/27 6th alarm at 324 E 93 St was accidental electrical, power strip</t>
  </si>
  <si>
    <t>RT @nycgob: AHORA! La Unidad de educación de @FDNY está educando al público sobre seguridad tras incendio mortal en 184/St Nicholas Ave has…</t>
  </si>
  <si>
    <t>Following fatal fire, #FDNY Fire Safety Education Unit is at W 184 &amp;amp; St Nicholas Ave distributing safety info until 3 pm today</t>
  </si>
  <si>
    <t>RT @nyc311: Preparing for holiday meals takes time &amp;amp; patience, &amp;amp; protecting your kids does, too. Keep safe w/ @FDNY tips: https://t.co/V4AY…</t>
  </si>
  <si>
    <t>RT @nycgob: Consiga alarmas de humo/CO gratis en eventos gratis de @FDNY y @redcrossny. Info de @nyc311: https://t.co/3hW1JIOpfH</t>
  </si>
  <si>
    <t>RT @FDNYPro: Blog: #WednesdayWisdom from #FDNY Pro Deputy Chief John A. (Jay) Jonas https://t.co/f0ZxMUjJvo https://t.co/NGDXNQI0vO</t>
  </si>
  <si>
    <t>Smoke alarms save lives. #GetAlarmedNYC w/ @redcrossny &amp;amp; FREE smoke/CO alarm giveaway &amp;amp; installation events. Find y… https://t.co/wE111297wE</t>
  </si>
  <si>
    <t>Read more about today's #FDNY EMS Academy Graduation Ceremony at https://t.co/HFbOkZjsmI https://t.co/Nmi1W29Z6A</t>
  </si>
  <si>
    <t>I became a Paramedic to continue giving back -#FDNY Paramedic &amp;amp; @USArmy Sgt Michael Higley. Read more… https://t.co/LA7vblyK5U</t>
  </si>
  <si>
    <t>I hold myself to a high standard and I love that the #FDNY does the same –Paramedic Lauraine DeSilus. Read more… https://t.co/DMEuyoZo89</t>
  </si>
  <si>
    <t>I hope to do the greatest amount of good for as many people as possible -#FDNY Paramedic Adries Mustafa. Read more… https://t.co/bX7jkiwV8C</t>
  </si>
  <si>
    <t>RT @nycgob: La ceremonia de graduación de 38 paramédicos del @FDNY, ahora en #RandallsIsland: https://t.co/IDlGqkmzCP</t>
  </si>
  <si>
    <t>Millions of NYers &amp;amp; the tens of millions more people who come here for work &amp;amp; travel will be counting on you to be there for them -#FDNY COD</t>
  </si>
  <si>
    <t>Paramedics bring order to chaos. They keep families together &amp;amp; they provide compassion &amp;amp; care to those in great pain -1st Dep Comm Turner</t>
  </si>
  <si>
    <t>Graduation ceremony for 38 #FDNY Paramedics is underway on #RandallsIsland https://t.co/sXsWJ5rbVF</t>
  </si>
  <si>
    <t>RT @nycgob: El @FDNY, @PANYNJ y @NYCHealthSystem realizaron simulacro de emergencia de #ébola. https://t.co/p4VqnEaLYw https://t.co/CicR63P…</t>
  </si>
  <si>
    <t>#FDNY, @PANYNJ &amp;amp; @NYCHealthSystem conduct full-scale Ebola drill. Read more https://t.co/LQ726FeBTp https://t.co/Meub2LaSwC</t>
  </si>
  <si>
    <t>Please reach out to @nyc311 to report a leaking or open hydrant. You can also file the report online at… https://t.co/rXMqnYmx1k</t>
  </si>
  <si>
    <t>RT @nyc311: See a leaking/running hydrant? DM name, phone #, location &amp;amp; we’ll file for you weekdays 9AM-5PM. Or file online: https://t.co/K…</t>
  </si>
  <si>
    <t>RT @FDNYFoundation: Letters like these show us how your support is truly making a difference. You help make #FDNY education programs possib…</t>
  </si>
  <si>
    <t>Per #FDNY Fire Marshals: Cause of 11/12 fatal all-hands at 730 Oakland Pl #Bronx was accidental, careless discard of smoking materials</t>
  </si>
  <si>
    <t>#FDNY Be 911 Teens Take Heart CPR teaches life-saving skills to NYC HS students. Learn more https://t.co/quZoOfsHPg https://t.co/EsiIu8lCkT</t>
  </si>
  <si>
    <t>Visit #FDNY Fire Safety Education Unit at Oakland Pl &amp;amp; Clinton Ave #Bronx until 4 pm for safety literature &amp;amp; info https://t.co/yva1p4xfc9</t>
  </si>
  <si>
    <t>RT @nycgob: El @FDNY hace una pausa para recordar a los que perdimos hace 15 años en la tragedia del #Vuelo587 en #Rockaway. https://t.co/2…</t>
  </si>
  <si>
    <t>RT @nycgob: La Unidad móvil del @FDNY enseña resucitación cardiopulmonar gratis HOY 10AM-2:30PM en 1466 Manor Rd #StatenIsland. Acompáñanos!</t>
  </si>
  <si>
    <t>#FDNY Fire Safety Education Unit at Oakland Pl &amp;amp; Clinton Ave #Bronx until 4 pm, educating NYers following fatal fire https://t.co/TuMo2gYFii</t>
  </si>
  <si>
    <t>The #FDNY Mobile CPR Unit is giving FREE CPR class #OnStatenIsland TODAY! 1466 Manor Rd, 10am-2:30pm</t>
  </si>
  <si>
    <t>Take a FREE CPR class TOMORROW w/ the #FDNY Mobile CPR Unit! 1466 Manor Rd #OnStatenIsland 10am-2:30pm</t>
  </si>
  <si>
    <t>Don't overload surge protectors &amp;amp; don't rely on them too heavily. Be #FDNYSmart w/ these tips https://t.co/VoFt3qMjRH</t>
  </si>
  <si>
    <t>#FDNY pauses to remember those who lost their lives 15 years ago, in the crash of AA Flight 587 in the #Rockaways https://t.co/OLFCxK6mx3</t>
  </si>
  <si>
    <t>RT @nycgob: El @FDNY honra a hermanos que realizaron el Sacrificio supremo. Teniente Fee: https://t.co/HdhSnodLVY #NeverForget https://t.co…</t>
  </si>
  <si>
    <t>Community Mayors provides recreational therapy for NY metro area children w/ special needs https://t.co/0DaL8HjC9v https://t.co/OMNLaD1gG9</t>
  </si>
  <si>
    <t>#FDNY Commissioner Nigro awarded Humanitarian Award at Community Mayors Charity Gala https://t.co/q67nAdByGS</t>
  </si>
  <si>
    <t>RT @NYPD67Pct: On behalf of the entire #NYPD @NYPDnews @NYPDONeill @NYPD43Pct we would like to thank the @FDNY for their tremendous support…</t>
  </si>
  <si>
    <t>RT @nycgob: El comisionado, jefe de Departamento y miembros de @FDNY hoy en el Desfile de #veteranos en 5ta Ave. https://t.co/8Dx094PzZ8</t>
  </si>
  <si>
    <t>#FDNY Comm Nigro &amp;amp; members participate in #AmericasParade in NYC, honoring the sacrifices made by all Veterans https://t.co/I4j5PfRq6X</t>
  </si>
  <si>
    <t>RT @nycgob: Paramédicos en probatoria del @FDNY ayer en la carrera #SpiritRun: https://t.co/cg4zejRqgq</t>
  </si>
  <si>
    <t>#FDNY Commissioner Nigro, COD Leonard &amp;amp; members march in #AmericasParade today on Fifth Ave in NYC https://t.co/XhJMqmAolU</t>
  </si>
  <si>
    <t>Learn more about #FDNY Battalion Chief &amp;amp; @USArmy Veteran Joseph Duggan Jr at https://t.co/nsK4cGsbPv #AmericasParade</t>
  </si>
  <si>
    <t>It’s an honor to represent the Dept -#FDNY Battalion Chief &amp;amp; @USArmy Veteran Joseph Duggan Jr, 1 of 3 #AmericasParade Grand Marshals</t>
  </si>
  <si>
    <t>#FDNY Comm Nigro w/ FDNY Battalion Chief &amp;amp; @USArmy Veteran Joseph Duggan Jr, 1 of 3 #AmericasParade Grand Marshals https://t.co/p9bG9WEFgn</t>
  </si>
  <si>
    <t>This is to honor the brothers that made the Supreme Sacrifice -#FDNY Lt Fee https://t.co/OuGxCIj3nl #NeverForget https://t.co/0ia5LRWzK1</t>
  </si>
  <si>
    <t>#FDNY Lt John Fee presents WTC steel to @USLacrosse to add to team’s 9/11 Memorial Garden #NeverForget https://t.co/g53PW1YcnN</t>
  </si>
  <si>
    <t>#FDNY honors all who have served. FDNY FF &amp;amp; @USMarineCorps member Peter Regan: https://t.co/gb2vo5VLc5 #VeteransDay https://t.co/49qZhkU4Ll</t>
  </si>
  <si>
    <t>#FDNY honors all who have served. FDNY Lt &amp;amp; @USAirForce Veteran D. Saalfrank: https://t.co/BDznyNMNs1 #VeteransDay https://t.co/Kp1paRCLkx</t>
  </si>
  <si>
    <t>#FDNY honors all who have served. Read about FDNY EMT @USArmy Reservist J Cato https://t.co/cIJmHTyrjO #VeteransDay https://t.co/JV9zXzralF</t>
  </si>
  <si>
    <t>#FDNY honors all who have served. FDNY Lt &amp;amp; @USNavy Veteran J Cavarretta: https://t.co/1yqcMxILsa  #VeteransDay https://t.co/TbSO0vSs0F</t>
  </si>
  <si>
    <t>#FDNY honors all who have served. Read about FDNY FF &amp;amp; @USCG member M. Esposito https://t.co/BZKDHBLJsb #VeteransDay https://t.co/k5Qog8KBe9</t>
  </si>
  <si>
    <t>We honor our 1200+ veteran #FDNY members, as well as all Veterans, today &amp;amp; every day https://t.co/ukAXzGQdxq</t>
  </si>
  <si>
    <t>RT @nycgob: El @FDNY mostrando arrojo y pericia en este incendio en #Brooklyn el 10 de noviembre 1973. https://t.co/6tJDfkLDKd https://t.co…</t>
  </si>
  <si>
    <t>#FDNY Probationary Paramedics participate in today’s Spirit Run https://t.co/GOAamK1pMY</t>
  </si>
  <si>
    <t>RT @USAMurphy: #gettinafterit in the #ladder10 #engine10 weight room! Thx @FDNY @usarecpao https://t.co/1OusiqRALE</t>
  </si>
  <si>
    <t>RT @USAMurphy: Outstanding 2 meet the team at #ladder10 #engine10-our first responders are 2nd to none @FDNY https://t.co/k7m41mktK7</t>
  </si>
  <si>
    <t>RT @USAMurphy: #ICMY: 3 ceremonies 1 oath @911memorial watch at https://t.co/jpetVSiJBn @USArmy @USARECPAO @USARBNYC @FDNY @GoArmy #ArmyTea…</t>
  </si>
  <si>
    <t>RT @nycgob: El subsecretario del Ejército @USAMurphy visitó hoy el cuartel de #Engine10 &amp;amp; #Ladder10: https://t.co/tpcDzSoJec @FDNY  @USArmy</t>
  </si>
  <si>
    <t>Under Secretary of @USArmy @USAMurphy visits #FDNY #Engine10 &amp;amp; #Ladder10 https://t.co/GwQBDEj0w8</t>
  </si>
  <si>
    <t>TY @stipemiocicufc for visiting #FDNY #Engine1 #Ladder24 &amp;amp; for raising funds for @NFFF_News. Learn more at… https://t.co/8GV9UTkKn5</t>
  </si>
  <si>
    <t>#FDNY members from #Engine26 w/ @stipemiocicufc, who is raising funds for @NFFF_News. Learn more at… https://t.co/tyzubWXFR3</t>
  </si>
  <si>
    <t>RT @NYPDnews: Police Officers from near and far are arriving to honor Sgt. Tuozzolo. #NeverForget https://t.co/ga1xdEU82e</t>
  </si>
  <si>
    <t>RT @NYPDnews: A remarkable show of support by NY’s Bravest for fallen NYPD hero, Sgt. Tuozzolo. Thank you, @FDNY https://t.co/ys81elRNL1</t>
  </si>
  <si>
    <t>Today’s #FDNY #tbt photo is from this day in 1973, a 3-alarm fire in #Brooklyn. See more at https://t.co/MzTsq0aQ6y https://t.co/KYcckeo8N6</t>
  </si>
  <si>
    <t>#FDNY Marine Corps Association celebrates @USMC 241st  Birthday at Ft. Hamilton Army Base in #Brooklyn https://t.co/MlIMgOpGba</t>
  </si>
  <si>
    <t>RT @NYPD63Pct: Thank you very much @FDNY 309/159 #NewYorksBravest showing 💙 to #NewYorksFinest  @NYPD43Pct https://t.co/17zUBzbbTX</t>
  </si>
  <si>
    <t>RT @nycgob: Felicidades al capitán Ciro Napolitano del @FDNY por ayudar a salvar un hombre de un vehículo en llamas en Georgia: https://t.c…</t>
  </si>
  <si>
    <t>Shout out to #FDNY Capt. Ciro J Napolitano, #Engine74, who helped saved a man from a burning vehicle while off-duty… https://t.co/2jENm72IMX</t>
  </si>
  <si>
    <t>.@TributeWTC gifts bikes built during 9/11 National Day of Service &amp;amp; Remembrance to kids of #FDNY members https://t.co/ElBWDI4Sn1</t>
  </si>
  <si>
    <t>All-hands fire at @ConEdison substation was placed under control by #FDNY at 7:15pm, turned back over to Con Ed https://t.co/dGfzeOAG8o</t>
  </si>
  <si>
    <t>#FDNY members supply universal foam to all-hands fire at @ConEdison substation, N Railroad Ave SI https://t.co/GoOYJOEzvI</t>
  </si>
  <si>
    <t>The Public Certification Unit should be able to assist with your question. Please give them a call at (718) 999-1988 https://t.co/dHag80jMp5</t>
  </si>
  <si>
    <t>It’s a sign of respect and solidarity with NYPD who lost an officer on Friday https://t.co/OaXfgfYSs3</t>
  </si>
  <si>
    <t>#FDNY #Battalion48 Chief &amp;amp; @USArmy Veteran Joseph E. Duggan reads during Sunday's Veterans Mass at @StPatsNYC https://t.co/mLZ5HoLmMk</t>
  </si>
  <si>
    <t>RT @NYPDnews: Congrats to @FDNY on their NYC Mayor's Cup victory! Great effort by both teams. See you at next year's @nycmarathon. #TCSNYCM…</t>
  </si>
  <si>
    <t>RT @nycgob: Jonathan Arias, EMT de la Estación 55, y todo el @FDNY le desean buena suerte hoy a @NYCFC! #SupportYourCity https://t.co/RmbUU…</t>
  </si>
  <si>
    <t>#GetAlarmedNYC w/ @redcrossny &amp;amp; FREE smoke/CO alarm giveaway &amp;amp; installation events. Find yours by calling https://t.co/gRNKlAcY7F</t>
  </si>
  <si>
    <t>If your smoke/CO alarm uses batteries, replace w/ a 10-year sealed battery alarm as soon as possible #GetAlarmedNYC https://t.co/XlMaTHbYoS</t>
  </si>
  <si>
    <t>Amazing effort by #FDNY &amp;amp; @NYPDnews members at today’s #TCSNYCMarathon. Congrats FDNY on your Mayor’s Cup victory! https://t.co/zpWy7pgyP6</t>
  </si>
  <si>
    <t>RT @nycmarathon: Congrats to New York's bravest! @FDNY #tcsnycmarathon https://t.co/HwLmsHAT8V</t>
  </si>
  <si>
    <t>RT @NYPDnews: Great job by all the NYPD &amp;amp; @FDNY runners in today's #TCSNYCMarathon. NYC's champs for sure! https://t.co/ItomQGPL7k</t>
  </si>
  <si>
    <t>#DaylightSaving is a great time to make sure your smoke/CO alarm is working properly https://t.co/UWD6Rv01x7</t>
  </si>
  <si>
    <t>Don’t forget – Change your clocks, change your batteries! If your alarm uses batteries, #DaylightSaving is a great… https://t.co/EaHRLVdQrh</t>
  </si>
  <si>
    <t>Good luck today @NYCFC from #FDNY EMT Jonathan Arias from #Station55 &amp;amp; all FDNY members! #SupportYourCity https://t.co/H48YbQ5WHo</t>
  </si>
  <si>
    <t>#FDNY #Engine164 &amp;amp; #Ladder84 on Staten Island shows support for fallen @NYPDnews Sergeant Paul Tuozzolo https://t.co/Cjr4obd5ks</t>
  </si>
  <si>
    <t>Family of fallen FDNY Deputy Chief Fahy, COD Leonard &amp;amp; members greet #FDNY runners participating in #TCSNYCMarathon https://t.co/EdoXOh8NPV</t>
  </si>
  <si>
    <t>Did you remember to test your smoke/CO alarm when you changed your clocks for #DaylightSaving? Be #FDNYSmart, it co… https://t.co/KBYI9w0ssr</t>
  </si>
  <si>
    <t>Thank you for visiting! Patrick looks like he'll make a fine member of #NYCBravest in a few years  https://t.co/9FdoaVuGk8</t>
  </si>
  <si>
    <t>#GetAlarmedNYC w/ @redcrossny &amp;amp; FREE smoke/CO alarm giveaway &amp;amp; installation events. Find yours by calling @nyc311 https://t.co/nwAnTdy1ko</t>
  </si>
  <si>
    <t>Change your clocks, change your batteries. Be #FDNYSmart during #DaylightSaving https://t.co/F9BccTb66s</t>
  </si>
  <si>
    <t>RT @nycgob: La Unidad de educación del @FDNY comparte consejos de seguridad en incendios en #StatenIsland HOY, 2900 Veterans Rd West, 12-4P…</t>
  </si>
  <si>
    <t>When you change your clocks for #DaylightSaving, remember to test your smoke/CO alarm too https://t.co/qdcVlKylCh</t>
  </si>
  <si>
    <t>#FDNY Fire Safety Education Unit is sharing #FDNYSmart tips #OnStatenIsland TODAY, 2900 Veterans Rd West, 12-4pm</t>
  </si>
  <si>
    <t>Watch to see how you can be #FDNYSmart during #DaylightSaving Learn more at https://t.co/NpwdRdlElY https://t.co/qXdatFLeN5</t>
  </si>
  <si>
    <t>Visit @Target at 40 W 225 St #Bronx TODAY to learn to be #FDNYSmart w/ #FDNY Fire Safety Education Unit. 12-4pm</t>
  </si>
  <si>
    <t>#FDNY Fire Safety Education Unit is in the #Bronx sharing #FDNYSmart info TODAY, Kmart at 1998 Bruckner Blvd, 12-4pm</t>
  </si>
  <si>
    <t>Learn to be #FDNYSmart w/ #FDNY Fire Safety Education Unit TODAY at @Target 40-24 College Point Blvd #Queens, 12-4pm</t>
  </si>
  <si>
    <t>Learn to be #FDNYSmart for #DaylightSaving w/ #FDNY Fire Safety Education Unit @Target at 139 Flatbush Ave #Brooklyn 12-4pm</t>
  </si>
  <si>
    <t>Visit #FDNY Fire Safety Education Unit TODAY at #Queens Center Mall to learn #FDNYSmart tips. JCPenney wing, 90-15 Queens Blvd, 12-4pm</t>
  </si>
  <si>
    <t>RT @nycgob: Las alarmas de humo salvan vidas. El cambio de hora es un buen momento para verificar/cambiar pilas. #FDNYSmart https://t.co/vg…</t>
  </si>
  <si>
    <t>RT @NYPDONeill: #NYPD Sgt. Paul Tuozzolo, 41, was shot and killed today while keeping the people of #NYC safe. Please keep him &amp;amp; his family…</t>
  </si>
  <si>
    <t>RT @NYPDnews: We mourn the loss of Sergeant Paul Tuozzolo, killed today while protecting NYC. Read remarks from @NYPDONeill: https://t.co/X…</t>
  </si>
  <si>
    <t>RT @NYPDnews: We ask everyone to stop and take a moment to say a prayer for Sgt Tuozzolo's family &amp;amp; for a full/speedy recovery for Sgt Kwo.…</t>
  </si>
  <si>
    <t>FDNY mourns the loss of @NYPDnews Sergeant Paul Tuozzolo, who was killed in the line of duty today while protecting… https://t.co/wsxsx7UB8O</t>
  </si>
  <si>
    <t>RT @nycgob: La Unidad de educación del @FDNY educa sobre seguridad en incendios HOY 4-6PM en la estación de 61 St/Roosevelt Ave en Woodside…</t>
  </si>
  <si>
    <t>RT @NYC_DOT: #DaylightSavingTime ends Sunday. Early darkness in fall &amp;amp; winter is highly correlated to an increase in traffic injuries/fatal…</t>
  </si>
  <si>
    <t>Meet the #FDNY Fire Safety Education Unit &amp;amp; learn to be #FDNYSmart in #Queens TODAY, Jamaica Centre-Parsons/Archer Station, 4-6pm</t>
  </si>
  <si>
    <t>RT @nyctaxi: It's time to move our clocks back one hour on Sunday, and evenings will get darker earlier. Please be vigilant, especially at…</t>
  </si>
  <si>
    <t>RT @NYC_DOT: As #DaylightSavingTime ends, @NYPDNews enforcement against dangerous driving will be concentrated between 4PM-9PM. #VisionZero…</t>
  </si>
  <si>
    <t>#FDNY Fire Safety Unit is #OnStatenIsland TODAY! Come learn to be #FDNYSmart at St. George Staten Island Ferry Terminal at 1 Bay St, 4-6pm</t>
  </si>
  <si>
    <t>Meet the #FDNY Fire Safety Education Unit &amp;amp; learn to be #FDNYSmart for #DaylightSaving. Find your local event at:… https://t.co/jmT8CpZ4G6</t>
  </si>
  <si>
    <t>TODAY 4-6pm #FDNY Fire Safety Education Unit sharing #FDNYSmart info at 61 St Woodside Station, 61 St &amp;amp; Roosevelt Ave #Queens</t>
  </si>
  <si>
    <t>Learn to be #FDNYSmart w/ #FDNY Fire Safety Education Unit at 14 St #UnionSquare TODAY, 4-6pm</t>
  </si>
  <si>
    <t>Visit W 125 St &amp;amp; Broadway Station in #Manhattan to learn to be #FDNYSmart from the #FDNY Fire Safety Education Unit! TODAY, 4-6pm</t>
  </si>
  <si>
    <t>#FDNY Commissioner Nigro administers the oath to 15 EMS Captains promoted today on #RandallsIsland https://t.co/hQnNjquCaA</t>
  </si>
  <si>
    <t>See more photos from last night’s @FDNYMuseum #FDNY Cook-Off &amp;amp; Fundraiser at https://t.co/ZEHuFW56GW https://t.co/SD06YDo4Lx</t>
  </si>
  <si>
    <t>You will find yourself in critical positions that shape the future of EMS for many, many years to come -#FDNY COD Leonard</t>
  </si>
  <si>
    <t>For each of our new Captains, this moment is the latest step in what have already been exemplary careers in the #FDNY -FDNY Comm Nigro</t>
  </si>
  <si>
    <t>It takes a great deal of studying &amp;amp; years of experience in the field learning what it means to truly lead others -#FDNY Commissioner Nigro</t>
  </si>
  <si>
    <t>Today #FDNY Commissioner Nigro presides over the promotion of 15 FDNY EMS Captains on #RandallsIsland https://t.co/xWH01gYOfw</t>
  </si>
  <si>
    <t>#FDNY Fire Safety Education Unit will be at W 168 &amp;amp; Broadway Station #Manhattan sharing #FDNYSmart info TODAY, 4-6pm</t>
  </si>
  <si>
    <t>Learn to be #FDNYSmart w/ #FDNY Fire Safety Education Unit in #Brooklyn! Crown Heights-Utica Ave Station at Utica Ave &amp;amp; Eastern Pkwy, 4-6pm</t>
  </si>
  <si>
    <t>#FDNY Fire Safety Education Unit is helping NYers be #FDNYSmart w/ tips at Bdwy Junction Complex at Jamaica Ave &amp;amp; Fulton St #Brooklyn, 4-6pm</t>
  </si>
  <si>
    <t>#FDNY Lt. Donohue is running #TCSNYCMarathon in memory of his daughter. Read more https://t.co/H6OnHWvksJ https://t.co/yc3wozeRO7</t>
  </si>
  <si>
    <t>#FDNY Fire Safety Education Unit is in #Brooklyn TODAY 4-6pm, Coney Island-Stillwell Ave Terminal at Stillwell Ave &amp;amp; Mermaid Ave</t>
  </si>
  <si>
    <t>Learn to be #FDNYSmart for #DaylightSaving w/ #FDNY Fire Safety Education Unit! 149 St Grand Concourse Station #Bronx, 4-6pm</t>
  </si>
  <si>
    <t>RT @nycgob: El @FDNY sofocando un incendio en Bay y Grant St #StatenIsland, el 3 de noviembre 1971. https://t.co/SOmh90Vevv https://t.co/3D…</t>
  </si>
  <si>
    <t>RT @nycgob: El gas natural es inodoro - se le añade olor por tu seguridad. Si lo hueles, no lo dudes: Llama de inmediato a 911. @FDNY #FDNY…</t>
  </si>
  <si>
    <t>Congrats Thomas Peccia, #Ladder2,  Best Chef at tonight's @FDNYMuseum Cook-Off! Read more https://t.co/hdEmx43x3d https://t.co/OEm5uZcOxa</t>
  </si>
  <si>
    <t>All proceeds from the @FDNYMuseum Cook-Off benefits Museum’s fire safety education programs https://t.co/qYFnl3OPAQ</t>
  </si>
  <si>
    <t>At tonight's @FDNYMuseum #FDNY Cook-Off, members battled it out for title of Best FDNY Chef https://t.co/UJMQzzdE4U</t>
  </si>
  <si>
    <t>RT @nyctaxi: When you change your clocks for #DaylightSaving, please remember to test your smoke/CO alarm too!  @FDNY https://t.co/pxr94Vjc…</t>
  </si>
  <si>
    <t>Natural gas has no scent of its own, so odor is added for safety. If you smell gas don't hesitate, be #FDNYSmart &amp;amp; call 911 immediately</t>
  </si>
  <si>
    <t>Read more about today's #FDNY Fire Officer Promotion Ceremony at https://t.co/WgSfCmRFt0 https://t.co/tY2CvmeeqM</t>
  </si>
  <si>
    <t>We always train to be better -#FDNY Captain William Butler. Read more https://t.co/ZXdIUWIpzj https://t.co/wNIZBm7VlC</t>
  </si>
  <si>
    <t>#FDNY Lt William Hickey, #Ladder120, was promoted at today’s Fire Officers Promo Ceremony in #Brooklyn… https://t.co/UcWsOLqgmO</t>
  </si>
  <si>
    <t>We all do this job because we genuinely love to help people -#FDNY Lt. James R. Denniston. Read more… https://t.co/hEn2LgzigT</t>
  </si>
  <si>
    <t>Congrats #FDNY Dep Chief Jay Jonas, #Division7, on receiving Edward W. Whalen Memorial Award at FSDA Symposium https://t.co/a7ehkYxwHJ</t>
  </si>
  <si>
    <t>This morning #FDNY Commissioner Nigro delivered opening remarks at 29th Annual Fire Safety Directors Assoc Symposium https://t.co/luimKy6a99</t>
  </si>
  <si>
    <t>You're welcome! Educators: learn about our free, customized CPR program for NY high schools https://t.co/UFnk7j75Kl https://t.co/u8FKcuVSJp</t>
  </si>
  <si>
    <t>Each of you is expected to lead others every second you’re in uniform, on-duty &amp;amp; off-duty as well -#FDNY COD Leonard</t>
  </si>
  <si>
    <t>More than 70 of our members take an important step, as they are promoted to ranks which are essential to our operations -#FDNY Comm Nigro</t>
  </si>
  <si>
    <t>Today #FDNY Comm Nigro promotes 76 #FDNY members to the ranks of Capt., Lt. Supervising Fire Marshal &amp;amp; Fire Marshal https://t.co/ro0GsChsi3</t>
  </si>
  <si>
    <t>TODAY: #FDNY Fire Safety Education Unit will be sharing #FDNYSmart tips at Ave J &amp;amp; E 14 St #Brooklyn, until 2 pm</t>
  </si>
  <si>
    <t>TODAY: Visit Lee Ave &amp;amp; Williamsburg St W. in #Brooklyn for #FDNYSmart tips from #FDNY Fire Safety Education Unit, 10am-2pm</t>
  </si>
  <si>
    <t>Today’s #FDNY #tbt photo is from this day in 1971, a 3-alarm fire at Bay &amp;amp; Grant Streets #OnStatenIsland. See more… https://t.co/h4xESaokXd</t>
  </si>
  <si>
    <t>RT @nycgob: Instala alarmas donde duermes y en cada nivel de tu casa, incluido el sótano. Un consejo del @FDNY. https://t.co/kuaMRrSONv #FD…</t>
  </si>
  <si>
    <t>TODAY: Learn #FDNYSmart tips from #FDNY Fire Safety Education Unit at 13 Ave &amp;amp; 53 St #Brooklyn, 10am-2pm</t>
  </si>
  <si>
    <t>TODAY: #FDNY Fire Safety Education Unit will sharing #FDNYSmart tips at Ave M &amp;amp; E 14 St #Brooklyn, 10am-2pm</t>
  </si>
  <si>
    <t>See photos from today's #FDNY Probationary Firefighter graduation ceremony at https://t.co/BHxe113f6d https://t.co/eaPRHNE7la</t>
  </si>
  <si>
    <t>We recommend installing alarms where you sleep &amp;amp; on every level of your home, including basements. Learn more at… https://t.co/fvWU9er6PT</t>
  </si>
  <si>
    <t>RT @FDNYFoundation: FDNY Foundation-Funded Training Helps Save New Yorker’s Life. Find out more about the daring rescue here: https://t.co/…</t>
  </si>
  <si>
    <t>RT @nyc311: Get batteries for your smoke/CO2 alarms at @FDNY events this week leading up to #DaylightSaving time: https://t.co/tYpvv3ro5A #…</t>
  </si>
  <si>
    <t>RT @HotDogFDNY: Don't forget to change the batteries in you smoke and carbon monoxide alarms this weekend. Read more! https://t.co/yNMScyfG…</t>
  </si>
  <si>
    <t>Congrats to 295 highly motivated, truly dedicated #FDNY Probies on your graduation from the FDNY Fire Academy https://t.co/rH8eCNixiQ</t>
  </si>
  <si>
    <t>TODAY &amp;amp; TOMORROW: #FDNY Fire Safety Education Unit will be sharing #FDNYSmart tips at Ave J &amp;amp; E 14 St #Brooklyn, 10am-2pm</t>
  </si>
  <si>
    <t>RT @NYCFC: ⚡️ Thank you to everyone from the @FDNY, @NYPD, and @NYCMayorsOffice for all of our support! #SupportYourCity
https://t.co/aN7J…</t>
  </si>
  <si>
    <t>RT @nycgob: Encontramos una víctima en el último piso del edificio abandonado. Subjefe  James Hodgens sobre incendio de anoche en #Brooklyn…</t>
  </si>
  <si>
    <t>RT @nycgob: La Unidad de educación del @FDNY comparte consejos de seguridad de incendios hoy y mañana 10AM-2PM en Ave M/E 14 St #Brooklyn.…</t>
  </si>
  <si>
    <t>#FDNY COD Leonard recognizes 46 US Veterans at Probationary Firefighter graduation https://t.co/OfyXG4XbkY</t>
  </si>
  <si>
    <t>Being a member of this Department is not what we do, it is who we are -#FDNY COD Leonard</t>
  </si>
  <si>
    <t>A long legacy of heroic &amp;amp; valiant actions defines this Department’s storied history -#FDNY COD Leonard to Probationary FFs</t>
  </si>
  <si>
    <t>RT @joinFDNY: "Probie" Julian Mitchell became inspired to serve by FF Khalid Baylor in 2006. Learn more: https://t.co/zaISDG9GYq. https://t…</t>
  </si>
  <si>
    <t>We are known as the #Bravest, &amp;amp; generations of our members have proven that every single day since 1865 -#FDNY Commissioner Nigro</t>
  </si>
  <si>
    <t>4 months ago, when you took your oaths at the start of training, you forever changed your lives -#FDNY Commissioner Nigro</t>
  </si>
  <si>
    <t>.@FDNYPipeBand kicks off #FDNY Probationary Firefighter graduation at @cccinfoorg in #Brooklyn https://t.co/2hRKulK14i</t>
  </si>
  <si>
    <t>I always wanted to be part of the best Fire Dept in the world -#FDNY Probationary FF Parks https://t.co/GrBi93Lkyh https://t.co/g9zzlFovcw</t>
  </si>
  <si>
    <t>Congratulations to 46 US Veterans who are graduating today from the #FDNY Fire Academy https://t.co/AYP2UBX2Az</t>
  </si>
  <si>
    <t>Congrats to 5 female FFers graduating today from #FDNY Fire Academy https://t.co/isKOEh5ku5</t>
  </si>
  <si>
    <t>#FDNY Probationary FF Ronaldson follows in his father’s footsteps. Read more https://t.co/h7fyo5o7gv https://t.co/kAXSljCmI8</t>
  </si>
  <si>
    <t>#FDNY Probationary FF &amp;amp; @NationalGuard member Jones served 3 tours in Afghanistan. Read more https://t.co/jyt8CFfL7N https://t.co/6phG8AaN7S</t>
  </si>
  <si>
    <t>As result of last night's fatal fire, #FDNY Fire Safety Education Unit is educating NYers at Liberty Ave &amp;amp; Lincoln Ave #Brooklyn until 2pm</t>
  </si>
  <si>
    <t>TODAY &amp;amp; TOMORROW: Visit Lee Ave &amp;amp; Williamsburg St W. in #Brooklyn for #FDNYSmart tips from #FDNY Fire Safety Education Unit, 10am-2pm</t>
  </si>
  <si>
    <t>RT @joinFDNY: Meet "Probie" Tyeisha Pugh, who is one of five women graduating from the Fire Academy today. https://t.co/STaBhnzacE https://…</t>
  </si>
  <si>
    <t>#FDNY Probationary FF Davan is grandson of 1st Dep Comm William Feehan https://t.co/7uhtu2Www5 #NeverForget https://t.co/VA7nqWMNkh</t>
  </si>
  <si>
    <t>RT @FDNYPro: #WednesdayWisdom: Cast-iron columns are unpredictable. More from #FDNY members inside 2nd/2016 WNYF at https://t.co/51gwlbYyox…</t>
  </si>
  <si>
    <t>TODAY &amp;amp; TOMORROW: Learn #FDNYSmart tips from #FDNY Fire Safety Education Unit at 13 Ave &amp;amp; 53 St #Brooklyn, 10am-2pm</t>
  </si>
  <si>
    <t>TODAY &amp;amp; TOMORROW: #FDNY Fire Safety Education Unit will sharing #FDNYSmart tips at Ave M &amp;amp; E 14 St #Brooklyn, 10am-2pm</t>
  </si>
  <si>
    <t>RT @nycgob: Acompáñanos mañana en el Concurso de cocina en el Museo del @FDNY! @FDNYMuseum https://t.co/H7EpxoSDwn</t>
  </si>
  <si>
    <t>We did find one victim in the vacant building on the top floor  -#FDNY Assistant Chief James Hodgens on last night's 3rd alarm in #Brooklyn</t>
  </si>
  <si>
    <t>Because of the amount of fire &amp;amp; structural stability we had to take a defensive operation -Asst Chief James Hodgens on last night's 3-alarm</t>
  </si>
  <si>
    <t>RT @FDNYAlerts: BKLYN 3-ALARM 420 LINCOLN AVE, VACANT MULTIPLE DWELLING FIRE THROUGHOUT WITH EXTENSION TO TOP FL EXP… Read more at https://…</t>
  </si>
  <si>
    <t>There are no injuries to report at 3-alarm fire at 420 Lincoln Ave #Brooklyn https://t.co/nzGFkdAN9X</t>
  </si>
  <si>
    <t>RT @nycgob: #Bomberos del @FDNY enfrentan un #incendio de 3 alarmas ahora en 420 Lincoln Ave #Brooklyn. https://t.co/S24yS5tbLk</t>
  </si>
  <si>
    <t>RT @FDNYAlerts: BKLYN 3-ALARM 420 LINCOLN AVE, VACANT MULTIPLE DWELLING FIRE THROUGHOUT.,</t>
  </si>
  <si>
    <t>#FDNY members are on scene of a 3-alarm fire at 420 Lincoln Ave #Brooklyn https://t.co/ynZCyNe2Kx</t>
  </si>
  <si>
    <t>RT @nycgob: La Unidad de educación del @FDNY enseña seguridad en #incendios mañana 10AM-2PM en 13 Ave/53 St #Brooklyn. #FDNYSmart #bomberos</t>
  </si>
  <si>
    <t>RT @nycgob: Apoya a tu ciudad! Miembros del @FDNY apoyan a @NYCFC en el partido del domingo. #SupportYourCity https://t.co/bgVdqdP3QS #Stat…</t>
  </si>
  <si>
    <t>TOMORROW: #FDNY Fire Safety Education Unit will be sharing #FDNYSmart tips at Ave J &amp;amp; E 14 St #Brooklyn, 10am-2pm</t>
  </si>
  <si>
    <t>#FDNY Battalion Chief Duggan &amp;amp; members who served their country will take part in annual Veterans Day Mass at… https://t.co/4OJLxJJ6ea</t>
  </si>
  <si>
    <t>TOMORROW 10am-2pm: Visit Lee Ave &amp;amp; Williamsburg St W. in #Brooklyn for #FDNYSmart tips from #FDNY Fire Safety Education Unit</t>
  </si>
  <si>
    <t>TOMORROW: Learn #FDNYSmart tips from #FDNY Fire Safety Education Unit at 13 Ave &amp;amp; 53 St #Brooklyn, 10am-2pm</t>
  </si>
  <si>
    <t>TOMORROW: #FDNY Fire Safety Education Unit will sharing #FDNYSmart tips at Ave M &amp;amp; E 14 St #Brooklyn, 10am-2pm</t>
  </si>
  <si>
    <t>RT @ColumbiaExecEd: Welcome! It is always an honor to work with the @FDNY and @FDNYFoundation on their management program. https://t.co/fZb…</t>
  </si>
  <si>
    <t>#FDNY members from #Station14 support @NYCFC! Good luck in Sunday’s game! #SupportYourCity https://t.co/9jbiRjAZrO</t>
  </si>
  <si>
    <t>The @FDNYMuseum Cook-Off is Thursday! Grab your tix to watch #FDNY chefs compete! See flyer for details https://t.co/LD1vWnPzmQ</t>
  </si>
  <si>
    <t>RT @BomberosSpain: Como siempre la PREVENCION esta a la orden del dia en @nycgob @FDNY https://t.co/4w9sFsz3lY</t>
  </si>
  <si>
    <t>#FDNY Comm, COD &amp;amp; members discuss high-rise fires  w/ Rotem Peleg, Director General, Ministry of Public Security, S… https://t.co/aTciGoOEEz</t>
  </si>
  <si>
    <t>Good girl, Leah! You're one #FDNYSmart pup &amp;amp; we bet you'd get along well with @HotDogFDNY &amp;amp; @SirenFDNY https://t.co/Pxebh1fqIF</t>
  </si>
  <si>
    <t>Thank you for your interest in the FDNY. Please visit https://t.co/l1TKPhfzP4 and follow @joinFDNY for info regardi… https://t.co/Vl1DfiqyC8</t>
  </si>
  <si>
    <t>RT @nycgob: .@FDNY celebra Día de familias de #bomberos en probatoria en la Academia de #RandallsIsland: https://t.co/lI44tB0idO https://t.…</t>
  </si>
  <si>
    <t>Use tea lights or glow sticks in your #Halloween pumpkins instead of a burning candle. Be #FDNYSmart w/ tips at… https://t.co/1yk7gjQluY</t>
  </si>
  <si>
    <t>Day 1 of #FDNY Fire Officers Management Institute is underway, partnership w/ GE Crotonville @Columbia_Biz, funded… https://t.co/ltC5dkE5X1</t>
  </si>
  <si>
    <t>Be #FDNYSmart for #Halloween - Use reflective strips on #Halloween costumes &amp;amp; treat bags so drivers can see you in the dark</t>
  </si>
  <si>
    <t>@meaggymcg the FDNY Fire Safety Education Unit can be reached at (718) 281-3870</t>
  </si>
  <si>
    <t>See photos from Probationary Firefighter Family Day at the #FDNY Fire Academy on #RandallsIsland at… https://t.co/KIG1XcOQgL</t>
  </si>
  <si>
    <t>Be #FDNYSmart for #Halloween – make sure costumes fit loosely to allow movement but fit well enough to prevent trip… https://t.co/Kevo6cUcMg</t>
  </si>
  <si>
    <t>RT @SirenFDNY: Happy #Halloween! Be #FDNYSmart and be sure children go out with a trusted adult!  For more tips, head to  https://t.co/xAaK…</t>
  </si>
  <si>
    <t>RT @HotDogFDNY: Happy #Halloween! Be #FDNYSmart and check treats to make sure it hasn't been tampered with.  Learn more at https://t.co/V9l…</t>
  </si>
  <si>
    <t>Happy #Halloween from @HotDogFDNY &amp;amp; @SirenFDNY! Learn to decorate &amp;amp; trick-or-treat safely w/ these #FDNYSmart tips… https://t.co/sWACs08miG</t>
  </si>
  <si>
    <t>RT @nycgob: Nunca deje los niños solos en #trickortreat y examine las golosinas antes de comerlas. @FDNY https://t.co/Ntfr4PkPt1 https://t.…</t>
  </si>
  <si>
    <t>RT @nycgob: Recuerde usar lamparillas o varitas fosforescentes en vez de velas encendidas en las calabazas de #Halloween! @FDNY https://t.c…</t>
  </si>
  <si>
    <t>@spectee_news yes feel free to share any photos/info with credit to @FDNY</t>
  </si>
  <si>
    <t>RT @nycgob: #Bomberos de @FDNY enfrentanto un incendio de 6 alarmas esta mañana en 9 W 29 St: https://t.co/pjjNGuyDWs</t>
  </si>
  <si>
    <t>RT @nycgob: El @FDNY sigue trabajando en 9 W 29 St. 1 bombero herido grave, 6 con lesiones leves, sin lesiones críticas: https://t.co/hIaWl…</t>
  </si>
  <si>
    <t>#FDNY remains on scene of 6th alarm, 9 W 29 St. 1 serious FF injury, 6 minor FF injuries, none are life-threatening https://t.co/9iHHW07ihN</t>
  </si>
  <si>
    <t>#FDNY Firefighters pump 
high-expansion foam into basement to fight a smoldering 6-alarm basement fire at 9 W 29 St https://t.co/FDfxCEvyv0</t>
  </si>
  <si>
    <t>Good luck today @NYCFC! #FDNY members from #Station55 are cheering you on! #SupportYourCity https://t.co/zY1jyxrBbH</t>
  </si>
  <si>
    <t>#FDNY Fire Safety Education Unit will be at 93 St/1st Ave TODAY sharing safety info in response to last week's fatal 6-alarm fire, 11am-3pm</t>
  </si>
  <si>
    <t>RT @FDNYAlerts: MAN 6-ALARM 9 W 29 ST, COMMERCIAL FIRE ON 1ST FLR IN STORE,</t>
  </si>
  <si>
    <t>FDNY Comm Nigro named Man of the Year for leadership, integrity, service by Italian Language Inter-Cultural Alliance https://t.co/BPsQ2XCJYD</t>
  </si>
  <si>
    <t>RT @nycgob: .@NYCMayor y comisionado del @FDNY agradecen a bomberos que rescataron anciano el jueves en el UES: https://t.co/CFe8HAzHW2 #es…</t>
  </si>
  <si>
    <t>RT @nycgob: Tú puedes ayudar a honrar y recordar a Los Más Valientes de la nación: https://t.co/C3BnG08dZ5 #CitiField https://t.co/svOT60cw…</t>
  </si>
  <si>
    <t>#FDNY members from #Engine68  #Ladder49 support @NYCFC! Good luck in tomorrow’s playoff game! #SupportYourCity https://t.co/WYNKbLFkU7</t>
  </si>
  <si>
    <t>Be #FDNYSmart on #Halloween, never let kids trick-or-treat alone &amp;amp; examine all treats before eating them. Learn mor… https://t.co/elNtaQ4TYi</t>
  </si>
  <si>
    <t>RT @nycgob: .@NYCMayor y el comisionado del @FDNY agradecieron ayer a los #bomberos que rescataron anciano el jueves en el UES: https://t.c…</t>
  </si>
  <si>
    <t>RT @nycgob: Miembros, familias y amigos ahora en el #StairClimb en  #CitiField por #bomberos caídos del @FDNY: https://t.co/W2AWuNfGv8 @NFF…</t>
  </si>
  <si>
    <t>RT @nycgob: La Unidad educativa del @FDNY estará HOY de 11AM a 3PM en 93 St/1st Ave compartiendo info de seguridad en respuesta al incendio…</t>
  </si>
  <si>
    <t>RT @nycgob: El @FDNY lleva su clase de resucitación cardiopulmonar (CPR) HOY 11AM-2:30PM a la Feria de salud de PS 58, 459 E 176 St en #ElB…</t>
  </si>
  <si>
    <t>To learn how you can help honor &amp;amp; remember our nation’s Bravest visit https://t.co/c0o2ShHFy5 #StairClimb #CitiField https://t.co/N5tU86vrAM</t>
  </si>
  <si>
    <t>Proceeds from @NFFF_News #StairClimb benefit FDNY Counseling Services Unit &amp;amp; National Fallen Firefighters Foundation https://t.co/h94LuoF3sh</t>
  </si>
  <si>
    <t>#FDNY members, family &amp;amp; friends participate in @NFFF_News #StairClimb for Fallen Firefighters at #CitiField https://t.co/teCCsTEvPl</t>
  </si>
  <si>
    <t>#FDNY Fire Safety Education Unit will be at 93 St/1st Ave TODAY sharing safety info in response to Thursday’s fatal 6-alarm fire, 11am-3pm</t>
  </si>
  <si>
    <t>Read more about @NYCMayor visit to #Engine53 #Ladder43 to thank #FDNY members involved in roof-rope rescue at… https://t.co/hyxTFplDBc</t>
  </si>
  <si>
    <t>The @FDNYMuseum Cook-Off is next Thurs Nov 3! Grab your tix to see #FDNY chefs battle it out for 1st place! See fly… https://t.co/KgpXbaBXvz</t>
  </si>
  <si>
    <t>Take a FREE CPR class TOMORROW w/ the #FDNY Mobile CPR Unit! PS 58 Health Fair at 459 E 176 St #Bronx 11am-2:30pm</t>
  </si>
  <si>
    <t>TOMORROW – Take a FREE CPR class #OnStatenIsland w/ #FDNY Mobile CPR Unit! Staten Island Mall, Main Court, 2655 Richmond Ave 1-3pm</t>
  </si>
  <si>
    <t>The flu shot can protect you, your family &amp;amp; the public against illness. Learn more at https://t.co/P3sJLI87dY https://t.co/t2dr2Js05w</t>
  </si>
  <si>
    <t>#FDNY members receive flu shots today as part of a BIOPOD drill. Learn more https://t.co/US9ydboXGt https://t.co/DC3esZdnOZ</t>
  </si>
  <si>
    <t>RT @NYCMayor: Please come along as we thank @FDNY firefighters for their heroic rescue on the UES Thursday morning. https://t.co/cMLbgfdsGt</t>
  </si>
  <si>
    <t>RT @nycgob: .@NYCMayor: Acompáñenos al agradecer al @FDNY por su heroico rescate en el #UES ayer en la madrugada. https://t.co/p875vuTxir</t>
  </si>
  <si>
    <t>RT @nycgob: .@NYCMayor agradece a #Engine53 #Ladder43 por su osado rescate en el gran incendio de ayer en el #UES: https://t.co/tAKCA0XNVw…</t>
  </si>
  <si>
    <t>The training works, everything worked out. It was a collective effort -#FDNY FF Andrew Hawkins #Ladder43</t>
  </si>
  <si>
    <t>Everyone did a great job. Everybody worked as a team. It wasn't easy by any means -#FDNY FF Joe Moore #Ladder13</t>
  </si>
  <si>
    <t>All I could see was the end of the rope &amp;amp; nothing past that, we knew we had about a minute tops -FF Walter Gilroy #Ladder26</t>
  </si>
  <si>
    <t>Thank God for your teamwork &amp;amp; dedication to each other -@NYCMayor to #FDNY members involved in yesterday's roof-rope rescue at 6-alarm fire</t>
  </si>
  <si>
    <t>It was like we all worked together for 20 years, it was that seamless -#FDNY FF Lee on yesterday's roof-rope rescue</t>
  </si>
  <si>
    <t>We drill on it so much, it's second nature. I had nothing but the utmost confidence -#FDNY FF Lee describes daring roof-rope rescue</t>
  </si>
  <si>
    <t>#FDNY FF Lee describes the teamwork involved in yesterday's roof-rope rescue at #UES 6-alarm fire https://t.co/A44nSQSILA</t>
  </si>
  <si>
    <t>.@NYCMayor &amp;amp; #FDNY Comm at #Engine53 #Ladder43 greeting members involved in yesterday's dangerous roof-rope rescue https://t.co/VMKHwTcbLG</t>
  </si>
  <si>
    <t>It's like something out of an action movie, that with just seconds to spare you could get someone to safety -@NYCMayor to #FDNY members</t>
  </si>
  <si>
    <t>.@NYCMayor visits #Engine53 #Ladder43 to thank #FDNY members involved in yesterday’s daring roof-rope rescue https://t.co/fWghAELtBq</t>
  </si>
  <si>
    <t>Rope used by #FDNY members in yesterday’s dangerous roof-rope rescue. Read more https://t.co/h2TdvFJNqv https://t.co/2ilfnQ3ILK</t>
  </si>
  <si>
    <t>Until 2pm: #FDNY Fire Safety Education at 93 St/1st Ave sharing safety info in response to yesterday's fatal 6-alarm https://t.co/cNdPvxwWma</t>
  </si>
  <si>
    <t>#FDNY Fire Safety Education Unit will be at 93 St/1st Ave TODAY sharing safety info in response to yesterday's fatal 6-alarm fire, 11am-2pm</t>
  </si>
  <si>
    <t>RT @joinFDNY: Our recruiters participated in today's #StorybyStory stair climb in recognition of #DomesticViolenceAwarenessMonth. https://t…</t>
  </si>
  <si>
    <t>RT @nycgob: El bombero Lee del @FDNY describe la operación de rescate esta mañana en el #UES: https://t.co/3I1GlZ0Smj https://t.co/ZLjcJFHX…</t>
  </si>
  <si>
    <t>WATCH: Video of daring roof-rope rescue by #FDNY members at early a.m. 6th alarm on #UES. Video credit Pete Billis https://t.co/kqUaqrpDQ2</t>
  </si>
  <si>
    <t>Today's #FDNY #tbt photo is from this day in 1972, 247 58th St #Brooklyn. See more https://t.co/bJnAZ6mMHr https://t.co/ONzMXKkIUX</t>
  </si>
  <si>
    <t>See more photos from today’s #FDNY EMS Academy Graduation &amp;amp; Promotion Ceremony at https://t.co/zMuNWvha6E https://t.co/W1j5kbDSpR</t>
  </si>
  <si>
    <t>I wanted to become a Paramedic to extend my knowledge of patient care -#FDNY Paramedic Johanna Nan. Read more… https://t.co/pNA7uMnOhK</t>
  </si>
  <si>
    <t>Another 2 minutes &amp;amp; he probably wouldn’t be with us -#FDNY FF Lee #Rescue1 describes today’s #UES roof-rope rescue:… https://t.co/BDBaea7Udc</t>
  </si>
  <si>
    <t>RT @NYC_DOT: Darkest months of the year, Nov-Mar, KSI's increase 40% at dusk. 
#SlowDown #TurnSlowly #VisionZero https://t.co/3m70McqQ1K</t>
  </si>
  <si>
    <t>RT @nycgob: Unidad del @FDNY está educando a los neoyorquinos en 93 St/1ra Ave #UES hasta las 2PM tras el incendio de hoy. https://t.co/fTx…</t>
  </si>
  <si>
    <t>RT @nycgob: 250 #bomberos del @FDNY enfrentaron un #incendio de 6 alarmas esta madrugada en 324 E 93 St: https://t.co/Yf7lbxh7lP #UES</t>
  </si>
  <si>
    <t>RT @nycgob: El @FDNY confirmó 1 muerto en incendio de E93 St, 12 lesiones menores (incl. 8 bomberos), 1 herido grave: https://t.co/YQA6g4br…</t>
  </si>
  <si>
    <t>Until 2 pm - #FDNY Fire Safety Education Unit on E 93 St &amp;amp; 1st Ave on the #UES, educating NYers following fatal fire https://t.co/sUKPhUZyyR</t>
  </si>
  <si>
    <t>Congratulations to 174 graduating EMTs &amp;amp; 16 Paramedics promoted today from #FDNY EMS Academy https://t.co/vGMN6Fge73</t>
  </si>
  <si>
    <t>Operable smoke alarm cuts your chances of dying in a fire nearly in half. NYers - #GetAlarmedNYC by calling @nyc311 https://t.co/n4fDcqe8Vh</t>
  </si>
  <si>
    <t>Beyond having smoke/CO alarms in your home, it’s essential to have an escape plan in case of emergency. Learn more https://t.co/j84Lv3ZFO1</t>
  </si>
  <si>
    <t>#FDNY Fire Safety Education Unit on E 93 St &amp;amp; 1st Ave on the #UES in Manhattan until 2 pm, educating NYers following fatal fire</t>
  </si>
  <si>
    <t>#FDNY Fire Marshals: Cause of 10/26 all-hands at 133-05 140 St #Queens was accidental, unattended candle. No smoke alarm present</t>
  </si>
  <si>
    <t>#FDNY Commissioner Daniel A. Nigro speaks to the tremendous bravery &amp;amp; dedication of FDNY EMS members https://t.co/NXbjCaoHdN</t>
  </si>
  <si>
    <t>#FDNY EMT &amp;amp; @NationalGuard member Thomas Rufino graduates FDNY EMS Academy today. Read more https://t.co/BhA2hiAUGT https://t.co/urX9fN6Vbg</t>
  </si>
  <si>
    <t>Always remember on every call how truly important you are to this city -#FDNY Chief of Dept Leonard</t>
  </si>
  <si>
    <t>Stay focused &amp;amp; with every response, you will become a better EMT &amp;amp; Paramedic -#FDNY Chief of Dept. Leonard</t>
  </si>
  <si>
    <t>As #FDNY EMTs &amp;amp; Paramedics, each of you is absolutely critical to the success of our Dept - #FDNY Commissioner Nigro</t>
  </si>
  <si>
    <t>This morning’s ceremony is the culmination of weeks of rigorous training by our graduating EMTs &amp;amp; newly promoted Paramedics -#FDNY Comm</t>
  </si>
  <si>
    <t>#FDNY EMS Academy Graduation &amp;amp; Promotion Ceremony is under way at @cccinfoorg in #Brooklyn https://t.co/XldgmBGmKa</t>
  </si>
  <si>
    <t>Congratulations to 4 U.S. Veterans graduating &amp;amp; receiving promotion today from #FDNY EMS Academy https://t.co/yYLWOra7LH</t>
  </si>
  <si>
    <t>RT @NYCMayor: Thinking of the residents of 324 E 93rd this AM. Grateful for 200 @FDNY bravest who saved lives. #Rescue1 roof rope rescue si…</t>
  </si>
  <si>
    <t>#FDNY confirms 1 fatality in #UES 93 St 6th alarm. 12 minor injuries (8 to Firefighters), 1 serious injury https://t.co/cf96dR242S</t>
  </si>
  <si>
    <t>I can’t say enough about the danger involved in that type of rescue -#FDNY Commissioner Nigro on roof-rope rescue at #UES 6th alarm</t>
  </si>
  <si>
    <t>He had two choices…to jump or to burn, neither of which would have been survivable. This was quite an extraordinary rescue -#Comm Nigro</t>
  </si>
  <si>
    <t>FF was lowered on a rope off the back of the building from the roof...extreme danger he placed himself in to rescue individual –Comm</t>
  </si>
  <si>
    <t>Extraordinary roof-rope rescue made by member of #Rescue1...took person in grave jeopardy out of 3rd floor under extreme conditions –Comm</t>
  </si>
  <si>
    <t>Fire started shortly after 3 am on 1st floor, quickly spread throughout the building -#FDNY Comm on #UES 6 alarm</t>
  </si>
  <si>
    <t>250 #FDNY members battled 6-alarm fire this morning at 324 E 93 St #UES https://t.co/4mNTuR3xJz</t>
  </si>
  <si>
    <t>RT @FDNYAlerts: MAN 6-ALARM 324 E 93 ST, MULTIPLE DWELLING FIRE THROUGHOUT, UNDER CONTROL</t>
  </si>
  <si>
    <t>RT @nycgob: Los cuarteles de #bomberos recaudarán alimentos para Campaña de @CityHarvest @NYDailyNews hasta el 13 enero! https://t.co/QGqTE…</t>
  </si>
  <si>
    <t>RT @nycgob: El Cuartel de #bomberos 14 del @FDNY envía sus mejores deseos a @NYCFC para el partido del domingo! #SupportYourCity https://t.…</t>
  </si>
  <si>
    <t>#FDNY FF McManus, #Ladder155, rescues man from burning home in #Queens. Read more https://t.co/8wA9EzVTWC https://t.co/P7Kuqhy4Sv</t>
  </si>
  <si>
    <t>#FDNY members from #Station14 are sending good luck to @NYCFC ahead of Sunday’s playoff game! #SupportYourCity https://t.co/EXX1TpDZJX</t>
  </si>
  <si>
    <t>Be #FDNYSmart - Use reflective strips on #Halloween costumes &amp;amp; treat bags so drivers can see you in the dark https://t.co/uKDxSTryQT</t>
  </si>
  <si>
    <t>#FDNY remembers Capt Russell, FFs Andrews, Marino, Egan, Gifford &amp;amp; Zahn who made Supreme Sacrifice at #Maspeth 4th… https://t.co/7syfjBkBzZ</t>
  </si>
  <si>
    <t>All #FDNY firehouses to serve as drop-off locations for @CityHarvest @NYDailyNews Food Drive thru Jan 13 https://t.co/C6i3iUJXw1</t>
  </si>
  <si>
    <t>#FDNY Comm Nigro helps kick off @CityHarvest @NYDailyNews Food Drive at #Engine7 #Ladder1 in Manhattan https://t.co/fuTXa1WjI4</t>
  </si>
  <si>
    <t>.@BobQuickJourney gifted bike to #Engine10 #Ladder10, thanked first responders for their service. See more photos… https://t.co/wqGIMBE9jm</t>
  </si>
  <si>
    <t>#FDNY members of #Engine10 #Ladder greet @BobQuickJourney &amp;amp; daughter as they wrap up cross-country ride for Autism https://t.co/BmM00WBTsm</t>
  </si>
  <si>
    <t>RT @HotDogFDNY: Be #FDNYSmart!  Plan and practice your escape route.  Read more here https://t.co/MtFwZ9A7Od https://t.co/iwiiP5MOLO</t>
  </si>
  <si>
    <t>RT @FDNYPro: #WednesdayWisdom: Proper handwashing is critical for all patient care providers. More health and safety info at https://t.co/d…</t>
  </si>
  <si>
    <t>RT @nycgob: Asegúrate de que tu disfraz y accesorios de #Halloween sean resistentes al fuego! @FDNY https://t.co/Ntfr4PkPt1 https://t.co/Um…</t>
  </si>
  <si>
    <t>#FDNY Battalion Chief Silvia praises #Ladder121 #Engine265 members for 10/18 water rescue. Read more… https://t.co/eI0lpWYuqI</t>
  </si>
  <si>
    <t>This #Halloween be #FDNYSmart, make sure your costume &amp;amp; accessories are flame-resistant. Learn more at… https://t.co/QkUOSNWAVl</t>
  </si>
  <si>
    <t>RT @nycgob: Miembros del @FDNY ejecutaron un heroico salvamento en Houston St, hoy hace 100 años! https://t.co/oCU5WY6sAB https://t.co/jcmM…</t>
  </si>
  <si>
    <t>#FDNY FireFLAG &amp;amp; @WestPoint_USMA Spectrum Club members meet to discuss identifying as LGBTQ in both @USArmy &amp;amp; FDNY https://t.co/xNootyGm8w</t>
  </si>
  <si>
    <t>RT @NYPD67Pct: #TeamUpTuesday w/ community leaders @CarmenFarinaDOE @NYCSchools @FDNY @NNickPerry @BKLYNlibrary #NYPD a shining example of…</t>
  </si>
  <si>
    <t>RT @nycgob: Use lamparillas o varitas fosforecentes en vez de velas encendidas en las calabazas de #Halloween! @FDNY https://t.co/Ep7wBlhEOJ</t>
  </si>
  <si>
    <t>RT @SirenFDNY: Listen to your heart and be #FDNYSmart!  Had fun at the Ingersoll Community Center in #Brooklyn! https://t.co/9kVBBo8OvY</t>
  </si>
  <si>
    <t>#FDNY Fire Safety Education team shares #FDNYSmart tips w/ kids at Ingersoll Community Center in #Brooklyn https://t.co/RUMrzZNfS5</t>
  </si>
  <si>
    <t>Use tea lights or glow sticks in your #Halloween pumpkins instead of a burning candle. Be #FDNYSmart w/ tips at… https://t.co/xMB4wMXqmw</t>
  </si>
  <si>
    <t>RT @BellevueHosp: We enjoyed celebrating our 280 years of care to NY  - we are the oldest hospital in the country. #BellevueProud #Celebrat…</t>
  </si>
  <si>
    <t>#FDNY members unite w/ families of Firefighters who courageously rescued a woman 100 years https://t.co/fJNZAGGXWg https://t.co/c36DoOI8d7</t>
  </si>
  <si>
    <t>#FDNY members from #Ladder20 learn about the E. Houston St fire, which happened 100 yrs ago today. Read more… https://t.co/HZGArlrr9N</t>
  </si>
  <si>
    <t>100 years ago today, #FDNY members executed a daring, heroic save on Houston St. Read more https://t.co/ylb5HxxY5S https://t.co/7PeNglo0qs</t>
  </si>
  <si>
    <t>RT @nycgob: Agúzate! En #Halloween, mira a ambos lados antes de cruzar la calle y sólo cruza en las esquinas: https://t.co/Stw6Vw2Y89 @FDNY…</t>
  </si>
  <si>
    <t>This #Halloween be #FDNYSmart - look both ways when crossing the street &amp;amp; only cross at street corners. Learn more: https://t.co/vUw0MGB7XS</t>
  </si>
  <si>
    <t>WATCH: #FDNY Probationary EMTs participate in their final Spirit Run of the class https://t.co/whUoDMCeoX</t>
  </si>
  <si>
    <t>#FDNY Probationary EMTs participate in their final Spirit Run of the class. They will graduate from FDNY EMS Academ… https://t.co/SzaeZLmrg3</t>
  </si>
  <si>
    <t>See photos from Saturday's EMS Probie Family Day at the #FDNY EMS Academy at https://t.co/x615AHcIfE https://t.co/j0ThXZnffz</t>
  </si>
  <si>
    <t>RT @heart911team: HEART 9/11 sent #fdny members to Fayetteville NC for Hurricane Matthew flood cleanup. Thank you #namknights for debris re…</t>
  </si>
  <si>
    <t>Congratulations to new #FDNY EMS Captains, who today begin their first day of Advanced Leadership class #NYCBest https://t.co/pkrQuJE9nS</t>
  </si>
  <si>
    <t>#FDNY Chief Medical Officer Dr. Kelly shares why @NFFF_News #StairClimb is important. Read more… https://t.co/oJhYNAug0F</t>
  </si>
  <si>
    <t>#FDNY Fire &amp;amp; EMS members responded to SI for a car accident. Members quickly extricated, treated driver, transporte… https://t.co/66rgnvzFcw</t>
  </si>
  <si>
    <t>RT @nycgob: El jefe Leonard apoya al Club de #fútbol del @FDNY antes del juego de hoy por la Copa del comisionado vs. #NYPD: https://t.co/B…</t>
  </si>
  <si>
    <t>RT @NYCFC: Great having the @FDNY and @NYPDnews here post match to play their charity friendly #NYCFC https://t.co/Z38oiA6lOZ</t>
  </si>
  <si>
    <t>#FDNY COD Leonard supporting FDNY Soccer Club before tonight's #CommissionersCup game vs #NYPD at #YankeeStadium https://t.co/4rNs86BdMX</t>
  </si>
  <si>
    <t>RT @FDNYPro: Blog: Plot Targeting Muslim Immigrants Foiled in Kansas https://t.co/xuHjtFoq83 https://t.co/vB0sxyqLY2</t>
  </si>
  <si>
    <t>FDNY Fire Safety Educ to share #FDNYSmart tips at #Flushing Chinese Business Assoc Fall Festival at PS 20, Sat. 12-4 https://t.co/JanPE7LnHy</t>
  </si>
  <si>
    <t>RT @FDNYPro: Podcast: One on One with #FDNY EMTs Shaun Alexander and Khadijah Hall on Acting While Off-Duty https://t.co/AHl8wR4r8I https:/…</t>
  </si>
  <si>
    <t>RT @FDNYPro: Podcast: One on One with #FDNY Lt. Robert Brown on Why You May Not Be Hearing Important Info on the Fireground https://t.co/8Q…</t>
  </si>
  <si>
    <t>RT @nycgob: Un gran juego por una gran causa. Gracias, @NYCFC, por todo su apoyo! https://t.co/vM9E5EdFNB @NYPDnews cc: @FDNY</t>
  </si>
  <si>
    <t>RT @FDNYPro: Podcast: One on One with #FDNY Chief Joseph R. Downey on Operating at Technical and Dangerous V Collapses https://t.co/ycckLbJ…</t>
  </si>
  <si>
    <t>RT @FDNYPro: Blog: Keeping #FDNY Members Safe at Motor Vehicle Accidents (MVAs) https://t.co/hl51yBDRyr https://t.co/ddxrH7xuFJ</t>
  </si>
  <si>
    <t>RT @USCGReserve: #USCG honors fallen 9/11 hero, Petty Officer 1st Class Jeff Palazzo of the elite Rescue 5 " Blue Thunder" unit #FDNY
https…</t>
  </si>
  <si>
    <t>RT @USCGReserve: @USCG Station NY and @FDNY honored a fallen shipmate and 9/11 hero with a building dedication. https://t.co/v3LpJ9Hfww htt…</t>
  </si>
  <si>
    <t>RT @USCG_NYC: @USCG Station NY and @FDNY honored a fallen shipmate and hero from 9/11 with a building dedication this morning https://t.co/…</t>
  </si>
  <si>
    <t>#FDNY fireboat Fire Fighter II escorts fireboat Governor Alfred E Smith, which retires today from #FDNYfleet https://t.co/pkQE0c008l</t>
  </si>
  <si>
    <t>Take a FREE CPR class TOMORROW w/ the #FDNY Mobile CPR Unit! NYU Health Center, 2020 Foster Ave #Brooklyn, 11am-2:30pm</t>
  </si>
  <si>
    <t>See photos from the @USCG Station NY event honoring #FDNY FF &amp;amp; USCG reservist Jeff Palazzo https://t.co/TpYYVWjqaw https://t.co/SdldxApRKH</t>
  </si>
  <si>
    <t>#FDNY Fire Marshals: Cause of 10/20 2nd alarm at 1562 3rd Ave #Manhattan was accidental, electrical extension cord.… https://t.co/SsbfasGrJV</t>
  </si>
  <si>
    <t>RT @NYCFC: #NYCFC to host post-match charity friendly between @FDNY and @NYPDnews https://t.co/NcfrgxYv02 https://t.co/6EKrt105lz</t>
  </si>
  <si>
    <t>RT @nycgob: Jeff Palazzo, bombero de la Compañía de rescate 5, realizó el Sacrificio supremo el 11 de Septiembre: https://t.co/2IIj1SOPOr @…</t>
  </si>
  <si>
    <t>RT @nycgob: Hoy, @USCoastGuard nombra edificio en #StatenIsland en honor de reservista y bombero del @FDNY: https://t.co/IyQkvJioCL #NeverF…</t>
  </si>
  <si>
    <t>Together, we are all ensuring that no one will ever forget his sacrifice -#FDNY COD Leonard #NeverForget</t>
  </si>
  <si>
    <t>Our members work closely together to respond to emergencies on the waterways of NYC every single day -#FDNY COD Leonard #NeverForget</t>
  </si>
  <si>
    <t>The #FDNY &amp;amp; the @USCoastGuard may be different organizations, but we share the same mission –FDNY COD Leonard #NeverForget</t>
  </si>
  <si>
    <t>It’s so fitting that this building here at Coast Guard Station New York will be named in his honor -#FDNY COD Leonard #NeverForget</t>
  </si>
  <si>
    <t>He is one of the 343 true heroes we lost that day, killed in a senseless &amp;amp; cowardly attack on our nation -#FDNY COD Leonard #NeverForget</t>
  </si>
  <si>
    <t>#FDNY FF Jeff Palazzo was a member of #Rescue5 &amp;amp; made the Supreme Sacrifice on Sept 11, 2001 #NeverForget https://t.co/8XB1N0E3an</t>
  </si>
  <si>
    <t>Today @USCoastGuard Station NY names a building #OnStatenIsland in honor of USCG reservist &amp;amp; #FDNY FF Jeff Palazzo… https://t.co/DvQlNZLK72</t>
  </si>
  <si>
    <t>#FDNY Probationary FFs participate in @NYBloodCenter blood drive, Be the Match bone marrow registration &amp;amp; enroll to… https://t.co/VyaScSyI4O</t>
  </si>
  <si>
    <t>RT @nycgob: El @FDNY enfrentando un incendio el 20 de octubre de 1978 en 7th Ave / 142 St #Harlem. https://t.co/JFEXYRmLYE https://t.co/SIk…</t>
  </si>
  <si>
    <t>RT @FDNYMuseum: We are excited to announce @La_Daisy will be returning as a judge for the 2016 FDNY Fire Museum Cook-Off! https://t.co/PRCH…</t>
  </si>
  <si>
    <t>RT @nyc311: Thanks @FDNY for yesterday's visit! We're honored to work together on best practices for #emergencypreparedness: https://t.co/Q…</t>
  </si>
  <si>
    <t>Stay informed 24/7/365! Follow @FDNYalerts, the FDNY’s automated operations feed https://t.co/OV2XsyxFOn</t>
  </si>
  <si>
    <t>RT @FDNYPro: Thousands lined 5th Ave procession to salute those #FDNY members lost at the 23rd Street Fire. More inside https://t.co/BeBece…</t>
  </si>
  <si>
    <t>RT @uscgmidatlantic: Battling floods in #NC, @FDNY and @NYPDnews crews helped a #USCG man rescue his family! https://t.co/2bbiLNG9Ck https:…</t>
  </si>
  <si>
    <t>Today's #FDNY #tbt photo is from 1978, a 4th-alarm at 7th Ave &amp;amp; 142 St #Harlem. See more https://t.co/PKtoNsFgry https://t.co/T2sCqT9LHe</t>
  </si>
  <si>
    <t>RT @FDNYPro: Learn how #FDNY members who stepped into this storefront were killed when the first floor collapsed into the cellar https://t.…</t>
  </si>
  <si>
    <t>RT @FDNYPro: #FDNY members begin the grim task of recovering their fallen brothers. More on lessons learned at the 23rd St. Fire https://t.…</t>
  </si>
  <si>
    <t>If there is a fire in your home, be #FDNYSmart &amp;amp; do not try to fight the fire yourself. Plan your exit strategy at https://t.co/oD3oGOqmZ5</t>
  </si>
  <si>
    <t>RT @NYPD120Pct: Always staying prepared. Hazardous Materials drill this afternoon at @RUMCSI with @FDNY &amp;amp; @nycoem . #120pct. https://t.co/p…</t>
  </si>
  <si>
    <t>RT @FDNYPro: The 23rd Street Fire was the darkest day for #FDNY before 9/11. More on operations and lasting impact in a new book https://t.…</t>
  </si>
  <si>
    <t>RT @FDNYPro: Film captures moments after the collapse that killed 12 #FDNY members in 1966. More inside the 23rd Street Fire Book https://t…</t>
  </si>
  <si>
    <t>RT @FDNYPro: Thick smoke pours out of 6 East 23rd Street after 12 #FDNY members are killed in a sudden collapse. What went wrong? https://t…</t>
  </si>
  <si>
    <t>RT @NYPDnews: Thank you to all in the @FDNY who helped to honor our fallen heroes today. https://t.co/K3H7dCXkNF https://t.co/IQOsf3jrjX</t>
  </si>
  <si>
    <t>RT @nycgob: Técnicos médicos de emergencias del @FDNY en el simulador del #Subway antier en #RandallsIsland. https://t.co/eWKgdcnc1C @joinF…</t>
  </si>
  <si>
    <t>See how #FDNY members from #Engine39 and #Ladder16 made Chris Longhitano's day at #NYP: https://t.co/BZbZsyFRQ9 https://t.co/tZqwaScbqg</t>
  </si>
  <si>
    <t>RT @joinFDNY: #FDNY Probationary #EMTs completed subway simulator training at "The Rock" on #RandallsIsland in #NYC on Oct. 17. https://t.c…</t>
  </si>
  <si>
    <t>RT @joinFDNY: Check out scenes from the Oct. 17 helmet removal training for #FDNY "Probie" #EMTs at "The Rock" on #RandallsIsland. https://…</t>
  </si>
  <si>
    <t>RT @FDNYPro: #FDNY Super Pumper operates at Box 598 on October 17, 1966. See more historic photographs in the 23rd Fire Book https://t.co/B…</t>
  </si>
  <si>
    <t>RT @FDNYPro: #FDNY Chief of Department led members in an impromptu memorial service for those lost on 10/17/66. More photos at https://t.co…</t>
  </si>
  <si>
    <t>RT @FDNYPro: What it means to #NeverForget ... #FDNY family marks 50 years since the 23rd Street Fire. Read more https://t.co/BeBeceocZk ht…</t>
  </si>
  <si>
    <t>RT @FDNYPro: By hand #FDNY members dig in the rubble on 23rd Street to recover their fallen comrades. More photos in the book https://t.co/…</t>
  </si>
  <si>
    <t>RT @FDNYPro: #FDNY helmet recovered from the devastation of the 23rd Street Fire is on display at the @fdnymuseum More photos at https://t.…</t>
  </si>
  <si>
    <t>RT @FDNYPro: Tragedy in the Flatiron District, told by #FDNY members past and present. Get your copy of the 23rd Street Fire Book https://t…</t>
  </si>
  <si>
    <t>RT @nycgob: El @FDNY encabezó hoy una misa en @StPatsNYC en conmemoración de víctimas del incendio de 23rd St hace 50 años: https://t.co/s9…</t>
  </si>
  <si>
    <t>RT @nycgob: El incendio de 23rd St hace 50 años fue una de las peores tragedias en la historia del @FDNY https://t.co/Q5zs47g9cx https://t.…</t>
  </si>
  <si>
    <t>See more photos from today's mass &amp;amp; ceremony commemorating the 23rd Street Fire at https://t.co/gRPZotZQfH https://t.co/BKPVNAA4PX</t>
  </si>
  <si>
    <t>RT @FDNYPro: Podcast: One on One with Retired #FDNY Chiefs Edward Butler and Vincent Dunn on Responding to the 23rd Street Fire https://t.c…</t>
  </si>
  <si>
    <t>RT @FDNYPro: Podcast: One on One with Retired #FDNY Chief Allen Hay on the 50th Anniversary of the 23rd Street Fire https://t.co/NDPIletSQs…</t>
  </si>
  <si>
    <t>Christine Priore's father was one of 12 #FDNY members lost in the 23rd St Fire https://t.co/GGae21opEv https://t.co/o6QAN8eSPp</t>
  </si>
  <si>
    <t>RT @BilldeBlasio: October 17, 1966 was a tragic day in our city. NYers will never forget the 12 Bravest who died in the 23rd Street Fire. h…</t>
  </si>
  <si>
    <t>A wreath is laid in honor of 12 #FDNY members who made the Supreme Sacrifice 50 years ago at the 23rd Street Fire https://t.co/E6BvDs7cHn</t>
  </si>
  <si>
    <t>#FDNY members who made the Supreme Sacrifice 50 yrs ago at the 23rd Street Fire are honored today in Manhattan https://t.co/Xt9d5Rbim8</t>
  </si>
  <si>
    <t>Though 50 yrs has passed the memory of those lost has never faded. We will never allow it to fade -#FDNY COD Leonard https://t.co/SgwW5O84zM</t>
  </si>
  <si>
    <t>Every member to ever wear this uniform...will know of the tragedy that took place here &amp;amp; the bravery that was displayed -#FDNY COD Leonard</t>
  </si>
  <si>
    <t>The 23rd Street fire is never far from our thoughts, those lost, never far from our hearts -#FDNY Commissioner Nigro https://t.co/z0GRID0zxg</t>
  </si>
  <si>
    <t>This was the Dept’s darkest day &amp;amp; it remained so until the unimaginable tragedy of September 11th, 15 years ago -#FDNY Commissioner Nigro</t>
  </si>
  <si>
    <t>The Dept had never seen a loss of this magnitude. 12 wives were now widows. So many children had lost their father -#FDNY Commissioner Nigro</t>
  </si>
  <si>
    <t>Families of 12 #FDNY members gather at the site of the 23rd St Fire. Watch LIVE at https://t.co/ZRjbzKfoKm https://t.co/MgctuvhFSf</t>
  </si>
  <si>
    <t>#FDNY members &amp;amp; families pay respects to 12 members who made the Supreme Sacrifice 50 yrs ago in the 23rd St Fire https://t.co/TLy3J3Trgv</t>
  </si>
  <si>
    <t>#FDNY Lt John J Finley, #Ladder7, was 54 yrs old when he died in the 23rd St Fire. Read more https://t.co/eHCwLmb5sQ https://t.co/prk5w8GxYz</t>
  </si>
  <si>
    <t>#FDNY members &amp;amp; family attend a mass at @StPatsNYC where funerals were held 50 yrs ago following 23rd St Fire https://t.co/dkkTO0ugfT</t>
  </si>
  <si>
    <t>RT @FDNYPro: Introducing the limited edition #FDNY book commemorating the 50th Anniversary of the 23rd Street Fire https://t.co/BeBeceocZk…</t>
  </si>
  <si>
    <t>RT @FDNYPro: The @FDNY and @FDNYFoundation commemorate the 50th Anniversary of the 23rd Street Fire and Collapse on 10/17/1966 https://t.co…</t>
  </si>
  <si>
    <t>See photos from the 23rd St Fire, one of the darkest days in #FDNY history https://t.co/tpHJcq8g9T https://t.co/GhEF77TDbJ</t>
  </si>
  <si>
    <t>Today we remember 12 #FDNY members who made the Supreme Sacrifice 50 years ago https://t.co/4m4FRek3Dc https://t.co/odra02ivqj</t>
  </si>
  <si>
    <t>Learn more about the #FDNY Hispanic Society 23rd St Fire Memorial Medal at https://t.co/s5ICB05eXf https://t.co/uTGa8pJ97r</t>
  </si>
  <si>
    <t>FDNY Hispanic Society 23rd St Fire Memorial Medal, forged in honor of those who made the Supreme Sacrifice, 10/17/66 https://t.co/V9EIfClDKp</t>
  </si>
  <si>
    <t>RT @nycgob: Equipos ESU y NY-TF 1 vuelven a casa hoy tras rescatar a muchos en #NorthCarolina: https://t.co/ZxE33SyEvf #NYPD @FDNY @fema #H…</t>
  </si>
  <si>
    <t>RT @nycgob: Comisarios del @FDNY: Las alarmas de humo no funcionaron en el incendio causado por fallo eléctrico ayer en 812 Thomas Boyland…</t>
  </si>
  <si>
    <t>Today is the last day of #FirePreventionWeek! Don't forget to read our #FDNYSmart tips to keep you &amp;amp; your family sa… https://t.co/A3eg6XvCkU</t>
  </si>
  <si>
    <t>RT @NYPDSpecialops: #NYPD #ESU &amp;amp; @FDNY joint @FEMA NY-TF 1, heading #home #today after a phenomenal job rescuing many in #NorthCarolina htt…</t>
  </si>
  <si>
    <t>#FDNY Fire Marshals: Cause of 10/14 all-hands, 812 Thomas Boyland St BK was accidental, electrical. Smoke alarms present but did not alert</t>
  </si>
  <si>
    <t>RT @HotDogFDNY: Its been a great week learning #FDNYSmart tips during #FirePreventionWeek !  Read my latest blog post! https://t.co/DyD5vlV…</t>
  </si>
  <si>
    <t>RT @nycgob: Gracias a miembros de la compañía #Engine48 @FDNY por asistir un parto hoy en un taxi en #ElBronx! https://t.co/hGLBzNGk64</t>
  </si>
  <si>
    <t>RT @nycgob: Las fotos de la 15ta Bendición anual de la Flotilla del @FDNY ya están en: https://t.co/R1DTfsMPRM https://t.co/I3KolUHCew</t>
  </si>
  <si>
    <t>RT @nycgob: La mayoría de las muertes en incendios ocurren por falta de alarmas. Verifica las de tu casa hoy! @FDNY #FDNYSmart #FirePrevent…</t>
  </si>
  <si>
    <t>Most fire deaths occur in homes with no working smoke alarms. Be #FDNYSmart, test your alarms today… https://t.co/8jKwCuuoHy</t>
  </si>
  <si>
    <t>Shout out to #FDNY members from #Engine48 &amp;amp; #Station15 for delivering a baby in the back of a taxi in the #Bronx! https://t.co/AIdl2OVvRh</t>
  </si>
  <si>
    <t>See more photos from today’s 15th Annual Blessing of the #FDNY Marine Fleet at https://t.co/xGpKOAkCdu https://t.co/55exbL2qE9</t>
  </si>
  <si>
    <t>Bring the family to the @FDNYMuseum #Halloween Party TOMORROW, 12-1pm. Kids can wear their spookiest (or cutest!) c… https://t.co/B1kanr6v3e</t>
  </si>
  <si>
    <t>RT @nycgob: Exhibición del barco apagaincendios Firefighter II en la 15ta Bendición anual de la Flotilla marítima del @FDNY: https://t.co/t…</t>
  </si>
  <si>
    <t>#FDNY Chaplain Msgr. Delendick conducts the Blessing of the FDNY Marine Fleet https://t.co/fDRivtK7rA</t>
  </si>
  <si>
    <t>A wreath is laid honoring all first responders &amp;amp; military members who made the Supreme Sacrifice while serving https://t.co/JlHu9Hc6Za</t>
  </si>
  <si>
    <t>#FDNY Fireboat Firefighter II performs a water display at the 15th Annual Blessing of the #FDNY Marine Fleet https://t.co/zIEhUxvRWN</t>
  </si>
  <si>
    <t>Our fireboats continue to do the difficult work of protecting life &amp;amp; property on the water, expanding our mission &amp;amp; saving lives -#FDNY COD</t>
  </si>
  <si>
    <t>#FDNY Marine Fleet is a critical component to our operations &amp;amp; I’m so impressed with how far we have come over the years -#FDNY COD Leonard</t>
  </si>
  <si>
    <t>Our Marine members have removed swimmers from the water, battled large-scale fires on land as well as massive boat fires -#FDNY COD Leonard</t>
  </si>
  <si>
    <t>The best part of our fleet remains the dedicated #FDNY members who operate them -FDNY Comm, Blessing of Marine Fleet https://t.co/Ikm8MpsUbp</t>
  </si>
  <si>
    <t>Overall, the #FDNYfleet is now larger, faster, more powerful &amp;amp; more agile than ever before -#FDNY Comm Nigro at Blessing of the Marine Fleet</t>
  </si>
  <si>
    <t>Our fleet has grown dramatically in the last 15 years. We have brought new, larger ships into our tiered response -#FDNY Commissioner Nigro</t>
  </si>
  <si>
    <t>.@FDNYPipeBand kicks off the 15th Annual Blessing of the #FDNY Marine Fleet at #SouthStreetSeaport https://t.co/cfmXnuaxGq</t>
  </si>
  <si>
    <t>Most fire deaths happen in the middle of the night. Plan your escape plan at https://t.co/6mkOPeyCiW… https://t.co/Q3bOo0kind</t>
  </si>
  <si>
    <t>12 #FDNY FFers made the Supreme Sacrifice on 10/17/1966 at the 23rd St Fire. Watch full video w/ archival footage a… https://t.co/UbMF8fPnxX</t>
  </si>
  <si>
    <t>RT @HotDogFDNY: Don’t Wait - Check the Date this #FirePreventionWeek and read my tip sheet! Don't forget to #GetAlarmedNYC! https://t.co/7I…</t>
  </si>
  <si>
    <t>RT @NYCMayoralPhoto: We thank our fallen members of @FDNY, whose oath to "protect life and property" is upheld no matter the cost. https://…</t>
  </si>
  <si>
    <t>RT @NYCMayoralPhoto: The greatness of the men and women of @FDNY is their selflessness and bravery. https://t.co/en1hsy8h8z</t>
  </si>
  <si>
    <t>RT @nycgob: El jefe Alvin Suriel fue honrado hoy en el evento de #HerenciaHispana del @FDNY: https://t.co/w4qdc5b568 https://t.co/Dp5GEw6T2t</t>
  </si>
  <si>
    <t>RT @nycgob: Vea las fotos de la celebración de la #HerenciaHispana del @FDNY en: https://t.co/zxvYzXjV1s https://t.co/caIh3Iwwy3</t>
  </si>
  <si>
    <t>See more photos from today’s #FDNY #HispanicHeritage Celebration at https://t.co/yTK1X9fEuq https://t.co/vvj8wZv5RJ</t>
  </si>
  <si>
    <t>CANCELLED: Saturday's Mobile CPR class at Glory of Christ Church, 2137 Ellis Ave #Bronx has been cancelled</t>
  </si>
  <si>
    <t>#GetAlarmedNYC w/ @redcrossny &amp;amp; FREE smoke/CO alarm giveaway &amp;amp; installation events. Find yours by calling @nyc311 https://t.co/TJTZFmmy6t</t>
  </si>
  <si>
    <t>#FDNY #Division2 Chief Alvin Suriel honored at today’s #HispanicHeritage event. Read more https://t.co/kamJ73eb1o https://t.co/n6tk8AwvQ5</t>
  </si>
  <si>
    <t>You exemplify the goals of #HispanicHeritage month, which are embracing, enriching &amp;amp; enabling  –#FDNY Dep Comm Cecilia Loving</t>
  </si>
  <si>
    <t>#FDNY #HispanicHeritage Honoree Ret Capt Fernandez bravely battled the 23 St fire 50 yrs ago https://t.co/qBCqztX6r5 https://t.co/AmQHAkLTYU</t>
  </si>
  <si>
    <t>We are strong &amp;amp; we accomplish so much together because of the diverse neighborhoods &amp;amp; backgrounds our members come from -#FDNY COD Leonard</t>
  </si>
  <si>
    <t>#FDNY honors Asst Commissioner Evelyn Tesoriero at today’s #HispanicHeritage event https://t.co/pYlikEyH2H https://t.co/yH1Pdl65AC</t>
  </si>
  <si>
    <t>We pause today to recognize the contributions of current &amp;amp; former #FDNY members who truly serve as role models for all of us -Comm Nigro</t>
  </si>
  <si>
    <t>#FDNY #HispanicHeritage Celebration honors past &amp;amp; present members &amp;amp; personnel for their hard work, dedication &amp;amp; commitment to public service</t>
  </si>
  <si>
    <t>Today #FDNY celebrates #HispanicHeritage at FDNY HQ in #Brooklyn https://t.co/0VNCDxM7Ke</t>
  </si>
  <si>
    <t>Be #FDNYSmart, replace alarms that use removable batteries with ones that contain sealed, 10-yr batteries… https://t.co/w5E20Jyhp3</t>
  </si>
  <si>
    <t>RT @HotDogFDNY: Teaching new friends the importance of being #FDNYSmart during #FirePreventionWeek at #FDNY HQ in Brooklyn! https://t.co/VN…</t>
  </si>
  <si>
    <t>If your smoke/CO alarm uses removable batteries, be sure to change them twice each year #FirePreventionWeek https://t.co/SRWSkPlAzC</t>
  </si>
  <si>
    <t>It's #FirePreventionWeek &amp;amp; #FDNY Commissioner Nigro, COD Leonard &amp;amp; members are teaching everyone at MetroTech Commo… https://t.co/NFN9eZ7gaD</t>
  </si>
  <si>
    <t>See more photos from today’s Fire Protection Inspector graduation &amp;amp; awards ceremony at https://t.co/FZ3ZIqsMGu https://t.co/rbgF8OC8Z2</t>
  </si>
  <si>
    <t>Fire Inspector Jose Martinez graduates today as Valedictorian of his class. Read more https://t.co/3LzIBH1M4o https://t.co/QcSOwSNUcR</t>
  </si>
  <si>
    <t>RT @nycgob: #Bomberos de la compañía #Engine3 del @FDNY salvan de un infarto a obrero de construcción: https://t.co/a6T4xkK2wU https://t.co…</t>
  </si>
  <si>
    <t>Residents moved by high-axle vehicle, 350+ homes searched by NY Task Force1 #FDNY @NYPDnews @nycoem team, working w/ PA-TF1 &amp;amp; @NationalGuard</t>
  </si>
  <si>
    <t>Come explore the @FDNYMuseum at the #Halloween Party on Saturday, 10/15, 12-1pm. Don't forget your costume - you co… https://t.co/p0qdl9cMbP</t>
  </si>
  <si>
    <t>#FDNY Firefighters from #Engine3 save construction worker in cardiac arrest. Read more https://t.co/PVbFh11Quq https://t.co/VjaDiLKxdR</t>
  </si>
  <si>
    <t>#FDNY #tbt from 1974, Congresswoman Abzug &amp;amp; FDNY Comm O’Hagan renaming #TimesSquare as part of #FirePreventionWeek… https://t.co/sSd5x8MCmQ</t>
  </si>
  <si>
    <t>Be sure to have the right type of smoke/CO alarm to keep you &amp;amp; your family safe. Learn more at… https://t.co/EXumFIOzAQ</t>
  </si>
  <si>
    <t>Your work isn’t easy by any stretch, but it’s so important. It absolutely prevents fires, accidents &amp;amp; tragedies -#FDNY COD Leonard</t>
  </si>
  <si>
    <t>This morning we recognize the best of the best when it comes to preventing fires -#FDNY Chief of Dept Leonard</t>
  </si>
  <si>
    <t>Your work matters greatly to all of us &amp;amp; I thank you for all you do to ensure the success of our life-saving mission -#FDNY Comm Nigro</t>
  </si>
  <si>
    <t>There is no way to calculate all the lives that have been saved by our Bureau of Fire Prevention over the years -#FDNY Commissioner Nigro</t>
  </si>
  <si>
    <t>#FDNY Comm Nigro presides over ceremony swearing in 11 Fire Prevention Inspectors &amp;amp; honoring 31 current Fire Inspectors for outstanding work</t>
  </si>
  <si>
    <t>RT @HotDogFDNY: Today’s #FDNYSmart tip for #FirePreventionWeek is to check your batteries in your smoke alarm!  Read more on https://t.co/j…</t>
  </si>
  <si>
    <t>RT @nycgob: Vea las fotos de la ceremonia del 109no Día conmemorativo del @FDNY en: https://t.co/1CKMFKL39o https://t.co/HDma3nSzb6</t>
  </si>
  <si>
    <t>See more photos from today’s 109th Annual #FDNY Memorial Day Ceremony at https://t.co/v62dwe4q2Z https://t.co/NrAoEgDzpN</t>
  </si>
  <si>
    <t>Teach kids that matches are not toys. Learn how at https://t.co/Es7EkEZPtC #FDNYSmart #FirePreventionWeek https://t.co/QEoOkUJmLg</t>
  </si>
  <si>
    <t>RT @NYCMayoralPhoto: Mason, 4, son of fallen EMS Captain Timothy Roberts, watches the formal review at @FDNY Annual Memorial Service at the…</t>
  </si>
  <si>
    <t>RT @NYPDSpecialops: #NYPD #ESU &amp;amp; @FDNY deployed w/ @fema NY-TF1 continue to #rescue people &amp;amp; #pets from #flooding in #Lumberton #NorthCarol…</t>
  </si>
  <si>
    <t>RT @FDNYPro: Podcast: One on One with #FDNY Lt. Robert Brown on Why You May Not Be Hearing Important Info on the Fireground https://t.co/ND…</t>
  </si>
  <si>
    <t>RT @FDNYPro: #FDNY units operate at Brooklyn Box 22-3082 on April 18, 2016. More in the latest magazine at https://t.co/51gwlbYyox https://…</t>
  </si>
  <si>
    <t>#FDNY Probationary EMS Class at today's 109th Annual FDNY Memorial Service https://t.co/WwSr0hxt1p</t>
  </si>
  <si>
    <t>Learn about the #FDNY Fire Safety Education Program &amp;amp; request an #FDNYSmart presentation at https://t.co/kRZk1sBgUq #FirePreventionWeek</t>
  </si>
  <si>
    <t>.@FDNYPipeBand honors #FDNY members who have died in the past year at the 109th Annual FDNY Memorial Day Ceremony https://t.co/VqXmgA0KaC</t>
  </si>
  <si>
    <t>We are all grateful, &amp;amp; we are better, for having known them &amp;amp; worked with them in our mission -#FDNY COD. Watch live https://t.co/ZRjbzKfoKm</t>
  </si>
  <si>
    <t>To our families, I offer you my deepest thanks for all your loved ones did to contribute to our life-saving mission -#FDNY COD Leonard</t>
  </si>
  <si>
    <t>We always remember the men &amp;amp; women of this Dept never for how they died, always for the extraordinary way in which they lived -#FDNY Comm</t>
  </si>
  <si>
    <t>For more than 100 years we have gathered here before this monument to pay our respects to all those taken from us far too soon -#FDNY Comm</t>
  </si>
  <si>
    <t>On behalf of 8.5 million NYers I want to thank #FDNY members present &amp;amp; members past for all they've done for this city -Mayor @BilldeBlasio</t>
  </si>
  <si>
    <t>Your loss is deep &amp;amp; great &amp;amp; lasting, &amp;amp; therefore our support for you needs to be deep &amp;amp; great &amp;amp; lasting -Mayor @BilldeBlasio</t>
  </si>
  <si>
    <t>RT @nycgob: EN VIVO: El alcalde @BilldeBlasio encabeza la Ceremonia del Día conmemorativo del @FDNY. Véalo en: https://t.co/2dwuP8pVZI. htt…</t>
  </si>
  <si>
    <t>Today’s 109th Annual #FDNY Memorial Day Ceremony is being shown LIVE at https://t.co/ZRjbzKfoKm https://t.co/FKrg10I1pO</t>
  </si>
  <si>
    <t>Mayor @BilldeBlasio &amp;amp; Commissioner Nigro to honor 5 #FDNY members who have died in the past year at today’s 109th Annual Memorial Service</t>
  </si>
  <si>
    <t>RT @FDNYPro: The latest edition of #FDNY WNYF magazine is out and available at https://t.co/51gwlbYyox https://t.co/IW0pkeVXyQ</t>
  </si>
  <si>
    <t>There are several events left during #FirePreventionWeek! Learn to be #FDNYSmart at FDNY events listed here https://t.co/ho7D6hobVl</t>
  </si>
  <si>
    <t>RT @HotDogFDNY: Today’s #FDNYSmart tip for #FirePreventionWeek is having the right type of alarm can save your life!  Read more at https://…</t>
  </si>
  <si>
    <t>RT @nycgob: Vea fotos del Día de seguridad contra incendios en @rockcenternyc: https://t.co/n2T9PvKynh https://t.co/Jf4n1IEQ7s #FirePrevent…</t>
  </si>
  <si>
    <t>RT @SirenFDNY: Great time teaching new friends how to be #FDNYSmart during #FDNY Fire Safety Day at @rockcenternyc ! https://t.co/VywlUS4RSe</t>
  </si>
  <si>
    <t>RT @HotDogFDNY: Had such a great time at #FDNY Fire Safety Day!  I really appreciate Ladder 13 coming to my rescue! See it here! https://t.…</t>
  </si>
  <si>
    <t>RT @HotDogFDNY: Hi-fives for a successful #FDNY Fire Safety Day to celebrate #FirePreventionWeek !  Thanks to all who came out! https://t.c…</t>
  </si>
  <si>
    <t>Fire spreads fast &amp;amp; CO is a silent killer. Working alarms are the most critical component of your escape plan… https://t.co/5n3xtIyD6R</t>
  </si>
  <si>
    <t>RT @nycgob: El @FDNY realizó una demostración de rescate en el Día de seguridad contra #incendios en @rockcenternyc: https://t.co/LL6mxkZ3wF</t>
  </si>
  <si>
    <t>See more photos from today's Fire Safety Day at @rockcenternyc at https://t.co/vjMReWkL6M  #FirePreventionWeek https://t.co/lbNr1RKksL</t>
  </si>
  <si>
    <t>10-yr-old Manfredi Di Paolo sworn in today as one of #NYCBravest w/ #FDNY &amp;amp; @MakeAWish https://t.co/O5DuM042Q4</t>
  </si>
  <si>
    <t>Thank you @LuigiBrugnaro for naming #FDNY Commissioner Daniel A. Nigro an Honorary Ambassador to #Venice https://t.co/kNSE6rMT9u</t>
  </si>
  <si>
    <t>500+ saved in Lumberton, NC by NY TF-1 #FDNY @NYPDNews @NYCOEM members, @USNationalGuard &amp;amp; NJ-TF1, OH-TF1, MO-TF1, NC-TF3 #HurricaneMatthew</t>
  </si>
  <si>
    <t>NY TF-1 comprised of #FDNY @NYPDnews @NYCOEM continues to work w/ multiple task forces to rescue those affected by #HurricaneMatthew</t>
  </si>
  <si>
    <t>RT @rockcenternyc: Congratulations to this year’s class of Junior Firefighters! @FDNY stopped by #RockCenter to help NYC youngsters brush u…</t>
  </si>
  <si>
    <t>RT @HotDogFDNY: A high angle rescue demo at #FDNY Fire Safety Day at @rockcenternyc for #FirePreventionWeek ! https://t.co/1z4oe0cnlk</t>
  </si>
  <si>
    <t>RT @HotDogFDNY: Junior #FDNY Firefighters and EMTs are sworn in at #FDNY Fire Safety Day at @rockcenternyc for #FirePreventionWeek ! https:…</t>
  </si>
  <si>
    <t>#FDNY Chief Booth joins #NYP President &amp;amp; CEO Dr Corwin for launch of 1st Mobile Stroke Treatment Unit on East Coast https://t.co/NFgOx5HIpG</t>
  </si>
  <si>
    <t>RT @nyphospital: #NYP's Dr. Fink: “The MSTU rapidly brings a neurologist &amp;amp; advanced technologies of an emergency room directly to the patie…</t>
  </si>
  <si>
    <t>RT @HotDogFDNY: Come out to see us and learn tips on how to be #FDNYSmart !  Today we are out in Manhattan and Queens! https://t.co/80Lh0Kz…</t>
  </si>
  <si>
    <t>Please take a moment to check your smoke alarms. If it’s not working, get a new one or change the batteries immediately -#FDNY COD Leonard</t>
  </si>
  <si>
    <t>We know today will make an impact on these young students, not only today, but for the rest of their lives -#FDNY Comm #FirePreventionWeek</t>
  </si>
  <si>
    <t>Though today is a fun time for everyone here, this task is one we take very seriously -#FDNY Commissioner Nigro #FirePreventionWeek</t>
  </si>
  <si>
    <t>Teaching fire &amp;amp; life safety is one of the most important functions of our Dept -#FDNY Commissioner Nigro #FirePreventionWeek</t>
  </si>
  <si>
    <t>RT @nyphospital: #NYP's Mobile Stroke Treatment Unit is ready to hit the road and start saving lives! @WeillCornell @FDNY @ColumbiaMed http…</t>
  </si>
  <si>
    <t>Celebrating our right to vote and our diversity with easy registration and delicious lunch. Come #NoshTheVote today! https://t.co/nhieB8BOcm</t>
  </si>
  <si>
    <t>RT @nyphospital: #NYP's Mobile Stroke Treatment Unit contains equipment &amp;amp; medications specific to diagnosing &amp;amp; treating strokes https://t.c…</t>
  </si>
  <si>
    <t>RT @nyphospital: Every second counts when it comes to a stroke. The MSTU is equipped to provide immediate specialized care to patients in n…</t>
  </si>
  <si>
    <t>RT @nyphospital: Watch live as #NYP unveils the new Mobile Stroke Treatment Unit (MSTU): https://t.co/cYi0fI2QEq @WeillCornell @ColumbiaMed…</t>
  </si>
  <si>
    <t>RT @nyphospital: #NYP is proud to announce a collaboration w/ @FDNY to launch the 1st Mobile Stroke Treatment Unit on the East Coast: https…</t>
  </si>
  <si>
    <t>RT @LuigiBrugnaro: Al Fire Department City of New York,Manfredi Di Paolo viene nominato "Pompiere Onorario" @FDNY [staff] https://t.co/w5c4…</t>
  </si>
  <si>
    <t>Students from schools in all 5 boroughs attend #FDNY Fire Safety Day at @RockCenterNYC for #FirePreventionWeek https://t.co/QJdAg7jWG8</t>
  </si>
  <si>
    <t>Don’t wait – check the date! #FirePreventionWeek is a great time to check &amp;amp; test your smoke/CO alarm https://t.co/2BNvVI56Ny</t>
  </si>
  <si>
    <t>RT @HotDogFDNY: The most critical component of your escape plan is a working smoke alarm.  #FirePreventionWeek https://t.co/1UajY00TSI</t>
  </si>
  <si>
    <t>RT @nycgob: El comisionado y miembros del @FDNY participaron en el Desfile del #DíadeColón hoy en 5ta Avenida: https://t.co/xtiIzSztNX #Col…</t>
  </si>
  <si>
    <t>RT @NYCMayorsOffice: Tomorrow we're bringing voter registration to a corner near you! Registered? Moved addresses? Come grab lunch and #Nos…</t>
  </si>
  <si>
    <t>Working smoke/CO alarms cut your risk of dying in a fire in half. Protect your family w/ these tips… https://t.co/Ab4su7glsx</t>
  </si>
  <si>
    <t>RT @SirenFDNY: Marching with friends in the Columbus Day Parade on Fifth Ave! https://t.co/RZwsYXbwZn</t>
  </si>
  <si>
    <t>RT @LuigiBrugnaro: #ColumbusDay 🇮🇹🇺🇸 Proudly Honors Mayor Luigi Brugnaro 🇮🇹🇺🇸 @FDNY #ColumbiaAssociation https://t.co/2q0T5T9EEp</t>
  </si>
  <si>
    <t>RT @LuigiBrugnaro: Inizia la parata del #ColumbusDay | Il sindaco Brugnaro insieme a @FDNY @joinFDNY [staff] https://t.co/ziuwx5sFje</t>
  </si>
  <si>
    <t>#FDNY Commissioner Nigro &amp;amp; members participate in today’s Columbus Day Parade on Fifth Ave https://t.co/BexT0YDEpB</t>
  </si>
  <si>
    <t>Don't overload surge protectors &amp;amp; don't rely on them too heavily. Be #FDNYSmart w/ these tips https://t.co/VoFt3qMjRH #FirePreventionWeek</t>
  </si>
  <si>
    <t>#FirePreventionWeek is a good reminder to always make safety your number 1 priority. Visit https://t.co/tOMmJg7S9y to learn how</t>
  </si>
  <si>
    <t>RT @HotDogFDNY: The #FDNY is out in all 5 boroughs today for #FirePreventionWeek.  Come see us and learn how to be #FDNYSmart! https://t.co…</t>
  </si>
  <si>
    <t>It's #FirePreventionWeek. Help make NYC safer by attending these #FDNY events in all 5 boroughs https://t.co/OkgmvDSy19</t>
  </si>
  <si>
    <t>RT @HotDogFDNY: Be #FDNYSmart and #GetAlarmedNYC!  Sign up here! https://t.co/7IhBcTJnt3 https://t.co/QOUSgBmvuA</t>
  </si>
  <si>
    <t>RT @nycgob: El equipo de Búsqueda/Rescate Urbano de @FDNY @NYPDnews y @nycoem y bomberos de Fayetteville FD han rescatado/evacuado 100+ per…</t>
  </si>
  <si>
    <t>#FDNY Hispanic Society &amp;amp; members participate in today’s Hispanic Day Parade on Fifth Ave https://t.co/57FwM7zdCg</t>
  </si>
  <si>
    <t>During #FirePreventionWeek &amp;amp; every week, teach kids that playing with fire is NEVER okay. Read our #FDNYSmart tips: https://t.co/Es7EkEZPtC</t>
  </si>
  <si>
    <t>It's #FirePreventionWeek &amp;amp; you can help make NYC safer by attending these #FDNY events in all 5 boroughs https://t.co/vjYlqgMRby</t>
  </si>
  <si>
    <t>USAR NY TF-1 &amp;amp; Fayetteville FD have rescued/removed 100+ people in NC. See how they train at https://t.co/gSvl0z1gPD https://t.co/sCDR3gFz7v</t>
  </si>
  <si>
    <t>Learn FREE CPR w/ the #FDNY Mobile CPR Unit TODAY at the Frederick Funeral Home Health Fair, 192-15 Northern Blvd #Queens 12-4pm</t>
  </si>
  <si>
    <t>RT @HotDogFDNY: Come see the #FDNY this #FirePreventionWeek!  This year's campaign: "Don’t Wait – Check the Date!  Replace Smoke Alarms Eve…</t>
  </si>
  <si>
    <t>The @NFFF_News Memorial Service is being streamed LIVE at https://t.co/sxMyiG4zAc #firehero2016 https://t.co/HrHfJtbUak</t>
  </si>
  <si>
    <t>RT @NYPDSpecialops: @fema USAR NY-TF1 joint @NYPDSpecialops &amp;amp; @FDNY are currently conducting water rescues in North Carolina. #HurricaneMat…</t>
  </si>
  <si>
    <t>RT @JoeEspoNYC: NYC's Urban Search &amp;amp; Rescue Task Force with @FDNY &amp;amp; @NYPDnews is in Fayetteville, NC assisting with water rescues - https:/…</t>
  </si>
  <si>
    <t>Turn Around, Don't Drown. Thank you @CityOfFayNC for video featuring USAR NY Task Force-1 rescue operations in NC https://t.co/pJvH6TcEzi</t>
  </si>
  <si>
    <t>WATCH: USAR NY Task Force-1 (Joint #FDNY @NYPDnews @nycoem team) assists w/ water rescue in Fayetteville NC https://t.co/oa3UgWR936</t>
  </si>
  <si>
    <t>RT @NFFF_News: LIVE on #Periscope: Candlelight Service begins. https://t.co/SZ0APvZJ08</t>
  </si>
  <si>
    <t>Watch the LIVE stream of @NFFF_News Memorial Weekend Candlelight Service at https://t.co/sxMyiG4zAc  #firehero2016 https://t.co/IwZgKxCZWq</t>
  </si>
  <si>
    <t>#GetAlarmedNYC w/ @redcrossny &amp;amp; FREE smoke/CO alarm giveaway &amp;amp; installation events. Find yours by calling @nyc311 https://t.co/C1Y4gxR2HA</t>
  </si>
  <si>
    <t>RT @NYPDnews: #ICYMI: @NYPDSpecialops members deployed south with @FDNY partners to assist in #HurricaneMatthew relief efforts https://t.co…</t>
  </si>
  <si>
    <t>Visit the @FDNYMuseum for this year’s #Halloween Party! Wear your spookiest (or cutest!) costume to win a prize on… https://t.co/8gGc4NlvNU</t>
  </si>
  <si>
    <t>RT @NYPD33Pct: D.I.Aramboles catches a bad guy trying to steal FDNY equipment from a fire truck.After a short foot chase,he got his man.Gr8…</t>
  </si>
  <si>
    <t>RT @nycgob: ¡Siempre listos! Equipo de Búsqueda y Rescate Urbano del NYPD, @FDNY y @nycoem viaja a Georgia por #huracánMatthew: https://t.c…</t>
  </si>
  <si>
    <t>RT @NYPDnews: As NYers prepare for a great weekend, the NYPD @FDNY &amp;amp; @NYCOEM are sending elite personnel to GA #HurricaneMatthew https://t.…</t>
  </si>
  <si>
    <t>.@Birdie_NYC you are so #FDNYSmart! Thank you for helping us tweet the importance of fire safety! https://t.co/ATNGQ4kFue</t>
  </si>
  <si>
    <t>.@THESTATIONfndn &amp;amp; #FDNY welcome Gold Star Children to tour the Fire Academy &amp;amp; visit #Engine10 #Ladder10. Read more… https://t.co/rfscuNl5me</t>
  </si>
  <si>
    <t>RT @HotDogFDNY: #FirePreventionWeek is coming!  Check out what the FDNY is doing to teach friends how to be #FDNYSmart.  https://t.co/Z7Btm…</t>
  </si>
  <si>
    <t>FDNY Commissioner Nigro hosts International Counterterrorism Workshop w/ #FDNY, #NYPD, Paris Fire Brigade &amp;amp; French… https://t.co/C7ah2uST51</t>
  </si>
  <si>
    <t>RT @nycgob: Un equipo #USAR del @NYPDnews, @FDNY y @nycoem viaja a Georgia por #huracánMatthew. Léanos en Medium: https://t.co/AdtvzsD9bm #…</t>
  </si>
  <si>
    <t>Bring your kids to the @FDNYMuseum #Halloween Party! Saturday, 10/15, 12-1pm. Don't forget your costume - you could… https://t.co/nIYO5Mx0wg</t>
  </si>
  <si>
    <t>RT @NYPDnews: Joint @FDNY &amp;amp; NYPD Urban Search &amp;amp; Rescue Team NY Task Force-1 always ready to help around the world will deploy to GA for #Hu…</t>
  </si>
  <si>
    <t>RT @NYPDnews: Joint @FDNY &amp;amp; NYPD Urban Search &amp;amp; Rescue Task Force heads to Georgia to help with #HurricaneMatthew relief https://t.co/Nm1pR…</t>
  </si>
  <si>
    <t>Thank you PS/MS 279 students for giving gifts to members of the firehouse where Deputy Chief Michael J. Fahy worked… https://t.co/2ElReVLqGQ</t>
  </si>
  <si>
    <t>RT @nycgob: Siempre listos! Un equipo de Búsqueda/Rescate del @FDNY y #NYPD viajará a Georgia por el #HuracánMatthew. https://t.co/Pzy1ttDz…</t>
  </si>
  <si>
    <t>RT @nycgob: El Equipo USAR del @FDNY y #NYPD entrena p/ responder a catástrofes y se envía adonde se necesite en todo el mundo: https://t.c…</t>
  </si>
  <si>
    <t>Our primary mission is going to be water ops -FDNY Chief Downey. Read more https://t.co/sraMcgXuOR #HurricaneMatthew https://t.co/NfRKdi2pwT</t>
  </si>
  <si>
    <t>RT @JoeEspoNYC: NYC's Urban Search &amp;amp; Rescue team w/ @FDNY &amp;amp; @NYPDnews is heading to Georgia to assist following  Hurricane Matthew. https:/…</t>
  </si>
  <si>
    <t>Joint #FDNY #NYPD USAR NY Task Force-1 is trained to respond to catastrophic events, deploying worldwide as needed https://t.co/3tixv2yXMm</t>
  </si>
  <si>
    <t>Joint #FDNY @NYPDnews Urban Search &amp;amp; Rescue Team NY Task Force-1 deploying to Georgia in anticipation of #HurricaneMatthew</t>
  </si>
  <si>
    <t>RT @nycgob: El @FDNY enfrentando un incendio el 6 de octubre de 1966 en Rockaway Ave #Brooklyn. https://t.co/PHcwNRbjxV https://t.co/vOWTgz…</t>
  </si>
  <si>
    <t>RT @nycgob: Los EMTs Gref y Fonseca del @FDNY impidieron un ataque con arma blanca en el #EastVillage! https://t.co/FH9BoQg99s https://t.co…</t>
  </si>
  <si>
    <t>RT @nycgob: .@FDNY se une a sobrevivientes de la #violenciadoméstica. Ayúdelas con @NYCagainstabuse. P/urgencias, llame al 911. https://t.c…</t>
  </si>
  <si>
    <t>#FDNY Haz-Tac EMTs Gref &amp;amp; Fonseca from #Station4 stop a stabbing in the #EastVillage. Read more… https://t.co/rIlPdgu9Bk</t>
  </si>
  <si>
    <t>RT @Mets: A sold-out crowd of 44,747 rose to their feet when the 11-year-old son of fallen @FDNY Chief Michael Fahy tossed the first pitch.…</t>
  </si>
  <si>
    <t>#FDNY stands w/ survivors of domestic violence. Learn how you can help at @NYCagainstabuse. In an emergency dial 91… https://t.co/KqkaBvf63b</t>
  </si>
  <si>
    <t>RT @Tunnel2Towers: #StandTall for FDNY Deputy Chief Michael Fahy, who lost his life in the line of duty. Donate to #T2T in Fahy's honor htt…</t>
  </si>
  <si>
    <t>Today's #FDNY #tbt photo is from this day in 1966, a 2-alarm fire on Rockaway Ave in #Brooklyn. See more… https://t.co/XM59yzY1My</t>
  </si>
  <si>
    <t>Per #FDNY Fire Marshals: Cause of 10/5 all-hands at 34-24 82 St #Queens was accidental electrical, overheated extension cord to AC unit</t>
  </si>
  <si>
    <t>RT @FDNYPro: In the latest mag, #FDNY EMS Academy shares its training video on storing and doffing turnout gear and APR masks https://t.co/…</t>
  </si>
  <si>
    <t>RT @FDNYPro: One of the greatest issues with addressing PTSD is acknowledging that there is a problem. More from our #FDNY Doc at https://t…</t>
  </si>
  <si>
    <t>RT @FDNYPro: FDOC gives #FDNY greater situational awareness. It and other measures have helped overcome challenges post-9/11 https://t.co/K…</t>
  </si>
  <si>
    <t>RT @FDNYPro: Save the Date. #FDNY MSOC returns to the Fire Academy May 5-7 2017. Learn more at https://t.co/tVh4L7YNXZ https://t.co/XsnhCi6…</t>
  </si>
  <si>
    <t>#GetAlarmedNYC w/ @redcrossny &amp;amp; FREE smoke/CO alarm giveaway &amp;amp; installation events. Find yours by calling @nyc311 https://t.co/WEa7BSS8LD</t>
  </si>
  <si>
    <t>TY @RedCrossNY for honoring #FDNY Lt Craig Roeder. Read about his heroic actions: https://t.co/QHvGYLe5xm https://t.co/JPuOvz4WLm</t>
  </si>
  <si>
    <t>RT @nycgob: Gracias, @Mets, por honrar y acoger a la hermosa familia de Michael J. Fahy del @FDNY. @BilldeBlasio #LGM https://t.co/4dmRu1FU…</t>
  </si>
  <si>
    <t>RT @BilldeBlasio: Thank you, @Mets, for honoring and comforting the beautiful @FDNY Fahy family. #LGM https://t.co/2OPX2GKfxI</t>
  </si>
  <si>
    <t>RT @NYCMayoralPhoto: Mayor @BilldeBlasio observes a moment of silence for @FDNY Chief Michael Fahy at tonight's @Mets #WildCard playoff gam…</t>
  </si>
  <si>
    <t>TY @Mets for supporting the Fahy family at NL #WildCard game &amp;amp; your ongoing support for all first responders #LGM https://t.co/aDUnPH0Zgl</t>
  </si>
  <si>
    <t>Thank you @Mets for the moment of silence honoring #FDNY Deputy Chief Michael J. Fahy at tonight’s NL #WildCard game  #LGM</t>
  </si>
  <si>
    <t>.@Mets @NeilWalker18 &amp;amp; #DavidWright greet #FDNY Chief Fahy's wife Fiona, daughter Anna, sons Michael &amp;amp; Cormac #LGM https://t.co/jQuWyYIejh</t>
  </si>
  <si>
    <t>Michael Fahy, son of #FDNY Dep Chief Michael J Fahy, warms up w/ @Mets #DavidWright before throwing first pitch #LGM https://t.co/xJWPUuwowq</t>
  </si>
  <si>
    <t>RT @NYPD46Pct: @FDNY Engine 75 Ladder 33 Battalion19 express their gratitude for our support during their time of need #ItsWhatWeDo https:/…</t>
  </si>
  <si>
    <t>At #FDNY Open House kids learned that Firefighters, Paramedics &amp;amp; EMTs are friends. Teach kids to count on first res… https://t.co/6hnJqEZfJb</t>
  </si>
  <si>
    <t>RT @NYCagainstabuse: Tomorrow is #NYCGoPurple Day! See the fact sheet for how you can participate and learn how to help survivors of #domes…</t>
  </si>
  <si>
    <t>RT @nycgob: Vea la evolución del equipo de protección del #EMS desde los años '80 en: https://t.co/FjR51rJqXK https://t.co/XLYIwoFzI0 @FDNY…</t>
  </si>
  <si>
    <t>RT @nycgob: Conozca el #FDNYGator, el nuevo recurso valioso del @FDNY, en la nueva revista de @FDNYPro: https://t.co/zPk3pYURT6 https://t.c…</t>
  </si>
  <si>
    <t>RT @FDNYPro: The versatile #FDNY Gator has proved to be a valuable EMS asset. Learn more in our latest magazine https://t.co/Kw2YCkwjmZ htt…</t>
  </si>
  <si>
    <t>RT @FDNYPro: From the 1980s to today, the evolution of #FDNY EMS personal protective equipment https://t.co/dkfCE8PSJx https://t.co/RzZfofn…</t>
  </si>
  <si>
    <t>RT @FDNYPro: The #FDNY EMS Pipes and Drums band is a story about duty, honor and tradition. Get an Inside Look at its beginnings https://t.…</t>
  </si>
  <si>
    <t>RT @NYPD32Pct: Thank you #StPhillipsChurch for your #Blessings for @FDNY &amp;amp; #NYPD during your #Procession thru #Harlem this morning. https:/…</t>
  </si>
  <si>
    <t>More than half of all home fire deaths occur btwn 10 pm - 6 am. Be #FDNYSmart, plan your escape w/ these tips… https://t.co/Tj7h4RXDNK</t>
  </si>
  <si>
    <t>RT @FDNYPro: #FDNY Chief Janice Olszewski recalls 9/11. Podcast available at https://t.co/NDPIletSQs Also on iTunes and Google Play https:/…</t>
  </si>
  <si>
    <t>RT @FDNYPro: Podcast: One on One with #FDNY Chief Janice Olszewski on EMS Operations on 9/11 #NeverForget https://t.co/NDPIletSQs https://t…</t>
  </si>
  <si>
    <t>RT @FDNYPro: #FDNY EMTs manage the Medical Command Board at a two-alarm house fire in Queens. More in the latest mag https://t.co/Kw2YCkeIv…</t>
  </si>
  <si>
    <t>RT @nycgob: El incendio de 2 alarmas en 162-05 89 Ave #Queens ya está bajo control. https://t.co/ZA1EaBhpAL @FDNY</t>
  </si>
  <si>
    <t>#FDNY Chief Ditaranto gathers FFers to assess #Queens 2-alarm, under investigation by Fire Marshals &amp;amp; @NYPDnews https://t.co/jBnxLCMNDu</t>
  </si>
  <si>
    <t>RT @FDNYPro: The latest edition of #FDNY Pro EMS is available now! Check out what's inside at https://t.co/Kw2YCkwjmZ https://t.co/fVbZSvO1…</t>
  </si>
  <si>
    <t>RT @FDNYPro: #FDNY Pro EMS 3rd/2016 issue...In Memoriam for Chief Michael J. Fahy https://t.co/Kw2YCkeIvr https://t.co/ABS6Xqv255</t>
  </si>
  <si>
    <t>2-alarm fire at 162-05 89 Ave #Queens has been placed under control https://t.co/X636Ebq7VM</t>
  </si>
  <si>
    <t>RT @NYPD19Pct: We share these kind words w/ the @FDNY that we received from students of Strawtown Elementary School. Thank you for all the…</t>
  </si>
  <si>
    <t>A letter to the community of Crestwood, from #FDNY Commissioner Daniel A. Nigro https://t.co/zwgqKu8WDF</t>
  </si>
  <si>
    <t>Most candle fire victims are btwn ages 5-9. Be #FDNYSmart, place candles out of reach of children https://t.co/rRfemWzhRs</t>
  </si>
  <si>
    <t>RT @CityofYonkers: We bid farewell to @FDNY chief &amp;amp; #Yonkers resident Michael Fahy. May God Bless the Fahy family. https://t.co/clS88rPIq1</t>
  </si>
  <si>
    <t>Per #FDNY Fire Marshals: Cause of last night's 3rd alarm at 102-17 Atlantic Ave #Queens was accidental, careless discard smoking materials</t>
  </si>
  <si>
    <t>RT @nycgov: Mayor @BilldeBlasio's remarks from funeral for fallen @FDNY Deputy Chief Michael J. Fahy: https://t.co/fNLGLzkA3M https://t.co/…</t>
  </si>
  <si>
    <t>RT @NYCMayorsOffice: Today we mourn
Michael J. Fahy
@FDNY Deputy Chief
Father of three
Great man
https://t.co/VGfaMamSV3 https://t.co/hRqvX…</t>
  </si>
  <si>
    <t>See more photos from today’s service for #FDNY Deputy Chief Michael J. Fahy https://t.co/p38fLhccYs https://t.co/PWTeb8iZWs</t>
  </si>
  <si>
    <t>On behalf of the Fahy family &amp;amp; all members of the FDNY, we thank you, our followers &amp;amp; friends, for your support https://t.co/2pSWYdSxOw</t>
  </si>
  <si>
    <t>RT @YonkersPD: Condolences once again to the Fahy family and .@FDNY on your loss.   We were proud to escort this #hero today. https://t.co/…</t>
  </si>
  <si>
    <t>Thank you @YonkersPD @NYPDnews for your support https://t.co/3NDJFjSEBk</t>
  </si>
  <si>
    <t>RT @NYCMayoralPhoto: Today - and every day - we honor the life and sacrifice of @FDNY Deputy Chief Michael Fahy. May you rest in peace. htt…</t>
  </si>
  <si>
    <t>Daddy loves you so much, and he is so very proud of you &amp;amp; he always will be - Fiona Fahy, wife of #FDNY Deputy Chief Michael J. Fahy</t>
  </si>
  <si>
    <t>Mike would climb 100 mountains to be with his children -Fiona Fahy, wife of #FDNY Deputy Chief Michael J. Fahy https://t.co/qw8W2Azqon</t>
  </si>
  <si>
    <t>The love &amp;amp; support you have shown us is more than he could have ever imagined  - Fiona Fahy, wife of #FDNY Deputy Chief Michael J. Fahy</t>
  </si>
  <si>
    <t>We were so proud of him. More than anything I'm honored that he considered me his friend -#FDNY Capt Deehan #Engine47</t>
  </si>
  <si>
    <t>If you did what Mike would do, you knew you did a great thing -#FDNY Capt Deehan #Engine47 Watch live https://t.co/ZRjbzKfoKm</t>
  </si>
  <si>
    <t>He put himself in harm's way so that others would be protected -#FDNY Commissioner Nigro. Watch live at https://t.co/RT9eDQ7lXR</t>
  </si>
  <si>
    <t>What he wanted more than anything was to be one of us. He wanted to be a New York City Firefighter -#FDNY Comm Nigro</t>
  </si>
  <si>
    <t>Michael was one of those people who provided a foundation for everything good in our society  -Mayor @BilldeBlasio</t>
  </si>
  <si>
    <t>For a Mayor there's no more solemn duty than to offer our City's condolences -Mayor @BilldeBlasio. Watch live https://t.co/ZRjbzKfoKm</t>
  </si>
  <si>
    <t>RT @nycgob: EN VIVO: Vea la ceremonia del sepelio del subjefe Michael J. Fahy del @FDNY en: https://t.co/golkuxU6Lf https://t.co/WRSqNjhD1j</t>
  </si>
  <si>
    <t>The funeral for #FDNY Deputy Chief Michael J. Fahy is being broadcast LIVE at https://t.co/ZRjbzKfoKm https://t.co/rN4860SkAP</t>
  </si>
  <si>
    <t>#FDNY members, family &amp;amp; friends gather to pay their respects to FDNY Deputy Chief Michael J. Fahy https://t.co/BoFaMfiGZm</t>
  </si>
  <si>
    <t>Today we lay to rest #FDNY Deputy Chief Michael J. Fahy. Watch LIVE at https://t.co/ZRjbzKfoKm https://t.co/6kn9C7LST3</t>
  </si>
  <si>
    <t>I can’t stress enough how much of a great guy Mike was &amp;amp; he’s going to be sorely missed -#FDNY FF Marc Dore… https://t.co/aJqUP2Qf2H</t>
  </si>
  <si>
    <t>RT @nycgob: Fumar es la causa #1 de muertes de ancianos en #incendios en NYC. NUNCA fume acostado, en especial si su medicina provoca somno…</t>
  </si>
  <si>
    <t>#FDNY Fire Marshals: Cause of 9/30 all-hands, 25 W 132 St was accidental, careless discard of cigarette. Smoke alarm present &amp;amp; operational</t>
  </si>
  <si>
    <t>RT @YonkersPD: FUNERAL FOR FDNY CHIEF FAHY - PARKING RESTRICTIONS AND STREET CLOSURES - PARKING AND SHUTTLE BUS INFORMATION:... https://t.c…</t>
  </si>
  <si>
    <t>RT @YonkersPD: .@FDNY Chief Fahy funeral information and attached map https://t.co/S0YEZ2mrBK</t>
  </si>
  <si>
    <t>Learn CPR for FREE w/ the #FDNY Mobile CPR Unit TOMORROW – 9:15-11:15 am at Roy Wilkins Park, Merrick Blvd #Queens</t>
  </si>
  <si>
    <t>RT @CityofYonkers: Check here for street closures and no parking zones for @FDNY Chief Fahy's funeral mass tomorrow: https://t.co/XuBbesXKGU</t>
  </si>
  <si>
    <t>RT @NYLawJournal: Lawyer-turned-firefighter's death ripples through legal community  https://t.co/dEdQE65Lgz @akin_gump @proskauer @NYLawSc…</t>
  </si>
  <si>
    <t>RT @HotDogFDNY: With the holidays approaching be sure to be #FDNYSmart when it comes to candle safety.  Read more  here.  https://t.co/fnCo…</t>
  </si>
  <si>
    <t>RT @NYCMayorsOffice: We stand with them in grief and in gratitude. @FDNY https://t.co/uhNev7O5sa</t>
  </si>
  <si>
    <t>RT @NYCMayoralPhoto: The Bravest stand united before the wake of fallen @FDNY Battalion Chief Michael J. Fahy -  posthumously promoted to D…</t>
  </si>
  <si>
    <t>RT @nycgob: El alcalde @BilldeBlasio y el comisionado de @FDNY anunciaron promoción póstuma de Michael Fahy al rango de subjefe. https://t.…</t>
  </si>
  <si>
    <t>I have no doubt that in a number of years, Chief Fahy would have led this Dept. That’s the caliber of man he was -… https://t.co/MA3AkD3x0Q</t>
  </si>
  <si>
    <t>Mayor @BilldeBlasio, Comm Nigro announce posthumous promotion of Battalion Chief Fahy to the rank of Deputy Chief… https://t.co/DXDCkshuoH</t>
  </si>
  <si>
    <t>RT @BilldeBlasio: Humbled by the sacrifice, service and courage of the Fahy family as they mourn Michael J. Fahy, today promoted to Deputy…</t>
  </si>
  <si>
    <t>RT @YonkersPD: WAKE SERVICES FOR FDNY BATTALION CHIEF MICHAEL FAHY - STREET CLOSURES AND ATTENDEE PARK... More info:  https://t.co/lyH5QVeu…</t>
  </si>
  <si>
    <t>RT @nycgob: El @FDNY envió una Unidad de transporte de evacuación médica para ayudar en accidente de tren @PATHTrain @NJTRANSIT: https://t.…</t>
  </si>
  <si>
    <t>RT @NYCMayorsOffice: .@FDNY deployed its Medical Evacuation Transport Unit (can carry 30+ patients) to Hoboken – @nycoem working w/ NJ coun…</t>
  </si>
  <si>
    <t>#FDNY deploying Medical Evacuation Transport Unit to provide mutual aid for NJ Transit train crash https://t.co/Qzegtyk3kW</t>
  </si>
  <si>
    <t>Today's #FDNY #tbt photo is from 1973, a 2-alarm fire at Utica &amp;amp; Herkimer Streets in #Brooklyn. See more… https://t.co/F3VyBnNY8D</t>
  </si>
  <si>
    <t>RT @NYPDnews: Standing with our partners in the @FDNY as we all mourn the loss of hero firefighter, Battalion Chief Michael Fahy. https://t…</t>
  </si>
  <si>
    <t>Wake and Funeral information for #FDNY Battalion Chief Michael J. Fahy: https://t.co/3HMw2L8mo2 https://t.co/TWhhcYKgQ7</t>
  </si>
  <si>
    <t>See all the ways in which #FDNY Battalion Chief Michael J. Fahy was honored today at https://t.co/BIpgg7Wlo0 https://t.co/2loUk7zu4d</t>
  </si>
  <si>
    <t>RT @nycgob: Gracias, @NYCCouncil @CoreyinNYC por reconocer valentía de socorristas y miembros del @FDNY en #explosiónenChelsea. https://t.c…</t>
  </si>
  <si>
    <t>TY @NYCCouncil @CoreyinNYC for recognizing #FDNY members &amp;amp; first responders today for their brave actions in respon… https://t.co/sTzf8uJiuI</t>
  </si>
  <si>
    <t>RT @FDNYFoundation: Support the young family of Chief Fahy. Click here: https://t.co/CFu3cn8R89 &amp;amp; select "Chief Michael J. Fahy Children's…</t>
  </si>
  <si>
    <t>Everything he did was for his wife &amp;amp; kids -#FDNY Capt Deehan speaks to character of Battalion Chief Michael J. Fahy… https://t.co/1eZZi0EOPU</t>
  </si>
  <si>
    <t>RT @nycgob: El barco apagaincendios Fire Fighter II del @FDNY rindió homenaje al fallecido jefe de batallón Michael J. Fahy: https://t.co/T…</t>
  </si>
  <si>
    <t>Thank you @NYPDnews for participating in today's Honor Escort for #FDNY Battalion Chief Michael J. Fahy https://t.co/v95WyHqyfa</t>
  </si>
  <si>
    <t>Thank you @NYPD62Pct and all @NYPDnews members for your unwavering support https://t.co/Gh6DA6B7wR</t>
  </si>
  <si>
    <t>FDNY members from #Marine9 on fireboat Fire Fighter II provide water display as part of Honor Escort for Battalion… https://t.co/pBKIg6A9xF</t>
  </si>
  <si>
    <t>#FDNY members honor fallen Battalion Chief Michael J. Fahy, who made the Supreme Sacrifice yesterday, as he is esco… https://t.co/XQfswGEVKT</t>
  </si>
  <si>
    <t>Our members are escorting fallen Battalion Chief Michael J. Fahy, who made the Supreme Sacrifice yesterday morning… https://t.co/69Ez6tOqFT</t>
  </si>
  <si>
    <t>Thank you @NYPD46Pct for honoring #FDNY Battalion Chief Michael J. Fahy w/ a memorial wreath presented to… https://t.co/Exq7cLzPuA</t>
  </si>
  <si>
    <t>#FDNY FFs Lindo &amp;amp; Hagan drape bunting on exterior of #Battalion19 #Engine75 #Ladder33 where Battalion Chief Michael… https://t.co/EcMUcyUnF5</t>
  </si>
  <si>
    <t>RT @FDNYFoundation: Support Chief Fahy's family by clicking here: https://t.co/GSZSKQ1Atx  &amp;amp; selecting the "Chief Michael J. Fahy Children'…</t>
  </si>
  <si>
    <t>Mayor @BillDeBlasio &amp;amp; FDNY Comm Nigro today announced the death of Battalion Chief Michael J. Fahy. Read more… https://t.co/1jGW2cee3u</t>
  </si>
  <si>
    <t>RT @BilldeBlasio: A tragedy today has befallen a family, our @FDNY, and our entire city. We lost 17-yr FDNY veteran and father of three, Mi…</t>
  </si>
  <si>
    <t>RT @NYCMayorsOffice: Together we mourn today's line of duty death of one of our bravest, @FDNY Battalion Chief Michael J. Fahy. 17 year vet…</t>
  </si>
  <si>
    <t>It is with deep regret that FDNY announces the line of duty death of FDNY Battalion Chief Michael J. Fahy… https://t.co/BjjbrerrWW</t>
  </si>
  <si>
    <t>RT @NYCMayorsOffice: HAPPENING NOW: Bronx explosion press conf. at @nyphospital w/ Mayor @BilldeBlasio, @FDNY Comm Nigro &amp;amp; @NYPDONeill: htt…</t>
  </si>
  <si>
    <t>RT @NYCMayorsOffice: Large multi-agency response to house explosion in the Bronx. @FDNY, @NYPDnews, @nycoem, amongst others. https://t.co/L…</t>
  </si>
  <si>
    <t>RT @FDNYAlerts: BX 2-ALARM 304 W 234 ST, PRIVATE DWELLING EXPLOSION,</t>
  </si>
  <si>
    <t>Teach kids that matches are not toys. Learn how at https://t.co/Es7EkEZPtC #FDNYSmart https://t.co/D1z5eAHHWD</t>
  </si>
  <si>
    <t>RT @nycgob: Fumar es la causa #1 de muertes de ancianos en #incendios en NYC es. NUNCA fume acostado, en especial si su medicina da sueño.…</t>
  </si>
  <si>
    <t>Leading cause of fire death in the home for adults 65+ is smoking. Be #FDNYSmart, NEVER smoke lying down, esp if your meds cause drowsiness</t>
  </si>
  <si>
    <t>#FDNY Marine Units extinguish boat fire yesterday in Ambrose Channel. Read more https://t.co/3gtKm4ZFNc https://t.co/zPjKkWpZoh</t>
  </si>
  <si>
    <t>Total of 44 patients evaluated at #LincolnTunnel. 28 transported to local hospitals. Incident has been placed under control</t>
  </si>
  <si>
    <t>RT @nycgob: Miembros del @FDNY atienden pacientes ahora en un accidente en #LincolnTunnel. 41 lesiones leves, 3 heridos graves. https://t.c…</t>
  </si>
  <si>
    <t>#FDNY members continue patient care at scene of #LincolnTunnel motor vehicle accident. Total patient count 44: 41 m… https://t.co/ixZcmBw69R</t>
  </si>
  <si>
    <t>#FDNY members remain on scene of a motor vehicle accident inside the #LincolnTunnel. Total patient count is 24: 23… https://t.co/taorT2Y9qn</t>
  </si>
  <si>
    <t>#FDNY members are on scene of a motor vehicle accident inside the #LincolnTunnel. 12 injuries reported: 11 minor, 1 serious</t>
  </si>
  <si>
    <t>#GetAlarmedNYC w/ @redcrossny &amp;amp; FREE smoke/CO alarm giveaway &amp;amp; installation events. Find yours by calling @nyc311 https://t.co/9RBfvRMjNE</t>
  </si>
  <si>
    <t>#FDNY Comm Nigro &amp;amp; members take part in #T2Trun, honor sacrifices of first responders &amp;amp; Military heroes #NeverForget https://t.co/b4YirtpB6C</t>
  </si>
  <si>
    <t>RT @NYPD1Pct: Awesome tribute! 
Our brothers from @FDNY Emerald Society Pipes &amp;amp; Drums @Tunnel2Towers.
#NeverForget 🇺🇸 https://t.co/IJnHze…</t>
  </si>
  <si>
    <t>Don't overload surge protectors, &amp;amp; don't rely on them too heavily. Be #FDNYSmart w/ these safety tips https://t.co/s8UVtkaC5y</t>
  </si>
  <si>
    <t>TY for supporting first responders! We'll keep protecting NYC, you just focus on protecting the @NYRangers net #NYR  https://t.co/5pTjuq1fFM</t>
  </si>
  <si>
    <t>RT @FDNYPro: Save the Date. #FDNY MSOC returns to the Fire Academy May 5-7 2017. Learn more at https://t.co/tVh4L7YNXZ https://t.co/jiiyZQc…</t>
  </si>
  <si>
    <t>RT @SheilaLKaplan: @FDNY in addition to being the bravest you take time to show other ways you care. Thx for all you do to keep us safe htt…</t>
  </si>
  <si>
    <t>RT @nycgob: La Unidad móvil enseña resucitación cardiopulmonar en @WHEDcoSpeaks #BronxSummerFest HOY! 1303 Louis Nine Blvd #ElBronx 12-4PM…</t>
  </si>
  <si>
    <t>RT @nycgob: Enseñe a los niños que los #bomberos, EMTs y paramédicos son sus amigos. Más info en: https://t.co/SuWwDfMj6S https://t.co/E76c…</t>
  </si>
  <si>
    <t>RT @NYC_DOT: Thanks to @FDNY #EMS Battalion 23 for helping us make NYC greener &amp;amp; greater! #NYCAdoptAHighway #OnStatenIsland 👏 #NYCAAH volun…</t>
  </si>
  <si>
    <t>Teamwork between #FDNY EMTs &amp;amp; @NYPD48Pct prevent robbery in the #Bronx. Read more https://t.co/fl9cTs84Ni https://t.co/VU8JySIEZE</t>
  </si>
  <si>
    <t>RT @joinFDNY: #FDNY Paramedic students trained at "The Rock" on #RandallsIsland today https://t.co/zXOEnG3TbQ</t>
  </si>
  <si>
    <t>Take a FREE CPR class TOMORROW w/ the #FDNY Mobile CPR Unit! Cunningham Park, 196 Place &amp;amp; Union Tpke #Queens, 10am-… https://t.co/UhYGctKehC</t>
  </si>
  <si>
    <t>Per #FDNY Fire Marshals: Cause of 9/21 all-hands fire at 93 1/2 E 7th St in the #EastVillage was accidental, electr… https://t.co/X9dvkkM8J9</t>
  </si>
  <si>
    <t>Teach kids that Firefighters, EMTs &amp;amp; Paramedics are their friends. Learn more at https://t.co/kHoq9VM7By https://t.co/wpe3mmOrHH</t>
  </si>
  <si>
    <t>See more photos from @bradhoylman @ManhattanDA @galeabrewer @DickGottfried @ElizCrowleyNYC visit to EMS #Station7… https://t.co/vpCxNfhVfl</t>
  </si>
  <si>
    <t>.@bradhoylman @ManhattanDA @galeabrewer @DickGottfried @ElizCrowleyNYC thank EMS #Station7 members for exceptional… https://t.co/5aHaigFAGf</t>
  </si>
  <si>
    <t>#FDNY Mobile CPR Unit is at @WHEDcoSpeaks #BronxSummerFest TOMORROW giving FREE CPR classes! 1303 Louis Nine Blvd #Bronx 12-4pm</t>
  </si>
  <si>
    <t>The type of building you live in can determine how you should respond to a fire. Be #FDNYSmart with these tips https://t.co/3HNmaB8qgG</t>
  </si>
  <si>
    <t>RT @nycgob: #Bomberos en probatoria entrenándose para sacar personas de autos ayer en la Academia del @FDNY en Randall's Island. https://t.…</t>
  </si>
  <si>
    <t>RT @joinFDNY: Check out the #FDNY #EMS Academy "Probies" completing car extrication training at "The Rock" on #RandallsIsland today. https:…</t>
  </si>
  <si>
    <t>If your clothes catch fire, running can make it worse. Be #FDNYSmart &amp;amp; Stop, Drop, Roll, Cool, Call. Learn more at https://t.co/TlAyNGRrN6</t>
  </si>
  <si>
    <t>New @IDNYC benefits will help you stay fit &amp;amp; cheer on the home team. ⚽️. 
https://t.co/EbJNHfkXo0 https://t.co/yprc5Ux19a</t>
  </si>
  <si>
    <t>If something does happen, our members are there. We’re going to get help to you -FDNY Lt Hydock #Station7. Read mor… https://t.co/suPEChtXq7</t>
  </si>
  <si>
    <t>RT @SecretService: #UNGA is secured 360 degrees with maritime/harbor partners on the East River @USCG @NYPDSpecialops @FDNY @SecretService…</t>
  </si>
  <si>
    <t>RT @nycoem: Tip: if you rely on electric-powered medical equipment, consider taking these steps before a disaster: https://t.co/TZvqvyzaoX…</t>
  </si>
  <si>
    <t>RT @nycgob: El @FDNY combatiendo un incendio el 22 de septiembre de 1981 en E 138 St #ElBronx: https://t.co/vMMFCgP7M6 https://t.co/oq0N8mn…</t>
  </si>
  <si>
    <t>Today's #FDNY #tbt photo is from 1981, a 2-alarm fire on E. 138 St #Bronx. See more at https://t.co/SBZ12oMfNv https://t.co/DhnzRBLYfk</t>
  </si>
  <si>
    <t>RT @nycoem: Don’t wait. Communicate. Talk with your support network about how you will help each other in an emergency: https://t.co/VEwK1y…</t>
  </si>
  <si>
    <t>An operable smoke alarm cuts your chances of dying in a fire nearly in half. New Yorkers can #GetAlarmedNYC by call… https://t.co/bJN6Gogq2k</t>
  </si>
  <si>
    <t>Right in time for #UNGA @GlobalNYC launches https://t.co/0oca9LcMR7 to celebrate @UN in NYC  #NYCxUN</t>
  </si>
  <si>
    <t>RT @NYCFC: It was great having members of the @NYPDnews and @FDNY soccer teams out to train with #NYCFC performance coach Kristian Wilson h…</t>
  </si>
  <si>
    <t>RT @TributeWTC: Thanks to the #FDNY for lending us the sweet threads 😎🚒 https://t.co/qAk5tzZbZO</t>
  </si>
  <si>
    <t>RT @NYPDnews: The reported sound of an explosion in #Queens was two military F-22 aircraft flying over the area @FDNY @nycgov @FAANews #nyc</t>
  </si>
  <si>
    <t>Retired #FDNY FF Lee Ielpi &amp;amp; FDNY Comm. Nigro welcome all to #911DayofService #BuildingSmiles Bike Build. Follow… https://t.co/ph6dSNiH1x</t>
  </si>
  <si>
    <t>RT @daliacapellan: Super thankful to firefighter Grey @FDNY Engine 266 for taking off my 4 y/o ring after she bit it preventing removal htt…</t>
  </si>
  <si>
    <t>Kids cause thousands of home fires each year by playing w/ fire. Teach them to be #FDNYSmart w/ these tips https://t.co/Es7EkEZPtC</t>
  </si>
  <si>
    <t>RT @NYPDnews: Join us in saying thanks to the brave Linden, NJ cops injured during the shootout that led to the capture of the Chelsea bomb…</t>
  </si>
  <si>
    <t>RT @nycoem: Make a plan that best suits your needs with the #ReadyNYC app, available for smartphones &amp;amp; tablets: https://t.co/g2MNtWcwAY #NP…</t>
  </si>
  <si>
    <t>Read more about today’s #FDNY Bureau of Communication Dispatchers Recognition Ceremony at https://t.co/rXDZrC2CIW https://t.co/ntEsQ8E3Z2</t>
  </si>
  <si>
    <t>#FDNY EMT Mario Jordan is awarded EMS Dispatcher of the Year. Read more https://t.co/tMaSGHr0By https://t.co/oH8ovm2Xka</t>
  </si>
  <si>
    <t>Fire Alarm Dispatcher Darrin Lewis is awarded Fire Alarm Dispatcher of the Year. Read more https://t.co/DZgkhqJ0GM https://t.co/lNohwC9l8G</t>
  </si>
  <si>
    <t>It’s reassuring to have so many professional &amp;amp; dedicated people working w/ you, knowing they have the back of the units in the field -COD</t>
  </si>
  <si>
    <t>In those crucial seconds, they gather the information needed for our units to get there quickly &amp;amp; save a life -#FDNY COD Leonard</t>
  </si>
  <si>
    <t>Thousands upon thousands of emergencies have been handled &amp;amp; mitigated by the experienced men &amp;amp; women we’re celebrating today -#FDNY COD</t>
  </si>
  <si>
    <t>Every one of our dispatchers is ready for the worst case scenario when they start their tour -#FDNY Commissioner Nigro</t>
  </si>
  <si>
    <t>The care &amp;amp; compassion you bring to those who are very often scared or trapped in dangerous situations is remarkable -#FDNY Comm Nigro</t>
  </si>
  <si>
    <t>The men &amp;amp; women who serve as dispatchers are the first line of defense for our Dept -#FDNY Commissioner Nigro</t>
  </si>
  <si>
    <t>#FDNY honors Fire Alarm &amp;amp; Emergency Medical Dispatchers at the FDNY Bureau of Comm Dispatchers Recognition Ceremony https://t.co/O7eExQzYxq</t>
  </si>
  <si>
    <t>RT @Tunnel2Towers: NYC! The 15th Annual Tunnel2Towers 5K is NEXT Sun, the 25th! Time is running out to register https://t.co/Aiq8nMQk9j htt…</t>
  </si>
  <si>
    <t>RT @NYPDnews: "Thanks to the brave officers of the Linden, NJ Police Department who captured this dangerous individual," @NYPDONeill https:…</t>
  </si>
  <si>
    <t>RT @BilldeBlasio: The suspect is in custody. Thank you to our first responders who have performed with extraordinary skill and courage over…</t>
  </si>
  <si>
    <t>#FDNY Incident Management Team &amp;amp; @NYC_Buildings conducts second of two week-long, full-scale, major disaster respon… https://t.co/A39uNUkQUk</t>
  </si>
  <si>
    <t>RT @NYPDnews: #HappeningNow: Mayor @BilldeBlasio &amp;amp; @NYPDONeill update NYers on Chelsea explosion &amp;amp; suspect. Watch LIVE https://t.co/BKA0Sa4…</t>
  </si>
  <si>
    <t>RT @NYCSmallBizSvcs: If you have a #smallbiz in the affected #ChelseaNYC area, please call @nyc311 &amp;amp; ask for the Biz Assistance Disaster Re…</t>
  </si>
  <si>
    <t>RT @nycHealthy: Stress after traumatic events like the Chelsea explosion is normal. There is no right or wrong way to react: https://t.co/f…</t>
  </si>
  <si>
    <t>RT @NYCMayorsOffice: Wanted: Ahmad Khan Rahami, 28 year old male, is being sought in connection with the Chelsea bombing. 1-800-577-TIPS ht…</t>
  </si>
  <si>
    <t>RT @BilldeBlasio: The important thing is to get this individual quickly and to continue to be strong and vigilant. https://t.co/2dDoxEr4Lu</t>
  </si>
  <si>
    <t>RT @nycgob: #SeBusca: Ahmad Khan Rahami, 28 años, por la #explosión en Chelsea. Llame a 1-888-57PISTA. @NYCMayorsOffice https://t.co/umF6eq…</t>
  </si>
  <si>
    <t>RT @NYPDnews: We urge and remind everyone, if you have any information on the Chelsea explosion share it by calling #800577TIPS https://t.c…</t>
  </si>
  <si>
    <t>RT @NYPDnews: Have info? @NewYorkFBI and NYPD are looking for Ahmad Khan Rahami. Call #800577TIPS w/info. https://t.co/jDbn5pj6kZ https://t…</t>
  </si>
  <si>
    <t>RT @NotifyNYC: #alert The following individual is wanted in regards to the Chelsea explosion: Ahmad Khan Rahami, 28 year old male. https://…</t>
  </si>
  <si>
    <t>RT @NewYorkFBI: #Breaking Help us locate Ahmad Rahami for questioning related to #Chelseaexplosion https://t.co/IvaT8sZs5n</t>
  </si>
  <si>
    <t>RT @NYPDnews: WANTED: Ahmad Khan Rahami, 28, in connection to the Chelsea explosion. Call #800577TIPS with any information. https://t.co/rB…</t>
  </si>
  <si>
    <t>Today #FDNY members participated in the 47th Annual African American Day Parade in #Harlem https://t.co/Ws0BKPqMDV</t>
  </si>
  <si>
    <t>RT @nycgob: .@NYPDnews urge a todo el que tenga información sobre la #explosiónenChelsea a compartirla llamando al #88857PISTA.</t>
  </si>
  <si>
    <t>RT @Chirlane: Last night our city's first responders showed us why they are the best. Thank you to our brave @NYPDnews, @FDNY, and @nycoem.</t>
  </si>
  <si>
    <t>RT @BilldeBlasio: All 29 people injured last night have been released from the hospital. On behalf of 8.5M NYers we wish them a full recove…</t>
  </si>
  <si>
    <t>RT @BilldeBlasio: New Yorkers, be vigilant. We are the most protected city in the world. You will see a very substantial NYPD presence toda…</t>
  </si>
  <si>
    <t>RT @NYPDnews: Again, we urge and remind everyone, if you have any information on the Chelsea explosion share it by calling #800577TIPS</t>
  </si>
  <si>
    <t>#FDNY members searched all the apartments...they systematically made sure that there was nobody being left behind -FDNY Commissioner Nigro</t>
  </si>
  <si>
    <t>It may seem chaotic but our members know exactly what their role is. The coordination last night served the public well -#FDNY Comm Nigro</t>
  </si>
  <si>
    <t>RT @NYCMayorsOffice: Mayor @BilldeBlasio, @NYPDONeill, &amp;amp; @NewYorkFBI LIVE with updates on #ChelseaExplosion – https://t.co/k64rDETbwN</t>
  </si>
  <si>
    <t>RT @NYPDnews: The buildings in the area were checked by @FDNY &amp;amp; @NYCBuildings and deemed to be structurally stable.</t>
  </si>
  <si>
    <t>All 29 injured people have been released from the hospital -#FDNY Commissioner Nigro #ChelseaExplosion https://t.co/flpygpG8Wg</t>
  </si>
  <si>
    <t>Last night was an extremely coordinated response...our members were able to identify, treat &amp;amp; transport 29 ppl quickly -#FDNY Comm Nigro</t>
  </si>
  <si>
    <t>RT @NYPDnews: Anyone that was in the area of W23St &amp;amp; W27St last evening and has information we ask that you call #800577TIPS.</t>
  </si>
  <si>
    <t>Attitude people took was one of gratitude for first responders &amp;amp; a sense that they were safe now  -Mayor @BilldeBlasio #ChelseaExplosion</t>
  </si>
  <si>
    <t>RT @NYPDnews: All 29 people injured last evening in the Chelsea explosion have been released from the hospital. https://t.co/cEWdtWdryI</t>
  </si>
  <si>
    <t>RT @NYPDnews: Watch now live on https://t.co/FMsoGmM4uF</t>
  </si>
  <si>
    <t>RT @NYPDnoticias: En vivo en aprox 15 min en nuestro Facebook @NYPDnews, Alcalde @BilldeBlasio, @NYPDONeill, @NewYorkFBI @FDNY en la explos…</t>
  </si>
  <si>
    <t>RT @NYPDnews: Mayor @BilldeBlasio, @NYPDONeill, @FDNY, @NewYorkFBI to update all on yesterday's explosion in Chelsea. LIVE at noon https://…</t>
  </si>
  <si>
    <t>RT @NYPDnews: IMPORTANT: Anyone with information on the explosion in Chelsea is asked to share it by calling #800577TIPS https://t.co/BidZo…</t>
  </si>
  <si>
    <t>RT @NYPDnews: UPDATE: The suspicious device on West 27 Street in Chelsea has been safely removed by the NYPD Bomb Squad.</t>
  </si>
  <si>
    <t>RT @NYPDONeill: We do think this was an intentional act. You can help your #NYPD. If you saw/heard something, please call 800-577-TIPS and/…</t>
  </si>
  <si>
    <t>RT @NotifyNYC: #alert @NYPDnews: residents on W 27 St btw 6th Av/7th Av to  stay away from windows facing 27th St until they clear a suspic…</t>
  </si>
  <si>
    <t>RT @NYPDnews: Remarks from @NYPDONeill regarding explosion in Chelsea https://t.co/6Tr2lxt1fr https://t.co/wTaKCThu9q</t>
  </si>
  <si>
    <t>RT @NYPDnews: Please be advised of this update regarding the incident in Chelsea, NYC https://t.co/Ux5dfBsj72</t>
  </si>
  <si>
    <t>RT @BilldeBlasio: Investigation is ongoing. Though we believe this was an intentional act, there is no credible terror threat against NYC a…</t>
  </si>
  <si>
    <t>RT @NYPDnews: IMPORTANT: Anyone with information we ask you to share it by calling #800577TIPS</t>
  </si>
  <si>
    <t>RT @NYPDnews: .@FDNY is currently assessing any potential structural damage resulting from the explosion.</t>
  </si>
  <si>
    <t>29 injuries, 1 considered serious, 24 people transported to area hospitals -#FDNY Commissioner Nigro. Watch LIVE https://t.co/ZRjbzKfoKm</t>
  </si>
  <si>
    <t>Visit https://t.co/RT9eDQ7lXR now for LIVE update w/ Mayor @BilldeBlasio, #FDNY Commissioner Nigro, #NYPD</t>
  </si>
  <si>
    <t>RT @NYCMayorsOffice: Mayor @BilldeBlasio on the scene and about to update public re: earlier explosion tonight on 23rd and 6th. https://t.c…</t>
  </si>
  <si>
    <t>RT @NYPDnews: Update to be provided at approximately 11pm w/ Mayor @BilldeBlasio @NYPDONeill &amp;amp; other NYPD leadership.</t>
  </si>
  <si>
    <t>RT @nycgob: 25 heridos confirmados en 133 W 23rd St. Ninguno parece de gravedad hasta ahora. @FDNY #ChelseaExplosion</t>
  </si>
  <si>
    <t>RT @nycgob: .@NYPDnews y EMS monitorean lugar de posible explosión en 23rd St/6th Av. Actualizaremos al público al confirmar información. @…</t>
  </si>
  <si>
    <t>RT @NYCMayorsOffice: Mayor @BilldeBlasio headed to scene of explosion on 23rd and 6th. More info to come.</t>
  </si>
  <si>
    <t>RT @BilldeBlasio: .@NYPDnews &amp;amp; EMS on scene of apparent explosion on 23rd &amp;amp; 6th. Monitoring closely. Will provide updates w/ confirmed info…</t>
  </si>
  <si>
    <t>25 injuries to civilians confirmed at 133 W 23 St #Chelsea. None appear to be life-threatening at this time</t>
  </si>
  <si>
    <t>RT @NYPDnews: NYPD, @FDNY &amp;amp; other emergency units on the seen of W23St (6 to 7 Aves). Several people injured. More information to follow.</t>
  </si>
  <si>
    <t>#FDNY Commissioner Daniel A. Nigro appoints Stephen Cassidy Executive Director of the NYC Fire Pension Fund https://t.co/QPTCUSpY26</t>
  </si>
  <si>
    <t>.@FDNYfootball donates $5k check to the #FDNY Fire Family Transport Foundation at tonight's @Mets game https://t.co/nWGEQbCxbO</t>
  </si>
  <si>
    <t>#FDNY is honored to participate in the #IAFF Fallen Fire Fighter Memorial Observance in #ColoradoSprings https://t.co/hjBwIDG10x</t>
  </si>
  <si>
    <t>Thank you @IAFFNewsDesk for honoring #FDNY at #IAFF Fallen Fire Fighter Memorial Observance in #ColoradoSprings https://t.co/dSPWeUc6rE</t>
  </si>
  <si>
    <t>Teach kids to NEVER play with fire. Read our #FDNYSmart tips at https://t.co/Es7EkEZPtC https://t.co/WA7TvvJDOe</t>
  </si>
  <si>
    <t>RT @nycgob: .@FDNYWomen y @FDNY autografían el Calendario 2017 HOY @Bloomingdales Soho 2-4PM. https://t.co/L0fLMyXxj1  https://t.co/VygAWWy…</t>
  </si>
  <si>
    <t>RT @theFDNYShop: Meet &amp;amp; get 2017 Cal signed by NY's Bravest today @Bloomingdales Soho 2-4. https://t.co/ctjobk3z3B @FDNYWomen @FDNY https:/…</t>
  </si>
  <si>
    <t>RT @nycgob: El @FDNY ofrece clase #gratis de resucitación cardiopulmonar HOY hasta las 4PM en @WHEDcoSpeaks #BronxSummerFest! https://t.co/…</t>
  </si>
  <si>
    <t>#FDNY Mobile CPR Unit is giving FREE CPR class at @WHEDcoSpeaks #BronxSummerFest, 1303 Louis Nine Blvd until 4pm https://t.co/ltE6okYHsh</t>
  </si>
  <si>
    <t>Take a FREE CPR class TODAY w/ the #FDNY Mobile CPR Unit! Visit the @WHEDcoSpeaks #BronxSummerFest, 1303 Louis Nine Blvd #Bronx 12-4pm</t>
  </si>
  <si>
    <t>RT @NYPDChiefofDept: Honored 2 be the #NYPD Chief of Department. @NYPDONeill &amp;amp; I will continue 2 build bonds w/ community &amp;amp; reduce crime ht…</t>
  </si>
  <si>
    <t>RT @NYPDONeill: Let's do this together #NYC. All communities have to feel they're understood by #NYPD &amp;amp; know they're treated fairly. https:…</t>
  </si>
  <si>
    <t>RT @nyphospital: It’s an amazing day when one of #NYCBravest’s @FDNY firefighters goes home. Sean, #NYP wishes you all the best. https://t.…</t>
  </si>
  <si>
    <t>Wishing a speedy recovery to FF Sean O’Rourke as he leaves #NYP today after sustaining a critical arm injury on 8/9 https://t.co/PFNWs83TKJ</t>
  </si>
  <si>
    <t>RT @FDNYFoundation: Another from #JFK today! Spreading the word about how to be #FDNYSmart! https://t.co/8w9TRMNyq8</t>
  </si>
  <si>
    <t>RT @FDNYFoundation: More photos from the #FDNY All-Star Breakfast! So wonderful to bring friends together to support #FDNYFoundation! https…</t>
  </si>
  <si>
    <t>RT @FDNYFoundation: Fun day w NY's Bravest signing the 2017 Calendar at #JFK T4. Thanks for supporting the #FDNY &amp;amp; #FDNYFoundation! https:/…</t>
  </si>
  <si>
    <t>Read more about yesterday’s #FDNY Fire Officers’ Promotion Ceremony in #Brooklyn at https://t.co/L28Wf6d4Cm https://t.co/k541RsCv6z</t>
  </si>
  <si>
    <t>We love meeting #FDNYSmart kids! https://t.co/MdEkPGSka3</t>
  </si>
  <si>
    <t>RT @nycgob: El @FDNY combatiendo un incendio el 15 de septiembre de 1963 en Rockaway Ave #Brooklyn. https://t.co/21W1kE4E3v https://t.co/IO…</t>
  </si>
  <si>
    <t>RT @FDNYFoundation: If you can't make it to @Hudson_News at JFK T4 tomo to meet #FDNY Bravest signing the 2017 Calendar... get yours at htt…</t>
  </si>
  <si>
    <t>RT @FDNYFoundation: TOMORROW! 9-12 #FDNY Bravest will be back at #JFKAirport T4 signing 2017 Calendar of Heroes! Stop by &amp;amp; support the #FDN…</t>
  </si>
  <si>
    <t>Today's #FDNY #tbt photo is from 1963, a 2nd alarm on Rockaway Ave in #Brooklyn. See more https://t.co/xjIE8j2Ans https://t.co/On18Fw5VMc</t>
  </si>
  <si>
    <t>I’m proud to be a part of this family -#FDNY Capt McDonald. Read more https://t.co/nmjcCxADgK https://t.co/DRAwHsggwK</t>
  </si>
  <si>
    <t>RT @FDNYFoundation: More from #FDNY All-Star Breakfast. Thank you to our friends &amp;amp; hard working Board Members who made this possible! https…</t>
  </si>
  <si>
    <t>RT @BellevueHosp: Who enjoyed this surprise more--Jodi-Ann or @FDNY  firefighters &amp;amp; EMS who visited her yest? A great Bellevue moment! http…</t>
  </si>
  <si>
    <t>RT @HotDogFDNY: Teaching new friends the importance of being #FDNYSmart and pets and service animal preparedness with @nycoem. https://t.co…</t>
  </si>
  <si>
    <t>RT @HotDogFDNY: Learning how to keep our pets safe and ready for emergencies with @nycoem at Walt Whitman Park in BK! https://t.co/apGaSaPE…</t>
  </si>
  <si>
    <t>Congratulations to our newly promoted #FDNY Lieutenants, Captains and Chiefs! #NYCBravest https://t.co/QUuj0np3to</t>
  </si>
  <si>
    <t>I knew I wanted to become a Firefighter after the week of 9/11 -FDNY Capt Reznick. Read more https://t.co/WzicsTfJkJ https://t.co/VaItqOBonS</t>
  </si>
  <si>
    <t>I’m excited to continue working with each of you in your new roles, &amp;amp; seeing what you can do to better the Dept we all love -#FDNY COD</t>
  </si>
  <si>
    <t>This is not simply a 9 to 5 job. Each of you is expected to lead others every second you’re in uniform &amp;amp; off-duty as well -#FDNY COD Leonard</t>
  </si>
  <si>
    <t>All of you can &amp;amp; will make an important impact in the day-to-day operations of the Department -#FDNY Chief of Dept Leonard</t>
  </si>
  <si>
    <t>I thank you for all you’ve done to reach this moment &amp;amp; I thank you for all we will continue to do together moving forward -#FDNY Comm Nigro</t>
  </si>
  <si>
    <t>The long line of heroes, including those heroes of 9/11, their memories &amp;amp; the example they set should inspire you all -#FDNY Comm Nigro</t>
  </si>
  <si>
    <t>A great deal has been asked of you already in your careers, &amp;amp; starting today, we will ask even more of you -#FDNY Commissioner Nigro</t>
  </si>
  <si>
    <t>Together, the newly promoted members represent 1,800+ years of experience with the #FDNY</t>
  </si>
  <si>
    <t>Today #FDNY Commissioner Nigro promotes 116 #FDNY members to the ranks of Chief, Capt. &amp;amp; Lt. in #Brooklyn</t>
  </si>
  <si>
    <t>RT @nycgob: .@BellevueHosp agradece a @FDNY y @HotDogFDNY por visitar hoy a una de nuestras jóvenes pacientes, Jodi-Ann! https://t.co/y7ZSB…</t>
  </si>
  <si>
    <t>RT @BellevueHosp: @FDNY This was an amazing thing you did for our young patient. Big smiles here @BellevueHosp all around!</t>
  </si>
  <si>
    <t>RT @BellevueHosp: @FDNY Look at that smile--YOU did that, #NYCbravest</t>
  </si>
  <si>
    <t>RT @BellevueHosp: "I'm so excited" said 1 of #NYCbravest just B4 he &amp;amp; his company greeted Jodi-Ann. @FDNY @HotDogFDNY @SirenFDNY (3) https:…</t>
  </si>
  <si>
    <t>RT @BellevueHosp: Aren't NY's Bravest THE Best? Today @FDNY L-16, Eng-7, EMS-8 came by to make our young patient, Jodi-Ann smile. (2) https…</t>
  </si>
  <si>
    <t>RT @BellevueHosp: Today @FDNY &amp;amp; @HotDogFDNY gave a big surprise to one of our young patients. Jodi-Ann &amp;amp; @BellevueHosp thank you! (1) https…</t>
  </si>
  <si>
    <t>RT @SirenFDNY: FDNY members, Hot Dog and I visit Jodi-Ann, another one of #NYCBravest before her dr. appt at @BellevueHosp https://t.co/m4Q…</t>
  </si>
  <si>
    <t>Today #FDNY Probationary EMTs and Paramedics visited the @Sept11Memorial  #NeverForget https://t.co/YrvNR2XIjx</t>
  </si>
  <si>
    <t>RT @joinFDNY: Great job to all of the @JohnJayOnline students who trained with our FFers today at our Mobile Academy Event. https://t.co/Nm…</t>
  </si>
  <si>
    <t>RT @joinFDNY: Students in @JJayAthletics and the college's #UrbanMaleInitiative are learning about the best job in the world. https://t.co/…</t>
  </si>
  <si>
    <t>RT @joinFDNY: Our Mobile Academy has stopped at @JJayAthletics today. The students are learning about how our FFers save lives. https://t.c…</t>
  </si>
  <si>
    <t>RT @FDNYFoundation: More about our annual #FDNY All-Star Breakfast &amp;amp; the longtime friends who came out to support the #FDNYFoundation. http…</t>
  </si>
  <si>
    <t>RT @joinFDNY: Aspiring #FDNY FFers at @JJayAthletics are training w/ New York's Bravest as part of today's Mobile Academy Event. https://t.…</t>
  </si>
  <si>
    <t>More than 2,000 volunteers support NYC’s first responders. Don’t wait to make a difference in your community: https://t.co/bZAXtDfzqa</t>
  </si>
  <si>
    <t>#Engine16 #Ladder7 #Station8 members visit Jodi-Ann, another one of #NYCBravest before her dr. appt at @BellevueHosp https://t.co/mG4FmFMsNr</t>
  </si>
  <si>
    <t>RT @FDNYFoundation: Thank you to our friends who joined us for today's #FDNY All-Star Breakfast! We are so grateful for the support. https:…</t>
  </si>
  <si>
    <t>RT @nycgob: Vea fotos de la visita de los @Giants el cuartel de #Engine34 y #Ladder21 en: https://t.co/CBI0AXV6bN #Giants https://t.co/EXNs…</t>
  </si>
  <si>
    <t>#GetAlarmedNYC w/ @redcrossny &amp;amp; FREE smoke/CO alarm giveaway &amp;amp; installation events. Find yours by calling @nyc311 https://t.co/6U2aHyV5Et</t>
  </si>
  <si>
    <t>RT @FDNYFoundation: Your ongoing support of the Foundation helps make it possible for our members to have the best equipment, training and…</t>
  </si>
  <si>
    <t>RT @FDNYFoundation: Let us never forget the 343 FDNY members who made the Supreme Sacrifice 15 years ago... and all those we have lost sinc…</t>
  </si>
  <si>
    <t>RT @FDNYFoundation: The sports leagues in the city have all shown support to the FDNY over the years... and you are still here today. - #FD…</t>
  </si>
  <si>
    <t>RT @FDNYFoundation: On behalf of the nearly 15,000 uniform members of the FDNY, I want to express our sincerest thanks to all of you for jo…</t>
  </si>
  <si>
    <t>See photos from the #FDNY 343 Ride, which was completed in Arlington on 9/11 at https://t.co/FW64iv1XY5 #NeverForget https://t.co/Dh4fPEO0QU</t>
  </si>
  <si>
    <t>RT @FDNYFoundation: When we gather here, it’s a chance to honor those we lost, but also to work toward improving the Department they served…</t>
  </si>
  <si>
    <t>RT @FDNYFoundation: This morning’s event is one of those new traditions which brings some happiness during the roughest time of the year. -…</t>
  </si>
  <si>
    <t>RT @FDNYFoundation: September is a difficult time for our Department... We all lost friends and colleagues who we care very deeply for… - #…</t>
  </si>
  <si>
    <t>RT @FDNYFoundation: #FDNY Comm. Nigro will address FDNY All-Star Breakfast...speaking to friends in sports, music, arts, who have supported…</t>
  </si>
  <si>
    <t>RT @FDNYFoundation: The #FDNY All-Star Breakfast is underway... allowing us to honor those lost on 9/11 &amp;amp; to improve the Department they se…</t>
  </si>
  <si>
    <t>RT @StanfordMSx: Leadership and resilience insights from Commissioner Nigro @FDNY. Honored. #msxinthecity #stanfordgsblife https://t.co/Ntl…</t>
  </si>
  <si>
    <t>See more photos from the @Giants visit to #FDNY #Engine34 &amp;amp; #Ladder21 at https://t.co/VwokUtskiU #Giants https://t.co/7bevRyHbnu</t>
  </si>
  <si>
    <t>RT @GiantsCRDept: @Giants players visited #FDNY Engine 34 Ladder 21 this afternoon 🇺🇸🚒 great start to the week! #GiantsPride https://t.co/7…</t>
  </si>
  <si>
    <t>RT @JustinPugh: Had a blast today at visiting FDNY (Engine 34 Ladder 21). Thank you for all that you guys do to… https://t.co/isBANKmHt8</t>
  </si>
  <si>
    <t>RT @Giants: #Giants are at FDNY Engine 34/Ladder 21! Follow the visit on Snap! 🚒🇺🇸
👻: NewYorkGiants https://t.co/FFGewypahg</t>
  </si>
  <si>
    <t>Thank you @Giants for supporting #FDNY members with a visit to #Engine34 #Ladder21 https://t.co/qwx8G97Obm</t>
  </si>
  <si>
    <t>#FDNY Commissioner Nigro speaks w/ @StanfordBiz fellows about resiliency &amp;amp; challenge of rebuilding FDNY after 9/11 https://t.co/bqq8hkP7zV</t>
  </si>
  <si>
    <t>RT @nycoem: Your Go Bag is one of the most important parts of your emergency plan. Pack thoroughly: https://t.co/QmGFgwsCXa https://t.co/06…</t>
  </si>
  <si>
    <t>RT @ModelCarolAlt: @FDNY I was honored that the Commissioner remembered Chief Alt. He's a lovely man we had a gr8 time @BGCCharityDay https…</t>
  </si>
  <si>
    <t>RT @NYCFinance: Pls Retweet:Find out more abt the 90-day #NYCForgivingFines program and violation types here:https://t.co/rEalTx9wvW https:…</t>
  </si>
  <si>
    <t>RT @NYCMayorsOffice: Mayor @BilldeBlasio praises some increased @FDNY disability benefits over a slice 🍕 (no 🍴!) https://t.co/IxcZgpvJHo</t>
  </si>
  <si>
    <t>RT @nycgob: Los #bomberos nunca están fuera de servicio. Este salvó a un vecino anoche en #Queens: https://t.co/jAoGf3JVcf https://t.co/Biv…</t>
  </si>
  <si>
    <t>#FDNY members are never off duty. Firefighter saves neighbor last night in #Queens https://t.co/YtPYMrBZrL https://t.co/1K6FBlmj7k</t>
  </si>
  <si>
    <t>RT @FDNYFoundation: So grateful to #RobertDeNiro &amp;amp; his wife Grace Hightower for representing the #FDNYFoundation at @BGCCharityDay! https:/…</t>
  </si>
  <si>
    <t>RT @FDNYFoundation: To date, @BGCCharityDay has raised more than $125 million for charities around the world. https://t.co/3awJNu19ed</t>
  </si>
  <si>
    <t>RT @FDNYFoundation: #FDNYFoundation representative Robert DeNiro &amp;amp; #FDNY Commissioner Daniel Nigro making trades during @BGCCharityDay! htt…</t>
  </si>
  <si>
    <t>FDNY Comm thanks @NYGovCuomo, Mayor @BilldeBlasio, UFA President Cassidy, UFOA President Lemonda &amp;amp; officials for supporting #NYCBravest</t>
  </si>
  <si>
    <t>Nearly 2k FFers are now eligible for enhanced pension benefits if they are injured on the job, as well as all future FFers -Comm Nigro</t>
  </si>
  <si>
    <t>All [Firefighters] were not equally protected financially in the event they suffered a serious job-related injury or illness -Comm Nigro</t>
  </si>
  <si>
    <t>Firefighting is a dangerous job for all our members -#FDNY Commissioner Nigro https://t.co/lOji8Cuelv</t>
  </si>
  <si>
    <t>#FDNY Comm Nigro, COD Leonard show support today for State law providing enhanced disability protections for FFers injured in line of duty</t>
  </si>
  <si>
    <t>RT @FDNYFoundation: We're honoring the 15th anniversary of 9/11 at @BGCCharityDay. Learn how to support here: https://t.co/jyxXuVUpQG #BGCC…</t>
  </si>
  <si>
    <t>RT @mayorsCAU: Awesome community service by @nilkamartell &amp;amp; G.I.V.E volunteers in recognition of @FDNY #September11 first responder https:/…</t>
  </si>
  <si>
    <t>RT @BGCCharityDay: @FDNY @helpbhh we loved having you at #BGCCharityDay this year! Thanks for stopping by!</t>
  </si>
  <si>
    <t>#FDNY Comm Nigro making trades during @BGCCharityDay on behalf of @helpbhh. All global revenue today goes to charity https://t.co/OBniObGXot</t>
  </si>
  <si>
    <t>.@NYKnicks Willis Reed &amp;amp; Carolyn Paszke from @HelpBHH join #FDNY Commissioner Nigro at @BGCCharityDay #BGCCharityDay https://t.co/hwluJb9NGG</t>
  </si>
  <si>
    <t>#FDNY Commissioner Nigro at @BGCCharityDay w/ @ModelCarolAlt, daughter of FDNY Battalion Chief Anthony T. Alt https://t.co/HIwJPhxrps</t>
  </si>
  <si>
    <t>#FDNY Comm Nigro representing @HelpBHH at @BGCCharityDay, seen here w/ future home recipient @USMC SGT Kirstie Ennis https://t.co/67P2fDF1lv</t>
  </si>
  <si>
    <t>Stay informed 24/7/365! Follow @FDNYalerts, the FDNY’s automated operations feed https://t.co/E0y3o7L8VA</t>
  </si>
  <si>
    <t>See more photos of today's events commemorating the 15th anniversary of 9/11 at https://t.co/oaNCyhneBx #NeverForget https://t.co/PT5eX8UaOj</t>
  </si>
  <si>
    <t>The #TributeInLight shines for all innocent lives taken on September 11, 2001 #NeverForget https://t.co/KyrtCRhVob</t>
  </si>
  <si>
    <t>New Yorkers &amp;amp; visitors to our great city gather for @FDNYpipeband sunset tribute #Engine10 #Ladder10 #NeverForget https://t.co/pV7O81TgaG</t>
  </si>
  <si>
    <t>As the sun sets on 15th anniversary of Sept 11, @fdnypipeband plays at #Engine10 #Ladder10  #NeverForget https://t.co/LP6nOkaGsT</t>
  </si>
  <si>
    <t>.@FDNYpipeband pays tribute to members of the US Armed Forces at #FDNY #Engine10 &amp;amp; #Ladder10 #NeverForget https://t.co/kTuRBhblQ9</t>
  </si>
  <si>
    <t>.@fdnypipeband begins their annual sunset tribute at #Engine10 #Ladder10 #NeverForget https://t.co/nwV3XHwbcp</t>
  </si>
  <si>
    <t>RT @NYCMayorsOffice: We must come together to comfort the mourning, treat the sick, and move forward towards peace. #NeverForget https://t.…</t>
  </si>
  <si>
    <t>RT @ICGaels: Today @IonaGolf honored @NYPDnews and @FDNY during its final round at The Doc Gimmler. #NeverForget https://t.co/6X0QZv2Lfr</t>
  </si>
  <si>
    <t>Thank you @NYGovCuomo for taking the time to visit #FDNY #Rescue1 today #NeverForget https://t.co/8pOhFM7YQB</t>
  </si>
  <si>
    <t>Changing of the FDNY Honor Guard in front of the Tribute Wall at #FDNY #Engine10 &amp;amp; #Ladder10 #NeverForget https://t.co/fdNArDC3Wg</t>
  </si>
  <si>
    <t>Thank you @MarineBand for playing for members at #FDNY #Engine10 &amp;amp; #Ladder10 #NeverForget https://t.co/wgJc1v4zgW</t>
  </si>
  <si>
    <t>Being an FDNY member is not simply a career, it is who we are. It is without question a true calling -FDNY COD https://t.co/YMkFmV50nX</t>
  </si>
  <si>
    <t>The memorial is both simple &amp;amp; poignant, it vividly depicts the human toll September 11 took on this Dept 15 yrs ago -FDNY COD #NeverForget</t>
  </si>
  <si>
    <t>.@FDNYMuseum was home to the first permanent memorial to the 343 #FDNY members killed on September 11 #NeverForget https://t.co/c3RwlUlDBj</t>
  </si>
  <si>
    <t>In what was once the quarters of #Engine30, the @FDNYMuseum exists as a living tribute -FDNY Comm #NeverForget https://t.co/eCUpTAxARA</t>
  </si>
  <si>
    <t>#NeverForget is about telling the next generation how unspeakable evil was met w/ immeasurable good &amp;amp; compassion -#FDNY Comm Nigro</t>
  </si>
  <si>
    <t>FDNY Commissioner &amp;amp; Chief of Dept attend @FDNYMuseum Sept 11 15th Anniv Memorial Service #NeverForget https://t.co/EtTQJfOfOx</t>
  </si>
  <si>
    <t>.@USArmy honors fallen Firefighters who were also US Military members at 77th Memorial Grove, Ft Totten #NeverForget https://t.co/pyDdrK9ROM</t>
  </si>
  <si>
    <t>US Armed Forces members raise the American flag with #FDNY &amp;amp; #NYPD members at #Engine10 #Ladder10 #NeverForget https://t.co/e8MaMkZcu9</t>
  </si>
  <si>
    <t>#FDNY EMS Academy 9/11 Memorial trees watered during ceremony honoring those who died 15 yrs ago #NeverForget https://t.co/va4AiIyDKq</t>
  </si>
  <si>
    <t>FDNY members gather at a 9/11 Commemoration Ceremony at FDNY EMS Training Academy at Ft Totten #Queens #NeverForget https://t.co/su6BVnDDtR</t>
  </si>
  <si>
    <t>RT @NYGovCuomo: Visiting @FDNY Rescue 1 Firehouse ahead of our #911MemorialRide today. https://t.co/glEU90MdiU</t>
  </si>
  <si>
    <t>#FDNY Honor Guard stands outside the Tribute Wall at #Engine10 &amp;amp; #Ladder10 in Lower Manhattan #NeverForget https://t.co/IoQnWwa9al</t>
  </si>
  <si>
    <t>September 11 Memorial Bike led today's procession of flags across the #BrooklynBridge to @StJoseph_BK #NeverForget https://t.co/cx5KQHzCoF</t>
  </si>
  <si>
    <t>#FDNY members continue their march to @StJoseph_BK for 9/11 15th Anniv. Commemoration Memorial Mass #NeverForget https://t.co/Ur6W3ojE5w</t>
  </si>
  <si>
    <t>RT @nycgob: Miembros del @FDNY cruzan el Puente de #Brooklyn con banderas en rememoración de 9/11. https://t.co/eA8WdeRin3 #NuncaOlvidaremos</t>
  </si>
  <si>
    <t>#FDNY members carry U.S. &amp;amp; FDNY flags across the #BrooklynBridge in remembrance of 9/11/01 #NeverForget https://t.co/eYFVkVOnQv</t>
  </si>
  <si>
    <t>#FDNY Commissioner Nigro, FDC Turner &amp;amp; members lay wreath at the Tribute Wall at #Engine10 #Ladder10 #NeverForget https://t.co/XF6Jsk9W5L</t>
  </si>
  <si>
    <t>#FDNY Commissioner Nigro &amp;amp; FDC Turner pay tribute alongside members at #Engine10 &amp;amp; #Ladder10  #NeverForget https://t.co/Pj10qLeP7T</t>
  </si>
  <si>
    <t>Flowers are placed in honor of those who died on September 11, 2001, at the @Sept11Memorial Ceremony #NeverForget https://t.co/vD4zLjYOsZ</t>
  </si>
  <si>
    <t>#Engine205 #Ladder118 members in #BrooklynHeights observe moment of silence for North Tower collapse #NeverForget https://t.co/5RjiBMS4Ak</t>
  </si>
  <si>
    <t>#FDNY members from #Engine55 in Manhattan pause to remember those who made the Supreme Sacrifice #NeverForget https://t.co/kZ2ODFskdW</t>
  </si>
  <si>
    <t>We will #NeverForget. At 1028 the North Tower fell</t>
  </si>
  <si>
    <t>On September 11, 2001, at 1003, Flight 93 crashed near Shanksville, PA #NeverForget</t>
  </si>
  <si>
    <t>#FDNY continues to honor the memory of our 343 members &amp;amp; all those lost on September 11, 2001. At 0959 the South Tower fell #NeverForget</t>
  </si>
  <si>
    <t>A section of the September 11 Memorial at the #FDNY EMS Training Academy
at Ft. Totten in Queens #NeverForget https://t.co/zu9eT6Mu5x</t>
  </si>
  <si>
    <t>15 years ago, at 0937, Flight 77 crashed into the Pentagon #NeverForget</t>
  </si>
  <si>
    <t>#Engine54 #Ladder4 #Battalion9 active &amp;amp; former members at annual service at Firefighters Memorial Park #NeverForget https://t.co/xA5Nz9jLBa</t>
  </si>
  <si>
    <t>#FDNY members &amp;amp; family take part in 15th Anniversary of 9/11 Commemoration Ceremony at @Sept11Memorial #NeverForget https://t.co/JF9qjU2oKx</t>
  </si>
  <si>
    <t>On September 11, 2001 at 0903 the second plane struck the South Tower #NeverForget</t>
  </si>
  <si>
    <t>RT @WhiteHouse: Today, we honor all who lost their lives on 9/11 &amp;amp; all who made the ultimate sacrifice for our country. #NeverForget https:…</t>
  </si>
  <si>
    <t>RT @Sept11Memorial: The 15th anniversary of 9/11 commemoration ceremony is now streaming live at https://t.co/dHu4HHwwXL #Honor911</t>
  </si>
  <si>
    <t>#FDNY #Squad288 &amp;amp; #HazMat1 riding list from September 11, 2001  #NeverForget https://t.co/l4nAZNexkX</t>
  </si>
  <si>
    <t>A silent moment in observance of the time the first plane struck the North Tower - 0846 on September 11, 2001 #NeverForget</t>
  </si>
  <si>
    <t>RT @PANYNJ: Never forget. #Sept11 🇺🇸</t>
  </si>
  <si>
    <t>RT @BilldeBlasio: September 11, 2001 touched every single NYer, but the terrorists did not prevail, because 15 years later we are strong, a…</t>
  </si>
  <si>
    <t>RT @nycgob: El comisionado Nigro y jefe Leonard del @FDNY ahora en el Monumento de los #bomberos en Riverside Park. #NeverForget https://t.…</t>
  </si>
  <si>
    <t>#FDNY Commissioner Nigro &amp;amp; Chief of Dept Leonard lay a wreath at the Firemen’s Memorial, Riverside Park #NeverForget https://t.co/FbdtDz7vVg</t>
  </si>
  <si>
    <t>RT @nycgob: Vea fotos del 15to Servicio conmemorativo del 9/11 en @StPatsNYC: https://t.co/cTL0TTqfMM #NuncaOlvidar https://t.co/HD1DI4ZSgO…</t>
  </si>
  <si>
    <t>RT @NYPDnews: Join us in stopping to remember the 343 @FDNY fireman that died on 9/11. We will #neverforget. https://t.co/xMjVbjXOFY</t>
  </si>
  <si>
    <t>RT @NYPDnews: In remembrance of those we lost on 9/11 &amp;amp; afterwards due to 9/11-related illnesses, a tribute to each of the fallen... #never…</t>
  </si>
  <si>
    <t>See photos from #FDNY Sept 11 15th Anniversary Memorial Service at @StPatsNYC https://t.co/CmaJb7zUdi #NeverForget https://t.co/1l1SvwoZzf</t>
  </si>
  <si>
    <t>Watch the #FDNY Sept 11 15th Anniversary Memorial Service in full at https://t.co/RT9eDQ7lXR #NeverForget https://t.co/n6BiQbt0lz</t>
  </si>
  <si>
    <t>Follow our LIVE broadcast from @StPatsNYC at https://t.co/RT9eDQ7lXR #NeverForget https://t.co/vDXFItepJ2</t>
  </si>
  <si>
    <t>We’re broadcasting LIVE from @StPatsNYC. Follow along at https://t.co/RT9eDQ7lXR #NeverForget https://t.co/BEaU98Cv9M</t>
  </si>
  <si>
    <t>Follow our LIVE broadcast from @StPatsNYC at https://t.co/RT9eDQ7lXR #NeverForget https://t.co/sUjyvw5Mmr</t>
  </si>
  <si>
    <t>The Dept stops, our families come together, all of us as one strong family, &amp;amp; we honor those we lost -COD Leonard https://t.co/Hxw7mG893v</t>
  </si>
  <si>
    <t>The pain grows. The loss grows. And the list of heroes we say goodbye to grows as well -#FDNY COD Leonard #NeverForget</t>
  </si>
  <si>
    <t>We lost 343 of the greatest people to ever wear the FDNY uniform -#FDNY COD Leonard, @StPatsNYC 9/11 15th Anniv. Ceremony #NeverForget</t>
  </si>
  <si>
    <t>FDNY never says goodbye &amp;amp; never walks away. Because FDNY also means the "Family" Department of New York -FDNY Chaplain Rabbi Joseph Potasnik</t>
  </si>
  <si>
    <t>We will remain strong &amp;amp; we will honor those who live forever in our hearts -#FDNY Comm Nigro #NeverForget https://t.co/Jg5wqTJh3M</t>
  </si>
  <si>
    <t>This Department, The Bravest, will #NeverForget our heroes or their families -#FDNY Comm Nigro, 9/11 Memorial Service @StPatsNYC</t>
  </si>
  <si>
    <t>Our 343 &amp;amp; those who have perished since demonstrated the courage that is the essence of our Dept -Comm Nigro, FDNY 9/11 Service #NeverForget</t>
  </si>
  <si>
    <t>Thank you for your service. Thank you for your sacrifice. Thank you for your courage -Mayor @BilldeBlasio https://t.co/6ckZDv6Uwz</t>
  </si>
  <si>
    <t>When we needed them the most, they showed us the best of humanity -Mayor @BilldeBlasio #NeverForget  Watch live https://t.co/ZRjbzKwZBU</t>
  </si>
  <si>
    <t>Everyone suffered, but none suffered more than the FDNY -Mayor @BilldeBlasio. Watch live at https://t.co/ZRjbzKwZBU #NeverForget</t>
  </si>
  <si>
    <t>"Courage" &amp;amp; "duty" are not just words to anyone who serves in the FDNY -Mayor @BilldeBlasio. Watch live https://t.co/ZRjbzKwZBU</t>
  </si>
  <si>
    <t>343 flags are carried into @StPatsNYC. Watch live at https://t.co/RT9eDQ7lXR  #NeverForget https://t.co/dT60tafbCc</t>
  </si>
  <si>
    <t>We’re broadcasting LIVE from @StPatsNYC. Follow along at https://t.co/RT9eDQ7lXR #NeverForget https://t.co/vSeIC3VA4M</t>
  </si>
  <si>
    <t>RT @nycgob: EN VIVO! Servicio conmemorativo del 9/11 hoy 3PM: https://t.co/golkuybHCN o https://t.co/xLcu1f7qMp #NuncaOlvidar https://t.co/…</t>
  </si>
  <si>
    <t>RT @nycgob: La Unidad móvil del @FDNY ofrece clase gratis de resucitación cardiopulmonar HOY hasta las 4PM en Berean Baptist Church, 1635 B…</t>
  </si>
  <si>
    <t>RT @nycgob: Gracias, @Corey5Alexander #RideHVMC, por tu homenaje al @FDNY este fin de semana. #NeverForget https://t.co/Xz8f29KEhK #NuncaOl…</t>
  </si>
  <si>
    <t>The #FDNY Sept 11 15th Anniversary Memorial Service begins at 3pm EST. Watch live at https://t.co/RT9eDQ7lXR https://t.co/He1Gs8p44w</t>
  </si>
  <si>
    <t>#FDNY FF Glover shares a story w/ kids at today’s @JackmanLiteracy #ReadAThon https://t.co/OR1Zer6KGL #NeverForget https://t.co/w1e5iUuTlB</t>
  </si>
  <si>
    <t>Thank you @Corey5Alexander #RideHVMC for paying tribute to #FDNY this weekend. Photos taken @FDNYMuseum #NeverForget https://t.co/905FbUrJhH</t>
  </si>
  <si>
    <t>Meet the #FDNY Mobile CPR Unit &amp;amp; take a FREE CPR class TODAY! Berean Baptist Church, 1635 Bergen St #Brooklyn 12-4pm https://t.co/yp1ppUpvKW</t>
  </si>
  <si>
    <t>#FDNY Mobile CPR Unit is giving FREE CPR classes TODAY in #Brooklyn. Berean Baptist Church, 1635 Bergen St, 12-4pm</t>
  </si>
  <si>
    <t>RT @FDNY: Join us LIVE at https://t.co/RT9eDQ7lXR on Saturday, 3pm, for the FDNY 9/11 15th Anniv Memorial Service #NeverForget https://t.co…</t>
  </si>
  <si>
    <t>Members of #Battalion3 &amp;amp; #Station3 recognized for their service at #Bronx Comm Board 9 annual appreciation dinner https://t.co/B75UjtcBib</t>
  </si>
  <si>
    <t>Today's #FDNY Probationary EMT Spirit Run honors FDNY members who made the Supreme Sacrifice on 9/11 #NeverForget https://t.co/EXvxl4vufq</t>
  </si>
  <si>
    <t>No it is not, but you can follow along at https://t.co/RT9eDQ7lXR beginning at 3 pm EST tomorrow https://t.co/NGuDtwOXrG</t>
  </si>
  <si>
    <t>Checkpoint Charlie Foundation, @Berliner_Fw &amp;amp; @feuerwehrdfv gift Berlin Buddy Bear to #FDNY https://t.co/396eHC2s3t https://t.co/RsxdEVeHHB</t>
  </si>
  <si>
    <t>See more photos from today’s Sept 11 Memorial Service at #FDNY HQ https://t.co/tznHikCA6d #NeverForget https://t.co/howkdX2Dlq</t>
  </si>
  <si>
    <t>RT @Mets: .@MetsGM and @TEAMFRANCO45 visited @Sept11Memorial and @FDNY Engine 10 Ladder 10. https://t.co/C6hxPRYFRU #Honor911 https://t.co/…</t>
  </si>
  <si>
    <t>Join us LIVE at https://t.co/RT9eDQ7lXR TOMORROW at 3pm, for the FDNY 9/11 15th Anniv Memorial Service #NeverForget https://t.co/xNbkLyD1nG</t>
  </si>
  <si>
    <t>#FDNY First Deputy Commissioner Turner addresses attendees at @JohnJayCollege 9/11 remembrance ceremony #NeverForget https://t.co/Nt82zSPC7l</t>
  </si>
  <si>
    <t>The leadership they displayed, the bravery they exuded is truly legendary both within the Dept &amp;amp; throughout the fire service -#FDNY COD</t>
  </si>
  <si>
    <t>The leadership that was taken from us made the rebuilding process so very difficult -#FDNY COD Leonard #NeverForget</t>
  </si>
  <si>
    <t>On September 11, the FDNY was hurt in every way possible, truly like never before -#FDNY Chief of Dept Leonard #NeverForget</t>
  </si>
  <si>
    <t>We honor Bill &amp;amp; Pete &amp;amp; Donald &amp;amp; Jerry today. We’ll return next year &amp;amp; every year to do the same. We will #NeverForget them -#FDNY Comm Nigro</t>
  </si>
  <si>
    <t>Imagine how much poorer FDNY would be had they not, in their lifetimes, given so much. We owe them all a great debt -Comm Nigro</t>
  </si>
  <si>
    <t>Each of them accomplished much, set the bar high, &amp;amp; they are remembered as superlative examples for all of us -#FDNY Comm Nigro #NeverForget</t>
  </si>
  <si>
    <t>Today #FDNY honors FDC Feehan, COD Ganci, Chief Barbara &amp;amp; Chief Burns https://t.co/vdiCPyM1z7 #NeverForget https://t.co/8Seb8FB5zY</t>
  </si>
  <si>
    <t>RT @NYPDnews: Join us today as we honor 9/11 heroes. Live On Facebook: https://t.co/BKA0Sa40kn 
More: https://t.co/aEcQPACCYh https://t.co…</t>
  </si>
  <si>
    <t>#FDNY 343 Ride participants stop in NJ for a photo before continuing on their journey to Arlington #NeverForget https://t.co/cKunq3LFcP</t>
  </si>
  <si>
    <t>RT @nycgob: .@FDNY transmitirá el Servicio conmemorativo del 9/11 en vivo mañana 3PM en FB: https://t.co/xLcu1f7qMp #NeverForget https://t.…</t>
  </si>
  <si>
    <t>RT @denisleary: This weekend please take time to remember the fallen 343 @FDNY members who gave their all 15 years ago. https://t.co/B4b4iu…</t>
  </si>
  <si>
    <t>RT @nycgob: El @FDNY enfrentando un incendio el 8 de septiembre de 1997 en 373 Canal St #Manhattan. https://t.co/NmReeg4OiT https://t.co/P6…</t>
  </si>
  <si>
    <t>RT @NYPDnews: Join us in our vow to #NeverForget our 9/11 heroes. #Honor911 
More Info: https://t.co/aEcQPACCYh @EmeraldNYPD https://t.co/…</t>
  </si>
  <si>
    <t>Join us LIVE at https://t.co/RT9eDQ7lXR on Saturday, 3pm, for the FDNY 9/11 15th Anniv Memorial Service #NeverForget https://t.co/K9M7aHFOhi</t>
  </si>
  <si>
    <t>@Wolf112 thank you for catching that! we have updated the tweet</t>
  </si>
  <si>
    <t>Comm. Nigro welcomes Wilfried Grafling, Berlin Fire Brigade &amp;amp; CFO Karl-Heinz Knorr, Bremen Fire Brigade, to #FDNY HQ https://t.co/QxvccMGMGV</t>
  </si>
  <si>
    <t>RT @NYCFinance: Worried about overdue building or sanitation violations to the city? Help is coming #NYCForgivingFines launches 9/12 https:…</t>
  </si>
  <si>
    <t>RT @NYC_Buildings: #BeatTheHeat with an @FDNY hydrant cap, available at your local firehouse.  
https://t.co/dUJcqyGoqJ https://t.co/zIA8PN…</t>
  </si>
  <si>
    <t>#FDNY Chaplain Rev. Harding led FDNY 343 Ride cyclists in prayer last night at memorial service at @Sept11Memorial https://t.co/nLMrZneDU0</t>
  </si>
  <si>
    <t>#FDNY Mobile CPR Training Unit offers customized CPR training targeted to NYC High School students. Learn more https://t.co/EVZiuAhkDg</t>
  </si>
  <si>
    <t>RT @nycoem: Best of luck to students heading back to school! Be safe &amp;amp; prepared. #ReadyNYC #BacktoSchoolNYC @NYCSchools https://t.co/1wPuuf…</t>
  </si>
  <si>
    <t>Per #FDNY Fire Marshals: Cause of 9/6 marina fire at Beach 59th St #Queens was accidental, candles on boat https://t.co/KZyJ52krVK</t>
  </si>
  <si>
    <t>Today's #FDNY #tbt photo is from 1997, a 3-alarm fire at 373 Canal St #Manhattan. See more https://t.co/PycbhKz73S https://t.co/LpXv5MTXa9</t>
  </si>
  <si>
    <t>RT @HotDogFDNY: Be #FDNYSmart this school season!  Read my latest Smart Barks!  https://t.co/bxtr6k40jg https://t.co/bao9hTa5sm</t>
  </si>
  <si>
    <t>RT @FDNYMuseum: The New York City Fire Museum will commemorate the 343 FDNY members who made the Supreme Sacrifice on September... https://…</t>
  </si>
  <si>
    <t>#FDNY FF Josephine Smith, #Engine39, honors her father's memory in the 343 Ride https://t.co/Gjorqq2rIE #NeverForget https://t.co/Ch93OMWNe4</t>
  </si>
  <si>
    <t>RT @FDNYFoundation: 15 Years Later: How are you saying thank you? https://t.co/xyJYGj4H0z https://t.co/VSUSKtWPB5</t>
  </si>
  <si>
    <t>#FDNY 343 Ride makes a stop at West Sayville Fire Dept on day 1 of the journey. Learn more https://t.co/xduIutRNRn https://t.co/COEkkZHXDr</t>
  </si>
  <si>
    <t>Per #FDNY Fire Marshals: Cause of 9/4 fire at 37-30 73 St #Queens was accidental electrical, no working smoke alarm https://t.co/9YN7dFsNIR</t>
  </si>
  <si>
    <t>Visit @FDNYMuseum 9/11/16, 1pm, for memorial service marking 15th anniversary of Sept 11 attacks on WTC #NeverForget https://t.co/u0mAYWckuY</t>
  </si>
  <si>
    <t>#FDNY EMTs Furman &amp;amp; Wilson from #Station43 rescued drowning patient on Sunday. Read more https://t.co/d3HO9NwhH5 https://t.co/GZFjvbjrwj</t>
  </si>
  <si>
    <t>#FDNY Be 911 Teens Take Heart CPR teaches life-saving skills to NYC HS students. Learn more https://t.co/quZoOfKjdQ https://t.co/dPKO9PoSos</t>
  </si>
  <si>
    <t>#FDNY 343 Ride cyclists pause to read names of 343 who died on 9/11. Read more https://t.co/HUDWj5Ld0d #NeverForget https://t.co/RZwjTeUoIz</t>
  </si>
  <si>
    <t>RT @HotDogFDNY: Be #FDNYSmart and stay away from matches &amp;amp; lighters.  Check in tomorrow and read my back to school fire safety tips! https:…</t>
  </si>
  <si>
    <t>RT @nycgob: El comisionado del @FDNY añadirá los nombres de 17 bomberos a Muro conmemorativo del 9/11 en #Brooklyn. #NeverForget https://t.…</t>
  </si>
  <si>
    <t>See more photos from today’s #FDNY World Trade Center Memorial Wall Ceremony at https://t.co/wlh6OQmh99 #NeverForget https://t.co/FKD6819Ypg</t>
  </si>
  <si>
    <t>Read more about today’s #FDNY World Trade Center Memorial Wall Ceremony at https://t.co/6tBJ0w6LX5  #NeverForget https://t.co/f7aHsESKjx</t>
  </si>
  <si>
    <t>On the wall outside this room we see the result of the true bravery displayed from every corner of this Dept -#FDNY COD Leonard #NeverForget</t>
  </si>
  <si>
    <t>There are some fights that cannot be won no matter how much heart &amp;amp; courage you may have -#FDNY Chief of Dept Leonard #NeverForget</t>
  </si>
  <si>
    <t>Next year &amp;amp; in the years to follow, we will gather again &amp;amp; honor additional heroes. We will #NeverForget their sacrifice. -#FDNY Comm Nigro</t>
  </si>
  <si>
    <t>We can make believe that this will be the last event at which we will add names to our wall, but we know it will not be so -#FDNY Comm Nigro</t>
  </si>
  <si>
    <t>Those we have lost since 9/11, those we honor today, died as a result of their work in the rescue &amp;amp; recovery effort -#FDNY Comm #NeverForget</t>
  </si>
  <si>
    <t>#FDNY WTC Memorial Wall lists members who died of illnesses related to their work in the 9/11 WTC rescue &amp;amp; recovery efforts #NeverForget</t>
  </si>
  <si>
    <t>#FDNY Comm Nigro will add 17 FDNY members' names to the WTC Memorial Wall today at FDNY HQ in #Brooklyn #NeverForget https://t.co/O4AW1Pgv3W</t>
  </si>
  <si>
    <t>FDNY Lt. Robert Alford is 1 of 127 names on the WTC Memorial Wall. Read more https://t.co/uDWwtYlHYv #NeverForget https://t.co/j8bu6oeuPn</t>
  </si>
  <si>
    <t>Capt Thomas Thompson is 1 of 17 names to be added to WTC Memorial Wall today https://t.co/9czXylAF2z #NeverForget https://t.co/VvnJBxB4jm</t>
  </si>
  <si>
    <t>RT @nycgob: #El comisionado y jefe del @FDNY ayer con bomberos en el Desfile de las Antillas en #Brooklyn. https://t.co/9bSp4e6Jdx #WestInd…</t>
  </si>
  <si>
    <t>RT @BPEricAdams: Beautiful tribute by @FDNY Commissioner Nigro as he remembers those lost on 9/11. #brooklynremembers https://t.co/leelW0Dn…</t>
  </si>
  <si>
    <t>#FDNY Be 911 Teens Take Heart CPR provides hands-on CPR training to NYC high school students. Learn more https://t.co/3j3kSRgHJR</t>
  </si>
  <si>
    <t>RT @HotDogFDNY: What should you do if you see matches or a lighter on the ground?  Check back tomorrow in our Smart Barks Comic! https://t.…</t>
  </si>
  <si>
    <t>#FDNY Commissioner Nigro, COD Leonard, &amp;amp; members march in today's #WestIndianDayParade in #Brooklyn https://t.co/YWPct4f1ox</t>
  </si>
  <si>
    <t>Congrats #FDNY Running Club for coming out in front in the @nyrr FDNY vs NYPD Mile! #NB5thAveMile https://t.co/Isyu7KMJ5R</t>
  </si>
  <si>
    <t>RT @nyrr: We’re honoring some of the New York’s finest and bravest with the NYPD/FDNY Mile here at the #NB5thAveMile. https://t.co/6RhYmImf…</t>
  </si>
  <si>
    <t>Thank you @Mets for honoring first responders  #NeverForget https://t.co/lwfPFVsk70</t>
  </si>
  <si>
    <t>RT @NotifyNYC: Update #Hermine: Tropical Storm Warning still in effect citywide. Info: https://t.co/lTYnDmJu1X. ASL: https://t.co/CWQkS5R45…</t>
  </si>
  <si>
    <t>#FDNY members pay tribute at Father Mychal Judge Walk of Remembrance. Read more https://t.co/tZAj1NSXdu #NeverForget https://t.co/Ea5wDlwQ5A</t>
  </si>
  <si>
    <t>RT @BilldeBlasio: Our teams at @NYCMayorsOffice and @nycoem are monitoring and will keep you informed thru the storm. Now's a good time to…</t>
  </si>
  <si>
    <t>RT @NotifyNYC: Ahead of #Hermine, @nycparks beaches will be closed to swimming/bathing/surfing on Monday, 9/5. Info: https://t.co/rts7z1iH8…</t>
  </si>
  <si>
    <t>RT @NotifyNYC: Tropical Storm Warning and Storm Surge Watch in effect citywide. Info: https://t.co/lTYnDmJu1X. ASL: https://t.co/CWQkS5R451.</t>
  </si>
  <si>
    <t>RT @NYCMayorsOffice: We’re tracking Hermine for you. Follow @NotifyNYC for updates, prepare a Go bag, charge your phones, check in on frien…</t>
  </si>
  <si>
    <t>RT @NYCMayorsOffice: An FDNY color guard marked the opening of the 2016 #USOpen. More from Pics of the Week: https://t.co/Gw6XQKVFuH https:…</t>
  </si>
  <si>
    <t>#GetAlarmedNYC w/ @redcrossny &amp;amp; FREE smoke/CO alarm giveaway &amp;amp; installation events. Find yours by calling @nyc311 https://t.co/ekdzizdjBY</t>
  </si>
  <si>
    <t>RT @nycoem: Take time now to talk with your family about how you'll stay in touch in case of an emergency. #NPM2016 #Hermine https://t.co/p…</t>
  </si>
  <si>
    <t>RT @NotifyNYC: Tropical Storm Warning #Alert in effect citywide, today 9/3 starting at 11:00 AM. https://t.co/CWQkS5R451.</t>
  </si>
  <si>
    <t>RT @NotifyNYC: #alert Tropical Storm Watch &amp;amp; Storm Surge Watch for NYC. Review emergency plans. https://t.co/t918yhlx8z. https://t.co/lqMH9…</t>
  </si>
  <si>
    <t>RT @MLB: David Wright, @Mets visit the @FDNY. https://t.co/h6OlB4LfLp</t>
  </si>
  <si>
    <t>RT @Mets: #DavidWright &amp;amp; @fonzy9 visited @FDNY Engine 39 &amp;amp; Ladder 16. Check out more from their visit: https://t.co/PcOpNLSsEk https://t.co…</t>
  </si>
  <si>
    <t>See more photos from today's visit by #DavidWright &amp;amp; @fonzy9 to #Engine39 &amp;amp; #Ladder16 at https://t.co/UyLMCHHInc https://t.co/kaacSIrGjY</t>
  </si>
  <si>
    <t>.@Mets #DavidWright &amp;amp; @fonzy9 visit w/ #FDNY &amp;amp; @NYPD19Pct members at #Engine39 &amp;amp; #Ladder16 #Mets #LGM https://t.co/hLOjX5HciL</t>
  </si>
  <si>
    <t>TY #DavidWright @fonzy9 for continuing the tradition of visiting a firehouse around 9/11 anniversary #NeverForget https://t.co/X6f0STDb0O</t>
  </si>
  <si>
    <t>#FDNY Probationary EMTs participate in a Labor Day Spirit Run along the Cross Island Parkway trail in #Queens https://t.co/FI0pFTGDVp</t>
  </si>
  <si>
    <t>RT @nycoem: "We are taking many steps to make sure that we're fully prepared both ahead of the storm &amp;amp; for any impacts the city may face."…</t>
  </si>
  <si>
    <t>RT @nycoem: Sign up for @NotifyNYC via @nyc311 or via our website:  https://t.co/wwHqON4Glc or follow @NotifyNYC on Twitter.</t>
  </si>
  <si>
    <t>RT @nycoem: "As always, check on friends, relatives, and neighbors. Especially seniors and those with medical conditions." More: https://t.…</t>
  </si>
  <si>
    <t>RT @nycoem: "Prepare for power outages. Charge cell phone batteries. Turn your fridge to colder settings to keep it cooler longer if power…</t>
  </si>
  <si>
    <t>RT @nycoem: "Prepare for flooding. If you live in a flood-susceptible area." Watch live: https://t.co/2A6Y8RgXO5.</t>
  </si>
  <si>
    <t>RT @nycoem: "Prepare a Go Bag in case you need to leave your home quickly. You can find suggestions what to pack on [NYC. gov]."</t>
  </si>
  <si>
    <t>RT @nycoem: "We will be closing City beaches on Sunday... we likely will be closing these beaches [on Monday &amp;amp; beyond]." Watch: https://t.c…</t>
  </si>
  <si>
    <t>RT @nycoem: "The City's prepared. But as we always say in these situations, all New Yorkers have to be prepared, too." Live: https://t.co/2…</t>
  </si>
  <si>
    <t>RT @nycoem: "All New Yorkers need to remain vigilant [especially through Wednesday]." Watch live: https://t.co/2A6Y8RgXO5 #Hermine</t>
  </si>
  <si>
    <t>RT @nycoem: .@NYPDnews, @FDNY, @NYCSanitation &amp;amp; @NYC_DOT provide updates on how they're preparing NYC for #Hermine. Watch live: https://t.c…</t>
  </si>
  <si>
    <t>RT @nycoem: Mayor @BilldeBlasio will deliver an update on Tropical Storm Hermine at @nycoem HQ. Watch live at https://t.co/2A6Y8RgXO5. #Her…</t>
  </si>
  <si>
    <t>#FDNY Commissioner Nigro leads Coastal Storm Preparedness meeting with Dept members in anticipation of #Hermine https://t.co/4iqWfrBKoP</t>
  </si>
  <si>
    <t>RT @nycoem: Tip: disasters don’t always occur when we’re with family &amp;amp; friends. Take time now to plan what to do in an emergency. #NPM2016…</t>
  </si>
  <si>
    <t>RT @nycoem: It’s easy to become a Ready New Yorker. Check out the events being held throughout September: https://t.co/4h4GSJ6EY8 #NPM2016…</t>
  </si>
  <si>
    <t>WTC Steel donated to the US Marshals Service dedicated to the Wall of Honor 
https://t.co/sHV2GNSKRS #NeverForget https://t.co/1yH11bwmqu</t>
  </si>
  <si>
    <t>Michael Greco, US Marshal for Southern District of NY, hosts 9/11 Memorial &amp;amp; Wall of Honor Dedication #NeverForget https://t.co/lfXQ8ZZzVW</t>
  </si>
  <si>
    <t>RT @PALNewYork: Our @FDNY friends visited our Redfern Center summer camp to give an engaging training on fire safety at home. https://t.co/…</t>
  </si>
  <si>
    <t>#FDNY #tbt photo from this week in 1973, Gold St &amp;amp; Platt St in #Manhattan. See more https://t.co/VEsUYVkw3B https://t.co/PD3kLeLhww</t>
  </si>
  <si>
    <t>RT @nycoem: Happy National Preparedness Month! Don't wait. Become a Ready New Yorker: https://t.co/12qpUL5UuL #NPM2016 #NatlPrep https://t.…</t>
  </si>
  <si>
    <t>RT @nycoem: National Preparedness Month kicks off tomorrow! Are you prepared? #NPM2016 #NatlPrep https://t.co/dOMyJXUYBS</t>
  </si>
  <si>
    <t>RT @nycoem: Planning for an emergency doesn't have to be a disaster. Take steps to be prepared today! #ReadyNYC https://t.co/w1nvJD8oF7</t>
  </si>
  <si>
    <t>RT @NYCService: #CommunitySchoolsCorps members serving @NYCSchools receive CPR training from @FDNY. #FDNYCPR #AmeriCorpsWorks https://t.co/…</t>
  </si>
  <si>
    <t>RT @NYCHRA: Do you have HIV and need help? Eligibility rules for HASA benefits have changed. Learn more: https://t.co/S8d3SOQzGD</t>
  </si>
  <si>
    <t>Smoke alarms save lives. New Yorkers can #GetAlarmedNYC w/ @redcrossny by calling @nyc311 https://t.co/lRzEe8dwRK</t>
  </si>
  <si>
    <t>RT @nyc311: Cool down by asking your local @FDNY firehouse for a recreational hydrant spray cap: https://t.co/z8RIYNT8M2 https://t.co/bfA8z…</t>
  </si>
  <si>
    <t>#FDNY &amp;amp; #NYPD work together to save #HudsonRiver kayakers. Read more https://t.co/hC5HiiWGT1 https://t.co/l0RREgFVKQ</t>
  </si>
  <si>
    <t>Read more about today’s @MarForRes 6th Comm BN 9/11 Remembrance Ceremony at https://t.co/PZBl7UWUEs #NeverForget https://t.co/TTCLGSmEgA</t>
  </si>
  <si>
    <t>Teach kids that fire is not a toy. #FDNY Fire Safety Education Unit sharing #FDNYSmart tips TODAY, 425 Bay St #OnStatenIsland until 3 pm</t>
  </si>
  <si>
    <t>#FDNY Fire Safety Education Unit is at Walgreens at 218-51 Hempstead Ave #Queens TODAY until 3 pm, teaching kids &amp;amp; adults to be #FDNYSmart</t>
  </si>
  <si>
    <t>Learn to be #FDNYSmart w/ the #FDNY Fire Safety Education Unit TODAY, 231 St &amp;amp; White Plains Rd #Bronx until 3 pm https://t.co/wLFZu3On3O</t>
  </si>
  <si>
    <t>When you pause to remember our fallen brother, you honor that promise we all made 15 years ago to #NeverForget - #FDNY COD Leonard</t>
  </si>
  <si>
    <t>Very often members of FDNY &amp;amp; NYPD actually wear 2 uniforms, they serve their city &amp;amp; they serve their country -COD Leonard #NeverForget</t>
  </si>
  <si>
    <t>.@MarForRes 6th Comm BN holds 9/11 Remembrance Ceremony for GY SGT Garvey #FDNY &amp;amp; SGT MAJ Curtin #NYPD #NeverForget https://t.co/oChWIDgk91</t>
  </si>
  <si>
    <t>RT @redcrossny: Father/son team Irving DeShields Jr and Sr two of six members of our @FDNY volunteer team in Louisiana. @DARTFDNY https://t…</t>
  </si>
  <si>
    <t>RT @nycoem: National Preparedness Month officially starts Thursday. Find out how you can be prepared all month long! https://t.co/12qpUL5Uu…</t>
  </si>
  <si>
    <t>We had a great time at the #FDNY Block Party in the #Bronx! See more photos at  https://t.co/sVwdaWsvbR https://t.co/AgnsrJqcto</t>
  </si>
  <si>
    <t>.@FDNYMuseum to mark 15th anniversary of Sept 11 with a memorial service,  9/11/16 at 1pm #NeverForget https://t.co/jEVBBrHkEe</t>
  </si>
  <si>
    <t>RT @NYCFC: ⚽️ @JasonH_2 and @RJ_allen27 visit members of @fdny and @nypd to show their appreciation https://t.co/FMX9WRA7iI https://t.co/57…</t>
  </si>
  <si>
    <t>See more photos from this weekend's @FairwayMarket Champion's Cook-Off at https://t.co/IXLBshoSBW https://t.co/WXDjYhrmBn</t>
  </si>
  <si>
    <t>Congrats FF Baylor on winning yesterday's @FairwayMarket Community Champions Cook-Off in #RedHook https://t.co/QyELzbS2ra</t>
  </si>
  <si>
    <t>#FDNY remembers Lt. Howard J. Carpluk &amp;amp; Firefighter Michael C. Reilly. Read more https://t.co/TRlm7ki7tm https://t.co/5krVvEhUoR</t>
  </si>
  <si>
    <t>Stay informed 24/7/365! Follow @FDNYalerts, the FDNY’s automated operations feed https://t.co/CxJwKOcxS4</t>
  </si>
  <si>
    <t>RT @joinFDNY: Today's #FDNY Block Party at #Engine92/#Ladder44 in #TheBronx featured a Mobile Academy Event for aspiring FFers. https://t.c…</t>
  </si>
  <si>
    <t>1 hour to go at the #FDNY Block Party! Visit us at #Engine92 #Ladder44 1259 Morris Ave #Bronx until 4pm https://t.co/3yzt8BQ8vk</t>
  </si>
  <si>
    <t>RT @SirenFDNY: All smiles at the last Block Party of the summer at #Engine92 &amp;amp; #Ladder44 in the #Bronx! https://t.co/S4Gc3mlvQV</t>
  </si>
  <si>
    <t>RT @HotDogFDNY: Showing off some moves at the last Block Party of the summer at #Engine92 &amp;amp; #Ladder44 in the #Bronx! https://t.co/dwnrCEWeBB</t>
  </si>
  <si>
    <t>Thank you so much for coming to the Block Party! We love teaching kids &amp;amp; adults to be #FDNYSmart https://t.co/LeoSvySoGm</t>
  </si>
  <si>
    <t>RT @keya_sewer: Thanks @FDNY for all that you do !! My son is having a great time. https://t.co/AqTeot189Y</t>
  </si>
  <si>
    <t>There's still 2 hrs left at the #FDNY Block Party! Come by #Engine92 #Ladder44 1259 Morris Ave #Bronx until 4pm https://t.co/1qIIrzIL4t</t>
  </si>
  <si>
    <t>We're having a great time at the #FDNY Block Party! Join us at #Engine92 #Ladder44 1259 Morris Ave #Bronx until 4pm https://t.co/ko8INVTBUl</t>
  </si>
  <si>
    <t>RT @nycgob: Las unidades de A/C deben conectarse directamente a enchufes en paredes, SIN extensions o “regletas” eléctricas. @FDNY #FDNYSma…</t>
  </si>
  <si>
    <t>@followsthestars please follow so we can DM. Thank you</t>
  </si>
  <si>
    <t>Meet the members who keep NYC safe at the final #FDNY Block Party of the summer TODAY! #Engine92 &amp;amp; #Ladder44 1259 Morris Ave #Bronx 11am-4pm</t>
  </si>
  <si>
    <t>Take a FREE CPR class in #Brooklyn TODAY w/ #FDNY Mobile CPR Unit! International Pentecostal City Mission, 9202-14 Church Ave 11am-3pm</t>
  </si>
  <si>
    <t>Learn CPR for FREE today w/ the #FDNY Mobile CPR Unit! Come by St. David's Episcopal Church, 384 E 160 St in the #Bronx from 11am-3:30pm</t>
  </si>
  <si>
    <t>RT @NYPD104Pct: Traffic Update. LIE is currently open. Great work done by @NYPDSpecialops and @FDNY at the scene. https://t.co/2IKI7iy16T</t>
  </si>
  <si>
    <t>Tonight #FDNY Baseball retired the jersey of FF Pat O'Donnell, one of team's original players https://t.co/nOxr3SGciT</t>
  </si>
  <si>
    <t>Thank you @BobbyValentine for supporting first responders at the #FDNY #NYPD baseball game! https://t.co/CMYneXs6fk</t>
  </si>
  <si>
    <t>RT @nycgob: Los fumadores tiene 7 veces + chances de ser víctimas de incendios vs NO fumadores. NUNCA fume cerca de tanques de oxígeno. @FD…</t>
  </si>
  <si>
    <t>RT @heart911team: HEART911 #fdny #papd #jcfd members had a group of Mennonite volunteers help with gut work Listen to the sound of joy http…</t>
  </si>
  <si>
    <t>#FDNY Block Party in the #Bronx is TOMORROW! We hope to see you at #Engine92 &amp;amp; #Ladder44 1259 Morris Ave 11am-4pm https://t.co/HFVu9y2btM</t>
  </si>
  <si>
    <t>RT @FDNYFoundation: Great time today w #FDNY's Bravest signing the official 2017 Calendar of Heroes at JFK's @Hudson_News! https://t.co/UwF…</t>
  </si>
  <si>
    <t>RT @FDNYFoundation: If you missed today's #FDNY Calendar signing, support the Foundation &amp;amp; get your calendar at https://t.co/fRAhhil9mA! ht…</t>
  </si>
  <si>
    <t>Per #FDNY Fire Marshals: Cause of 8/25 2nd alarm at 72-36 66 Dr #Queens was accidental, electrical https://t.co/d3pl6B2I2m</t>
  </si>
  <si>
    <t>Per #FDNY Fire Marshals: Cause of 8/26 fire at 69-20 Juniper Valley Rd #Queens was accidental, careless discard of smoking materials</t>
  </si>
  <si>
    <t>RT @NYPDnews: Plenty of tix left! Come support NYC heroes as @NYPDBaseball takes on @FDNY. Tix info: https://t.co/6h48NUOl1Q https://t.co/s…</t>
  </si>
  <si>
    <t>RT @joinFDNY: Read why #FDNY FFer Jackie-Michelle Martinez loves her amazing career: https://t.co/LsQA2PYY1L. #WomensEqualityDay https://t.…</t>
  </si>
  <si>
    <t>RT @FDNYAlerts: BX 2-ALARM 1382 CROTONA AVE, MULTIPLE DWELLING FIRE ON THE 1ST FLR, UNDER CONTROL</t>
  </si>
  <si>
    <t>RT @NYPD104Pct: Great job by @FDNY in battling two fires in Glendale and Middle Village last night at the same time. https://t.co/ngcBFXDheL</t>
  </si>
  <si>
    <t>RT @nycoem: .@nycoem &amp;amp; @nycHealthy urge New Yorkers to take precautions during hot weather today: https://t.co/K0WxuEFX8N. Tips: https://t.…</t>
  </si>
  <si>
    <t>RT @FDNYFoundation: At #JFK Airport w/ #FDNY's Bravest signing the 2017 Calendar of Heroes! Stop by @Hudson_News in Terminal 4 &amp;amp; say hi! ht…</t>
  </si>
  <si>
    <t>RT @FDNYFoundation: Your purchase of the #FDNY Calendar helps us support the life-saving mission of the FDNY! https://t.co/fRAhhil9mA. http…</t>
  </si>
  <si>
    <t>RT @HotDogFDNY: On #NationalDogDay Siren and I are teaching all, furry and human, to be #FDNYSmart! Read https://t.co/V9lSXhGQL9! https://t…</t>
  </si>
  <si>
    <t>#BeatTheHeat by visiting your local firehouse to request a fire hydrant sprinkler cap. Do not open hydrants yourself</t>
  </si>
  <si>
    <t>RT @FDNYFoundation: Can't make it to @Hudson_News at JFK T4 today to meet #FDNY Bravest signing the 2017 Calendar? Get yours at https://t.c…</t>
  </si>
  <si>
    <t>RT @joinFDNY: Read what Rescue #Medic Silvana Uzcategui thinks about her amazing job: https://t.co/f7hbtZGAL2. #WomensEqualityDay https://t…</t>
  </si>
  <si>
    <t>RT @FDNYFoundation: TODAY! #FDNY's Bravest will be in #JFKAirport T4 signing the 2017 Calendar of Heroes! Stop by &amp;amp; support the #FDNY &amp;amp; #FD…</t>
  </si>
  <si>
    <t>RT @nycgob: Felices de jugar anoche con el equipo de #fútbol del @RoyalNavy HMS Scott! https://t.co/0TZRTxqr2m @FDNY</t>
  </si>
  <si>
    <t>RT @nycgob: El @FDNY enfrentando un incendio el 25 de agosto de 1973 en #Brooklyn. Vea más en: https://t.co/1mRSi0L9Pe https://t.co/pW6nlA6…</t>
  </si>
  <si>
    <t>RT @heart911team: Thank you HEART 9/11 #FDNY, #PAPD and #JCFD members from St. Ament #LouisianaFlood victims. https://t.co/6FZnYmFbMH</t>
  </si>
  <si>
    <t>Learn to be #FDNYSmart at the #FDNY Block Party on Saturday! #Engine92 &amp;amp; #Ladder44 1259 Morris Ave #Bronx 11am-4pm https://t.co/iCfIsrNsTX</t>
  </si>
  <si>
    <t>Ghana National Fire Service CFO, Dr. Albert Brown Gaisie, visits #FDNY HQ. Read more https://t.co/T2kJvHrWTF https://t.co/4s8FxMye92</t>
  </si>
  <si>
    <t>Great playing with the @RoyalNavy HMS Scott football team last night! https://t.co/BffQcj7PYp</t>
  </si>
  <si>
    <t>Today's #FDNY #tbt photo is from this day in 1973, a 3-alarm fire in #Brooklyn. See more at https://t.co/o0SryHOtgH https://t.co/3uG0LgbcTq</t>
  </si>
  <si>
    <t>RT @NYPDnews: Come out this Friday &amp;amp; support NYC heroes at the @NYPDBaseball vs. @FDNY Baseball https://t.co/6h48NUOl1Q https://t.co/sAT02b…</t>
  </si>
  <si>
    <t>Congrats to #FDNY Lt Rick Bruno, #Engine289, who worked his last tour today after 43 yrs on the job https://t.co/SwdFkkG6uk</t>
  </si>
  <si>
    <t>RT @nycgob: Gracias, @DrakeWhite por visitar a #Hazmat1 #Squad288 y el apoyo a nuestros miembros! https://t.co/mra5aru8qY @FDNY</t>
  </si>
  <si>
    <t>RT @FDNYFoundation: Can't make it Friday to meet #FDNY members signing the 2017 Calendar? Get yours today here: https://t.co/yLNBW6c52l</t>
  </si>
  <si>
    <t>RT @FDNYFoundation: Some of #FDNY's Bravest will be signing the 2017 #FDNY Calendar @ Hudson Newsstand in the JFK @Delta terminal on Friday…</t>
  </si>
  <si>
    <t>FDNY members present check in support of @DallasPD to @Tunnel2Towers. See more https://t.co/wFPf6ZlSp8 #DallasStrong https://t.co/B5QbxqYJMG</t>
  </si>
  <si>
    <t>RT @NYPDnews: NYPD &amp;amp; @FDNY Work Together To Save Woman From Burning House In Queens https://t.co/ZQoZBXcqlj https://t.co/IbUanpbbQX</t>
  </si>
  <si>
    <t>RT @nycgob: Recuerda que la última Fiesta comunitaria del @FDNY este verano es este sábado en #ElBronx con #Engine92 #Ladder44! https://t.c…</t>
  </si>
  <si>
    <t>Join us Saturday for the last #FDNY Block Party of the Summer! #Engine92 &amp;amp; #Ladder44 1259 Morris Ave #Bronx 11am-4pm https://t.co/tStJtPNsH4</t>
  </si>
  <si>
    <t>Take a FREE CPR class TODAY at @nycoem Emergency Preparedness Fair in #EastVillage until 2pm! E. 8 St &amp;amp; Lafayette https://t.co/NUVyAUX0BZ</t>
  </si>
  <si>
    <t>RT @nycoem: .@nycoem is at Astor Place until 2 PM in the #EastVillage teaching New Yorkers about how to be prepared. Come on by! https://t.…</t>
  </si>
  <si>
    <t>RT @joinFDNY: #FDNYHS Summer Leadership Academy students are completing The Bear Crawl as part of today's physical training. https://t.co/D…</t>
  </si>
  <si>
    <t>RT @DrakeWhite: @FDNY really can't say enough about how great an experience it was and how good of people the guys and girls I met today ar…</t>
  </si>
  <si>
    <t>Thank you @DrakeWhite for visiting #FDNY #Hazmat1 #Squad288 &amp;amp; supporting our members! https://t.co/4VLNG7EKmf</t>
  </si>
  <si>
    <t>RT @RJ_allen27: @JasonH_2 great experience today visiting @NYPD44Pct and @FDNY https://t.co/AVLLolYV2w</t>
  </si>
  <si>
    <t>RT @nycgob: .@RJ_allen27 y @JasonH_2 de .@NYCFC visitaron a #Engine68 #Ladder49 para agradecer a @FDNY por servicio en #ElBronx: https://t.…</t>
  </si>
  <si>
    <t>See more photos from @nycfc @RJ_allen27 &amp;amp; @JasonH_2 visit to #Engine68 #Ladder49 at https://t.co/Tqil8AtdaH https://t.co/B9FW9FW3XQ</t>
  </si>
  <si>
    <t>RT @heart911team: HEART911 Flood Response Team 1 works on 3 homes in Denham Springs Team 2 guts 2 in St Ament LA #FDNY #LouisianaFlood http…</t>
  </si>
  <si>
    <t>.@nycfc @RJ_allen27 &amp;amp; @JasonH_2 visit #Engine68 #Ladder49 to thank FDNY members for their service to #Bronx #NYCFC https://t.co/xNLq0Mv3KK</t>
  </si>
  <si>
    <t>We can't wait to see you at the #FDNY Block Party on Saturday! #Engine92 &amp;amp; #Ladder44 1259 Morris Ave #Bronx 11am-4pm https://t.co/7Kqgrm9J1X</t>
  </si>
  <si>
    <t>RT @nycgob: Las fotos de la Fiesta del @FDNY el pasado fin de semana están en: https://t.co/9csxNZO9rT https://t.co/pZMpadYvS0 #Engine311 #…</t>
  </si>
  <si>
    <t>RT @heart911team: HEART911 Flood Response Team, #FDNY #JerseyCityFD are boots on the ground in LA to aid #LouisianaFlood victims. https://t…</t>
  </si>
  <si>
    <t>RT @nycgob: No faltes! La última Fiesta comunitaria del @FDNY es el sábado 27 con #Engine92 #Ladder44, 1259 Morris Ave #ElBronx: https://t.…</t>
  </si>
  <si>
    <t>RT @nycgob: Tres grandes incendios este mes fueron causados por niños jugando con fuego. Eduque a sus hijos y evitemos tragedias. Un mensaj…</t>
  </si>
  <si>
    <t>#NYCBravest &amp;amp; #NYCFinest work together to rescue woman from 2nd alarm in #Queens. Read more https://t.co/Thru6qirsB https://t.co/ORVteSmLlZ</t>
  </si>
  <si>
    <t>See more photos from this past weekend's #FDNY Block Party at #Engine311 #Ladder158 at https://t.co/r7ZeMWkmXv https://t.co/zn8xsLJCcm</t>
  </si>
  <si>
    <t>RT @NYCFC: New York's Bravest @FDNY https://t.co/hkEcj5v1cH</t>
  </si>
  <si>
    <t>RT @nycgob: El #NYPD y @FDNY se unieron hoy para salvar una vida en un incendio en 140-36 169 St #Queens. https://t.co/lZTMG6giP2 cc: @NYPD…</t>
  </si>
  <si>
    <t>RT @HotDogFDNY: Fire is not a toy! Be #FDNYSmart!Read more in my latest blog post. https://t.co/RLv0nSvF4r</t>
  </si>
  <si>
    <t>Teamwork btwn #NYPD &amp;amp; Firefighters saved a life today -FDNY COD Leonard at scene of 2nd alarm, 140-36 169 St #Queens https://t.co/WYiqw7ftHD</t>
  </si>
  <si>
    <t>RT @NYPDCeremonial: .@NYPDCeremonial Honor Guard &amp;amp; @FDNY at #YankeeStadium for the @LAGalaxy vs. @NYCFC Match!
#WeAreOne ⚽ https://t.co/eWD…</t>
  </si>
  <si>
    <t>The last #FDNY Block Party of the summer is this Sat. 8/27! #Engine92 &amp;amp; #Ladder44 1259 Morris Ave #Bronx 11am-4pm https://t.co/lIFVdeAr2w</t>
  </si>
  <si>
    <t>Teach kids that matches are not toys. Learn how at https://t.co/Es7EkEZPtC #FDNYSmart https://t.co/8GahCzJ5wF</t>
  </si>
  <si>
    <t>#FDNY Fire Safety Education Unit teaches kids the dangers of playing w/ fire. Learn more at https://t.co/2foUS3prq8 https://t.co/sIaFOznaWA</t>
  </si>
  <si>
    <t>For #FDNYSmart fire safety literature in multiple languages, visit https://t.co/3ZlExppjUM</t>
  </si>
  <si>
    <t>Visit https://t.co/xlWxiof2Te for educational material to help talk to kids about the dangers of fire, ways to help keep homes fire safe</t>
  </si>
  <si>
    <t>.@nfpa cites nearly 50k fires/year caused nationwide by kids playing w/ fire-approx 80 deaths, 860 injuries, $235 million+ property damage</t>
  </si>
  <si>
    <t>Learn more about the #FDNY Juvenile Fire-Setters Intervention Program by calling 718-722-3600 &amp;amp; visiting https://t.co/NpwdRdlElY</t>
  </si>
  <si>
    <t>#FDNY Juvenile Fire-Setters Intervention Program is run by the Bureau of Fire Investigation &amp;amp; is completely confidential</t>
  </si>
  <si>
    <t>#FDNY Juvenile Fire-Setters Intervention Program works to both educate &amp;amp; evaluate children (up to the age 12) who are engaging in fire play</t>
  </si>
  <si>
    <t>Commissioner Nigro urges parents who have children that have demonstrated an unhealthy curiosity for fire to reach out to #FDNY for help</t>
  </si>
  <si>
    <t>Parents &amp;amp; guardians must ensure children  are properly supervised...don’t have access to matches, lighters, open flames -#FDNY Comm Nigro</t>
  </si>
  <si>
    <t>3 fires caused by children playing w/ fire destroyed or damaged 14 homes, injured 35 people including 3 FFers who were critically injured</t>
  </si>
  <si>
    <t>In the last 10 days there have been 3 major fires in our city caused by children playing w/ fire -#FDNY Comm Nigro</t>
  </si>
  <si>
    <t>3 major fires in Aug. caused by children playing w/ fire. Comm Nigro urges parents &amp;amp; guardians: educate &amp;amp; engage w/ kids to prevent tragedy</t>
  </si>
  <si>
    <t>Kids are learning to be #FDNYSmart at an #FDNY Fire Safety event in #Queens https://t.co/mxyzu9Kzny</t>
  </si>
  <si>
    <t>Never leave kids alone w/ matches, lighters or lit candles. Read more #FDNYSmart tips at https://t.co/Es7EkEZPtC</t>
  </si>
  <si>
    <t>#FDNY Phoenix Society &amp;amp; members march in today's #IndiaDayParade down Madison Ave https://t.co/46bhjnaAH8</t>
  </si>
  <si>
    <t>Our #FDNYSmart tips can help your kids learn to never play w/ fire. See how at https://t.co/Es7EkEZPtC</t>
  </si>
  <si>
    <t>Only 1 #FDNY Block Party left this summer! Join us on 8/27 at #Engine92 &amp;amp; #Ladder44 1259 Morris Ave #Bronx 11am-4pm https://t.co/XLKYcSbw2L</t>
  </si>
  <si>
    <t>Teach kids that matches are not toys. Learn how at https://t.co/Es7EkEZPtC #FDNYSmart</t>
  </si>
  <si>
    <t>Store lighters &amp;amp; matches in a place that kids can’t reach, or in a locked cabinet or drawer. Learn more https://t.co/Es7EkEZPtC #FDNYSmart</t>
  </si>
  <si>
    <t>Help the #FDNY keep your family safe. Teach kids to NEVER play w/ fire. Learn how at https://t.co/Es7EkEZPtC</t>
  </si>
  <si>
    <t>RT @joinFDNY: Today's #FDNY Block Party at #Engine311/#Ladder158 in #Queens includes training sessions for aspiring #NYC FFers. https://t.c…</t>
  </si>
  <si>
    <t>RT @SirenFDNY: Listening closely to my #FDNYSmart tips at the Block Party at #Engine311 &amp;amp; #Ladder158 in #Queens . https://t.co/mLj6PFLChl</t>
  </si>
  <si>
    <t>RT @HotDogFDNY: Hi-fives for my #FDNYSmart friends at the #Engine311 &amp;amp; #Ladder158 Block Party in #Queens! https://t.co/ZcIWMRgvUa</t>
  </si>
  <si>
    <t>There's 1 hour left at the #FDNY Block Party in #Queens! #Engine311 &amp;amp; #Ladder158, 145-30 Springfield Blvd, ends 4pm https://t.co/HzlNSXH4qs</t>
  </si>
  <si>
    <t>RT @heart911team: HEART 9/11 is sending a team of #FDNY members to aid #LouisianaFlood victims. https://t.co/tL8iPaQRvn</t>
  </si>
  <si>
    <t>RT @nycgob: Ya empezó la Fiesta del @FDNY con #Engine311 y #Ladder158 en 145-30 Springfield Blvd #Queens - no te la pierdas! https://t.co/h…</t>
  </si>
  <si>
    <t>Take a FREE CPR class TODAY w/ #FDNY Mobile CPR Unit! 1243 Bushwick Ave BK until 2:30 &amp;amp; 340 Dumont Ave BK until 3:30 https://t.co/pCLrTYJUa9</t>
  </si>
  <si>
    <t>#FDNY Mobile CPR Unit is giving FREE CPR classes TODAY at @NYCHA Tilden Houses Health Fair! 340 Dumont Ave #Brooklyn 12-3:30pm</t>
  </si>
  <si>
    <t>Take a FREE CPR class TODAY w/ the #FDNY at the #Bushwick Family Ministries Community Health Fair, 1243 Bushwick Ave #Brooklyn 11am-2:30pm</t>
  </si>
  <si>
    <t>RT @nycgob: Buen día y buen fin de semana, Estás list@ para la Fiesta comunitaria del @FDNY en 145-30 Springfield Blvd, Queens?! https://t.…</t>
  </si>
  <si>
    <t>Come by #Engine311 &amp;amp; #Ladder158 TODAY 11am-4pm for our #FDNY Block Party! 145-30 Springfield Blvd #Queens https://t.co/Z9wearR7ft</t>
  </si>
  <si>
    <t>Kids are naturally curious. Please teach them that fire is dangerous w/ these #FDNYSmart tips https://t.co/Es7EkEZPtC</t>
  </si>
  <si>
    <t>See you in #Queens TOMORROW at the #FDNY Block Party! #Engine311 &amp;amp; #Ladder158 145-30 Springfield Blvd 11am-4pm https://t.co/Q1zYQ8fe2J</t>
  </si>
  <si>
    <t>RT @joinFDNY: Congrats to the Youth Workforce Development students who graduated from the #FDNY Summer #EMS Academy today. https://t.co/hwl…</t>
  </si>
  <si>
    <t>Teach kids to NEVER play with fire. Read our #FDNYSmart tips at https://t.co/Es7EkEZPtC https://t.co/iKBboFULJ4</t>
  </si>
  <si>
    <t>RT @joinFDNY: #FDNY YWD Summer EMS Academy students are graduating today during a special ceremony at #HQ in #Brooklyn. https://t.co/DuBMdl…</t>
  </si>
  <si>
    <t>RT @joinFDNY: Today's 11 Youth Workforce Development Summer #EMS Academy graduates are also New York State certified EMTs. https://t.co/2NE…</t>
  </si>
  <si>
    <t>RT @joinFDNY: #FDNY COD James Leonard congratulates today's YWD Summer #EMS Academy graduates for their hard work and dedication. https://t…</t>
  </si>
  <si>
    <t>If you suspect a child is playing w/ fire or setting fires intentionally, #FDNY can help. Learn how https://t.co/Two3MQZ8Oh</t>
  </si>
  <si>
    <t>Learn more about the #FDNY Juvenile Fire-Setters Intervention Program at https://t.co/Two3MQZ8Oh</t>
  </si>
  <si>
    <t>The juveniles responsible for yesterday’s 6-alarm SI fire will be enrolled in the #FDNY Juvenile Fire-Setters Intervention Program</t>
  </si>
  <si>
    <t>Per #FDNY Fire Marshals: Yesterday’s 6-alarm fire at 228 Benziger Ave #StatenIsland was accidental, caused by children playing w/ matches</t>
  </si>
  <si>
    <t>Visit @FDNYMuseum 9/11/16, 1pm, for memorial service marking 15th anniversary of Sept 11 attacks on WTC #NeverForget https://t.co/s3P745qH4I</t>
  </si>
  <si>
    <t>#FDNY has hired 100+ Veterans in the past year alone. Follow @joinFDNY &amp;amp; @HireHeroesUSA to find your path</t>
  </si>
  <si>
    <t>#FDNY DAC Sakowich discusses FDNY career paths at @WWECommunity @HireHeroesUSA #WWEVetPanel, part of #SummerSlamWeek https://t.co/Sif5ZuyYw2</t>
  </si>
  <si>
    <t>#FDNY is proud to participate in @WWECommunity @HireHeroesUSA #WWEVetPanel at #30Rock https://t.co/gRbH7RWYLS</t>
  </si>
  <si>
    <t>RT @HeyNowJO: 5 alarm fire on Staten Island. Thank God for the @FDNY...again.
@ufoa @UFANYC</t>
  </si>
  <si>
    <t>RT @CMDebiRose: Thank you @FDNY for extraordinary work containing this horrible 6-alarm fire. https://t.co/d16eFuLo43</t>
  </si>
  <si>
    <t>RT @RepDanDonovan: Thank you to the brave @FDNY firefighters battling this blaze, keeping SIers safe.  https://t.co/AikVdSxeqz</t>
  </si>
  <si>
    <t>RT @nycgob: El @FDNY enfrentando un incendio el 18 de agosto de 1970 en 60-25 Roosevelt Av #Queens. https://t.co/abVUY7buHb https://t.co/vJ…</t>
  </si>
  <si>
    <t>RT @CMDebiRose: Thank you also to @FDNY @NYPD120Pct @ConEdison, CERT, @RedCross, OEM, @mayorsCAU and all others who helped fire victims thi…</t>
  </si>
  <si>
    <t>RT @TishJames: @FDNY  My thoughts and prayers are with 19 injured firefighters who battled fire on Staten Island. True heroes.</t>
  </si>
  <si>
    <t>RT @StatenIslandDA: Truly grateful to @FDNY and all responders for risking their lives battling this fire on Staten Island. #Heroes  https:…</t>
  </si>
  <si>
    <t>RT @nycgob: Unos 250 miembros del @FDNY enfrentaron gran incendio esta noche en 228 Benziger Av #StatenIsland. Siga @FDNYAlerts. https://t.…</t>
  </si>
  <si>
    <t>RT @FDNYAlerts: SI 6-ALARM 228 BENZIGER AVE, PRIVATE DWELLING FULLY INVOLVED WITH EXTENSION TO EXPOSURES 2 &amp;amp; 4, UNDER CONTROL</t>
  </si>
  <si>
    <t>Firefighters did an unbelievable job on arrival, 2 minutes after 3 bldgs on fire, stopped fire from extending past the area -#FDNY COD</t>
  </si>
  <si>
    <t>#FDNY on scene within 2 minutes. Approx 250 Firefighters, EMTs, Paramedics &amp;amp; 50 pieces of apparatus -FDNY COD Leonard on SI 6th alarm</t>
  </si>
  <si>
    <t>Extremely heavy fire conditions, extreme radiant heat in street, enough that it melted siding on buildings across the street -#FDNY COD</t>
  </si>
  <si>
    <t>Fire at 228 Benziger Ave #StatenIsland now 6th alarm. Follow @fdnyalerts for auto updates https://t.co/xQK4f2lse6</t>
  </si>
  <si>
    <t>RT @FDNYAlerts: SI 6-ALARM 228 BENZIGER AVE, PRIVATE DWELLING FULLY INVOLVED WITH EXTENSION TO EXPOSURES 2 &amp;amp; 4,</t>
  </si>
  <si>
    <t>RT @NYPDSpecialops: #NOW: #NYPD #Aviation assisting @FDNY in surveying the scene of a 5 alarm fire in @NYPD120Pct https://t.co/YODA1VCFvy</t>
  </si>
  <si>
    <t>10 minor injuries to Firefighters reported at 5-alarm fire, 228 Benziger Ave #StatenIsland https://t.co/zvIQi0gqGR</t>
  </si>
  <si>
    <t>#FDNY members are on scene of a 5-alarm fire at 228 Benziger Ave #StatenIsland. Follow @fdnyalerts for auto updates https://t.co/ncQFuXplod</t>
  </si>
  <si>
    <t>RT @FDNYAlerts: SI 5-ALARM 228 BENZIGER AVE, PRIVATE DWELLING FULLY INVOLVED WITH EXTENSION TO EXPOSURES 2 &amp;amp; 4,</t>
  </si>
  <si>
    <t>RT @nycgob: No olvides traer a los niños a la Fiesta comunitaria de #Queens este sábado! 145-30 Springfield Blvd 11AM-4PM https://t.co/N0hU…</t>
  </si>
  <si>
    <t>Today #FDNY remembers Lt Graffagnino &amp;amp; FF Beddia, who made the Supreme Sacrifice on 8/18/07 https://t.co/w2HX5TBmRL https://t.co/ijWwZQHNng</t>
  </si>
  <si>
    <t>RT @nycoem: Besides extreme heat, don't forget about other hazards that can affect NYC in the summer --&amp;gt; https://t.co/xZNPiE50oc https://t.…</t>
  </si>
  <si>
    <t>Today’s #FDNY #tbt photo from 8/18/70, a 4th alarm at 60-25 Roosevelt Ave #Queens. See more https://t.co/jKG2IJmD58 https://t.co/rq3mrqNkYC</t>
  </si>
  <si>
    <t>We love you @Birdie_NYC! https://t.co/b3ezZ1AtRy</t>
  </si>
  <si>
    <t>@RealmTheatre please follow and we will send a DM. Thank you</t>
  </si>
  <si>
    <t>Bring your kids to the #FDNY Block Party in #Queens on 8/20! #Engine311/#Ladder158 145-30 Springfield Blvd 11am-4pm https://t.co/5WuLYJQAkI</t>
  </si>
  <si>
    <t>RT @nycgob: Vea la visita de @DHSgov hoy y por qué los fondos de #UASI son esenciales para NYC: https://t.co/CQWp1PNYJ1 https://t.co/aAVSro…</t>
  </si>
  <si>
    <t>Read more about today’s visit, &amp;amp; why UASI funding is essential to NYC, at https://t.co/oORfwPLaGS https://t.co/nn2dgyWaAU</t>
  </si>
  <si>
    <t>.@RepDanDonovan @RepSteveIsrael &amp;amp; @RepKathleenRice toured #NYHarbor on Fireboat 343, built w/ UASI funding</t>
  </si>
  <si>
    <t>Today #FDNY Comm Nigro welcomed @RepDanDonovan @RepSteveIsrael &amp;amp; @RepKathleenRice to Brooklyn Navy Yard https://t.co/MNQic5vO3h</t>
  </si>
  <si>
    <t>It's imperative that these vital (UASI) funds continue to support cities like ours which are most at risk -#FDNY Commissioner Nigro</t>
  </si>
  <si>
    <t>Visitors were briefed on #FDNY Marine Ops &amp;amp; the extraordinary work done by Dept members to keep NYC waterways safe https://t.co/U1DxJdcJ9l</t>
  </si>
  <si>
    <t>RT @NYPDnews: The congressional delegation from NY has been very supportive in CT funding for NYC. https://t.co/jr8a4sn1vG</t>
  </si>
  <si>
    <t>RT @RepSteveIsrael: Watch live as I join @BilldeBlasio @CommissBratton to discuss how @DHSgov funds are keeping #NYC safe https://t.co/0hzZ…</t>
  </si>
  <si>
    <t>RT @RepKathleenRice: In NYC today w/ @RepSteveIsrael &amp;amp; @RepDanDonovan to learn more about how fed UASI funds help prevent terrorism &amp;amp; keep…</t>
  </si>
  <si>
    <t>RT @NYPDnews: #Now: @BilldeBlasio &amp;amp; @CommissBratton updating NY Congress members on CT needs to keep NYC safe. https://t.co/VBVPgUROhe</t>
  </si>
  <si>
    <t>Learn to be #FDNYSmart at our #Queens Block Party on 8/20! #Engine311 &amp;amp; #Ladder158 145-30 Springfield Blvd 11am-4pm https://t.co/nZj81OjW0U</t>
  </si>
  <si>
    <t>#FDNY Commissioner Nigro &amp;amp; wife Lynn w/ @johnlegend at last night’s opening of #WestfieldWTC https://t.co/m2Uca5Jd2D</t>
  </si>
  <si>
    <t>RT @FDNYPro: Save the date! 2017 #FDNY MSOC is scheduled for May 5-7 in NYC. Learn more at https://t.co/tVh4L7YNXZ https://t.co/Gon4yrxBJD</t>
  </si>
  <si>
    <t>RT @nycgob: Obtenga alarma de humo con @FDNY y @redcrossny en la Fiesta del 20/8! 145-30 Springfield Blv #Queens. https://t.co/D9ACiJReBe #…</t>
  </si>
  <si>
    <t>Learn FREE CPR at our #FDNY Block Party on 8/20! #Engine311 &amp;amp; #Ladder158 145-30 Springfield Blvd #Queens 11am-4pm https://t.co/NOhgBqUK7E</t>
  </si>
  <si>
    <t>#GetAlarmedNYC w/ @redcrossny at #FDNY Block Party on 8/20! #E311 &amp;amp; #L158 145-30 Springfield Blvd #Queens 11am-4pm https://t.co/jxzgv0JuqF</t>
  </si>
  <si>
    <t>RT @nycgob: Aspirantes a #bomberos entrenándose hoy con la Academia móvil del @FDNY en #StatenIsland. https://t.co/opjXxuJEsY @joinFDNY</t>
  </si>
  <si>
    <t>RT @nycgob: La Fiesta comunitaria del @FDNY en #Queens es el sábado 20! https://t.co/CQJxMIrulT #Engine311 #Ladder158, 145-30 Springfield B…</t>
  </si>
  <si>
    <t>Cause of all-hands fire, 4750 Bedford Ave #Brooklyn was accidental, electrical. Smoke detector present, not operational. 2 serious injuries.</t>
  </si>
  <si>
    <t>RT @nycgob: Comisarios de @FDNY: El incendio en 2937 Douglass Blvd este sábado fue accidental, mal uso de una extensión eléctrica.</t>
  </si>
  <si>
    <t>RT @NotifyNYC: Heat Advisory for NYC until 8PM tonight &amp;amp; from 12PM - 10PM on 8/16. Avoid strenuous activity. Cooling centers open. https://…</t>
  </si>
  <si>
    <t>Saturday's #FDNY Block Party in #Inwood was a ton of fun! See more photos at https://t.co/dGdBVjdUsK https://t.co/FFdPuJo3gb</t>
  </si>
  <si>
    <t>Join us at the #FDNY Block Party in #Queens on 8/20! #Engine311 &amp;amp; #Ladder158, 145-30 Springfield Blvd, 11am-4pm https://t.co/RYfPYGGKln</t>
  </si>
  <si>
    <t>RT @nycgob: Vea las mejores fotos del Desfile #dominicano en https://t.co/golkuxU6Lf. @FDNY @NYPDnews @NYCMayorsOffice #DRParade https://t.…</t>
  </si>
  <si>
    <t>RT @joinFDNY: Aspiring #FDNY FFers in #StatenIsland are training with New York's Bravest today as part of a Mobile Academy Event. https://t…</t>
  </si>
  <si>
    <t>RT @joinFDNY: If you're an aspiring #FDNY FFer in #StatenIsland, come train with New York's Bravest today until 5 p.m. #FDNYfit https://t.c…</t>
  </si>
  <si>
    <t>RT @nycgob: Los fumadores tiene 7 chances más de ser víctimas de incendios vs. NO fumadores. NUNCA fume cerca de un tanque de oxígeno. @FDN…</t>
  </si>
  <si>
    <t>RT @nycgob: El @FDNY hoy en el Desfile de los #dominicanos en 6ta Avenida, NYC. #DominicanDayParade https://t.co/81pBOCG4QU  #DRParade</t>
  </si>
  <si>
    <t>RT @NYCDHS: Trying to #BeatTheHeat? @FDNY has hydrant spray caps available for any adult over 18 at a fire house upon request. https://t.co…</t>
  </si>
  <si>
    <t>New Yorkers - stay indoors if possible to protect yourself from the heat. If you must go outside, find shade &amp;amp; stay hydrated #BeatTheHeat</t>
  </si>
  <si>
    <t>Today #FDNY members participated in the #DRParade, marching down 6th ave in NYC #DominicanDayParade https://t.co/L8ZzqId0Mt</t>
  </si>
  <si>
    <t>Open hydrants deplete water sources &amp;amp; pressure, making it hard to fight fires. #BeatTheHeat by visiting a firehouse &amp;amp; requesting a spray cap</t>
  </si>
  <si>
    <t>#FDNY Fire Marshals: Cause of early morning all-hands fire at 2250 Aqueduct Ave #Bronx was accidental, careless use of smoking materials</t>
  </si>
  <si>
    <t>NYers - check on friends &amp;amp; neighbors to make sure they are safe &amp;amp; cool. Children &amp;amp; elderly are especially vulnerable when temps rise</t>
  </si>
  <si>
    <t>NYers can visit a firehouse to request a spray cap. Must be 18+ yrs &amp;amp; show ID. Find yours at https://t.co/BEi6ZcRPve https://t.co/hEUYp2LAjp</t>
  </si>
  <si>
    <t>RT @joinFDNY: Our recruiters are all smiles while getting ready for today's #DominicanDayParade along 6th Avenue in #NYC. https://t.co/cGUI…</t>
  </si>
  <si>
    <t>Did you miss yesterday's #FDNY Block Party? Don't worry! We're in #Queens on 8/20! #Engine311 &amp;amp; #Ladder158 145-30 Springfield Blvd 11am-4pm</t>
  </si>
  <si>
    <t>(3/3) Smoke detectors in neighboring apts activated. No smoke detector in fire apt</t>
  </si>
  <si>
    <t>(2/3) Extension cords linked via splice, powered window AC, in close proximity to combustibles/couch.</t>
  </si>
  <si>
    <t>(1/3) #FDNY Fire Marshals: Cause of 8/13 all-hands, 2937 Douglass Blvd was accidental, improper use of extension cord</t>
  </si>
  <si>
    <t>Wearing loose, lightweight, light-colored clothing + hat, sunglasses can help you #BeatTheHeat. Don’t forget sunscreen for kids &amp;amp; adults!</t>
  </si>
  <si>
    <t>RT @nyc311: If you need heat relief #CoolingCenters are open. Find online: https://t.co/FahxGELmLh   or text 311-692. Call ahead to confirm…</t>
  </si>
  <si>
    <t>RT @nycgob: Aspirantes a #bomberos aprendiendo ayer en la Fiesta comunitaria del @FDNY en #Inwood. @joinFDNY #FDNYfit https://t.co/gwC8GKyn…</t>
  </si>
  <si>
    <t>RT @nycgob: Fotos de la Fiesta comunitaria del @FDNY hoy en #Inwood. #Engine95 #Ladder36 https://t.co/s3Cmeq7QZa</t>
  </si>
  <si>
    <t>RT @nycgob: Gracias al @FDNY por ayudar a refrescarnos hoy en #SharedStreets #ParkRow! @DowntownNYC https://t.co/GVU4J5UxtL @SummerStreets</t>
  </si>
  <si>
    <t>RT @SummerStreets: Thanks @FDNY for helping us keep cool at #SharedStreets #ParkRow! @DowntownNYC https://t.co/XeZyNb46Ak</t>
  </si>
  <si>
    <t>RT @nycgob: ¡Ahorra agua! Cuídate del calor solicitando una tapa de aspersión para hidrantes en tu cuartel local de #bomberos. #BeatTheHeat…</t>
  </si>
  <si>
    <t>RT @joinFDNY: Aspiring #FDNY FFers are learning more about the job today as part of today's Block Party in #Inwood. #FDNYfit https://t.co/j…</t>
  </si>
  <si>
    <t>Air conditioners should be plugged directly into the wall outlet. Do not use an extension cord for your AC #BeatTheHeat</t>
  </si>
  <si>
    <t>Today's #FDNY Block Party in #Inwood features Mobile #CPR training, food, games, music, camaraderie and much more. https://t.co/jktJs9AHUq</t>
  </si>
  <si>
    <t>Kids at today's #FDNY Block Party in #Inwood are using a fire hydrant spray cap to help #BeatTheHeat. Great job! https://t.co/ka3LpwLU6I</t>
  </si>
  <si>
    <t>Improper opening of fire hydrants wastes 1k gallons of water per minute &amp;amp; hampers Firefighters’ ability to fight fires safely &amp;amp; quickly</t>
  </si>
  <si>
    <t>#FDNY Comm Nigro and COD Leonard celebrate today's Block Party w/ FFers from #Engine95 &amp;amp; #Ladder36 in #Inwood. https://t.co/9xUCdDXt4b</t>
  </si>
  <si>
    <t>We're enjoying summer fun with the #Inwood community today at #Engine95 &amp;amp; #Ladder36, 29 Vermilyea Ave. Join Us! https://t.co/b3xykpylzz</t>
  </si>
  <si>
    <t>The #FDNY Block Party in #Inwood is under way! Come by #Engine95 and #Ladder36, 29 Vermilyea Ave TODAY until 4 p.m. https://t.co/EvttYMqTEb</t>
  </si>
  <si>
    <t>RT @NotifyNYC: Air Quality Health Advisory until 11:00 PM tonight, 8/13. Info: https://t.co/5y9Lwzd2gQ. https://t.co/PefNUSKD4R.</t>
  </si>
  <si>
    <t>RT @NotifyNYC: .@ConEdison asking customers in Brooklyn to conserve energy while crews make repairs. Report outages 1-800-75-CONED. https:/…</t>
  </si>
  <si>
    <t>Check on vulnerable neighbors to make sure they are safe &amp;amp; cool. Follow @NYC311 for cooling center info #BeatTheHeat</t>
  </si>
  <si>
    <t>Kids &amp;amp; adults - stay alert &amp;amp; be mindful of traffic if using a fire hydrant spray cap to #BeatTheHeat in the street</t>
  </si>
  <si>
    <t>#BeatTheHeat by visiting your local firehouse &amp;amp; requesting a fire hydrant spray cap. You must be 18 yrs of age &amp;amp; show ID</t>
  </si>
  <si>
    <t>Our #FDNY Block Party in #Inwood is TODAY! Kids &amp;amp; adults welcome at #Engine95 &amp;amp; #Ladder36, 29 Vermilyea Ave 11am-4pm https://t.co/QHqTKNyUul</t>
  </si>
  <si>
    <t>Meet the members who keep NYC safe TOMORROW in #Inwood at the #FDNY Block Party at #Engine95 &amp;amp; #Ladder36, 29 Vermilyea Ave from 11am-4pm</t>
  </si>
  <si>
    <t>Fire hydrant spray caps are a safe &amp;amp; fun way to #BeatTheHeat but don’t open the hydrant yourself. Visit a local firehouse to request a cap</t>
  </si>
  <si>
    <t>#BeatTheHeat by wearing loose, lightweight, light-colored clothing + a hat &amp;amp; sunglasses. Don't forget to apply sunscreen regularly</t>
  </si>
  <si>
    <t>#FireMarshals: accidental electrical fire as a result of overheated wiring in the walls of the location  https://t.co/fuZjxXB4Lo</t>
  </si>
  <si>
    <t>RT @nycoem: .@FDNY Commissioner Nigro on open fire hydrants: improper opening of hydrants wastes gallons of water. Get a spray cap. #BeatTh…</t>
  </si>
  <si>
    <t>The #FDNY Block Party in #Inwood is TOMORROW! Visit #Engine95 &amp;amp; #Ladder36, 29 Vermilyea Ave from 11am-4pm https://t.co/6BHqDTi3pB</t>
  </si>
  <si>
    <t>RT @NYBloodCenter: _l__d d_n_rs needed ! Ple_se...c_me s_ve lives with us. https://t.co/6mz9VZF1mD</t>
  </si>
  <si>
    <t>When you sweat more, you lose more water. #BeatTheHeat w/ 6-8 glasses of liquid a day, more if you're active. Keep kids hydrated too</t>
  </si>
  <si>
    <t>RT @NYPDPSA9: Thanks @FDNY for teaching our children about fire safety @TheFloatingHosp Back 2 School Event #Queensbridge Park https://t.co…</t>
  </si>
  <si>
    <t>RT @nycoem: Cooling centers will be open with extended hours Friday-Sunday. For locations, visit https://t.co/1YlBqQIwK3 or call @nyc311. #…</t>
  </si>
  <si>
    <t>Bring your family &amp;amp; friends to the 8/13 #FDNY Block Party! #Engine95 &amp;amp; #Ladder36, 29 Vermilyea Ave #Inwood 11am-4pm https://t.co/ZVVdtkVZe8</t>
  </si>
  <si>
    <t>#GetAlarmedNYC w/ @redcrossny at #FDNY Block Party on 8/13. #Engine95 &amp;amp; #Ladder36, 29 Vermilyea Ave #Inwood 11am-4pm https://t.co/cUUMuecjEY</t>
  </si>
  <si>
    <t>@lauren_beebe That was Ladder Company 24. Thank you for the kind offer, but really not necessary. We're just happy you're safe.</t>
  </si>
  <si>
    <t>#FDNY #tbt from 8/11/66 - auto transport trailer fire on the LIE &amp;amp; Woodhaven Blvd. See more https://t.co/VRurRX6fVo https://t.co/AfYLV4GBK3</t>
  </si>
  <si>
    <t>#FireMarshals: Fire @ 261 E202 St, BX is electrical fire, started in a bedroom air conditioner. 1 critical injury. No working smoke alarm</t>
  </si>
  <si>
    <t>RT @joinFDNY: Check out more photos from today's @nycyouth special visit to "The Rock" in #NYC: https://t.co/JWL7468aNC. #FDNYfit https://t…</t>
  </si>
  <si>
    <t>Smokers are 7x more likely than nonsmokers to be fire victims. Be #FDNYSmart &amp;amp; NEVER smoke around the storage or use of an oxygen tank</t>
  </si>
  <si>
    <t>RT @joinFDNY: Under the leadership of #FDNY #Firefighters, members of @NYCYouth are learning about the best job in the world. https://t.co/…</t>
  </si>
  <si>
    <t>RT @joinFDNY: Today's @NYCYouth visit to the #FDNY Fire Academy on #RandallsIsland also features Mobile CPR Training sessions. https://t.co…</t>
  </si>
  <si>
    <t>RT @HotDogFDNY: Hot Dog is warning kids to stay away from playing with Fire.  Read more here:https://t.co/hqVkPO8mC4</t>
  </si>
  <si>
    <t>RT @joinFDNY: As part of today's FFer for a Day Event at "The Rock," @NYCYouth members are training with NY's Bravest. #FDNYfit https://t.c…</t>
  </si>
  <si>
    <t>Remember on every call how truly important you are to this city and to our Department -#FDNY COD Leonard, EMS Officers promo ceremony</t>
  </si>
  <si>
    <t>The compassion &amp;amp; professionalism you’ve demonstrated has raised the bar for what we do as a Dept -#FDNY Comm, EMS Officers promo ceremony</t>
  </si>
  <si>
    <t>Together, the newly promoted members represent 330 years of experience with the #FDNY</t>
  </si>
  <si>
    <t>Today #FDNY Commissioner Nigro promotes 27 #FDNY Paramedics to the rank of Lieutenant at the FDNY Training Academy on #RandallsIsland</t>
  </si>
  <si>
    <t>RT @joinFDNY: Aspiring #FDNY FFers in @NYCYouth are checking in and meeting New York's Bravest as part of a FFer for a Day Event. https://t…</t>
  </si>
  <si>
    <t>RT @NYCYouth: #SYEP and #YAIP teens getting ready for a car fire training with @FDNY https://t.co/94Il5Q3YvQ</t>
  </si>
  <si>
    <t>Learn CPR for FREE at our #FDNY Block Party on 8/13 at #Engine95 &amp;amp; #Ladder36, 29 Vermilyea Ave #Inwood, 11am-4pm https://t.co/Jv07IZE7Ce</t>
  </si>
  <si>
    <t>#FireMarshals: 4 alarm fire @ 636 E235 St in #Bronx today caused by children playing with fire on a stovetop. https://t.co/swsxO6nvhU</t>
  </si>
  <si>
    <t>Commissioner Nigro &amp;amp; Chief Leonard brief @BilldeBlasio on critically injured #Firefighters in the #Bronx https://t.co/S4pIULgOnF</t>
  </si>
  <si>
    <t>Don't overload surge protectors, &amp;amp; don't rely on them too heavily. Be #FDNYSmart w/ safety tips at https://t.co/VoFt3qMjRH</t>
  </si>
  <si>
    <t>Join us on 8/13 at the #FDNY Block Party in #Inwood! Come by #Engine95 &amp;amp; #Ladder36, 29 Vermilyea Ave, 11am-4pm https://t.co/R76FHchUsL</t>
  </si>
  <si>
    <t>Save the date! 8/13 is our #FDNY Block Party in #Inwood! Come by #Engine95 &amp;amp; #Ladder36, 29 Vermilyea Ave, 11am-4pm https://t.co/9HnJsgTNeC</t>
  </si>
  <si>
    <t>Today #FDNY Hispanic Society members marched in the Ecuadorian Day Parade in #Queens. https://t.co/wRH1L9Xlbx</t>
  </si>
  <si>
    <t>Congrats to the #FDNY United DBRT for competing in Day 2 of the Hong Kong Dragon Boat Festival at #FMPC in #Queens. https://t.co/rpFipv7LvU</t>
  </si>
  <si>
    <t>Air conditioners should be plugged directly into the wall outlet. Be #FDNYSmart, do not use an extension cord or power strip for your AC</t>
  </si>
  <si>
    <t>Fire hydrant spray caps are a safe &amp;amp; fun way to cool down, but don't open the hydrant yourself. Visit a local firehouse to request a cap</t>
  </si>
  <si>
    <t>RT @joinFDNY: #FDNY #FFCMP Mentors and Mentees are celebrating the conclusion of another successful Annual Day in the Park. https://t.co/zA…</t>
  </si>
  <si>
    <t>The #FDNY United DBRT won second place in the Municipal Race at the Hong Kong Dragon Boat Festival today at #FMPC. https://t.co/8gYb1rB7k7</t>
  </si>
  <si>
    <t>RT @joinFDNY: As part of today's #FFCMP Day in the Park, Mentees are training w/ their Mentors at a Mobile Academy Event. #FDNYfit https://…</t>
  </si>
  <si>
    <t>#GetAlarmedNYC w/ @redcrossny &amp;amp; FREE smoke/CO alarm giveaway &amp;amp; installation events. Find yours by calling @nyc311 https://t.co/uSZnDI6YLy</t>
  </si>
  <si>
    <t>RT @joinFDNY: #FDNY FDC Robert R. Turner II and his grandson, Kyle, enjoy summer fun with the #FFCMP Mentors and Mentees. https://t.co/WkFj…</t>
  </si>
  <si>
    <t>RT @joinFDNY: #FDNY Comm Daniel A. Nigro welcomes attendees to the FF Candidate Mentorship Program's 3rd Annual Day in the Park. https://t.…</t>
  </si>
  <si>
    <t>RT @joinFDNY: The 3rd Annual Mentor-Mentee Day in the Park features tons of great food and activities for Mentees &amp;amp; their kids. https://t.c…</t>
  </si>
  <si>
    <t>RT @joinFDNY: #FDNY COD James E. Leonard is all smiles with #FFCMP Mentors at the program's Third Annual Day in the Park in #NYC. https://t…</t>
  </si>
  <si>
    <t>RT @joinFDNY: The 3rd Annual #FFCMP Mentor-Mentee Day in the Park is underway. #Engine235 FF Deon Abrams is on the 1s and 2s. https://t.co/…</t>
  </si>
  <si>
    <t>#FDNY Mobile CPR Unit is at @NYPD30Pct Health Fair giving FREE CPR classes TODAY! Join us at 137th St btwn Broadway &amp;amp; Riverside Dr, noon-4pm</t>
  </si>
  <si>
    <t>RT @SummerStreets: Once again #CitiSummerStreets offers #bikenyc events every Sat! Learn to ride, free rentals: https://t.co/sf4oGtjHCb htt…</t>
  </si>
  <si>
    <t>RT @SummerStreets: Run with Team @Citi &amp;amp; the @Mets at #CitiSummerStreets’ #AstorRestStop during week #1 &amp;amp; meet an @Olympics athlete! https:…</t>
  </si>
  <si>
    <t>RT @NYCParks: .@SummerStreets kicks off on Aug 6! Nearly 7 miles of streets from Brooklyn Bridge to Central Park will be car-free! https://…</t>
  </si>
  <si>
    <t>RT @nycgob: El transformador que estalló en llamas en Centre/White St, MN, ya está bajo control. Gracias, @FDNY y @NYPDnews! https://t.co/n…</t>
  </si>
  <si>
    <t>RT @nycgob: Enseñe a los niños que NUNCA está bien que jueguen con fuego. Vea los consejos de @FDNY en: https://t.co/72HDQJ74Db #FDNYSmart</t>
  </si>
  <si>
    <t>RT @nycoem: You may wait for a bus (or your laundry), but don't wait to #knowyourzone &amp;amp; make a plan: https://t.co/BdwQJVJ3HB. https://t.co/…</t>
  </si>
  <si>
    <t>RT @nyc311: It's still hurricane season in NYC. #KnowYourZone. Know what to do. Preparedness tips from @nycoem:  https://t.co/ogeMsTvABL</t>
  </si>
  <si>
    <t>RT @FDNYPro: Rescue Medics coordinate tactics at fire. More #FDNY EMS photos in the latest mag https://t.co/jrPBWJuTFQ https://t.co/LNA2Rx1…</t>
  </si>
  <si>
    <t>RT @FDNYPro: Sneak peak at the next #FDNY Pro mag due out in Sept. Not subscriber yet? Learn more at https://t.co/iiSMTnx6U9 https://t.co/3…</t>
  </si>
  <si>
    <t>RT @nycgob: Fotos del incendio de 5 alarmas anoche en 43-34 37 St #Queens. Manténgase al día con @FDNYAlerts: https://t.co/c51RZXgxni @FDNY</t>
  </si>
  <si>
    <t>RT @nycgob: El @FDNY enfrentando un incendio el 4 de agosto de 1968 en E 157 St/3rd Ave #ElBronx. https://t.co/XbKDcU75cp https://t.co/GXbu…</t>
  </si>
  <si>
    <t>RT @FDNYPro: Have you heard? The #FDNY Pro podcast is a great resource for Fire and EMS personnel https://t.co/NDPIletSQs https://t.co/fPgS…</t>
  </si>
  <si>
    <t>RT @nycgob: ¿Peligrosa una llamita tan insignificante? ¡Sí! Consejos del @FDNY para evitar incendios al usar #velas: https://t.co/W0kRKy3y8…</t>
  </si>
  <si>
    <t>Teach kids that playing with fire is NEVER okay. Read our #FDNYSmart tips at https://t.co/Es7EkEZPtC https://t.co/4qnjZ8AqhZ</t>
  </si>
  <si>
    <t>RT @FDNYPro: Subscribers-- Read how the Standard Oil Plant fire threatened both Brooklyn and Queens https://t.co/t7PbgtlRnA https://t.co/Ao…</t>
  </si>
  <si>
    <t>RT @cmomNYC: Thank you NYC Fire Department for checking on us yesterday, especially 83rd Street’s own Engine 74! @FDNY https://t.co/kutI83u…</t>
  </si>
  <si>
    <t>RT @joinFDNY: Share this news! The @NYCDCAS promotion to #FDNY FFer exam filing period is open. Apply: https://t.co/0wewPDdDkT. https://t.c…</t>
  </si>
  <si>
    <t>RT @USCG_NYC: Thank you for the escort into #NYC  @FDNY #CGStationNY #CGCEagle #cheersUSCG https://t.co/XaWT0lwUEV</t>
  </si>
  <si>
    <t>RT @FDNYPro: The #FDNY Pro podcast is also online at https://t.co/NDPIletSQs https://t.co/U7Wddn1Imo</t>
  </si>
  <si>
    <t>RT @nycgob: 4 lesiones leves en incendio de 5 alarmas anoche en 43-34 37 St #Queens. https://t.co/widFl2poIO @FDNY</t>
  </si>
  <si>
    <t>RT @nycgob: El @FDNY anoche en el incendio de 43-34 37 St #Queens. Para info, siga a @FDNYAlerts: https://t.co/VN211HuCYT</t>
  </si>
  <si>
    <t>RT @nycgob: Las alarmas de humo salvan vidas. Obtenga la suya con #GetAlarmedNYC y @redcrossny llamando a @nyc311. https://t.co/OkgRcEVfO8…</t>
  </si>
  <si>
    <t>Today's #FDNY #tbt photo is from this day in 1968, at E. 157 St &amp;amp; 3rd Ave #Bronx. See more https://t.co/CXAQ2Tbrgg https://t.co/oFLDYrOfEH</t>
  </si>
  <si>
    <t>RT @FDNYPro: Catch up on (and subscribe for free!) to the #FDNY Pro podcast. 4 episodes are now available. Find in podcast app... https://t…</t>
  </si>
  <si>
    <t>RT @FDNYAlerts: QNS 5-ALARM 43-34 37 ST, COMMERCIAL FIRE ON THE 1ST FLR, UNDER CONTROL</t>
  </si>
  <si>
    <t>4 minor injuries to #FDNY Firefighters reported at 5-alarm fire at 43-34 37 St #Queens https://t.co/vBJisN5YGO</t>
  </si>
  <si>
    <t>#FDNY members continue to operate at 5-alarm fire at 43-34 37 St #Queens. Follow @FDNYAlerts for auto updates https://t.co/J7jBqB51I7</t>
  </si>
  <si>
    <t>RT @FDNYAlerts: QNS 5-ALARM 43-34 37 ST, COMMERCIAL FIRE ON THE 1ST FLR,</t>
  </si>
  <si>
    <t>@MetroPhotoPete all photos can be used w/ credit given to @FDNY</t>
  </si>
  <si>
    <t>RT @FDNYAlerts: QNS 4-ALARM 43-34 37 ST, COMMERCIAL FIRE ON THE 1ST FLR,</t>
  </si>
  <si>
    <t>No injuries to report at 4-alarm Fire at 43-34 37 St #Queens. Follow @FDNYalerts for auto updates https://t.co/kyfYTBXu9T</t>
  </si>
  <si>
    <t>#FDNY members on scene of 3-alarm fire at 43-34 37 St #Queens. Follow @FDNYalerts for info https://t.co/2tyikhMFWR</t>
  </si>
  <si>
    <t>RT @nycgob: Comisarios de @FDNY: El incendio de ayer en 5421 Snyder Av #Brooklyn fue accidental, un problema eléctrico. Había alarmas funci…</t>
  </si>
  <si>
    <t>RT @joinFDNY: Today's @unitedwomenffs training at the @NYSC also marked the opening of the group's new FF training location. #FDNY https://…</t>
  </si>
  <si>
    <t>RT @joinFDNY: Women from around #NYC are learning more about serving as a #FDNY FFer today during the @unitedwomenffs training. https://t.c…</t>
  </si>
  <si>
    <t>RT @joinFDNY: Today's @unitedwomenffs training at the @NYSC featured a challenging PT session for aspiring #FDNY #Firefighters. https://t.c…</t>
  </si>
  <si>
    <t>RT @joinFDNY: With help from NY's Bravest women, #FDNY FFer hopefuls are learning more about the job with the @unitedwomenffs. https://t.co…</t>
  </si>
  <si>
    <t>RT @joinFDNY: Young women in #NYC who aspire to become one of New York's Bravest are training with the @unitedwomenffs today. https://t.co/…</t>
  </si>
  <si>
    <t>#FDNY Lt William “Pop” Marsh served in FDNY from 1954-1978, primarily assigned to #Engine15 on the #LowerEastSide https://t.co/MRK5qw6SGC</t>
  </si>
  <si>
    <t>Intersection of Richard Ave &amp;amp; Hylan Blvd #OnStatenIsland to be named William “Pop” Marsh Avenue</t>
  </si>
  <si>
    <t>Today Mayor @BilldeBlasio signs bill intro’d by @JoeBorelliNYC renaming intersection #OnStatenIsland after #NYCBravest</t>
  </si>
  <si>
    <t>Smoke alarms save lives. New Yorkers can #GetAlarmedNYC w/ @redcrossny by calling @nyc311 https://t.co/0UdmC75mrJ</t>
  </si>
  <si>
    <t>#FDNY Fire Marshals: Cause of 8/2 3rd alarm at 5421 Snyder Ave #Brooklyn was accidental, electrical. Smoke alarms present &amp;amp; operational</t>
  </si>
  <si>
    <t>RT @FDNYPro: #FDNY Rescue Medics participate in water ops safety training. See more in the Photo Reporter https://t.co/jrPBWJdihg https://t…</t>
  </si>
  <si>
    <t>RT @mayorsCAU: Great time @ National Night Out w @NYPD32Pct @nycoem @FDNY @NYCWater . Thank you for having us https://t.co/pFYwPtXWrA</t>
  </si>
  <si>
    <t>RT @BrooklynCB12: Our own @FDNY Engine 282 hanging out with the kids at the @NYPD66Pct National Night Out celebration #NewYorksBravest http…</t>
  </si>
  <si>
    <t>RT @joinFDNY: Meet #FDNY #EMTs Eric Feng and Eyisett Patino tonight at the @NYPD114Pct #NationalNightOut in #Queens. #NNO2016 https://t.co/…</t>
  </si>
  <si>
    <t>RT @NYPD113Pct: Thank You @FDNY for filling the Dunk Tank 4 #NNO2016 in Baisley Pond Park. https://t.co/EzQQT93Ztw</t>
  </si>
  <si>
    <t>RT @nycoem: Special thanks to @nycHealthy, @FDNY, @NYCWater &amp;amp; @Salamancajr80 for making today's mobile office possible! https://t.co/CDWVTs…</t>
  </si>
  <si>
    <t>RT @NYPDnews: #TONIGHT: National Night Against Crime at 70+ locations throughout NYC. Find your location by following your local precinct.…</t>
  </si>
  <si>
    <t>RT @HotDogFDNY: Celebrate #NationalColoringBookDay while learning to be #FDNYSmart!  Have some fun with our e-coloring book here : https://…</t>
  </si>
  <si>
    <t>RT @nycoem: Historically, the greatest potential for hurricanes in NYC occurs from August through October. Do you #knowyourzone? https://t.…</t>
  </si>
  <si>
    <t>@opheliacat thank you! We've fixed the link</t>
  </si>
  <si>
    <t>Today #FDNY remembers one of the worst tragedies in Dept history. Read more https://t.co/fd3T2Vz8VU #NeverForget https://t.co/y0Y8lvKF8X</t>
  </si>
  <si>
    <t>RT @FDNYPro: No games here. Learn how @FDNY is ensuring safe vehicle operations #VisionZero https://t.co/jrPBWJuTFQ https://t.co/4jIVMB6Kxb</t>
  </si>
  <si>
    <t>RT @FDNYPro: @FDNY Mobile CPR Training is empowering New Yorkers. Learn more in the magazine https://t.co/jrPBWJuTFQ https://t.co/VY51075dI2</t>
  </si>
  <si>
    <t>RT @nycgob: El @FDNY rescató a una persona caída mientras laboraba en el techo del estadio Ashe: https://t.co/Myb8P7cOA6 https://t.co/Y37H0…</t>
  </si>
  <si>
    <t>RT @FDNYPro: Active shooter events challenge first responders. Prepare. Learn more at https://t.co/jrPBWJuTFQ https://t.co/v8QtQhmpjz</t>
  </si>
  <si>
    <t>#FDNY members rescue patient who fell while working on Arthur Ashe Stadium roof. Read more https://t.co/xerw5CVtnq https://t.co/D61kX2ZzLs</t>
  </si>
  <si>
    <t>#FDNYTri team finishes strong at #BostonTri! Read more https://t.co/JmPpobCJOK https://t.co/gKWFm4CtyX</t>
  </si>
  <si>
    <t>RT @FDNYPro: Read the latest 'Learn From History' column by #FDNY Chief John (Jay) Jonas at https://t.co/eSJJo2pII9. https://t.co/HWuWs4s1fh</t>
  </si>
  <si>
    <t>RT @FDNYPro: The latest edition of #FDNY Pro EMS is available now! Check out what's inside at https://t.co/jrPBWJdihg https://t.co/xtCQgEmg…</t>
  </si>
  <si>
    <t>RT @FDNYPro: Get to know the mammoth METU! Learn more inside the pages of the latest #FDNY Pro EMS mag https://t.co/jrPBWJuTFQ https://t.co…</t>
  </si>
  <si>
    <t>RT @FDNYPro: Inside the latest edition of #FDNY Pro EMS https://t.co/jrPBWJuTFQ https://t.co/HwqM3Df3ko</t>
  </si>
  <si>
    <t>#FDNY Be 911 Teens Take Heart CPR teaches life-saving skills to NYC HS students. Learn more https://t.co/jRQTTvq2bc https://t.co/NCV3UEkjGI</t>
  </si>
  <si>
    <t>RT @nycHealthy: No matter what you call it, #K2 is dangerous. Know the health risks: https://t.co/WEdStJz2Ag https://t.co/aCloXw3wYQ</t>
  </si>
  <si>
    <t>RT @nycHealthy: Pregnant/trying to conceive? Don’t risk your baby’s health. Birth defects are a real risk. https://t.co/CeTxekKLXk https://…</t>
  </si>
  <si>
    <t>RT @nycgob: Conozca el Programa de educación de seguridad en #incendios del @FDNY y solicite una presentación en: https://t.co/AR5MoNd9BG #…</t>
  </si>
  <si>
    <t>Learn about the #FDNY Fire Safety Education Program &amp;amp; request an #FDNYSmart presentation at https://t.co/mY4MkffZf1</t>
  </si>
  <si>
    <t>RT @FDNYPro: #FDNY EMTs discuss acting while off-duty and why they have the backs of #NYPD. Podcast at https://t.co/eSJJo2pII9 https://t.co…</t>
  </si>
  <si>
    <t>RT @FasTracKidsBK: Special thank you to #Williamsburg FDNY Engine 221 Ladder 104 for a great field trip from … https://t.co/VgiIjMgD0T http…</t>
  </si>
  <si>
    <t>RT @FDNYPro: EMS attend to then- #FDNY Capt. Nick Visconti at an incident in the Bronx. Learn more at https://t.co/eSJJo2pII9 https://t.co/…</t>
  </si>
  <si>
    <t>RT @FDNYPro: Inside the 2nd/2016 Pro EMS issue: Two Decades of #FDNY EMS. Read the full story at https://t.co/eSJJo2pII9 https://t.co/RxafH…</t>
  </si>
  <si>
    <t>RT @FDNYPro: Latest issue of Pro EMS is now available at https://t.co/eSJJo2pII9. Produced by members of #FDNY. https://t.co/qhSAAvY0d1</t>
  </si>
  <si>
    <t>RT @joinFDNY: #FDNY EMTs Chelsea Berry and June Straughn educated the youth about FDNY career paths today at @Mercy_First in #BK. https://t…</t>
  </si>
  <si>
    <t>RT @FDNYPro: Your subscription to #FDNY Pro gives you access to the digital archives of WNYF, sign up at https://t.co/iiSMTnx6U9 https://t.…</t>
  </si>
  <si>
    <t>RT @theFDNYShop: Enjoy 20% off code for  supporting @FDNYFoundation &amp;amp; @FDNY. Use code THANKYOU20➡https://t.co/SQVcSHaitm #thankyou https://…</t>
  </si>
  <si>
    <t>RT @nycgob: Nadie debe jugar con fuego. @FDNY enseña a los niños seguridad en incendios #gratis en: https://t.co/MfGkxYspfs @nyc311</t>
  </si>
  <si>
    <t>RT @nycgob: Refréscate solicitando una tapa aspersora en tu cuartel local del @FDNY: https://t.co/Zdj3IM12oa https://t.co/WE3q1VmSvQ @nyc311</t>
  </si>
  <si>
    <t>RT @nycgob: .@NYCDDC participó ayer en el inicio de obras del cuartel de la Unidad de rescate 2 del @FDNY en #Brownsville! https://t.co/DeY…</t>
  </si>
  <si>
    <t>Please call @nyc311 to report a running or leaking hydrant  https://t.co/i3jgqaoAC6</t>
  </si>
  <si>
    <t>RT @nycgob: El @FDNY inició hoy las obras de su nuevo cuartel para la Unidad de rescate 2 en #Brooklyn: https://t.co/G67QqnoWeF</t>
  </si>
  <si>
    <t>RT @nycgob: Aspirantes a #bomberos de @BroSis512 aprendiendo a extinguir incendios de autos en la Academia del @FDNY. https://t.co/rYmw7pap…</t>
  </si>
  <si>
    <t>RT @nycgob: El @FDNY enfrentando un #incendio el 28 de julio de 1977 en Convent Ave/128 St #Harlem. https://t.co/mDXdkTGPJy https://t.co/Sx…</t>
  </si>
  <si>
    <t>Read more about the plans for the future home of #Rescue2 at https://t.co/Zc1li2m0y3 https://t.co/c7dDsF1bJl</t>
  </si>
  <si>
    <t>RT @joinFDNY: Come train with New York's Bravest women on Aug. 3 at this exciting @unitedwomenffs event at the @NYSC by #CityHall. https://…</t>
  </si>
  <si>
    <t>RT @nyc311: Playing with fire is a no-no for everyone. @FDNY’s Fire Zone Learning Center teaches kids #firesafety for #free: https://t.co/0…</t>
  </si>
  <si>
    <t>RT @nycgob: Conoce las distintas maneras de entrenarte como #bombero o EMS en: https://t.co/xbKzX8P4cr @FDNY https://t.co/7mTE8Itorq @FDNYP…</t>
  </si>
  <si>
    <t>RT @BPEricAdams: With @FDNY Rescue 2's new home, we're making #OceanHill a #safer place to raise healthy children and families. https://t.c…</t>
  </si>
  <si>
    <t>Shovels are in the ground at the ceremony for the new firehouse to be built in #Brooklyn for #FDNY #Rescue2 https://t.co/WIWtMeqfEF</t>
  </si>
  <si>
    <t>RT @BPEricAdams: I'm excited to break ground with @FDNY on a new home for Rescue 2 in #OceanHill. #NewYorksBravest deserve the best. https:…</t>
  </si>
  <si>
    <t>The design aims to reduce carbon emissions, conserve water &amp;amp; contribute to a healthy urban environment - @nycddc Commissioner Dr. Peña-Mora</t>
  </si>
  <si>
    <t>RT @redcrossny: Thank you to our partners at @FDNY who've worked though grueling conditions these past few days to help keep NYers safe! #H…</t>
  </si>
  <si>
    <t>This is a great day for the Dept &amp;amp; for every single person who lives in #Brooklyn, or will live here in the future -#FDNY COD Leonard</t>
  </si>
  <si>
    <t>RT @NYCDDC: We're here at the groundbreaking for @FDNY Rescue 2 in Brownsville! https://t.co/XmeLrl1uK2</t>
  </si>
  <si>
    <t>This firehouse will be even more than a home for the FFers in #Rescue2, in many ways it will be a 21k sq ft training ground -FDNY Comm Nigro</t>
  </si>
  <si>
    <t>RT @NYCParks: It's hot out. Find cool ways to #BeatTheHeat at the park: https://t.co/seJ4rBWIFl https://t.co/jrEaKFAEA0</t>
  </si>
  <si>
    <t>RT @nycoem: NYC cooling centers are open today, &amp;amp; @NYCParks public pools &amp;amp; beaches are open, too! https://t.co/Y3OItIRidq https://t.co/bfup…</t>
  </si>
  <si>
    <t>RT @nyc311: #CoolingCenters open today. Find one: https://t.co/FahxGELmLh  or text 311-692. Be sure to call ahead. #BeatTheHeat https://t.c…</t>
  </si>
  <si>
    <t>RT @nyc311: Cool down by asking your local @FDNY  firehouse for a recreational hydrant spray cap: https://t.co/z8RIYNT8M2 https://t.co/FvkP…</t>
  </si>
  <si>
    <t>Today #FDNY is breaking ground on a new firehouse for #Rescue2 in #Brooklyn https://t.co/gERsPyoHVp</t>
  </si>
  <si>
    <t>Per #FDNY Fire Marshals: Cause of 7/28 all-hands fire at 3604 Broadway #Manhattan was accidental, electrical https://t.co/NMY1f9cMy8</t>
  </si>
  <si>
    <t>RT @nycgob: Las alarmas de humo ayudaron a avisar a 12 personas de incendio en 18-11 College Pt Blvd. Consígalas llamando al 311. #GetAlarm…</t>
  </si>
  <si>
    <t>Today's #FDNY #tbt photo from 7/28/77, a 2nd alarm at Convent Ave &amp;amp; 128 St #Harlem. See more https://t.co/GhbLbLTsQU https://t.co/MOHXWsgAKr</t>
  </si>
  <si>
    <t>RT @FDNYPro: 2nd ed. of #FDNY Pro EMS is coming out real soon! Sign up at https://t.co/iiSMTnx6U9. In depth look at #FDNYEMS20 https://t.co…</t>
  </si>
  <si>
    <t>RT @FDNYPro: Whether serving as Fire and/or EMS, learn more about ways to train with us at https://t.co/iiSMTnx6U9 #FDNY https://t.co/xmhLM…</t>
  </si>
  <si>
    <t>RT @nycgob: Comisarios de @FDNY: El incendio del 22/7 en 18-11 College Pt Blvd #Queens fue accidental, descuido al fumar.</t>
  </si>
  <si>
    <t>Thank you @Mets @Smatz88 for welcoming #FDNY members from #Station50 #Engine274 #Battalion52 for #Tru32 #LGM https://t.co/wR6j65RFK2</t>
  </si>
  <si>
    <t>RT @joinFDNY: Aspiring #NYC FFers from @BroSis512 are spending time with NY's Bravest today during a special visit at "The Rock." https://t…</t>
  </si>
  <si>
    <t>RT @NYC_Buildings: Stuck in an elevator? Don’t try to escape. Just ring the alarm and wait for @FDNY to arrive. Stay Safe. Stay Put. https:…</t>
  </si>
  <si>
    <t>RT @nyc311: Report running hydrants online: https://t.co/KKJYSJeoP7 or weekdays DM us &amp;amp; we’ll file. Request #FDNY spraycap: https://t.co/v1…</t>
  </si>
  <si>
    <t>RT @joinFDNY: #FDNY FFers are teaching FF hopefuls from @BroSis512 in #Harlem about the best job in the world. #FDNYfit https://t.co/fS98YY…</t>
  </si>
  <si>
    <t>RT @joinFDNY: As part of today's training at "The Rock" in #NYC, members of @BroSis512 are rappelling off a six-story building. https://t.c…</t>
  </si>
  <si>
    <t>RT @joinFDNY: Members of @BroSis512 are training with New York's Bravest today at the #FDNY Fire Academy on #RandallsIsland. https://t.co/R…</t>
  </si>
  <si>
    <t>RT @joinFDNY: Aspiring #FDNY FFers from @BroSis512 are learning how to extinguish a car fire at the Fire Academy in #NYC. https://t.co/y0xz…</t>
  </si>
  <si>
    <t>Smoke alarms helped alert 12 ppl to safely escape from 3 buildings in 7/22 5th alarm, 18-11 College Pt Blvd. Call @nyc311 &amp;amp; #GetAlarmedNYC</t>
  </si>
  <si>
    <t>RT @nycgob: Venza al calor y ahorre agua con tapas aspersoras para #hidrantes: https://t.co/QLayQsOU5z https://t.co/jasdPC0Lay @nyc311 #Bea…</t>
  </si>
  <si>
    <t>#GetAlarmedNYC w/ @redcrossny &amp;amp; FREE smoke/CO alarm giveaway &amp;amp; installation events. Find yours by calling @nyc311 https://t.co/uD5em0JqBz</t>
  </si>
  <si>
    <t>#FDNY credits working smoke alarms for helping everyone get out safely in 7/22 5th alarm at 18-11 College Pt Blvd #Queens</t>
  </si>
  <si>
    <t>Per #FDNY Fire Marshals: Cause of 7/22 5th alarm at 18-11 College Pt Blvd #Queens was accidental, careless discard of smoking materials</t>
  </si>
  <si>
    <t>RT @SirenFDNY: Check out how @HotDogFDNY and I are staying #FDNYSmart and Water Safe in my latest blog post!  https://t.co/GyZrR1zZlL</t>
  </si>
  <si>
    <t>RT @nycoem: Reminder to New Yorkers looking to #BeatTheHeat: NYC cooling centers are open through Thursday. Info: https://t.co/1YlBqQIwK3 /…</t>
  </si>
  <si>
    <t>RT @nycgob: Comisarios del @FDNY: El incendio del 23/7 en 1420 Waters Place #ElBronx fue accidental, descuido al fumar.</t>
  </si>
  <si>
    <t>RT @nycHealthy: The elderly and the very young are at greater risk of heat illness. How to prevent it: https://t.co/teXe1UboOO https://t.co…</t>
  </si>
  <si>
    <t>RT @nycoem: Pets are affected by extreme heat, too! Make sure you keep these family members safe. #BeatTheHeat https://t.co/sioJk3ZGR0</t>
  </si>
  <si>
    <t>RT @nycoem: NYC cooling centers will remain open until Thursday, July 28, for those seeking relief from the heat: https://t.co/Bf28BnIgkV #…</t>
  </si>
  <si>
    <t>#FDNY Mobile CPR Unit Pop-up at FDNY EMS #Station35! Visit 332 Metropolitan Ave #Brooklyn until 6pm for a FREE class https://t.co/Fq8dPI5F0Z</t>
  </si>
  <si>
    <t>To learn more about free CPR classes, and to register, visit https://t.co/hieGRhEAzY https://t.co/gqC84BXAzF</t>
  </si>
  <si>
    <t>Per #FDNY Fire Marshals: Cause of 7/23 fire at 1420 Waters Place #Bronx was accidental, careless smoking</t>
  </si>
  <si>
    <t>RT @nyc311: Be safe &amp;amp; smart in this heat. Request @FDNY spraycap for hydrant. #beatheheat #savewater: https://t.co/v1zMqU5WKJ https://t.co/…</t>
  </si>
  <si>
    <t>RT @nyc311: If you need heat relief, Cooling Centers are open today. Find online: https://t.co/FahxGELmLh or text 311-692. Call ahead to co…</t>
  </si>
  <si>
    <t>To report a leaking or open hydrant, please call @nyc311 https://t.co/b1xsBZ0tiq</t>
  </si>
  <si>
    <t>Take a FREE CPR class w/ FDNY Mobile CPR Unit! Gantry Plaza State Park, 48 Ave/Center Blvd #LongIslandCity until 1pm https://t.co/jyqddSNMe5</t>
  </si>
  <si>
    <t>RT @nycoem: When temperatures rise, get inside! NYC cooling centers are open today. #BeatTheHeat https://t.co/Jk0WJjkoKm</t>
  </si>
  <si>
    <t>#FDNY Mobile CPR Unit is giving FREE CPR classes TODAY at Gantry Plaza State Park, 48 Ave &amp;amp; Center Blvd #LongIslandCity until 1 pm</t>
  </si>
  <si>
    <t>RT @SirenFDNY: Be #FDNYSmart and learn the rules!  Tune in tomorrow to read my blog post on staying water safe! https://t.co/YBcQi4WX6P</t>
  </si>
  <si>
    <t>RT @nycgob: Vea las fotos de @FDNY en el Desfile del Día de la Independencia #Colombiana ayer en: https://t.co/yCaMo5ahGR https://t.co/M66g…</t>
  </si>
  <si>
    <t>RT @nycgob: Gracias a los asistentes de la Fiesta del @FDNY en #Brooklyn! Vea más fotos en: https://t.co/KKZP8vrH1f https://t.co/S4vjN74F2J…</t>
  </si>
  <si>
    <t>RT @NYPD33Pct: #Beattheheat with a spray cap from @FDNY https://t.co/SzC4HpUwKB, and report illegally opened hydrants to @nyc311 https://t.…</t>
  </si>
  <si>
    <t>Congrats #FDNY Triathlon Team, who won 1st place as a team in the First Responder category at yesterday's #NYCTri! https://t.co/30jNxW34B9</t>
  </si>
  <si>
    <t>RT @nyc311: Yes! Request firehouse spraycap: https://t.co/z8RIYNT8M2. File illlegally opened hydrant:  https://t.co/KKJYSJeoP7   https://t.…</t>
  </si>
  <si>
    <t>RT @NYPDnews: It’s a scorcher today! Here’s a few tips on how to #BeatTheHeat: https://t.co/V06SwHXtj1 https://t.co/HmVvujfpKE</t>
  </si>
  <si>
    <t>RT @nycgob: En NYC es ilegal abrir hidrantes. Repórtelo a @nyc311. Si desea una tapa aspersora para combatir el calor, pídala el @FDNY. @No…</t>
  </si>
  <si>
    <t>Thank you all for coming to our #FDNY Block Party in #Brooklyn! See more photos at https://t.co/ioywEz8Y8d https://t.co/OaLdT7EKjf</t>
  </si>
  <si>
    <t>Fire hydrant spray caps are a safe &amp;amp; fun way to #BeatTheHeat but don't open the hydrant yourself. Visit a local firehouse to request a cap</t>
  </si>
  <si>
    <t>RT @nycoem: NYC cooling centers are open today. Visit https://t.co/1YlBqQIwK3 or call @nyc311 for locations &amp;amp; hours of operation. #BeatTheH…</t>
  </si>
  <si>
    <t>RT @JulissaFerreras: Thank you @FDNY Hispanic Society for coming to my rescue when I gashed my foot before the Queens Colombian Parade! htt…</t>
  </si>
  <si>
    <t>See more photos from yesterday's Colombian Independence Day Parade at https://t.co/T9svaQ9KCa https://t.co/dTtBJDEFq3</t>
  </si>
  <si>
    <t>RT @nycgob: Aún faltan 3 fiestas comunitarias más del @FDNY este verano! Vea el calendario en: https://t.co/rcsL5UoKHh https://t.co/ptC3P6g…</t>
  </si>
  <si>
    <t>RT @nycgob: Al sudar se pierde más agua. #Venzaelcalor con 6-8 vasos de agua/día o más si tiene una vida activa. Mantenga a los niños hidra…</t>
  </si>
  <si>
    <t>RT @SirenFDNY: Drowning is a reality if you don't stay #FDNYSmart and water safe!  Check back tomorrow for more Smart Barks comics! https:/…</t>
  </si>
  <si>
    <t>There are still 3 more #FDNY Block Parties left this summer! See the schedule at https://t.co/bIqFyLecwi https://t.co/ArVene3voV</t>
  </si>
  <si>
    <t>You're welcome! Stopping by a firehouse to request a spray cap is a great way to #BeatTheHeat  https://t.co/Vdj5KTQpag</t>
  </si>
  <si>
    <t>RT @NYCWater: #Beattheheat with a spray cap from @FDNY https://t.co/dyEx088sTM, and report illegally opened hydrants to @nyc311 https://t.c…</t>
  </si>
  <si>
    <t>RT @NotifyNYC: .@FDNY fire hydrants w/o spray caps is illegal/dangerous. Adults can  obtain free spray caps @ firehouses. Report open fire…</t>
  </si>
  <si>
    <t>RT @nycgov: Stay cool NYC, and don't forget to check on all the 4-legged and furry NYers out there! 🐶 Call 311 or visit https://t.co/A9pGRg…</t>
  </si>
  <si>
    <t>Today #FDNY Hispanic Society members marched in the Colombian Independence Day Parade in #JacksonHeights https://t.co/kbClgr7ioF</t>
  </si>
  <si>
    <t>Please call @nyc311 to report leaking or open hydrants  https://t.co/TdeJ8mKjkB</t>
  </si>
  <si>
    <t>See you in #Inwood on 8/13! Block Party at #Engine95 &amp;amp; #Ladder36, 29 Vermilyea Ave 11am-4pm https://t.co/t4VeorsxPQ</t>
  </si>
  <si>
    <t>We had so much fun at today's #FDNY Block Party in #Brooklyn at #Engine231 &amp;amp; #Ladder120! We hope you did too! https://t.co/ssVuEKx1xk</t>
  </si>
  <si>
    <t>RT @joinFDNY: Aspiring #FDNY FFers learned about the duties of a #NYC FF as part today’s FDNY Block Party in #Brooklyn https://t.co/u9UdnvF…</t>
  </si>
  <si>
    <t>RT @joinFDNY: With help from veteran #FDNY FFers, #Brooklyn residents learned more about serving as one of New York’s Bravest https://t.co/…</t>
  </si>
  <si>
    <t>RT @joinFDNY: Aspiring #FDNY Firefighters trained at our Mobile Academy Event in #Brooklyn today as part of the FDNY Block Party https://t.…</t>
  </si>
  <si>
    <t>NYers - check in on those especially vulnerable in the heat - the elderly, very young &amp;amp; those w/ pre-existing medical conditions</t>
  </si>
  <si>
    <t>The #FDNY Block Party in #Brooklyn is wrapping up! We hope you had a blast meeting the members who keep NYC safe! https://t.co/XRDbPIu8qE</t>
  </si>
  <si>
    <t>If using a fire hydrant spray cap to #BeatTheHeat, remind kids to stay alert &amp;amp; be mindful of traffic</t>
  </si>
  <si>
    <t>RT @nycgov: Heat advisory NYC! Drink water, check on kids and the elderly, and drop by a cooling center. Call 311 or visit https://t.co/A9p…</t>
  </si>
  <si>
    <t>#FDNY Mobile CPR Unit is at 123-44 146 St #Queens until 3:30pm giving FREE compressions-only CPR classes! https://t.co/fNnOp1v5eG</t>
  </si>
  <si>
    <t>#FDNY welcomes SFC Veteran Josh Collins as he finishes #OperationPhoenix in NYC. Learn more https://t.co/Bm8VAuyr5K https://t.co/4s6afxqV7J</t>
  </si>
  <si>
    <t>RT @nycgob: Neoyorquino: Refréscate solicitando una tapa aspersora para hidrantes del @FDNY: https://t.co/BymIxGq5PL https://t.co/D2Iswr6lQ…</t>
  </si>
  <si>
    <t>You can learn CPR today for FREE w/ the #FDNY Mobile CPR Unit! Come by 123-44 146 St #Queens from noon-3:30pm</t>
  </si>
  <si>
    <t>Our #FDNY Block Party in #Brooklyn is TODAY! Come by #Engine231 &amp;amp; #Ladder120 at 107 Watkins St from 11am-4pm https://t.co/r4V3eNUvPs</t>
  </si>
  <si>
    <t>RT @NYPDPaws: Good job Det Ward ACIS @NYPDDetectives @FDNY FM Edward Kester arresting a man for arson to an apartment &amp;amp; dog @ASPCA https://…</t>
  </si>
  <si>
    <t>RT @nycgob: Acompáñanos en la Fiesta comunitaria de #Engine231 y #Ladder120 mañana en#Brooklyn! 107 Watkins St, 11AM-4PM: https://t.co/mzFH…</t>
  </si>
  <si>
    <t>RT @nycgob: Nos vemos en la Fiesta comunitaria del @FDNY mañana con #Engine231 y #Ladder120 en107 Watkins St #Brooklyn! https://t.co/rD6sR9…</t>
  </si>
  <si>
    <t>RT @nycoem: As dangerously hot weather continues to affect NYC, NYC cooling centers will remain open through Monday, 7/25: https://t.co/dEx…</t>
  </si>
  <si>
    <t>See more photos from today's #FDNY EMS #Station50 ribbon-cutting ceremony at https://t.co/MRTpt6GPCI https://t.co/RvQPE2c6iy</t>
  </si>
  <si>
    <t>RT @NYCDDC: Here in Jamaica celebrating the ribbon cutting of EMS 50 @FDNY https://t.co/5MjsaOiHYk</t>
  </si>
  <si>
    <t>RT @FDNYFoundation: Find out how Foundation-funded programs can lead to successful careers w/ the #FDNY! More: https://t.co/MikmDWlPBX http…</t>
  </si>
  <si>
    <t>We'll see you in #Brooklyn TOMORROW! #FDNY Block Party at #Engine231 &amp;amp; #Ladder120, 107 Watkins St, 11am-4pm https://t.co/NgMnVJIWzu</t>
  </si>
  <si>
    <t>#FDNY EMS #Station50 will operate 30 ambulance tours daily, along w/ 6 condition cars operated by FDNY EMS Officers https://t.co/O9avmSlx3k</t>
  </si>
  <si>
    <t>We ensured the building stands out as a welcome community space -@nycddc Commissioner Dr. Peña-Mora at #FDNY EMS  #Station50 ceremony</t>
  </si>
  <si>
    <t>Many NYers in this neighborhood are alive today thanks to the great work of the members assigned here over the years -#FDNY COD Leonard</t>
  </si>
  <si>
    <t>They will hold the hands of children in pain &amp;amp; they’ll comfort family members as they care for their loved ones -#FDNY Comm at #Station50</t>
  </si>
  <si>
    <t>Each member that reports to this $22 million dollar, 13k sq ft facility will head out to make a difference -#FDNY Comm at new #Station50</t>
  </si>
  <si>
    <t>#FDNY EMS #Station50 will house blood borne pathogen decontamination areas &amp;amp; is home of #Queens Borough Command https://t.co/xWSupxjrDN</t>
  </si>
  <si>
    <t>Ribbon-cutting ceremony about to begin at the newest #FDNY EMS facility - #Station50 in #Queens https://t.co/fYE3bo9VTO</t>
  </si>
  <si>
    <t>RT @nyc311: #Coolingcenters open today 7/22: https://t.co/FahxGELmLh  or text 311-692. Call ahead for hours. #BeatTheHeat info: https://t.c…</t>
  </si>
  <si>
    <t>RT @nycoem: New Yorkers can #beattheheat by getting a spray cap from @FDNY firehouses: https://t.co/46UlpD5yXJ https://t.co/vdHWQLREc7</t>
  </si>
  <si>
    <t>You can learn about joining the FDNY by visiting https://t.co/e5f6RkKnhf https://t.co/1HrcHgeLX0</t>
  </si>
  <si>
    <t>We would be honored if you wore our shirt on your trip. Safe travels.  https://t.co/EYJDM2XtL5</t>
  </si>
  <si>
    <t>RT @FDNYAlerts: QNS 4-ALARM 18-11 COLLEGE POINT BLVD, MIXED OCCUPANCY HEAVY FIRE IN BUILDING,</t>
  </si>
  <si>
    <t>RT @FDNYAlerts: QNS 3-ALARM 18-11 COLLEGE POINT BLVD,</t>
  </si>
  <si>
    <t>RT @nycoem: Dangerously hot weather is forecast Fri &amp;amp; Sat. @nycoem &amp;amp; @nycHealthy urge New Yorkers to take steps to stay safe: https://t.co/…</t>
  </si>
  <si>
    <t>RT @nycgob: El @FDNY en un incendio de 2 alarmas el 21 de julio de 1969 en Beach 74th St #Queens: https://t.co/FVIeTBCewv https://t.co/kQVg…</t>
  </si>
  <si>
    <t>RT @heart911team: Haiti-School day starts with children singing.Thank you #local79 #nypd #fdny for making a difference in 2011 #TBT 
https:…</t>
  </si>
  <si>
    <t>#GetAlarmedNYC w/ @redcrossny on 7/23, #FDNY Block Party in #Brooklyn. #Engine231 #Ladder120 107 Watkins St 11am-4pm https://t.co/e1zHtm0H86</t>
  </si>
  <si>
    <t>RT @nyc311: #BeatTheHeat tips in audio &amp;amp; 10+ languages, incl. VENZA EL CALOR 防暑降溫 ЖАРА НАМ НЕ СТРАШНА POU DEBAT AK CHALÈ A: https://t.co/3P…</t>
  </si>
  <si>
    <t>RT @nycoem: Together, we can #beattheheat, NYC! Watch our new PSA featuring @nychealthy &amp;amp; @nycfc: https://t.co/ooHmwMzWwB</t>
  </si>
  <si>
    <t>We love seeing #FDNYSmart kids! Great job keeping cool in a safe &amp;amp; fun way! https://t.co/GSTUpfZ41M</t>
  </si>
  <si>
    <t>@missmarty70 if this is still an issue, can you give us the address?</t>
  </si>
  <si>
    <t>Happy to help! NYers - if you think you smell gas or suspect there has been a gas leak, don't hesitate, call 911 https://t.co/NS0dkHkHYR</t>
  </si>
  <si>
    <t>RT @nycoem: How can you be prepared for a hurricane? Make a plan! Use these tips. #knowyourzone #ReadyNewYork https://t.co/asCpozVHlD</t>
  </si>
  <si>
    <t>Meet us in #Brooklyn on 7/23 for an #FDNY Block Party! Visit #Engine231 &amp;amp; #Ladder120, 107 Watkins St from 11am-4pm https://t.co/kCnHV0WJft</t>
  </si>
  <si>
    <t>A great way to #BeatTheHeat! Adults 18+ can visit local firehouse to request spray cap for hydrant  https://t.co/OHlkD4KNRh</t>
  </si>
  <si>
    <t>Today's #FDNY #tbt photo is from 7/21/69, a 2nd alarm at Beach 74th St #Queens. See more at https://t.co/p56VkhNBGc https://t.co/zKgJ6rFRVV</t>
  </si>
  <si>
    <t>RT @nycgob: Ven a la Fiesta comunitaria del @FDNY el 23/7 en 107 Watkins St #Brooklyn 11AM-4PM! #Engine231 #Ladder120 https://t.co/d6S2GET9…</t>
  </si>
  <si>
    <t>RT @nycgob: Vea más fotos de la graduación de la Academia EMS del @FDNY en: https://t.co/WQ3kwLz4sw https://t.co/LmCAFb3ryd</t>
  </si>
  <si>
    <t>RT @nycgob: La EMT Rebecca Fermoso del @FDNY sigue los pasos de su madre: https://t.co/uVyiOClygT https://t.co/VmGhBlsxsx</t>
  </si>
  <si>
    <t>Read more about today’s #FDNY EMS Academy graduation at https://t.co/Nd2njVLk9D https://t.co/J979Vlm5uI</t>
  </si>
  <si>
    <t>See more photos from today’s #FDNY EMS Academy graduation at https://t.co/HzwOAXDqg6 https://t.co/aa1TeV9Y8R</t>
  </si>
  <si>
    <t>#FDNY Paramedic Yehuda Sicherman graduated today w/ honor of Academic Achiever. Read more https://t.co/zYW0V5blTt https://t.co/kMfhcQoHL3</t>
  </si>
  <si>
    <t>Learn FREE CPR at our #FDNY Block Party on 7/23! Come by #Engine231 &amp;amp; #Ladder120, 107 Watkins St 11am-4pm https://t.co/d42qxCOxsm</t>
  </si>
  <si>
    <t>RT @joinFDNY: Today's #EMS Academy graduating class includes 15 #FDNY Youth Workforce Development Program students. #FDNYHS https://t.co/oY…</t>
  </si>
  <si>
    <t>RT @joinFDNY: #FDNY #EMT Pancho Bajana was our high school's 2013 valedictorian. Learn more about him: https://t.co/iS69YP9odQ. https://t.c…</t>
  </si>
  <si>
    <t>RT @joinFDNY: #FDNY #EMT Christian Cruz is the brother of #Station35 #EMT Calvin Cruz. Learn more: https://t.co/Wj6SlXhxz5. https://t.co/Yo…</t>
  </si>
  <si>
    <t>#FDNY EMT Rebecca Fermoso is following in her mother’s footsteps. Read more https://t.co/YPo3y279W6 https://t.co/KTup0tws1R</t>
  </si>
  <si>
    <t>There is no nobler mission than to dedicate your career to saving the lives of others -#FDNY Chief of Dept Leonard to EMS Academy graduates</t>
  </si>
  <si>
    <t>As new EMTs &amp;amp; Paramedics you are so important to the Dept’s life-saving mission, day in &amp;amp; day out -#FDNY COD Leonard to EMS Academy grads</t>
  </si>
  <si>
    <t>Tomorrow &amp;amp; for many years to come you’ll be the ones out on the streets making a difference -#FDNY Commissioner Nigro to EMS Academy grads</t>
  </si>
  <si>
    <t>As new EMTs &amp;amp; Paramedics, you are now responsible for continuing to raise the bar for what we do as an agency -#FDNY Comm Nigro to grads</t>
  </si>
  <si>
    <t>#FDNY EMS Academy graduation is under way at @CCCinfoorg in #Brooklyn https://t.co/2oYDWmv91g</t>
  </si>
  <si>
    <t>Congratulations to 8 U.S. Veterans graduating from #FDNY EMS Academy today https://t.co/leojKPaPAt</t>
  </si>
  <si>
    <t>#FDNY operations at scene of crane collapse at Tappan Zee Bridge ceased at midnight https://t.co/lzr1Q4awKY</t>
  </si>
  <si>
    <t>RT @nycgob: La Fiesta comunitaria de @FDNY es este sábado en #Brooklyn! Visita #Engine231 #Ladder120 en 107 Watkins St 11AM-4PM. https://t.…</t>
  </si>
  <si>
    <t>Come meet the members at our #FDNY Block Party on 7/23 at #Engine231 &amp;amp; #Ladder120, 107 Watkins St #Brooklyn 11am-4pm https://t.co/HKQtZ53050</t>
  </si>
  <si>
    <t>RT @nycgob: Este bote de @FDNY y rescatistas del EMS llevan ayuda al lugar del colapso de una grúa hoy en el puente #TappanZee: https://t.c…</t>
  </si>
  <si>
    <t>#FDNY Fireboat 343 + EMS Officer &amp;amp; Rescue Medics to provide mutual aid at scene of Tappan Zee Bridge crane collapse https://t.co/FmkxWTLGYG</t>
  </si>
  <si>
    <t>See more photos from today's intro of new Brush Fire Units to #FDNYfleet #OnStatenIsland at https://t.co/K4LkNu7B4E https://t.co/KjpS3ej602</t>
  </si>
  <si>
    <t>@jrKoratich please follow us so we can send a DM. Thank you</t>
  </si>
  <si>
    <t>RT @NYPD34Pct: Thank you @NYPDSpecialops @NYPDHighway @FDNY for helping us clear this over turned vehicle from the HenryHudson Pkwy https:/…</t>
  </si>
  <si>
    <t>RT @nycgob: El comisionado del @FDNY y el presidente de #StatenIsland presentaron hoy nuevas unidades para incendios forestales: https://t.…</t>
  </si>
  <si>
    <t>#FDNY Asst. Chief Joseph Pfeifer speaks to importance of WTC artifacts &amp;amp; why we should #NeverForget https://t.co/9ifOoF9wmg</t>
  </si>
  <si>
    <t>Last remaining 9/11 WTC artifacts moved from JFK by @Tunnel2Towers, to join mobile &amp;amp; fixed exhibits #NeverForget https://t.co/EfraK02LwK</t>
  </si>
  <si>
    <t>Read more about the new #FDNY Brush Fire Units added to the #FDNYfleet #OnStatenIsland at https://t.co/fHp1S0wWwb https://t.co/JLJytYtxdR</t>
  </si>
  <si>
    <t>RT @StatenIslUSA: BP thanks @FDNY for being responsive, notes every single day of year SI'ers appreciate what department does</t>
  </si>
  <si>
    <t>RT @StatenIslUSA: SI has 2 brush fire seasons... And these are complicated jobs for firefighters to protect SI'ers</t>
  </si>
  <si>
    <t>RT @StatenIslUSA: BP notes his involvement with this issue started in April 2014 while having dinner at E154 &amp;amp; brush fire happened https://…</t>
  </si>
  <si>
    <t>RT @StatenIslUSA: With @FDNY Commissioner Nigro at E164/L84 celebrating 3 new brush fire units. Three were destroyed during Sandy https://t…</t>
  </si>
  <si>
    <t>RT @StatenIslUSA: New units aid firefighters respond to brush fire operations.  SI has to deal with many brush fires</t>
  </si>
  <si>
    <t>RT @StatenIslUSA: Chief Leonard notes that BFU's were wiped out during rescue operations in Sandy</t>
  </si>
  <si>
    <t>#FDNY Comm Nigro, COD Leonard &amp;amp; SI BP @HeyNowJO introduce new FDNY Brush Fire Units to #FDNYfleet #OnStatenIsland https://t.co/pKmUvKNsv8</t>
  </si>
  <si>
    <t>Join us on 7/23 at the #FDNY Block Party in #Brooklyn! Visit #Engine231 &amp;amp; #Ladder120, 107 Watkins St, 11am-4pm https://t.co/Tb1l91pCaH</t>
  </si>
  <si>
    <t>You can visit your nearest firehouse to request spray cap installation for a hydrant. Must 18+ yrs &amp;amp; show photo ID https://t.co/3uJMGfK1q6</t>
  </si>
  <si>
    <t>RT @HeyNowJO: Thanks @NYCParks &amp;amp; @FDNY for the quick response in helping with downed trees across the Island. @StevenMatteo</t>
  </si>
  <si>
    <t>The next #FDNY Block Party is coming to #Brooklyn! Come by #Engine231 &amp;amp; #Ladder120 on 7/23, 107 Watkins St, 11am-4pm https://t.co/bxEzs93H5z</t>
  </si>
  <si>
    <t>#FDNY Community Coordinator Lynda Thomson receives @USArmy Fort Hamilton Commander’s Award for Public Service https://t.co/RDvp9Qf5Je</t>
  </si>
  <si>
    <t>New Yorkers ages 18+ can visit their local firehouse to request a spray cap to be installed on a hydrant https://t.co/nRG32sOqna</t>
  </si>
  <si>
    <t>RT @nycgob: Vea fotos del pasado Día de familias de #bomberos en probatoria en #FortTotten: https://t.co/dkhYHVrOJQ https://t.co/aFZ2kgKdW2…</t>
  </si>
  <si>
    <t>RT @nycoem: Ahead of severe weather, sign up for @NotifyNYC: https://t.co/GG33dFm8JN or call @nyc311. https://t.co/cK0DbSTeLm</t>
  </si>
  <si>
    <t>RT @nycgob: La próxima Fiesta comunitaria del @FDNY es el sábado 23 en #Brooklyn! 107 Watkins St, 11AM-4PM https://t.co/5tVNdYGdsT #Engine2…</t>
  </si>
  <si>
    <t>RT @nycoem: NYC cooling centers are open today. Visit https://t.co/1YlBqQIwK3  or call @nyc311 for locations &amp;amp; hours of operation. #BeatThe…</t>
  </si>
  <si>
    <t>We had a great time at Saturday's #FDNY Block Party #OnStatenIsland! See more photos at https://t.co/erfDJYM59z https://t.co/8l5IBZemuG</t>
  </si>
  <si>
    <t>See photos from Saturday's #FDNY EMS Probie Family Day at #FortTotten at https://t.co/kfXmqKLITf https://t.co/rW9b5mcmHz</t>
  </si>
  <si>
    <t>Shout out to @NYCParks lifeguard on duty &amp;amp; #FDNY members from #Engine329 &amp;amp; #Station47 for assisting beach goer in distress in #Rockaway</t>
  </si>
  <si>
    <t>RT @NYPDnews: New NYPD Cop Follows In The Footsteps Of Father, 9/11 Hero
https://t.co/hvylXzKYvz https://t.co/jMt2MBK7mj</t>
  </si>
  <si>
    <t>Our next #FDNY Block Party is in #Brooklyn! Come by #Engine231 &amp;amp; #Ladder120 on Sat. 7/23, 107 Watkins St, 11am-4pm https://t.co/hQ6YPlbJm1</t>
  </si>
  <si>
    <t>RT @nycgob: Gracias, @BKCyclones, por presentar ayer la Noche de aprecio del @FDNY! #LetsGoCyclones https://t.co/JHA0QTD9nh</t>
  </si>
  <si>
    <t>Only 1 hour left at the #FDNY Block Party #OnStatenIsland! Visit #Engine153 &amp;amp; #Ladder77 at 74 Broad St until 4pm https://t.co/2eetDcI3o0</t>
  </si>
  <si>
    <t>RT @HotDogFDNY: Having a blast at #FDNY Block Party at #Engine153 &amp;amp; #Ladder77 #OnStatenIsland ! https://t.co/PBGfERpGJI</t>
  </si>
  <si>
    <t>Take a FREE CPR class at the #FDNY Block Party #OnStatenIsland! #Engine153 &amp;amp; #Ladder77 at 74 Broad St until 4pm https://t.co/FQuC4sEoy3</t>
  </si>
  <si>
    <t>It's game on at the #FDNY Block Party #OnStatenIsland! Join us at #Engine153 &amp;amp; #Ladder77 at 74 Broad St until 4pm https://t.co/fwnjO54j0A</t>
  </si>
  <si>
    <t>#FDNY COD Leonard, FDC Turner &amp;amp; members at the FDNY Block Party #OnStatenIsland! #E153 &amp;amp; #L77 74 Broad St until 4 pm https://t.co/N9YmSYWLI3</t>
  </si>
  <si>
    <t>RT @PS21si: FDNY summer 2016 block party! Tons of fun &amp;amp; music! @fdnyfoundation #ps21si @FDNY https://t.co/9vXC7vmi9e</t>
  </si>
  <si>
    <t>Kids are learning the ropes at #FDNY Block Party #OnStatenIsland! #Engine153 &amp;amp; #Ladder77 at 74 Broad St until 4pm https://t.co/JvQpFCkIRE</t>
  </si>
  <si>
    <t>We're sharing #FDNYSmart tips at the Block Party #OnStatenIsland!  #Engine153 &amp;amp; #Ladder77 at 74 Broad St until 4pm https://t.co/jIb1R1rgZE</t>
  </si>
  <si>
    <t>RT @nycgob: Aprende resucitación cardiopulmonar con el @FDNY gratis HOY en Parkside Playground (Winthrop St de Bedford a Rogers Ave #Brookl…</t>
  </si>
  <si>
    <t>We've got FREE food &amp;amp; fun at the #FDNY Block Party #OnStatenIsland! #Engine153 &amp;amp; #Ladder77 at 74 Broad St until 4pm https://t.co/rHWQ5poY6y</t>
  </si>
  <si>
    <t>The #FDNY Block Party #OnStatenIsland is in full swing! Join us at #Engine153 &amp;amp; #Ladder77 at 74 Broad St until 4pm https://t.co/cA5pFvXdEq</t>
  </si>
  <si>
    <t>RT @nycgob: Ya empezó la Fiesta comunitaria del @FDNY con #Engine153 y #Ladder77 en 74 Broad St #OnStatenIsland (11AM-4PM)! https://t.co/d7…</t>
  </si>
  <si>
    <t>Today is the day! Come by #Engine153 &amp;amp; #Ladder77 at 74 Broad St #OnStatenIsland 11am-4pm for our #FDNY Block Party! https://t.co/VpxZmbKNdQ</t>
  </si>
  <si>
    <t>Learn CPR for FREE w/ the #FDNY Mobile CPR Unit TODAY! Parkside Playground on Winthrop St. btwn Bedford &amp;amp; Rogers Ave in #Brooklyn, 11am-3pm</t>
  </si>
  <si>
    <t>RT @nycgob: EMTs en probatoria participaron en #SpiritRun hoy en #FortTotten. Más info: https://t.co/so5sfuTaNx https://t.co/H5s64NAeLr @FD…</t>
  </si>
  <si>
    <t>Thank you @BKCyclones for hosting #FDNY Appreciation Night! #LetsGoCyclones https://t.co/YSwXPJMwKZ</t>
  </si>
  <si>
    <t>RT @nycgob: Miembros del @FDNY ayudaron a madre a dar a luz en #Queens. Más info: https://t.co/no8OTJYUAM https://t.co/my1AXPPTtt #Engine29…</t>
  </si>
  <si>
    <t>RT @nycgob: Los esperamos mañana en la Fiesta comunitaria del @FDNY en #StatenIsland! 74 Broad St 11AM-4PM. https://t.co/mu5Vi9dbtf #Engine…</t>
  </si>
  <si>
    <t>@CassalassTP please call 718-999-1985 for assistance</t>
  </si>
  <si>
    <t>#FDNY Probationary EMTs participate in today's Spirit Run at #FortTotten. Read more https://t.co/TuHZVxM9DU https://t.co/sfqiY8lutC</t>
  </si>
  <si>
    <t>@CassalassTP Can you let us know what the form is in reference to?</t>
  </si>
  <si>
    <t>RT @nycgob: El agua de los hidrantes es maravillosa para combatir el calor, pero no los abras; pídele al @FDNY que lo haga por ti! #BeatThe…</t>
  </si>
  <si>
    <t>Hope to see you #OnStatenIsland at the #FDNY Block Party TOMORROW! Visit #Engine153 #Ladder77, 74 Broad St 11am-4pm https://t.co/k1y8J5bm8T</t>
  </si>
  <si>
    <t>#FDNY members from #Engine298 &amp;amp; #Station50 deliver baby boy in #Queens. Read more https://t.co/6UVlVAfGVK https://t.co/Gro18PZPkQ</t>
  </si>
  <si>
    <t>Drivers - be alert, be mindful of kids &amp;amp; adults using fire hydrant spray caps to #BeatTheHeat</t>
  </si>
  <si>
    <t>RT @NYC_Buildings: From cooling centers to @FDNY hydrant caps, find out the best ways in NYC to #BeatTheHeat. https://t.co/dUJcqyGoqJ https…</t>
  </si>
  <si>
    <t>New Yorkers - Indoors w/ the AC on is the best way to #BeatTheHeat. If you must go outside, find shade when possible &amp;amp; stay hydrated</t>
  </si>
  <si>
    <t>RT @nycoem: Cooling centers are open today. Visit https://t.co/1YlBqQIwK3 or call @nyc311 for locations and hours. #BeatTheHeat https://t.c…</t>
  </si>
  <si>
    <t>RT @nycgob: .@heart911team ayuda en la reconstrucción de #Ecuador con el @FDNY y #Local79: https://t.co/tNv1V91qZI</t>
  </si>
  <si>
    <t>Congrats #FDNY members from #Engine298 &amp;amp; #Station50 for a successful coordinated effort delivering a baby in #Queens! #NYCBravest #NYCBest</t>
  </si>
  <si>
    <t>RT @nycgob: El @FDNY en un incendio el 14 de julio de 1971 en 135 Seigel St #Brooklyn. Vea más en: https://t.co/SlYsPz0RFJ https://t.co/O9K…</t>
  </si>
  <si>
    <t>RT @NYCCouncil: William “Pop” Marsh Ave honors retired @FDNY lieutenant, veteran, registered nurse &amp;amp; volunteer coach. Learn more→ https://t…</t>
  </si>
  <si>
    <t>#GetAlarmedNYC w/ @redcrossny at FDNY Block Party, 7/16 #OnStatenIsland. #Engine153 &amp;amp; #Ladder77 74 Broad St 11am-4pm https://t.co/ss7weiiZOW</t>
  </si>
  <si>
    <t>RT @nycgob: Miembros del @FDNY acompañaron a los veteranos hoy en el evento #SoldierRide de @wwp  en NYC: https://t.co/Wn6wVE64Hq</t>
  </si>
  <si>
    <t>See more photos from today’s @WWP #SoldierRide at https://t.co/13M3BwCe5C https://t.co/PMoqdeInyV</t>
  </si>
  <si>
    <t>Today #FDNY members joined Veterans in the @WWP #SoldierRide through NYC https://t.co/7eDfVcI57C</t>
  </si>
  <si>
    <t>Learn FREE CPR at our #FDNY Block Party on 7/16 #OnStatenIsland!  Visit #Engine153 &amp;amp; #Ladder77, 74 Broad St 11am-4pm https://t.co/x7fS8iyJah</t>
  </si>
  <si>
    <t>.@HotDogFDNY &amp;amp; @SirenFDNY want you to have an #FDNYSmart summer! See how at https://t.co/iwbTnnjhoG https://t.co/n7xbZZvA6t</t>
  </si>
  <si>
    <t>RT @heart911team: HEART 9/11 in Ecuador 4/16 with #fdny and #local79 see for yourself how much help is needed.
https://t.co/8tO6uvwKk4</t>
  </si>
  <si>
    <t>Today's #FDNY #tbt photo is from 7/14/71, a 2nd alarm at 135 Seigel St #Brooklyn. See more https://t.co/G5uVWw2dDS https://t.co/qBI7ztUvDu</t>
  </si>
  <si>
    <t>RT @HotDogFDNY: Spending the summer sharing #FDNYSmart tips and more at our summer block parties.  Read all about it! https://t.co/hOz7amOH…</t>
  </si>
  <si>
    <t>Thank you for bringing this to our attention. The issue is being addressed asap https://t.co/ts6nAfhtUC</t>
  </si>
  <si>
    <t>RT @WINNYC_ORG: We didn't start the fire but the @FDNY helped our #WinKids learn more about safety &amp;amp; even let them try on a suit! https://t…</t>
  </si>
  <si>
    <t>RT @globalnyc: Q &amp;amp; A for #diplomats engaging our partner agencies and OATH. #CL2G https://t.co/PgVhKo9q2o</t>
  </si>
  <si>
    <t>RT @globalnyc: Thanks to all NYC Agency presenters &amp;amp; diplo &amp;amp; consular community for joining us today for a #CL2G workshop https://t.co/vYtr…</t>
  </si>
  <si>
    <t>RT @nycgob: La próxima Fiesta comunal del @FDNY es en #StatenIsland este sábado 11AM-4PM en 74 Broad St! https://t.co/m6wWlQChxM #Engine153…</t>
  </si>
  <si>
    <t>RT @globalnyc: .@FDNY to #diplomats :  Safety and preservation of life transcends culture. #CL2G</t>
  </si>
  <si>
    <t>RT @globalnyc: Excited to be partnering w/ @FDNY,  @NYCSanitation, @NYC_DOT, @nycHealthy &amp;amp; OATH- Office of Administrative Trials and Hearin…</t>
  </si>
  <si>
    <t>Meet the members at the #FDNY Block Party #OnStatenIsland, 7/16! Visit #Engine153 &amp;amp; #Ladder77, 74 Broad St, 11am-4pm https://t.co/4la0wdPifV</t>
  </si>
  <si>
    <t>RT @nycgob: Comisarios de @FDNY: El incendio de hoy en 2074 Crotona Pkwy #ElBronx fue el cable de un electrodoméstico. La alarma de humo no…</t>
  </si>
  <si>
    <t>@EvelienDocherty Can you follow us so we can DM? Thanks so much</t>
  </si>
  <si>
    <t>RT @H4WJennifer: An unforgettable weekend for #veterans and their families, thanks to @FDNY, @NYPDnews, @ampsurf &amp;amp; countless others. https:…</t>
  </si>
  <si>
    <t>FDNY Fire Marshals: Cause of 7/12 all-hands fire, 2074 Crotona Pkwy Bx was accidental, appliance cord. Smoke alarm present, not operational</t>
  </si>
  <si>
    <t>Both are used to alert those in direct proximity that FDNY vehicle needs to proceed to respond to an emergency call https://t.co/Uit5O9LEJY</t>
  </si>
  <si>
    <t>RT @globalnyc: Watch message from Commish Fidel del Valle on tomorrow's Connecting Local to Global workshop: https://t.co/vvCK8ZHiRD #CL2G</t>
  </si>
  <si>
    <t>We're #OnStatenIsland Saturday, 7/16, for our #FDNY Block Party! Visit #Engine153 &amp;amp; #Ladder77, 74 Broad St 11am-4pm https://t.co/yEycjvdbaq</t>
  </si>
  <si>
    <t>Our first #FDNY Block Party of the summer was so much fun! See more photos at https://t.co/wk5hAgQmY3 https://t.co/YG8ztERbCU</t>
  </si>
  <si>
    <t>RT @nycgob: Te perdiste la Fiesta del @FDNY el sábado 9? No te preocupes, el 16/7 estaremos en #StatenIsland con #Engine153 y #Ladder77 en…</t>
  </si>
  <si>
    <t>#FDNY Paramedic Burgos of #Station18 helps save man's life on a flight to Florida. Read more https://t.co/lSGgmxbXoe https://t.co/mujIFyvIBs</t>
  </si>
  <si>
    <t>Come meet the members on 7/16 at the #FDNY Block Party #OnStatenIsland! #Engine153 &amp;amp; #Ladder77, 74 Broad St 11am-4pm https://t.co/59dX5AWu4k</t>
  </si>
  <si>
    <t>See more photos from The War at the Shore, @FDBoxingClub vs London Metro PD https://t.co/LM3QnG2x0L https://t.co/9EXZYjm8aS</t>
  </si>
  <si>
    <t>RT @galeabrewer: @FDNY Summer Block Pty/Recruitment W143 St-7.9.2016. Comm Nigro/ grandson Matthew, Siren &amp;amp; GAB. Congrats on outreach https…</t>
  </si>
  <si>
    <t>#FDNY Comm Nigro supports #PSOB at #Ladder25  w/ @SenGillibrand @ElizCrowleyNYC @RepPeteKing, 1st responder families https://t.co/Zgq2LrIGdH</t>
  </si>
  <si>
    <t>RT @SenGillibrand: Too often, families of fallen first responders wait years for death benefits, #PSOB will cut through the red tape &amp;amp; redu…</t>
  </si>
  <si>
    <t>RT @SenGillibrand: When a first responder dies in the line of duty, we all have a responsibility to help take care of their surviving famil…</t>
  </si>
  <si>
    <t>RT @SenGillibrand: Honored to stand w/first responders &amp;amp; families in #NYC today to annce our bipartisan Public Safety Officers’ Benefits Im…</t>
  </si>
  <si>
    <t>Did you miss yesterday's #FDNY Block Party? Don't worry! We're #OnStatenIsland on 7/16 at #Engine153 &amp;amp; #Ladder77 at 74 Broad St, 11am-4pm</t>
  </si>
  <si>
    <t>RT @nycgob: El @FDNY nos invita a compartir en sus 6 Fiestas de #verano! Vea el calendario de eventos en: https://t.co/NjB9xFYALr</t>
  </si>
  <si>
    <t>RT @NYPD19Pct: Thank you @FDNY for your support of Law Enforcement during this difficult time. #Dallas Police we stand w/ you. https://t.co…</t>
  </si>
  <si>
    <t>RT @joinFDNY: Aspiring #FDNY FFers are learning more about the duties of a #NYC FF as part today's FDNY Block Party in #Harlem. https://t.c…</t>
  </si>
  <si>
    <t>Come learn CPR for FREE at the #FDNY Block Party! Visit #Engine69 &amp;amp; #Ladder28 at 248 W 143 St #Harlem until 4 pm https://t.co/LFTEsPl1WR</t>
  </si>
  <si>
    <t>Thank you for coming to our first #FDNY Block Party of the summer!  https://t.co/QJOTrlLZcJ</t>
  </si>
  <si>
    <t>.@SirenFDNY making new friends at the #FDNY Block Party at #Engine69 &amp;amp; #Ladder28, 248 W 143 St #Harlem until 4 pm https://t.co/UDB22IYdBT</t>
  </si>
  <si>
    <t>RT @joinFDNY: With help from veteran #FDNY FFers, #Harlem residents are learning more about serving as one of New York's Bravest. https://t…</t>
  </si>
  <si>
    <t>RT @joinFDNY: Aspiring #FDNY Firefighters are training at our Mobile Academy Event in #Harlem as part of the FDNY Block Party. https://t.co…</t>
  </si>
  <si>
    <t>RT @joinFDNY: Check out #FDNY FF hopefuls learning how to don bunker gear during today's Mobile Academy Event in #Harlem. https://t.co/dzSA…</t>
  </si>
  <si>
    <t>#FDNY COD &amp;amp; @joinFDNY Mobile Academy FFers ready to meet you! #Engine69 &amp;amp; #Ladder28, 248 W 143 St #Harlem ends 4 pm https://t.co/RlpVFW704N</t>
  </si>
  <si>
    <t>#FDNY FDC Turner w/ grandson Kyle enjoying the #Engine69 &amp;amp; #Ladder28 Block Party, 248 W 143 St #Harlem until 4 pm https://t.co/E0yBhlhMx1</t>
  </si>
  <si>
    <t>Come say hi to @HotDogFDNY at the #FDNY Block Party at #Engine69 &amp;amp; #Ladder28! 248 W 143 St #Harlem until 4 pm https://t.co/lQ2R2ZsnBY</t>
  </si>
  <si>
    <t>.@galeabrewer thank you for joining us in #Harlem for the first #FDNY Block Party of the summer! https://t.co/MlbzrFwfJn</t>
  </si>
  <si>
    <t>#FDNY Comm Nigro &amp;amp; COD Leonard welcome all to the #Engine69 &amp;amp; #Ladder28 Block Party! 248 W 143 St #Harlem ends 4 pm https://t.co/3stcLaAUt6</t>
  </si>
  <si>
    <t>It's fun, games &amp;amp; fire safety at the #FDNY #Engine69 &amp;amp; #Ladder28 Block Party in #Harlem! 248 W 143 St until 4 pm https://t.co/EMqwtgc8ri</t>
  </si>
  <si>
    <t>Just under 4 hours to go at the #FDNY Block Party at #Engine69 &amp;amp; #Ladder28 in #Harlem! Join the fun at 248 W 143 St https://t.co/SqDr3FximY</t>
  </si>
  <si>
    <t>RT @nycgob: Ya empezó la gran fiesta del @FDNY en 248 W 143 St #Harlem con #Engine69 y #Ladder28. Estaremos aquí hasta las 4PM. https://t.c…</t>
  </si>
  <si>
    <t>Lunch is served at #Engine69 &amp;amp; #Ladder28 at the #FDNY Block Party in #Harlem! We’re here until 4 pm, 248 W 143 St https://t.co/es0I5ktLj9</t>
  </si>
  <si>
    <t>Come by #Engine69 &amp;amp; #Ladder28 TODAY until 4 pm for our first #FDNY Block Party of the summer! 248 W 143 St #Harlem https://t.co/uo6Vtua48O</t>
  </si>
  <si>
    <t>We hope to see you at all six #FDNY Block Parties this summer! See the full schedule of events at https://t.co/0OmYW5wyI2</t>
  </si>
  <si>
    <t>RT @nycgob: Los espero a todos en la Fiesta del @FDNY hoy a las 11AM! 248 W143 St #Harlem: https://t.co/BZUJTsdxum @HotDogFDNY #Engine69 #L…</t>
  </si>
  <si>
    <t>Come by #Engine69 &amp;amp; #Ladder28 TODAY for the first #FDNY Block Party of the summer! 248 W 143 St #Harlem 11am-4pm https://t.co/9yrBNgbtAP</t>
  </si>
  <si>
    <t>.@FDNYpipeband Honor Circle w/ @USMC Corporal Kevin Vaughan at intermission of @FDBoxingClub War At The Shore https://t.co/pSqRkvM9TF</t>
  </si>
  <si>
    <t>.@FDBoxingClub is taking on London Metro PD at The War at the Shore, benefitting Veterans w/ @helpbhh https://t.co/YpSbXR811c</t>
  </si>
  <si>
    <t>Thank you @BKCyclones for honoring #FDNY Chief of Dept Leonard &amp;amp; members on Heroes Night #LetsGoCyclones https://t.co/UaJwoVfqRf</t>
  </si>
  <si>
    <t>RT @nycgob: El @FDNY celebra la 1ra Fiesta comunitaria del #verano mañana en #Engine69/#Ladder28, 248 W143 St #Harlem 11AM-4PM! https://t.c…</t>
  </si>
  <si>
    <t>@mineisthefury please call @nyc311 to report a leaking fire hydrant https://t.co/vnfdaVRmZ9</t>
  </si>
  <si>
    <t>The first #FDNY Block Party of the summer is TOMORROW at #Engine69 &amp;amp; #Ladder28 248 W 143 St #Harlem 11am-4pm https://t.co/nYyB46AwoP</t>
  </si>
  <si>
    <t>Come to our #FDNY Block Party TOMORROW to #GetAlarmedNYC w/ @redcrossny at #Engine69 &amp;amp; #Ladder28, 248 W 143 St #Harlem 11am-4pm</t>
  </si>
  <si>
    <t>See demonstrations &amp;amp; more at our #FDNY Block Party TOMORROW, #Engine69 &amp;amp; #Ladder28 248 W 143 St #Harlem 11am-4pm https://t.co/XnvSyCYnhA</t>
  </si>
  <si>
    <t>RT @nycgob: NUNCA conecte su A/C a una extensión. Conecte los electrodomésticos grandes directamente a enchufes en las paredes. @FDNY #Beat…</t>
  </si>
  <si>
    <t>RT @SirenFDNY: Come meet me TOMORROW, 7/9, at the #FDNY Block Party! Visit #Engine69 &amp;amp; #Ladder28 248 W 143 St #Harlem 11am-4pm https://t.co…</t>
  </si>
  <si>
    <t>RT @HotDogFDNY: I hope to see you at the #FDNY Block Party TOMORROW! Come by #Engine69 &amp;amp; #Ladder28, 248 W 143 St #Harlem, 11am-4pm https://…</t>
  </si>
  <si>
    <t>RT @nycgob: El @FDNY invita a Fiesta de cuadra MAÑANA en el cuartel de #Engine69 y #Ladder28 en 248 W 143 St #Harlem, 11AM-4PM: https://t.c…</t>
  </si>
  <si>
    <t>NYers of all ages are welcome at the #FDNY Block Party TOMORROW #Engine69 &amp;amp; #Ladder28, 248 W 143 St #Harlem 11am-4pm https://t.co/MC81VrXOtm</t>
  </si>
  <si>
    <t>#FDNY Block Party TOMORROW, 7/9, at #Engine69 &amp;amp; #Ladder28, 248 W 143 St #Harlem 11am-4pm. Come by to take a tour, learn CPR &amp;amp; fire safety</t>
  </si>
  <si>
    <t>@aramadima please give us the location of the fire hydrant and we will address the issue https://t.co/fH1KgytgCt</t>
  </si>
  <si>
    <t>RT @nycgob: Si Ud tiene 18+ años y documento de ID, visite su cuartel de #bomberos y solicite una tapa aspersora para #hidrantes. @FDNY #Be…</t>
  </si>
  <si>
    <t>We hope to see you at our #FDNY Block Party this Saturday in #Harlem at #Engine69 &amp;amp; #Ladder28, 248 W 143 St 11am-4pm https://t.co/dAIowaJT4d</t>
  </si>
  <si>
    <t>RT @nycgob: El @FDNY enfrenta un gran incendio en 705 Lydig Ave #ElBronx, el 7 de julio de 1968. Más: https://t.co/zZGZ4MGoS7 https://t.co/…</t>
  </si>
  <si>
    <t>Use your AC to #BeatTheHeat, but never plug your AC into an extension cord. Plug large appliances directly into the wall</t>
  </si>
  <si>
    <t>Come meet the #FDNY members who keep our city safe! Block Party this Saturday 7/9 at #Engine69 &amp;amp; #Ladder28, 248 W 143 St #Harlem 11am-4pm</t>
  </si>
  <si>
    <t>RT @NYCSmallBizSvcs: We have a new portal to help #womenentrepreneurs thrive: https://t.co/lrr3JJLFSm #WENYC https://t.co/qkJ59Z9fG6</t>
  </si>
  <si>
    <t>RT @nycHealthy: NYC: Tell us how we can help make your communities healthier places to live. Vote! https://t.co/HuvwzTLgje #TCNY2020 https:…</t>
  </si>
  <si>
    <t>RT @NYPD17Pct: Heat Advisory:Pets are affected by the heat as well. Do not leave pets in vehicles.If You see a pet in need call 911 https:/…</t>
  </si>
  <si>
    <t>Check on vulnerable neighbors to make sure they are safe &amp;amp; cool. Follow @nyc311 for cooling center info #BeatTheHeat</t>
  </si>
  <si>
    <t>#BeatTheHeat by visiting your local firehouse to request a fire hydrant sprinkler cap. Do not open hydrants yourself https://t.co/WzFjSOuN8U</t>
  </si>
  <si>
    <t>Improper opening of fire hydrants wastes 1k gallons of water per minute &amp;amp; hampers Firefighters' ability to fight fires safely &amp;amp; quickly</t>
  </si>
  <si>
    <t>RT @NYPDnews: A few tips to #BeatTheHeat, stay safe and be healthy: https://t.co/MZDCBBsplJ https://t.co/fDu2KRDxMJ</t>
  </si>
  <si>
    <t>RT @NYC_Buildings: It’s hot outside! Make sure your A/C is as efficient as possible by cleaning the filter. https://t.co/kunCxa587D https:/…</t>
  </si>
  <si>
    <t>RT @nycoem: Remember: pets need relief from the heat, too! Make sure they are safe &amp;amp; hydrated. #BeatTheHeat https://t.co/ituuKyyanu</t>
  </si>
  <si>
    <t>RT @nyc311: Today's an Air Quality Action Day until 11PM. See tips for keeping safe in the heat: https://t.co/kbsv0lRYZI &amp;amp; https://t.co/5p9…</t>
  </si>
  <si>
    <t>RT @nycgob: El @FDNY y @redcrossny distribuyen alarmas de humo/CO #gratis en eventos #GetAlarmedNYC. Para info, llame a @nyc311. https://t.…</t>
  </si>
  <si>
    <t>RT @nycgob: Fumar es la causa #1 de muerte en incendios si Ud tiene 65+ años. NUNCA fume acostado, en especial si su medicina da sueño. #FD…</t>
  </si>
  <si>
    <t>RT @nycgov: NYC: We've got a heat advisory in effect today &amp;amp; tmrw afternoon. Take a hot second and learn how to beat the heat: https://t.co…</t>
  </si>
  <si>
    <t>RT @nycoem: Fans alone aren’t enough in high heat &amp;amp; high humidity. Get inside in A/C or go to a public place like a cooling center to #Beat…</t>
  </si>
  <si>
    <t>RT @nycoem: NYC cooling centers are open today for New Yorkers seeking relief from the heat: https://t.co/ZP4ngcPUOe #BeatTheHeat</t>
  </si>
  <si>
    <t>Today's #FDNY #tbt photo is from 7/7/68, a 4th alarm at 705 Lydig Ave #Bronx. See more https://t.co/mb9UwwMITm https://t.co/VHMyFsmVal</t>
  </si>
  <si>
    <t>RT @joinFDNY: Did you hear? Our #EMT exam filing period is now open. Join New York's Best today! https://t.co/b5jqfncv5D https://t.co/JEvJz…</t>
  </si>
  <si>
    <t>An operable smoke alarm cuts your chances of dying in a fire  nearly in half. New Yorkers can #GetAlarmedNYC by calling @nyc311</t>
  </si>
  <si>
    <t>#GetAlarmedNYC w/ @redcrossny &amp;amp; FREE smoke/CO alarm giveaway &amp;amp; installation events. Find yours by calling @nyc311 https://t.co/hussoPS4aL</t>
  </si>
  <si>
    <t>See @FDBoxingClub vs London Metro PD at The War at the Shore, Friday July 8! Learn more at https://t.co/KjSLuMaf88 https://t.co/uPENfouGPL</t>
  </si>
  <si>
    <t>New Yorkers - call @NYC311 to anonymously report the use, delivery or sale of fireworks. #Fireworks are ILLEGAL in NYC</t>
  </si>
  <si>
    <t>RT @nycgob: El @FDNY les desea un #4deJulio sano con estos consejos de seguridad: https://t.co/I0VXtJVF18 https://t.co/lBT0lCjHfW #FDNYSmart</t>
  </si>
  <si>
    <t>RT @nycgob: El @FDNY y @nycgob esperamos que todos disfruten los #fuegosartificiales de @Macys. Feliz #4deJulio! https://t.co/hX5y2XvTTj</t>
  </si>
  <si>
    <t>RT @Macys: Thanks, @fdny for making sure the #macysfireworks are fun and safe for all! 👏 👏 👏 https://t.co/6o7q3f5Q9I</t>
  </si>
  <si>
    <t>It’s a crime to possess, use or explode #fireworks in NYC. NYers can call @nyc311 to anonymously report use, delivery or sale of fireworks</t>
  </si>
  <si>
    <t>Be #FDNYSmart, leave the #fireworks to the professionals. Happy #IndependenceDay from the #FDNY https://t.co/lfgkUySIgC</t>
  </si>
  <si>
    <t>It’s a crime to possess, use or explode #fireworks in NYC. NYers can call @NYC311 to anonymously report use, delivery or sale of fireworks</t>
  </si>
  <si>
    <t>Have a safe &amp;amp; healthy #4thOfJuly w/ our #FDNYSmart #fireworks &amp;amp; sparklers tips https://t.co/gj3OnjR0ux https://t.co/KbeATTEr0K</t>
  </si>
  <si>
    <t>Hands, fingers, eyes, head &amp;amp; face are parts most injured in #fireworks accidents. Be #FDNYSmart, leave fireworks to the pros on #4thOfJuly</t>
  </si>
  <si>
    <t>Once lit, never leave a grill unattended. See more #FDNYSmart tips at https://t.co/icW1alWUqU https://t.co/vzooCrEt48</t>
  </si>
  <si>
    <t>Kids 14 &amp;amp; younger suffer nearly half of all #fireworks injuries. Be #FDNYSmart, leave fireworks to the professionals https://t.co/8cUbtABDvg</t>
  </si>
  <si>
    <t>RT @nycgob: Comisarios del @FDNY arrestan a Stephen Chapin entrando a NYC con $5K de #fuegosartificiales https://t.co/e2L70ot54x https://t.…</t>
  </si>
  <si>
    <t>#FDNY Fire Marshals arrest Stephen A. Chapin, entering NYC w/ $5k worth of fireworks https://t.co/A8nh0s5bzW https://t.co/OZwMxVL6yA</t>
  </si>
  <si>
    <t>RT @SirenFDNY: Thumbs up on #FDNY Appreciation Day #OnStatenIsland.  Thank you to the @SIYanks for making it a memorable day! https://t.co/…</t>
  </si>
  <si>
    <t>RT @HotDogFDNY: High fives on a home run kind of day!  Thank you to @SIYanks for a great #FDNY Appreciation Day! https://t.co/0cC3Hb57Lf</t>
  </si>
  <si>
    <t>Yesterday #FDNY Probationary EMTs participated in a Spirit Run in honor of #IndependenceDay #4thOfJuly https://t.co/975yA0PVAT</t>
  </si>
  <si>
    <t>RT @heart911team: HEART911 heads back to NYC  #FDNY &amp;amp; #local79 members have changed lives - look at the smiles. Mission accomplished https:…</t>
  </si>
  <si>
    <t>Today #FDNY Probationary EMTs visited @Sept11Memorial to honor those lost on 9/11 #NeverForget https://t.co/abrwKMXEZi</t>
  </si>
  <si>
    <t>RT @nycgob: Este #4deJulio, deje los #fuegosartificiales a los profesionales. Consejos de @FDNY: https://t.co/LbgLCpfMPO #FDNYSmart @nycoem</t>
  </si>
  <si>
    <t>RT @nycgob: Los #fuegosartificiales son ILEGALES en NYC. Llame a @nyc311 o reporte anónimo el uso, envío o venta de fuegos artificiales.  @…</t>
  </si>
  <si>
    <t>RT @NotifyNYC: The NWS has issued a Tornado Watch for NYC area. Favorable conditions exist for a tornado to form.  https://t.co/t918yhlx8z</t>
  </si>
  <si>
    <t>It's a crime to possess, use or explode fireworks in NYC. Be #FDNYSmart this #4thOfJuly, leave fireworks to the pros https://t.co/psR3Fd3MUk</t>
  </si>
  <si>
    <t>A man &amp;amp; a woman jumped out of the car...&amp;amp; laid the lifeless child down at our feet - #FDNY Lt. Parco #E82. Read more https://t.co/Fn8taybvfx</t>
  </si>
  <si>
    <t>The #FDNY Explosives Unit makes sure #4thofJuly #MacysFireworks are safe for all. Learn how https://t.co/LTBTZxgQT9 https://t.co/HekIXeHJnP</t>
  </si>
  <si>
    <t>Butterfly visits #FDNY Probie EMT as he reflects on stepfather's name at @Sept11memorial https://t.co/Rnse51fySY https://t.co/XTBrJSJWzR</t>
  </si>
  <si>
    <t>RT @Sept11Memorial: Earlier this morning, we hosted members of the @FDNY's  EMT Probationary class at the #911Museum. https://t.co/NSPyUJfT…</t>
  </si>
  <si>
    <t>The #FDNY Explosives Unit works behind the scenes to keep NYC safe 365 days/year. Learn more https://t.co/gGhzQDCWx3 https://t.co/GZBBmRp6HK</t>
  </si>
  <si>
    <t>RT @WestEndResNYC: Thank you to #NewYorksBravest, @fdny Ladder 74, for visiting #IntergenerationalResidence a… https://t.co/DSlKylxMiv http…</t>
  </si>
  <si>
    <t>RT @HotDogFDNY: Read my latest Smart Bark post on how to stay #FDNYSmart this Independence Day!  https://t.co/C99di3Rk7h #4thOfJuly https:/…</t>
  </si>
  <si>
    <t>RT @nycgob: Un #bombero del @FDNY en un incendio en 835 E152 St #ElBronx el 30/6/81: https://t.co/RFSyVtYQ9I https://t.co/nUIFCBhj53 #tbt</t>
  </si>
  <si>
    <t>RT @nycgob: La escuela #FDNYHS en #Brooklyn ya lleva el nombre del capitán del @FDNY Vernon A Richard, muerto el 9/11. https://t.co/JM2xmaX…</t>
  </si>
  <si>
    <t>#Fireworks are ILLEGAL in NYC. New Yorkers - call @NYC311 to anonymously report the use, delivery or sale of fireworks.</t>
  </si>
  <si>
    <t>RT @FDNYFoundation: #FDNYHS renamed for Capt Vernon Richard, one of 343 killed on 9/11. Read more: https://t.co/yK2kbjjBpR #NeverForget htt…</t>
  </si>
  <si>
    <t>RT @nycoem: It's the last day of June, but hurricane season is far from over. Be prepared. #knowyourzone https://t.co/BdwQJVJ3HB https://t.…</t>
  </si>
  <si>
    <t>RT @heart911team: HEART911 Team returns 7/1 Thank you #fdny #local79 for donating a week of time and labor to build 40 homes in 5 days http…</t>
  </si>
  <si>
    <t>#FDNYHS renamed for Capt Vernon Richard, one of 343 killed on 9/11 #NeverForget See photos https://t.co/DHeIOI6q5c https://t.co/mVkl6jviHy</t>
  </si>
  <si>
    <t>RT @HotDogFDNY: Remember friends it is illegal to use, possess or explode any fireworks in NYC.  Leave it to the pros! #4thOfJuly https://t…</t>
  </si>
  <si>
    <t>RT @joinFDNY: Vernon A. Richard II shares stories about his father, #FDNY Cap. Vernon A. Richard, during today's ceremony. https://t.co/riH…</t>
  </si>
  <si>
    <t>RT @joinFDNY: #FDNYHS alumni celebrate the renaming of their alma mater to Cap. Vernon A. Richard HS for Fire &amp;amp; Life Safety. https://t.co/h…</t>
  </si>
  <si>
    <t>RT @joinFDNY: The #FDNYHS in #Brooklyn was renamed today in remembrance of 9/11 hero #FDNY Capt. Vernon A. Richard. #NeverForget https://t.…</t>
  </si>
  <si>
    <t>RT @joinFDNY: We are proud to have schools across the City named after inspirational leaders &amp;amp; local heroes like #FDNY Capt Richard -@NYCSc…</t>
  </si>
  <si>
    <t>RT @joinFDNY: "Capt Richard’s name &amp;amp; all he stood for is going to live on through all of the graduates this school producers for ys to come…</t>
  </si>
  <si>
    <t>2-alarm fire at 2545 Grand Concourse #Bronx has been placed under control.
Follow@FDNYalerts for updates 24/7/365 https://t.co/32KCqpCq92</t>
  </si>
  <si>
    <t>RT @joinFDNY: "Capt Richard was a hero to his Dept, his city, his country &amp;amp; most of all to his family" –#FDNY COD Leonard https://t.co/eT6A…</t>
  </si>
  <si>
    <t>RT @joinFDNY: "Capt Richard lived a life of service to others &amp;amp; he exemplified what it means to be brave" -#FDNY Comm Nigro https://t.co/hF…</t>
  </si>
  <si>
    <t>RT @joinFDNY: #FDNY Lt. Vernon Richard was officer in charge of #Ladder7 on 9/11 &amp;amp; was posthumously promoted to Capt #NeverForget https://t…</t>
  </si>
  <si>
    <t>RT @joinFDNY: #FDNY Capt Vernon Richard served in @USArmy prior to joining FDNY in 1977, first serving at #Ladder17 #NeverForget</t>
  </si>
  <si>
    <t>RT @joinFDNY: "Students here this fall &amp;amp; for generations to come will be inspired by his leadership, his compassion &amp;amp; most of all his brave…</t>
  </si>
  <si>
    <t>RT @joinFDNY: The renaming ceremony of #FDNYHS to Cap. Vernon A. Richard HS for Fire and Life Safety is underway. #NeverForget https://t.co…</t>
  </si>
  <si>
    <t>RT @joinFDNY: Today #FDNYHS in #Brooklyn will be named after #FDNY Capt Vernon A Richard, one of 343 killed on 9/11. #NeverForget https://t…</t>
  </si>
  <si>
    <t>Today #FDNY High School for Fire &amp;amp; Life Safety to be renamed after FDNY Capt Vernon A. Richard #NeverForget https://t.co/yKggdAyyYo</t>
  </si>
  <si>
    <t>RT @nycgob: .@FDNY confiscó #fuegosartificiales ilegales por $10,000 en preparación para el #4dejulio: https://t.co/IuAQrdB9UD https://t.co…</t>
  </si>
  <si>
    <t>RT @ArmyCorpsNAD: .@FDNY Thanks 4 supporting our organization day yesterday; yr coloring book is popular #firesafety https://t.co/6PPHMHMPpF</t>
  </si>
  <si>
    <t>Today's #FDNY #tbt photo is from 6/30/81, a 2nd alarm at 835 E 152 St #Bronx. See more https://t.co/r2KlEd3mdI https://t.co/DYvtRWmNWV</t>
  </si>
  <si>
    <t>RT @heart911team: HEART 9/11 built 40 homes in 5 days with NO POWER TOOLS Thank you #fdny #local79 #perkinseastman #hogardecristo https://t…</t>
  </si>
  <si>
    <t>RT @nycgob: .@heart911team trabaja en vieja escuela de #Ecuador junto a voluntarios del @FDNY y #Local79 (sin electricidad!) https://t.co/i…</t>
  </si>
  <si>
    <t>RT @nycgob: Comisarios de @FDNY: La causa del #incendio hoy en 218-46 Hempstead Ave #Queens fue accidental, un descuido en la cocina.</t>
  </si>
  <si>
    <t>#FDNY Fire Marshals confiscate $10k worth of illegal fireworks ahead of #4thOfJuly weekend https://t.co/zP78NSmV75 https://t.co/rNyHYUierX</t>
  </si>
  <si>
    <t>"Fire was rolling over our heads," says #FDNY Capt Weinhofer, #Ladder162. Read more https://t.co/rtghIHbPU4 https://t.co/WnZFHqcRy6</t>
  </si>
  <si>
    <t>Per #FDNY Fire Marshals: cause of today's all-hands fire at 218-46 Hempstead Ave #Queens was accidental, unattended cooking</t>
  </si>
  <si>
    <t>In the case of an emergency please always call 911 https://t.co/fO6RT7zyeD</t>
  </si>
  <si>
    <t>Press conference underway w/ #FDNY Capt Weinhofer, #Ladder162, who located unconscious patient today in #Queens fire https://t.co/obZHBoVVqJ</t>
  </si>
  <si>
    <t>RT @HotDogFDNY: Check in tomorrow to find out how Hot Dog and Siren are staying #FDNYSmart this Independence Day.  #4thOfJuly https://t.co/…</t>
  </si>
  <si>
    <t>RT @nycgob: ¿Piensa navegar este #verano? Lea estos consejos de seguridad del @FDNY! https://t.co/LayQUBWBgq https://t.co/C9O5vTn3UJ  #FDNY…</t>
  </si>
  <si>
    <t>RT @joinFDNY: One of our graduates, Storm Berry, is also the brother of #Station58 #EMT Chelsea Berry. https://t.co/DwNYyfKQcc. https://t.c…</t>
  </si>
  <si>
    <t>RT @joinFDNY: Learn more about the latest #FDNY Youth Workforce Development Winter #EMS Academy Class: https://t.co/4m4IBEIMGl. https://t.c…</t>
  </si>
  <si>
    <t>RT @heart911team: HEART 911 working Old School in Ecuador with #fdny &amp;amp; #local79 What's missing in these photos? ELECTRICAL POWER! https://t…</t>
  </si>
  <si>
    <t>RT @joinFDNY: In addition, 16 students in this graduating Youth Workforce Develop. #EMT class are now New York State certified EMTs.</t>
  </si>
  <si>
    <t>RT @joinFDNY: #FDNY Youth Workforce Develop. Valedictorian #EMT Isaiah Genyard shares remarks during the Completion Ceremony. https://t.co/…</t>
  </si>
  <si>
    <t>RT @joinFDNY: To date, 164 Youth Workforce Develop. students have become NYS certified EMTs and 50 are working for the #FDNY as EMTs.</t>
  </si>
  <si>
    <t>RT @joinFDNY: "Our Dept needs you &amp;amp; we’re looking forward to seeing the difference you can make in the lives of New Yorkers"-FDNY Comm Nigro</t>
  </si>
  <si>
    <t>RT @joinFDNY: "I look forward to shaking your hands at another graduation ceremony &amp;amp; welcoming you into the #FDNY as EMTs"-FDNY Comm Nigro</t>
  </si>
  <si>
    <t>RT @joinFDNY: "You’re on a path to a career in the world’s greatest Fire Dept"-FDNY  Comm Nigro, Youth Workforce Develop. EMS Acad. Complet…</t>
  </si>
  <si>
    <t>RT @joinFDNY: Nineteen Youth Workforce Develop. students completed the #EMT-Basic Course at our #EMS Academy in #Queens. https://t.co/RyhUX…</t>
  </si>
  <si>
    <t>RT @joinFDNY: The #FDNY Youth Workforce Development Program is celebrating its Winter #EMS Academy Completion Ceremony at HQ. https://t.co/…</t>
  </si>
  <si>
    <t>Heading out onto the water this summer? Read #FDNYSmart safety tips at https://t.co/btkdsML2qv https://t.co/Mv4uSEhHYe</t>
  </si>
  <si>
    <t>RT @nbcninjawarrior: @FDNYWomen @FDNY An AMAZING competitor! #AmericanNinjaWarrior</t>
  </si>
  <si>
    <t>RT @FDNYWomen: Super exciting to watch @FDNY Firefighter Anita Daniel on the course of @nbcninjawarrior in Philadelphia #StrongGirls #Women…</t>
  </si>
  <si>
    <t>RT @nycgob: Anita Daniel, del @FDNY, competirá en #AmericanNinjaWarrior de @NBC a las 9PM! https://t.co/eXcKDIjZFY https://t.co/glKcFPJKIr…</t>
  </si>
  <si>
    <t>RT @heart911team: HEART911 with #FDNY &amp;amp; #Local79 members built 5 houses and reinforced/cross braced 18 additional structures in 2 days http…</t>
  </si>
  <si>
    <t>RT @iHOPENYC: Today we got to say thank you to the @FDNY family for all that they do for #iHOPE and #NYC! #NYbravest #NYbest https://t.co/q…</t>
  </si>
  <si>
    <t>RT @nycgob: Miembros de la Sociedad #Hispana del @FDNY ayer en el Desfile del Festival Peruano Internacional en #Queens: https://t.co/a4H1O…</t>
  </si>
  <si>
    <t>RT @nycgob: #Vountarios del @FDNY y #Local79 ayudan a @heart911team a reconstruir en #Ecuador. Juntos cambiamos vidas. https://t.co/Ea0ieRD…</t>
  </si>
  <si>
    <t>RT @NYCHA: Take a look at our Fire Safety Tips from @FDNY for #NationalSafetyMonth https://t.co/6g5VFt2Djs https://t.co/ZNTdfYp5W5</t>
  </si>
  <si>
    <t>RT @joinFDNY: Meet #FDNY FF Noel Reyes, who competed four times on the @NBC show #AmericanNinjaWarrior. https://t.co/kV4HgMRdJq https://t.c…</t>
  </si>
  <si>
    <t>RT @joinFDNY: #FDNY FF Anita Daniel will be competing on the @NBC show #AmericanNinjaWarrior at 9 p.m. https://t.co/4nkqSGPZGc https://t.co…</t>
  </si>
  <si>
    <t>RT @heart911team: Never underestimate the power of 10 #fdny 10 #local79 focused on 1 goal 5 prefab homes &amp;amp; 15 homes repaired in 2 days http…</t>
  </si>
  <si>
    <t>Today #FDNY Hispanic Society members marched in the 3rd annual International Peruvian Festival Parade in #Queens https://t.co/LQkyYQgNvy</t>
  </si>
  <si>
    <t>RT @joinFDNY: It's been a day of learning for more than 200 aspiring #FDNY FFers as part of our Mobile Academy Event in #BK. https://t.co/A…</t>
  </si>
  <si>
    <t>See more photos from today’s #NYCPride March at https://t.co/e8vGtwRG7M #Pride2016 https://t.co/oOWbxVRJIg</t>
  </si>
  <si>
    <t>RT @nycgob: Miembros del @FDNY mostrando su apoyo por #OrlandoUnited hoy en el Desfile de #NYCPride. https://t.co/mJrkczdFlw #Pride2016</t>
  </si>
  <si>
    <t>#FDNY Comm Nigro, COD Leonard &amp;amp; members are proud to march in today’s #NYCPride March #Pride2016 https://t.co/NwWmaUs3n9</t>
  </si>
  <si>
    <t>RT @nycgob: Felicidades a EMTs Arroyo y Marrero, que acaban de comprometerse ahora en #NYCPride: https://t.co/bHOhhTgvpJ https://t.co/jkilP…</t>
  </si>
  <si>
    <t>#FDNY Chief of Dept Leonard &amp;amp;  @NYPDChiefofDept O'Neill celebrate #NYCPride #EqualityForAll https://t.co/N6ms6P0Qzu</t>
  </si>
  <si>
    <t>Congrats to #FDNY EMTs Arroyo &amp;amp; Marrero, who just got engaged at #NYCPride March! Read more https://t.co/gFNcFeHfaZ https://t.co/fpOsV7fSyq</t>
  </si>
  <si>
    <t>RT @NYCPrideMarch: Fire Department City of New York  is stepping off! #NYCPride #Pride2016 #TheMarch @FDNY https://t.co/iGDiSnfth9</t>
  </si>
  <si>
    <t>#FDNY members stand #OrlandoUnited at #NYCPride #EqualityNeedsYou #Pride2016 https://t.co/nbJHpKiXmz</t>
  </si>
  <si>
    <t>#FDNY Comm Nigro, COD Leonard &amp;amp; members are ready to step off for #NYCPride March! #Pride2016 #EqualityNeedsYou https://t.co/pfUXN16Kkb</t>
  </si>
  <si>
    <t>RT @joinFDNY: Aspiring #NewYorkCity FFers are training at Breukelen Playgrounds in #BK at our Mobile Academy Event. Join us! https://t.co/a…</t>
  </si>
  <si>
    <t>We extend our condolences to the loved ones of Lt. JoAnn Restko, EMS #Station7. Read more https://t.co/HFSadaLThW https://t.co/d7aABzCsng</t>
  </si>
  <si>
    <t>RT @nycgob: Conozca a la niña de 13 años que guió a socorristas a rescatarla junto a 2 adultos: https://t.co/R4OGTWwKub https://t.co/8Xrtum…</t>
  </si>
  <si>
    <t>RT @heart911team: The HEART 9/11 Rebuild Team is in Ecuador with volunteers from #fdny and #local79  Together we are changing lives https:/…</t>
  </si>
  <si>
    <t>#FDNY Mobile CPR Unit is at @NGBM Health Fair TODAY giving FREE CPR classes until 3:30! 215-32 Jamaica Ave #Queens https://t.co/ditbGpwtfo</t>
  </si>
  <si>
    <t>Thank you for coming by to meet #NYCBravest!  https://t.co/ihab2iJiWR</t>
  </si>
  <si>
    <t>Come by @NGBM Health Fair TODAY for FREE CPR class w/ #FDNY Mobile CPR Unit at 215-32 Jamaica Ave #Queens 11 am-3:30 pm</t>
  </si>
  <si>
    <t>RT @nycgob: .@heart911team está en Ecuador con @FDNY y #Local79 construyendo 50 viviendas prefabricadas en 6 días. https://t.co/dSFJGaX7Wq</t>
  </si>
  <si>
    <t>RT @nycgob: Vea las fotos de la graduación FOMI de @FDNY hoy en: https://t.co/OUPrlHcasI https://t.co/debA1iHU1p</t>
  </si>
  <si>
    <t>RT @NYPDnews: "There are no credible threats to this weekend's @NYCPride March. We'll be out in force protecting all" Chief Galati https://…</t>
  </si>
  <si>
    <t>Read about the ceremony honoring Veteran O’Brien at FDNY #PrideOfMidtown w/ @PurpleHeartsPHR https://t.co/dhkNLbiYHc https://t.co/zTiNszSnJD</t>
  </si>
  <si>
    <t>RT @joinFDNY: Visit our recruiters tomorrow at the @harlempridenyc Celebration at Jackie Robinson Park from 11 a.m.-6 p.m. #Pride https://t…</t>
  </si>
  <si>
    <t>#Engine54 #Ladder4 members thank Veteran O’Brien for #PurpleHeart left at the firehouse’s 9/11 memorial #NeverForget https://t.co/qVI8dwcK6A</t>
  </si>
  <si>
    <t>RT @heart911team: HEART 9/11 is in Ecuador with #fdny and #local79 this week to build 50 prefab homes in 6 days. Follow our progress https:…</t>
  </si>
  <si>
    <t>Veteran CW O’Brien meets #FDNY #PrideOfMidtown members who were anonymously gifted his #PurpleHeart 3 yrs ago https://t.co/t1ehbYb6YL</t>
  </si>
  <si>
    <t>See more photos from today’s #FDNY FOMI graduation at https://t.co/wmP6R92EW7 https://t.co/bqJ7Yvibkv</t>
  </si>
  <si>
    <t>Congrats to 15 #FDNY Officers graduating from Fire Officers Management Institute (FOMI) funded by @FDNYFoundation https://t.co/QOKJFbacV2</t>
  </si>
  <si>
    <t>Veteran CW O’Brien left his #PurpleHeart at #FDNY #Engine54 #Ladder4 as tribute. @purpleheartsphr to unite all today https://t.co/XVdqDQK9zJ</t>
  </si>
  <si>
    <t>RT @NYCDisabilities: Check out our latest #NYCatWork video profile @FDNY Lt. David Kruysman! https://t.co/aqFtjybtY6 @FDNYFoundation #disab…</t>
  </si>
  <si>
    <t>Thank you so much for visiting! We love seeing #FDNYSmart kids! https://t.co/QaluEGGfjZ</t>
  </si>
  <si>
    <t>Thank you @GeneralElectric @Columbia_Biz for continued partnership, training 200+ #FDNY officers to-date through FOMI</t>
  </si>
  <si>
    <t>RT @FDNYMuseum: On Tuesday June 28th from 10 am to 4 pm the Fire Museum is partnering with the New York Blood Center to host a... https://t…</t>
  </si>
  <si>
    <t>This is important work &amp;amp; it will not only make each of you better leaders, it’s making us a much stronger Dept -#FDNY COD Leonard</t>
  </si>
  <si>
    <t>FOMI brings new perspective &amp;amp; new possibilities for not only solving problems, but preventing them in the first place -#FDNY COD Leonard</t>
  </si>
  <si>
    <t>Thank you for stepping up as leaders, both now, &amp;amp; in the future -#FDNY Commissioner Daniel A. Nigro to FOMI graduates</t>
  </si>
  <si>
    <t>15 years later, the impact FOMI has made on our Dept is quite clear -#FDNY Commissioner Nigro at FOMI graduation https://t.co/WQyKqvVdri</t>
  </si>
  <si>
    <t>#FDNY FOMI is a 6-month program, developed based on a recommendation in the McKinsey Report done in the wake of September 11</t>
  </si>
  <si>
    <t>FOMI is funded by @FDNYFoundation &amp;amp; gives high-ranking officers a solid foundation in management principles &amp;amp; leadership strategy</t>
  </si>
  <si>
    <t>#FDNY Fire Officers Management Institute (FOMI) graduation is underway at FDNY HQ in #Brooklyn https://t.co/A2qAMnW5Lz</t>
  </si>
  <si>
    <t>RT @nycgob: Comisarios del @FDNY El #incendio en la Botánica La José, 886 Broadway #Brooklyn, fue accidental, una vela descuidada.</t>
  </si>
  <si>
    <t>RT @drfader: So great to work with on this video which highlights important work firefighters do at @FDNY and everywhere #honored https://t…</t>
  </si>
  <si>
    <t>RT @nycgob: El @FDNY sofocando un #incendio el 23 de junio 1963 en Prospect Pl #Brooklyn. Más en: https://t.co/OAEV7HTAtl https://t.co/LHhJ…</t>
  </si>
  <si>
    <t>Tomorrow @purpleheartsphr to unite Veteran w/ grateful FDNY members after he anonymously gifted his Purple Heart to #FDNY #Engine54 #Ladder4</t>
  </si>
  <si>
    <t>Per #FDNY Fire Marshals: Cause of 6/22 all-hands fire at Botanica La Jose, 886 Broadway #Brooklyn, was accidental, unattended candle</t>
  </si>
  <si>
    <t>RT @joinFDNY: Forty six #FDNYHS graduates have joined the FDNY w/ 2 serving as FFers and 44 as EMTs. Learn more about the HS: https://t.co/…</t>
  </si>
  <si>
    <t>RT @joinFDNY: Under the leadership of Principal James Anderson, the #FDNYHS Class of 2016 recites the Graduate's Oath. https://t.co/gCv9MGv…</t>
  </si>
  <si>
    <t>RT @joinFDNY: #FDNYHS Class of 2016 salutatorian Darrea White accepts her award at today's ceremony at the #FDNY Fire Academy. https://t.co…</t>
  </si>
  <si>
    <t>RT @joinFDNY: Check out #FDNYHS Class of 2016 valedictorian Constantino Zepeda accept his award at today's graduation ceremony. https://t.c…</t>
  </si>
  <si>
    <t>RT @joinFDNY: Today we celebrate the ninth graduating class from the #FDNYHS. More than 100 graduates have gone on to become state certifie…</t>
  </si>
  <si>
    <t>RT @joinFDNY: "No matter where life takes you, always remember you have a home in this Dept"-FDNY Comm Nigro shares with today's #FDNYHS gr…</t>
  </si>
  <si>
    <t>RT @joinFDNY: "Your predecessors have paved a road to success for each of you to follow." – #FDNY Comm Nigro https://t.co/uwK6FyOwcV</t>
  </si>
  <si>
    <t>RT @joinFDNY: Congrats to the 40 #FDNYHS students who are graduating today at the #FDNY Fire Academy as members of Class of 2016. https://t…</t>
  </si>
  <si>
    <t>#FDNY #tbt photo from 6/23/63, a 2nd alarm on Prospect Pl in #Brooklyn. See more https://t.co/0c4khBK61u https://t.co/MvIuExw60g</t>
  </si>
  <si>
    <t>RT @helpbhh: Thank you @FDNY for your continued support! We appreciate all that you do for us. https://t.co/OcilOIGH8R</t>
  </si>
  <si>
    <t>#FDNY is proud to support @helpbhh, w/ donations to build homes for Veterans, at their 6th annual Honoree Dinner https://t.co/V9DKAkTbyt</t>
  </si>
  <si>
    <t>RT @nycgob: Inspirando a #bomberos del futuro en la clase de Ms. Nobile! Gracias, Sr. Tabeek! @FDNY @District31R @sibfsc https://t.co/qKywG…</t>
  </si>
  <si>
    <t>RT @NYPD113Pct: Thank to everyone who responded quickly to assist us &amp;amp; Rochdale security on wellness checks during the power outage."Light…</t>
  </si>
  <si>
    <t>RT @PS21si: Inspiring future firefighters from Ms. Nobile’s class! Thank you Mr. Tabeek! @FDNY @District31R @sibfsc https://t.co/Oo0MXJF4bn</t>
  </si>
  <si>
    <t>RT @PS21si: Important FDNY safety assembly w/ Mr. Tabeek. @FDNY @sibfsc @District31R https://t.co/H4ZKzK42ZH</t>
  </si>
  <si>
    <t>RT @nycgob: Conozca a la niña de 13 años que guiaron a socorristas a rescatarla junto a 2 adultos: https://t.co/R4OGTWwKub https://t.co/8Xr…</t>
  </si>
  <si>
    <t>Read about the 13-yr-old girl who guided first responders to rescue her &amp;amp; 2 adults at https://t.co/1dlgA55JDW https://t.co/rDoscvq1r1</t>
  </si>
  <si>
    <t>Shout out to Fire Alarm Dispatch, #FDNY Marine Ops &amp;amp; @NYPDnews Aviation for coordinated efforts in water rescue on Sun 6/19</t>
  </si>
  <si>
    <t>Taylor West Duffy, daughter of #FDNY FF Thomas Duffy, awarded Silver Shield Foundation Scholarship today at FDNY HQ https://t.co/nv0RelNEtK</t>
  </si>
  <si>
    <t>RT @nycgob: El @FDNY les desea un #verano sano y seguro con consejos de @sirenfdny: https://t.co/5uG0pq7c5a https://t.co/qIHmkZ1gkY #FDNYSm…</t>
  </si>
  <si>
    <t>RT @NYCImmigrants: This #WorldRefugeeDay, NYC is proud to continue our pledge to welcome refugees. #RefugeesWelcome  https://t.co/6HQ4FXFCxf</t>
  </si>
  <si>
    <t>#GetAlarmedNYC w/ @redcrossny &amp;amp; FREE smoke/CO alarm giveaway &amp;amp; installation events. Find yours by calling @nyc311 https://t.co/OYZGHNzspd</t>
  </si>
  <si>
    <t>Happy #FirstDayOfSummer! Have a safe &amp;amp; healthy season w/ #FDNYSmart tips from @sirenfdny https://t.co/aRtEpQjeCI https://t.co/6M5jxzYFgm</t>
  </si>
  <si>
    <t>RT @NYPD19Pct: Happy #FathersDay to Richard (ret. @FDNY) from his son Officer Bevers. #NYPD #FDNYPD https://t.co/vAwuc8eeSH</t>
  </si>
  <si>
    <t>RT @NYPDMTN: Happy #FathersDay to PO Rella, pictured here with his @FDNY EMT son, John. https://t.co/ahPwhldBPp</t>
  </si>
  <si>
    <t>RT @nycgob: Jade dibujó a su padre, el teniente Jason Santiago, supervisando a paramédicos del @FDNY: Feliz #Díadelospadres ! https://t.co/…</t>
  </si>
  <si>
    <t>RT @nycgob: Ava dibujó el bote apagafuegos en el que trabaja su papá, el bombero Mark Garrett del @FDNY: Feliz #Díadelpadre ! https://t.co/…</t>
  </si>
  <si>
    <t>#HappyFathersDay https://t.co/0Q6T3MtB3G</t>
  </si>
  <si>
    <t>#HappyFathersDay https://t.co/blveEXb3X4</t>
  </si>
  <si>
    <t>Teach kids that Firefighters, EMTs &amp;amp; Paramedics are their friends. Learn more at https://t.co/R84BdTr9bv https://t.co/YW3fnW4Vzk</t>
  </si>
  <si>
    <t>We're always here to help, &amp;amp; we're proud to help keep NYers &amp;amp; visitors to our great city safe  https://t.co/qzYKfp0Dlf</t>
  </si>
  <si>
    <t>RT @nycgob: Usar un #defribrilador #AED puede salvar vidas. Info de @FDNY: https://t.co/JakxoJVd7h https://t.co/1onjlYph3F #CPRsaveslives</t>
  </si>
  <si>
    <t>Come take a FREE CPR class w/ the #FDNY Mobile CPR Unit at Riverbank State Park, 679 Riverside Dr #NYC NOW-3:30pm! https://t.co/UfSSsBKPXH</t>
  </si>
  <si>
    <t>Take a FREE CPR class TODAY w/ the #FDNY Mobile CPR Unit at Riverbank State Park, 679 Riverside Dr #NYC 11am-3:30pm https://t.co/0XMrxcFyez</t>
  </si>
  <si>
    <t>RT @nycgob: Socorristas, parientes y amigos rindieron honor al jefe Lawrence T. Stack del @FDNY. https://t.co/pAAFxQTPsZ #NeverForget</t>
  </si>
  <si>
    <t>RT @NYPDCT: Another reminder that we #NeverForget our officers. Great job by all .@NYPD79Pct .@NYPD113Pct Thx - .@FDNY https://t.co/rpjvPm1…</t>
  </si>
  <si>
    <t>RT @nycgob: .@FDNYPipeBand hoy en la procesión del funeral del jefe de batallón Stack: https://t.co/ton1C959S8 @FDNY #NeverForget</t>
  </si>
  <si>
    <t>RT @nycgob: .@FDNY recuerda a #bomberos Ford, Fahey y Downing, muertos en el #Díadelpadre hace 15 años. https://t.co/yT5Tfyx3Jv https://t.c…</t>
  </si>
  <si>
    <t>See more photos from today's funeral mass for #FDNY BC Lawrence T. Stack at https://t.co/c3HpicTeuC #NeverForget https://t.co/iqlysYabT8</t>
  </si>
  <si>
    <t>"We never forgot him" -Theresa Stack, widow of #FDNY BC Lawrence T. Stack https://t.co/53MfGyJI69   #NeverForget https://t.co/SBVuwqYHTi</t>
  </si>
  <si>
    <t>Larry Stack lived for the FDNY -Comm Nigro at today’s funeral mass. #NeverForget Read more https://t.co/zI2mgX10tE https://t.co/LA6CaKUVxV</t>
  </si>
  <si>
    <t>#FDNY BC Lawrence T. Stack, a @USNavy Veteran, will be laid to rest at Calverton National Cemetary #NeverForget https://t.co/hdTKEyvv2x</t>
  </si>
  <si>
    <t>First responders, family &amp;amp; friends gather to pay their respects to #FDNY BC Lawrence T. Stack #NeverForget https://t.co/B20aXSRrut</t>
  </si>
  <si>
    <t>.@FDNYPipeBand leads the procession for the funeral mass for #FDNY BC Stack #NeverForget https://t.co/nlmybsG8yR</t>
  </si>
  <si>
    <t>Lt Michael Stack &amp;amp; FF Brian Stack, pallbearers at the funeral mass for their father BC Lawrence Stack #NeverForget https://t.co/EhgnG1UyBg</t>
  </si>
  <si>
    <t>Today we remember BC Lawrence T Stack, 33-yr FDNY veteran who made the Supreme Sacrifice on 9/11/01 #NeverForget https://t.co/vQc5hfS6qO</t>
  </si>
  <si>
    <t>Today we remember #FDNY FFers Ford, Fahey &amp;amp; Downing who died in Father’s Day fire 15 yrs ago https://t.co/nHvFtwnoK4 https://t.co/ODwNDQOd7R</t>
  </si>
  <si>
    <t>Guys, I think they’re going to need us over there –BC Stack, 9/11/01 #NeverForget Read more https://t.co/jGKXQpCQAR https://t.co/0oEZT5JX3Z</t>
  </si>
  <si>
    <t>RT @eberarroyoj: Visitamos estación No. 8 de @FDNY para conocer modelo de gestión operativo. ¡Gracias por la hospitalidad, camaradas! https…</t>
  </si>
  <si>
    <t>#FDNY members participate in the #OrlandoUnited tribute at the #911Memorial Survivor Tree https://t.co/m5HZD45Udk</t>
  </si>
  <si>
    <t>#FDNY honors BC Lawrence Stack who died on 9/11 &amp;amp; will be laid to rest tomorrow https://t.co/v7UFP3Jk33 #NeverForget https://t.co/0hTzUdLPhb</t>
  </si>
  <si>
    <t>RT @nycgob: El @FDNY enfrentando un #incendio un día como hoy en 1981 en Longwood Ave #ElBronx: https://t.co/XyBZ3EH6fr https://t.co/Qbezts…</t>
  </si>
  <si>
    <t>RT @nycgob: Los niños sienten una curiosidad natural por el fuego. Protéjalos con estos consejos del @FDNY:  https://t.co/hWPbBWgYqk #españ…</t>
  </si>
  <si>
    <t>Today's #FDNY #tbt photo is from 6/16/81, a 3rd-alarm at 850 Longwood Ave #Bronx. See more https://t.co/ruRkUn6c5d https://t.co/XBDLA4sQJL</t>
  </si>
  <si>
    <t>#FDNY Chaplain Rev. Ann Kansfield leads #Pride #WeWo at @MarbleChurch https://t.co/sHr4jF6N9U</t>
  </si>
  <si>
    <t>RT @nycgob: Comisarios del @FDNY: El #incendio de esta mañana en la Iglesia bautista Mt Sinai de 84 Quincy St fue accidental, un fallo eléc…</t>
  </si>
  <si>
    <t>RT @SirenFDNY: Read my latest blog post about staying #FDNYSmart this summer!  https://t.co/tWoln8VzjK</t>
  </si>
  <si>
    <t>RT @NYCImmigrants: #DACA significa una licencia de conducir, un permiso de trabajo, y mantener unidas a nuestras familias. #DACAWorks https…</t>
  </si>
  <si>
    <t>RT @nycgob: Lea más sobre el evento de #veteranos de #Vietnam50 este fin de semana en: https://t.co/0oUFXQO86p https://t.co/Qhm7jxj06u @FDNY</t>
  </si>
  <si>
    <t>RT @nycgob: Vea más fotos del Desfile #Puertorriqueño en: https://t.co/5VE3deHPyt https://t.co/Ngl8UrJhay @FDNY #PRParade</t>
  </si>
  <si>
    <t>Per #FDNY Fire Marshals: Cause of this morning's all-hands fire at 84 Quincy St, Mt Sinai Baptist Church was accidental, electrical</t>
  </si>
  <si>
    <t>RT @NYCMayoralPhoto: First Lady @Chirlane McCray attends the first ever @FDNY LGBT Pride Event to help commemorate LGBT Pride Month. https:…</t>
  </si>
  <si>
    <t>RT @nycHealthy: Potential emotional reactions: Shock, fear, anxiety, anger and agitation: https://t.co/fxLcGj0DFj #WeAreOrlando https://t.c…</t>
  </si>
  <si>
    <t>#FDNY Commissioner Nigro swears in 15-yr-old Giuseppe Parrelli as Honorary FDNY Firefighter https://t.co/zBk50bYysm https://t.co/kZnkPgo4so</t>
  </si>
  <si>
    <t>See photos from the #FDNY Relay Responders' participation in #RelayforLife of Manhattan at https://t.co/EiDPO1Dizd https://t.co/03k0BoBIGi</t>
  </si>
  <si>
    <t>See more photos from last night's first annual #FDNY LGBTQ #Pride Celebration at https://t.co/eXhSNRJvwZ https://t.co/xcw3XMAhEb</t>
  </si>
  <si>
    <t>See more photos from Sunday's #PRParade at https://t.co/tAO4PaIDdf https://t.co/yLDiWJk9Ph</t>
  </si>
  <si>
    <t>RT @ArmyCorpsNAD: Thank you for celebrating the #ArmyBirthday with us, @FDNY. Proud to serve with you! https://t.co/Sp0eWTctfj</t>
  </si>
  <si>
    <t>#FDNY @USArmy Veterans celebrate the 241st #ArmyBDay w/ #ArmyTeam in #TimesSquare #MilitaryIsland https://t.co/PTsyBQB0cD</t>
  </si>
  <si>
    <t>RT @GoArmy: Happy 241st Birthday to the #ArmyTeam! 
We’re honoring #ArmyBDay in @TimesSquareNYC today. https://t.co/A9L3udEiIs</t>
  </si>
  <si>
    <t>RT @nycgob: #Orlando en nuestros corazones ayer en la celebración de orgullo #LGBTQ en @FDNYMuseum. https://t.co/R9Ot53wLI1 @FDNY #OrlandoU…</t>
  </si>
  <si>
    <t>#FDNY is proud to honor the Stars and Stripes on #FlagDay and every day https://t.co/bLgUURPGS4</t>
  </si>
  <si>
    <t>Read more about this weekend's #FDNY #Vietnam50 event at https://t.co/Kz8DHmQeTj https://t.co/V9IMisJS4n</t>
  </si>
  <si>
    <t>See more photos from the @USArmy 241st Birthday #ArmyWeek Gala at https://t.co/oHDG5VZZPm https://t.co/h4cKHaMG1e</t>
  </si>
  <si>
    <t>Thanks @USArmy for honoring Ret. #FDNY FF &amp;amp; #Vietnam Veteran Lee Ielpi, 2016 Soldier for Life Award #ArmyWeek Gala https://t.co/cvsx7P55kA</t>
  </si>
  <si>
    <t>RT @tonewallnyc: Posing after our performance with Commissioner Nigro of the @FDNY! #lookingsharp #Pride #iheartTNWL #LoveWins https://t.co…</t>
  </si>
  <si>
    <t>RT @NYCMayorsOffice: WATCH NOW: We're live at the #WeAreOrlando vigil at @TheStonewallNYC. https://t.co/8RUvV9Dt3s</t>
  </si>
  <si>
    <t>Thanks @DJJAZZYJOYCE &amp;amp; Gina Tonic for helping us spread the love as we celebrate #FDNY #Pride &amp;amp; stand #OrlandoUnited https://t.co/GdMM95Khtx</t>
  </si>
  <si>
    <t>#FDNY Dep Asst Chief &amp;amp; Chief of EMS Training, Lillian Bonsignore, honored at 1st FDNY LGBTQ #Pride event https://t.co/Hh44aWbZix</t>
  </si>
  <si>
    <t>RT @nycgob: Todos somos #Orlando esta noche. #WeAreOrlando https://t.co/h6ndWYMIIR</t>
  </si>
  <si>
    <t>Thank you @tonewallnyc for celebrating #Pride w/ the #FDNY at the first annual LGBTQ Pride event https://t.co/wCTuetHHya</t>
  </si>
  <si>
    <t>RT @Chirlane: "We vow to continue moving forward and to change what needs to be changed." - Commissioner Nigro, head of @FDNY. 
#WeAreOrla…</t>
  </si>
  <si>
    <t>When hatred shows its face, we say love shall prevail -Dr Brown accepts @MarbleChurch honor at #FDNY LGBTQ #Pride event #OrlandoUnited</t>
  </si>
  <si>
    <t>RT @Chirlane: At @FDNY LGBT Pride where Commissioner Nigro made clear that the city that experienced 9/11 stands with Orlando. https://t.co…</t>
  </si>
  <si>
    <t>“FDNY clearly stands on the right side of history” -Tanya Koifman, Clinical Social Worker at @HMCRA honored at 1st annual #FDNY #Pride event</t>
  </si>
  <si>
    <t>We celebrate LGBTQ #Pride in the #FDNY &amp;amp; we remain committed, more than ever, to honor &amp;amp; celebrate our differences - FDNY Commissioner Nigro</t>
  </si>
  <si>
    <t>While the goal of the haters is to stop us from celebrating who we are &amp;amp; what we believe, that’s not going to happen -#FDNY Comm Nigro</t>
  </si>
  <si>
    <t>We have witnessed this kind of hate before, including when our city was attacked 15 yrs ago -#FDNY Comm Nigro #OrlandoUnited #Pride</t>
  </si>
  <si>
    <t>All good people throughout the world are stung by this vile, hateful act -FDNY Commissioner Nigro at #FDNY #Pride event #OrlandoUnited</t>
  </si>
  <si>
    <t>The #FDNY extends its arms in support. Know that we are never alone -FDNY LGBTQ Outreach Coordinator FF Brooke Guinan #OrlandoUnited</t>
  </si>
  <si>
    <t>We pray for all first responders who continue to come to the aid of those of us in need of help -FDNY Chaplain Rev Kansfield, #Pride event</t>
  </si>
  <si>
    <t>The #FDNY is highlighting achievers in the LGBTQ community who exemplify what it means to be a hero #Pride https://t.co/FEMxFeT1j4</t>
  </si>
  <si>
    <t>#Orlando is in our hearts as we begin the first annual FDNY LGBTQ Pride Celebration at @FDNYMuseum #OrlandoUnited https://t.co/Mck7aSkkDO</t>
  </si>
  <si>
    <t>RT @nycgob: El jefe Leonard, el comisionado y miembros del @FDNY ayer en el 59no Desfile #puertorriqueño: https://t.co/SlhaiTIQgh #PRPa</t>
  </si>
  <si>
    <t>Join NYC at The Stonewall Inn on Monday at 7 to honor victims of #Orlando #PulseShooting https://t.co/SI1w2wyy0a</t>
  </si>
  <si>
    <t>RT @FDNYAlerts: BKLYN 7-ALARM GATEWAY MARINA, LARGE AREA OF BRUSH, UNDER CONTROL</t>
  </si>
  <si>
    <t>RT @nycgob: #Bombero con lesiones menores en #incendio en Gateway Marina / Flatbush Ave #Brooklyn https://t.co/LDQpotb8AY @FDNY</t>
  </si>
  <si>
    <t>.@NYPDnews helicopter operating Bambi Bucket, battling 7th alarm w/ #FDNY at Gateway Marina/Flatbush Ave #Brooklyn https://t.co/T33NK2HGrz</t>
  </si>
  <si>
    <t>Brush fire at Gateway Marina / Flatbush Ave #Brooklyn now 7-alarm, no additional injuries reported https://t.co/mqV10D0zhJ</t>
  </si>
  <si>
    <t>RT @FDNYAlerts: BKLYN 7-ALARM GATEWAY MARINA, LARGE AREA OF BRUSH,</t>
  </si>
  <si>
    <t>One minor injury to a FF reported in 6-alarm fire at Gateway Marina / Flatbush Ave #Brooklyn https://t.co/zuOepakKHK</t>
  </si>
  <si>
    <t>RT @FDNYAlerts: BKLYN 6-ALARM GATEWAY MARINA, BRUSH FIRE,</t>
  </si>
  <si>
    <t>#FDNY members are on scene of a 5-alarm brush fire at Knapp St &amp;amp; Belt Pkwy #Brooklyn https://t.co/MvJHrUbY2d</t>
  </si>
  <si>
    <t>RT @FDNYAlerts: BKLYN 5-ALARM KNAPP ST, BRUSH FIRE,</t>
  </si>
  <si>
    <t>RT @FDNYAlerts: BKLYN 4-ALARM KNAPP ST, BRUSH FIRE,</t>
  </si>
  <si>
    <t>RT @NYCMayorsOffice: We mourn with the people of Orlando and the LGBT community as a whole on the news that -once again- we have lost preci…</t>
  </si>
  <si>
    <t>RT @NYPDnews: There are no credible threats to #NYC stemming from the incident in #Orlando.</t>
  </si>
  <si>
    <t>RT @FDNYAlerts: BKLYN 3-ALARM KNAPP ST, BRUSH FIRE,</t>
  </si>
  <si>
    <t>#FDNY Comm Nigro, COD Leonard &amp;amp; members participate in today's 59th annual #PRparade https://t.co/r72glSbggw</t>
  </si>
  <si>
    <t>#FDNY Mobile CPR Unit are giving FREE CPR classes at @BklynFaithSDA 5518 Church Ave #Brooklyn TODAY until 3:30 https://t.co/SYkI4zOcPr</t>
  </si>
  <si>
    <t>Come by @CWCSpringfield for FREE CPR class w/ #FDNY Mobile CPR Unit TODAY 12pm - 4:30pm, 145-94 176 St #Jamaica #Queens</t>
  </si>
  <si>
    <t>#FDNY Mobile CPR Unit will be giving FREE CPR classes at @BklynFaithSDA 5518 Church Ave #Brooklyn TODAY 11am-3:30pm</t>
  </si>
  <si>
    <t>RT @nycgob: .@mayorsCAU estuvo en el Desfile del orgullo #LGBTPride de #Brooklyn con amigos en el @FDNY https://t.co/102zMPLkOr</t>
  </si>
  <si>
    <t>RT @nycgob: El #FDNY agradece y honra hoy a los #veteranos de #Vietnam en sus filas: https://t.co/kWSy3YhIF8 @FDNY #WelcomeHome #Vietnam50</t>
  </si>
  <si>
    <t>RT @mayorsCAU: Happy #LGBTPride w/ our friends at @FDNY at the 20th annual #Brooklyn Pride Parade! https://t.co/K7908QF8hS</t>
  </si>
  <si>
    <t>RT @nycgob: La #resucitacióncardiopulmonar salva vidas! Clases #gratis del @FDNY en: https://t.co/LIWXf2PgmM https://t.co/MSDcUIniHv  #CPRs…</t>
  </si>
  <si>
    <t>#FDNY is one of 10k partners participating in #Vietnam50. Learn more at https://t.co/IwdfG4JibI #WelcomeHome https://t.co/hWYDRq8zkw</t>
  </si>
  <si>
    <t>Your strength carries this country. It has not gone unnoticed &amp;amp; it will never be forgotten -retired @USArmy Maj Gen Peter Aylward #Vietnam50</t>
  </si>
  <si>
    <t>RT @nycgob: El @FDNY honra hoy a 200+ miembros activos y retirados que son #veteranos de la guerra de #Vietnam. https://t.co/72EZMl7nX0 #Vi…</t>
  </si>
  <si>
    <t>You put your country before your own lives &amp;amp; then you did it for your city as well -FDNY Chief of Dept Leonard to #FDNY #Vietnam50 attendees</t>
  </si>
  <si>
    <t>It’s an honor to stand before a group for which I have the utmost respect &amp;amp; gratitude -FDNY COD Leonard at #FDNY #Vietnam50 commemoration</t>
  </si>
  <si>
    <t>#WelcomeHome #Vietnam50 #thankandhonor https://t.co/jANdgx4lhP</t>
  </si>
  <si>
    <t>.@FDNYPipeBand welcomes all to #Vietnam50 commemorative event at the #FDNY Fire Academy on #RandallsIsland https://t.co/AbNR4QeR0d</t>
  </si>
  <si>
    <t>Today we #thankandhonor 200+ #FDNY members who are active &amp;amp; retired #VietnamWar era veterans for #Vietnam50 https://t.co/fT2vacct4X</t>
  </si>
  <si>
    <t>#FDNY Commissioner Nigro &amp;amp; COD Leonard join FDNY Relay Responders at #RelayForLife at @IntrepidMuseum https://t.co/FIZ0w587TJ</t>
  </si>
  <si>
    <t>RT @joinFDNY: Visit us tomorrow at the @brooklyn_pride parade. We will be on 5th Ave. b/t 4th and 5th streets from 11 a.m.-5 p.m. https://t…</t>
  </si>
  <si>
    <t>#FDNY Fire Marshals make arrest in connection w/ deliberately set fire at car wash on SI https://t.co/yzNOEkM4Gf https://t.co/E7jfJo5gsH</t>
  </si>
  <si>
    <t>Be #FDNYSmart, plan for fire escape by keeping your home's stairways &amp;amp; exits clear of clutter &amp;amp; storage. Learn more https://t.co/oD3oGOqmZ5</t>
  </si>
  <si>
    <t>#FDNY Relay Responders team is ready for tonight's @RelayforLife of Manhattan! Learn more https://t.co/pVAbtucuu2 https://t.co/LpTnblwcxZ</t>
  </si>
  <si>
    <t>RT @joinFDNY: Don't forget to check out our photo album from today's Mobile Academy Event in #Brooklyn. https://t.co/o3Oejcpssh https://t.c…</t>
  </si>
  <si>
    <t>RT @nycgob: El @FDNY enfrentando un incendio el 9 de junio de 1969 en Myrtle Ave #Brooklyn. https://t.co/RihOqXW2vE https://t.co/U7WsSgtRGN…</t>
  </si>
  <si>
    <t>RT @nycgob: El monóxido de carbono mata en silencio. Consigue una alarma #gratis con @FDNY y @redcrossny llamando a @nyc311. #GetAlarmedNYC</t>
  </si>
  <si>
    <t>#FDNY members from #Marine1 &amp;amp; #Marine6 save man floating on makeshift raft in NY Harbor https://t.co/Wg62a1ljyS https://t.co/nNOQEFNa8D</t>
  </si>
  <si>
    <t>Have your say on street fairs in your NYC neighborhood. Take the Mayor’s Office street fair survey today: https://t.co/jOGKNSqMTC</t>
  </si>
  <si>
    <t>RT @joinFDNY: Come learn about being a #FDNY #Firefighter at Commodore Barry Park in #Brooklyn. We will be here until 5 p.m. https://t.co/l…</t>
  </si>
  <si>
    <t>RT @joinFDNY: Commodore Barry Park in #BK is bustling with aspiring #FDNY Firefighters today as part of our Mobile Academy Event. https://t…</t>
  </si>
  <si>
    <t>RT @joinFDNY: Young residents from the #NYC area are learning about the best job in the world today at our Mobile Academy Event. https://t.…</t>
  </si>
  <si>
    <t>Carbon monoxide is a silent killer, undetectable by human senses. #GetAlarmedNYC w/ @redcrossny &amp;amp; free smoke/CO alarms by calling @nyc311</t>
  </si>
  <si>
    <t>RT @joinFDNY: As part of today's Mobile Academy Event in #BK, aspiring #FDNY #Firefighters are learning how to don bunker gear. https://t.c…</t>
  </si>
  <si>
    <t>RT @nycgob: Reclutas de @joinFDNY entrenándose hoy en un evento de la Academia móvil del @FDNY en #Brooklyn. https://t.co/9UEf4ElcJc #LosMá…</t>
  </si>
  <si>
    <t>RT @joinFDNY: Aspiring #FDNY firefighters are training with New York's Bravest today at our Mobile Academy Event in #Brooklyn. https://t.co…</t>
  </si>
  <si>
    <t>Today's #FDNY #tbt photo is from 6/9/69, a 2nd-alarm at 1225 Myrtle Ave #Brooklyn. See more https://t.co/ewi0s2AcUe https://t.co/pxQ9qzVHbc</t>
  </si>
  <si>
    <t>Thank you Fire Bell Club for honoring two of this year’s #FDNY Medal recipients, Lt Colleluori &amp;amp; Lt Ingram https://t.co/31W4Us5Egz</t>
  </si>
  <si>
    <t>RT @nycgob: .@nycoem quiere que Ud #sepacuálessuzona esta temporada de #huracanes. Visite: https://t.co/kDsHl9o7VE o llame al 311. @FDNY #c…</t>
  </si>
  <si>
    <t>See the presentation of unusual archives as City Reliquary presents Collector's Night at @FDNYMuseum on Friday 6/10! https://t.co/hbRywG7Wm9</t>
  </si>
  <si>
    <t>.@nycoem wants you to #knowyourzone this hurricane season. Learn how by visiting https://t.co/uGtZlj4rP8 or calling @nyc311</t>
  </si>
  <si>
    <t>This #PrideMonth, @NYCCHR says "use the bathroom consistent with who you are" https://t.co/cOCa6QDBgU #BeYouNYC https://t.co/cJJayyqVD7</t>
  </si>
  <si>
    <t>RT @nycgob: Banderas del @FDNY a media asta por el sargento Miguel Colón-Vázquez de @USArmy, muerto en cumplimiento del deber. https://t.co…</t>
  </si>
  <si>
    <t>#FDNY flags at half-staff honor @USArmy Staff Sgt Miguel Colon-Vazquez of #Brooklyn, who died in line of duty on 6/2 https://t.co/OXQZALJgj5</t>
  </si>
  <si>
    <t>Yes, compressions-only CPR classes are offered in all 5 boroughs. Visit https://t.co/hieGRhEAzY to learn more https://t.co/6rzuJYF9Rd</t>
  </si>
  <si>
    <t>The #FDNY Be-911 CPR Program can help you save a life. Learn more at https://t.co/hieGRhEAzY #CPRsaveslives https://t.co/Kirh4nRRnb</t>
  </si>
  <si>
    <t>#FDNY Mobile CPR Unit offering FREE CPR training TODAY at EMS #Station35, 332 Metropolitan Ave #Williamsburg, 3-6 pm #CPRsaveslives</t>
  </si>
  <si>
    <t>Come by Adam Clayton Powell State Office Bldg, 63 W 125 St #Harlem TODAY, 11-1pm, for FREE training w/ #FDNY Mobile CPR Unit #CPRsaveslives</t>
  </si>
  <si>
    <t>Read about Saturday's #FDNY #Ladder146 Centennial celebration at https://t.co/hQfsdjvFV3 https://t.co/f9dsJFJIqA</t>
  </si>
  <si>
    <t>@DanielPlatt2022 Please follow us and we will send a DM. Thank you</t>
  </si>
  <si>
    <t>An operable smoke alarm cuts your chances of dying in a fire nearly in half. New Yorkers can #GetAlarmedNYC by calling @nyc311</t>
  </si>
  <si>
    <t>No working smoke alarm found at fatal all-hands fire this am at Marlborough Rd #Brooklyn. NYers - #GetAlarmedNYC for FREE by calling @nyc311</t>
  </si>
  <si>
    <t>Please call @nyc311 to learn about @NYC_DOT fitting events, or to make an appointment at a DOT Fitting Station https://t.co/Oxpz6y5Vo4</t>
  </si>
  <si>
    <t>The City Reliquary presents Collector's Night at @FDNYMuseum on Friday, 6/10. See attached for info https://t.co/8iqmlJpmdE</t>
  </si>
  <si>
    <t>RT @SirenFDNY: Making new buds and teaching them how to be #FDNYSmart at The Seton Foundation's Family Fun Day! https://t.co/r8DxiyQqvM</t>
  </si>
  <si>
    <t>RT @SirenFDNY: #CPRsaveslives!  #FDNY CPR Mobile Unit at Melrose Ave &amp;amp; E 149th St at 3 -6p TODAY! https://t.co/wBMSxAJI1k</t>
  </si>
  <si>
    <t>Thank you Seton Foundation for inviting #FDNY members to your annual Family Fun Day #OnStatenIsland! https://t.co/FKsVaBgGdj</t>
  </si>
  <si>
    <t>#CPRsaveslives &amp;amp; using an AED could be the difference between life &amp;amp; death. Learn more at https://t.co/9CGFmMQkvH https://t.co/Yk4bxJE47M</t>
  </si>
  <si>
    <t>#FDNY Mobile CPR Unit is giving FREE training for CPR &amp;amp; AED Awareness Week, TODAY 3-6pm, Melrose Ave &amp;amp; 149 St #Bronx #CPRsaveslives</t>
  </si>
  <si>
    <t>#FDNY members march in the 2016 Philippine Independence Day Parade https://t.co/gtSHAvXzlj</t>
  </si>
  <si>
    <t>#CPRsaveslives &amp;amp; it's easy to sign up for a FREE class! Learn more at https://t.co/hieGRhEAzY https://t.co/EjfgABGHXH</t>
  </si>
  <si>
    <t>Today #FDNY members march in the #CelebrateIsrael Parade #TogetherOnFifth https://t.co/KaC0C5AUAR</t>
  </si>
  <si>
    <t>RT @NYPD113Pct: FDNY working hard this morning. F.F.Powder &amp;amp; her team put up a new Flag in Baisley Park @FDNY @FDNYWomen  @NYCParks https:/…</t>
  </si>
  <si>
    <t>RT @nycrecords: Today in 1931 @NYPDNews and @FDNY commissioners award prizes to 200 students for anti-litter drive #thisdayinhistory https:…</t>
  </si>
  <si>
    <t>RT @nycgob: La compañía #Ladder146 celebra hoy 100 años de servicio abnegado a #Greenpoint y #Williamsburg. https://t.co/3ArB970owK @FDNY</t>
  </si>
  <si>
    <t>RT @nycgob: Vea más fotos del centenario de la compañía  #Ladder146 en: https://t.co/HrquXHKPCy https://t.co/dTKdhITcyS @FDNY</t>
  </si>
  <si>
    <t>See more photos from today’s #Ladder146 Centennial Celebration at https://t.co/ZVPmGi333R https://t.co/h8wEPnCGuu</t>
  </si>
  <si>
    <t>That’s our greatest tradition, always being ready to respond when the alarm sounds - #FDNY BKBC Chief Cartwright https://t.co/5KZCnRqfRX</t>
  </si>
  <si>
    <t>Today is about remembering &amp;amp; honoring all those that came before us -FDNY Commissioner Nigro, #Ladder146 Centennial https://t.co/zKPKH1S2kT</t>
  </si>
  <si>
    <t>Today #FDNY #Ladder146 celebrates 100 yrs of dedicated service to #Greenpoint &amp;amp; #Williamsburg https://t.co/RDY0uzmDhm</t>
  </si>
  <si>
    <t>#FDNY honors memory of Capt John Graziano in street co-naming #OnStatenIsland https://t.co/t8h0FOoXb5 #NeverForget https://t.co/pSJAVpYftD</t>
  </si>
  <si>
    <t>RT @nycgob: La Unidad móvil de #CPR ofrece clases #gratis (sólo compresión) en: https://t.co/5yUyAYDCOR https://t.co/2j4FkKfHkp @FDNY #CPRs…</t>
  </si>
  <si>
    <t>It's CPR &amp;amp; AED Awareness Week &amp;amp; the #FDNY Mobile CPR Unit can teach you how to Be 911! Learn more https://t.co/zKbrR6sS8s #CPRsaveslives</t>
  </si>
  <si>
    <t>NYC has 6 hurricane evacuation zones. Which zone do you live in? Visit https://t.co/uGtZlj4rP8 to find out! #knowyouzone</t>
  </si>
  <si>
    <t>In video obtained by #FDNY Fire Marshals, suspects in #Bronx arson attempt to flee in vehicle, w/ 1 suspect on fire https://t.co/APcxJote9D</t>
  </si>
  <si>
    <t>RT @nycgob: Comisarios del @FDNY: La causa del incendio en la catedral ortodoxa #serbia fue accidental, velas que no se apagaron por comple…</t>
  </si>
  <si>
    <t>#FDNY Fire Marshals arrest 2 suspects for arson fire at #Bronx café on Mother’s Day https://t.co/4DEfISGZ0d https://t.co/rtoYXUh2Iv</t>
  </si>
  <si>
    <t>#FDNY Paramedic O’Shaughnessy is awarded the Tracy Allen-Lee Medal. Read more https://t.co/fHwT4YLuAe https://t.co/JHSfNH58pB</t>
  </si>
  <si>
    <t>RT @nycgob: #Bomberos del @FDNY honrados antier en 147ma ceremonia del Día de las medallas. Más info: https://t.co/6SnWa6dOVK https://t.co/…</t>
  </si>
  <si>
    <t>Emily Trevor/Mary B Warren Medal awarded to #FDNY Firefighter Joseph Andres. Read more https://t.co/Sgmv2V1fil https://t.co/Om6vARo5nO</t>
  </si>
  <si>
    <t>Come by Midland Beach Promenade, Hunter Ave &amp;amp; Father Cappodanno Blvd #OnStatenIsland for FREE CPR training TODAY 4-7 pm #CPRsaveslives</t>
  </si>
  <si>
    <t>RT @SirenFDNY: TODAY the #FDNY will be at Midland Beach Promenade/Boardwalk on SI from 4-7pm for a FREE CPR Event.  #CPRsaveslives. https:/…</t>
  </si>
  <si>
    <t>#FDNY Mobile CPR Unit offers free compressions-only CPR classes. Visit https://t.co/Yp05nNnK8p #CPRsaveslives https://t.co/3vuXJMfFBH</t>
  </si>
  <si>
    <t>FDNY Fire Marshals: Cause of 5/1 4th alarm at Serbian Orthodox Cathedral 15 W 25 St was accidental, candles had not been fully extinguished</t>
  </si>
  <si>
    <t>Please call (718) 999-FDNY &amp;amp; ask to speak to the events coordinator  https://t.co/4lfiOvpSbD</t>
  </si>
  <si>
    <t>#FDNY members from #Rescue1 honored at the 147th annual Medal Day ceremony. Read more https://t.co/9ru0Pf379M https://t.co/pJMBox1EZM</t>
  </si>
  <si>
    <t>RT @nycgob: El @FDNY enfrentando un incendio en la calle 58 de #Queens el 2 de junio de 1963: https://t.co/DlNQxVA9Y2 https://t.co/2Ny6JWNS…</t>
  </si>
  <si>
    <t>RT @nycgob: El #bombero Hillmann recibió medalla Vincent Kane por salvar niño atrapado en hielo. https://t.co/O1GNyAvKp0 https://t.co/vGtkN…</t>
  </si>
  <si>
    <t>Read about the heroic actions of yesterday's #FDNY Chief James Scullion Medal winners at https://t.co/37xAd3JPWT https://t.co/CfjZwHB24U</t>
  </si>
  <si>
    <t>#FDNY Mobile CPR trained #Queens residents today, will be #OnStatenIsland tomorrow, Midland Beach Promenade 4-7pm https://t.co/vF0QhK1s0F</t>
  </si>
  <si>
    <t>#FDNY FF Marchese was awarded the John H. Prentice Medal at yesterday's Medal Day ceremony https://t.co/pFiy3ipTzq https://t.co/ZfCLb0MsP0</t>
  </si>
  <si>
    <t>#FDNY members from #Engine289 honored at FDNY Medal Day ceremony. Read more https://t.co/mKbCq3IFsO https://t.co/EgoNbcd2OR</t>
  </si>
  <si>
    <t>#FDNY Fire Marshals Egan &amp;amp; Ramos awarded Deputy Comm Christine R. Godek Medal. Read more https://t.co/SkK4Q6RKBV https://t.co/GTk1BONZlu</t>
  </si>
  <si>
    <t>#FDNY Mobile CPR Unit offering FREE training at #Queens Borough Hall NOW - 2 pm. 120-55 Queens Blvd #CPRsaveslives https://t.co/LKao2Qq47X</t>
  </si>
  <si>
    <t>Vincent Kane Medal awarded to #FDNY FF Hillmann for saving boy trapped on the ice. Read more https://t.co/61iVkYdUPz https://t.co/BZu5cl4kvz</t>
  </si>
  <si>
    <t>.@SirenFDNY is celebrating CPR &amp;amp; AED Awareness Week by sharing tips about how #CPRsaveslives! https://t.co/mvq3ERAGY0</t>
  </si>
  <si>
    <t>RT @nycgob: La Unidad de #CPR móvil del @FDNY ofrece clases #gratis esta semana en: https://t.co/f1N25qUkcK #AEDAwarenessWeek #CPRsaveslives</t>
  </si>
  <si>
    <t>Today's #FDNY #tbt photo is from 6/2/63, a 3rd alarm at 58th St in #Queens. See more at https://t.co/RvZcOz4Bwn https://t.co/nabvD1rcm9</t>
  </si>
  <si>
    <t>#FDNY Mobile CPR Unit will be at #Queens Borough Hall, 11-2 today, offering FREE training! 120-55 Queens Blvd #CPRsaveslives</t>
  </si>
  <si>
    <t>RT @nycgob: Los bomberos Cassidy y Springstead, premiados en la ceremonia del Día de las medallas: https://t.co/jyhT03jAKC https://t.co/RM8…</t>
  </si>
  <si>
    <t>RT @nycgob: El #bombero Shepherd recibió hoy la Medalla del jefe John J. McElligott: https://t.co/wcKxflII2M https://t.co/2pZQHIVBwj @FDNY</t>
  </si>
  <si>
    <t>RT @nycgob: Vea más fotos de la 147ta ceremonia del Día de las medallas del @FDNY en: https://t.co/wd0HEsnaQZ https://t.co/hMkKioNOLR</t>
  </si>
  <si>
    <t>RT @NYPD43Pct: We took the time to recognize our @FDNY neighbors who along with us risks their lives every day to help you. https://t.co/SC…</t>
  </si>
  <si>
    <t>The 2016 #FDNY Medal Day Book is available to view online! Visit https://t.co/ZHfFOCqFke https://t.co/6IY0wSUU6m</t>
  </si>
  <si>
    <t>Think fast! If a hurricane came to NYC, would you know what to do? https://t.co/uGtZliMQqy #knowyourzone https://t.co/mdrIFlE5Df</t>
  </si>
  <si>
    <t>RT @nycgob: .@BilldeBlasio y el comisionado del @FDNY en la ceremonia del Día de las medallas hoy en City Hall. https://t.co/sBz3WWR716 @NY…</t>
  </si>
  <si>
    <t>See more photos from the 147th annual #FDNY Medal Day ceremony at https://t.co/1CC7pyR8ej https://t.co/4gIYGIwrf4</t>
  </si>
  <si>
    <t>RT @NYCMayoralPhoto: .@BilldeBlasio and @FDNY Commissioner Daniel Nigro lead the annual Medal Day celebration, honoring acts of valor. http…</t>
  </si>
  <si>
    <t>#FDNY Mobile CPR Unit offering FREE training in all 5 boroughs for CPR &amp;amp; AED Awareness Week! Visit https://t.co/a5T81NRGSd #CPRsaveslives</t>
  </si>
  <si>
    <t>Thomas A. Kenny Memorial Medal awarded to Lt. Milukas for rescuing young boy. Read more https://t.co/5sFjueiwHn https://t.co/DRpcxHmDHa</t>
  </si>
  <si>
    <t>Paramedics Guailacela &amp;amp; Arroyo awarded first-ever EMT-P Carlos Lillo-Lt Ricardo Quinn Medal https://t.co/4rJXvMG3rr https://t.co/4k0FVhPBlE</t>
  </si>
  <si>
    <t>RT @FDNYAlerts: MAN 2-ALARM 747 10 AVE, FIRE ON 11TH FLR, UNDER CONTROL</t>
  </si>
  <si>
    <t>3 patients w/ minor injuries transported to hospitals from 2-alarm fire at 10th &amp;amp; 50th St in #HellsKitchen https://t.co/f6o5iojeZG</t>
  </si>
  <si>
    <t>#FDNY members on scene of 2-alarm fire at 10th Ave &amp;amp; 50 St in #HellsKitchen. No injuries https://t.co/sBFfHOKOsL</t>
  </si>
  <si>
    <t>Hugh Bonner Medal/Honor Legion Medal awarded to Lt. Vilagos, #Engine316. Read more https://t.co/NEGlcoUoI1 https://t.co/wObW1QWtQF</t>
  </si>
  <si>
    <t>Christopher J. Prescott Medal awarded to EMS Lt. Daddona. Read more https://t.co/BbTBH5yWT8 https://t.co/RwJvJJOAIh</t>
  </si>
  <si>
    <t>#FDNY FFers Cassidy &amp;amp; Springstead awarded at today’s Medal Day ceremony. Read more https://t.co/7Jh0j5B3HA https://t.co/9bhk10C09Z</t>
  </si>
  <si>
    <t>#FDNY FF Shepherd awarded Chief John J. McElligott Medal/FFs Fitzpatrick &amp;amp; Frisby Award https://t.co/tCzV3boQry https://t.co/GhiLHUpkk2</t>
  </si>
  <si>
    <t>The #FDNY Medal Day ceremony is streaming LIVE! Visit https://t.co/RT9eDQ7lXR</t>
  </si>
  <si>
    <t>#FDNY FF Floridia &amp;amp; Captain Cuccurullo are 2 members honored at today’s ceremony. Read more https://t.co/SOQGuXXV68 https://t.co/og39QxACJ6</t>
  </si>
  <si>
    <t>Today we honor 67 #FDNY Firefighters, Paramedics, EMTs, Fire Marshals &amp;amp; Officers for their life-saving work https://t.co/4z9hEJK3zj</t>
  </si>
  <si>
    <t>On behalf of 8.5 million NYers, I thank you &amp;amp; your families for your life &amp;amp; legacy of sacrifice &amp;amp; service - Mayor @BilldeBlasio</t>
  </si>
  <si>
    <t>Every day, the men &amp;amp; women of the FDNY perform acts of valor &amp;amp; sacrifice across the city – Mayor @BilldeBlasio, FDNY Medal Day ceremony</t>
  </si>
  <si>
    <t>Visit https://t.co/RT9eDQ7lXR to watch the #FDNY Medal Day ceremony LIVE!</t>
  </si>
  <si>
    <t>@FDNYPipeBand kicks off the 147th annual FDNY Medal Day ceremony at City Hall Plaza https://t.co/oG3PaSRPNG</t>
  </si>
  <si>
    <t>We are streaming today’s #FDNY Medal Day ceremony LIVE on Facebook! Watch at https://t.co/RT9eDQ7lXR https://t.co/zQijHzQ08M</t>
  </si>
  <si>
    <t>SI residents - call 911 in case of emergency, local street fire alarm boxes are temporarily out of service</t>
  </si>
  <si>
    <t>Several hundreds street fire alarm boxes on SI are out of service following accident this morning w/ damaged utility pole</t>
  </si>
  <si>
    <t>RT @nycgob: Bienvenidos a River y Trucker, los más jóvenes miembros de la familia de Los Más Valientes de NYC: https://t.co/Z9fmkn302o @FDN…</t>
  </si>
  <si>
    <t>EMT-P Carlos Lillo/Lt Ricardo Quinn Medal to be awarded for the 1st time tomorrow. Read more https://t.co/uc6f5L7JmJ https://t.co/GvgKs3bvDB</t>
  </si>
  <si>
    <t>#FDNY James Gordon Bennett Medal to be awarded to Lt Colleluori. Read more at https://t.co/e5xFAiKs2f https://t.co/kEErblqFCp</t>
  </si>
  <si>
    <t>See more photos from River and Trucker's Honorary #FDNY Firefighter swearing-in ceremony at https://t.co/2t01qBWfwa https://t.co/DgJmBY4nIO</t>
  </si>
  <si>
    <t>Welcome to the #FDNY family, River &amp;amp; Trucker!  Both already incredibly brave, &amp;amp; now officially two of #NYCBravest https://t.co/on96BLQFoi</t>
  </si>
  <si>
    <t>RT @FDNYPro: Hot off the #FDNY presses! Get on our mailing list by midnight tonight and you'll get one! https://t.co/iiSMTnx6U9 https://t.c…</t>
  </si>
  <si>
    <t>Today #FDNY swears in River Laurence, age 4, &amp;amp; Trucker Dukes, age 3, as Honorary FDNY Firefighters https://t.co/hh11snE4m0</t>
  </si>
  <si>
    <t>RT @mayorsCAU: Mayor @BilldeBlasio marches in Little Neck #MemorialDay Parade with Chief Robert Sweeney of @FDNY and @JSandersNYC https://t…</t>
  </si>
  <si>
    <t>RT @nycgob: Siga @FDNYalerts, nuestro servicio automático 24/7, para info sobre incidentes a cargo del @FDNY. https://t.co/oiQYdcREUm</t>
  </si>
  <si>
    <t>RT @nycgob: Nunca descuide la parrilla una vez encendida. Más consejos de @FDNY: https://t.co/golkuxU6Lf https://t.co/BxtttiD5tQ #FDNYSmart</t>
  </si>
  <si>
    <t>RT @nycgob: Hoy recordamos con gratitud a los que hicieron el sacrificio supremo en servicio por el país. https://t.co/YB8VBrubq1 @FDNY #Me…</t>
  </si>
  <si>
    <t>Today we remember, with tremendous gratitude, all those who made the supreme sacrifice in service to their country https://t.co/juEOJ2Ubls</t>
  </si>
  <si>
    <t>RT @NYPDCeremonial: .@NYPDCeremonial HG w/ @FDNY at #YankeeStadium for the @NYCFC vs. @OrlandoCitySC match!
#WeAreOne ⚽
#SoccerSunday https…</t>
  </si>
  <si>
    <t>Once lit, never leave a grill unattended. See more #FDNYSmart tips at https://t.co/icW1alWUqU https://t.co/Q0LX8CIOd7</t>
  </si>
  <si>
    <t>RT @nycgob: Evite #incendios al hacer #BBQ con consejos del @FDNY! Visite @nycgob en FB: https://t.co/2gn5C64nf4 #MemorialDay https://t.co/…</t>
  </si>
  <si>
    <t>Visit River of Life Seventh-day Adventist Church, 623 Utica Ave #Brooklyn TODAY for FREE #FDNY CPR training, 12-4 pm https://t.co/LxaocCjyMT</t>
  </si>
  <si>
    <t>Congrats to retired #FDNY Captain Colucci, who is now Father Colucci. Read more https://t.co/mpPQcBaAAX https://t.co/VG4Xi8J215</t>
  </si>
  <si>
    <t>Using your grill for the first time after winter storage? Be #FDNYSmart w/ these safety tips https://t.co/icW1alWUqU https://t.co/ltbLU5Zzsr</t>
  </si>
  <si>
    <t>RT @nycgob: Los técnicos médicos de emergencias del @FDNY dedicaron la carrera #SpiritRun a #bomberos caídos por #MemorialDay: https://t.co…</t>
  </si>
  <si>
    <t>RT @NYPDnews: NYPD &amp;amp; @FDNY joint operation ongoing in response to a small plane landing in the Hudson River near 79 St https://t.co/HEbhbbM…</t>
  </si>
  <si>
    <t>RT @NYCMayorsOffice: .@FDNY, @NYPDnews, and @NYCOEM are on the scene of a small plane crash in the New Jersey side of the Hudson River near…</t>
  </si>
  <si>
    <t>Man injured while visiting NYC for daughter's graduation assisted by #NYCBest! Read more https://t.co/RzbjWkCD5H https://t.co/CN46DF0fo2</t>
  </si>
  <si>
    <t>RT @nycgob: Si sospecha que un niño juega con o inicia fuegos intencionalmente, el @FDNY puede ayudar. Visite: https://t.co/yxiLjU2hfT</t>
  </si>
  <si>
    <t>See @FDBoxingClub vs London Metro PD at The War at the Shore, Friday July 8! Learn more at https://t.co/KjSLuMaf88 https://t.co/o0f68r5Uen</t>
  </si>
  <si>
    <t>Yes, the run took place on the pathway along the Cross Island Pkwy, near Bell Blvd, adjacent to Fort Totten https://t.co/hKWGHRUOUw</t>
  </si>
  <si>
    <t>#FDNY Probie EMTs dedicate their Spirit Run to our fallen service men &amp;amp; women, while honoring Memorial Day https://t.co/j6ML7W4qbu</t>
  </si>
  <si>
    <t>RT @nycgob: Enseñe a sus hijos que NUNCA deben jugar con fuego. Consejos del @FDNY: https://t.co/72HDQJ74Db https://t.co/nI5BOxUyFo #FDNYSm…</t>
  </si>
  <si>
    <t>Yesterday at @Sept11Memorial we honored 14th anniv of end of rescue &amp;amp; recovery efforts at Ground Zero  #NeverForget https://t.co/bdppd8oCw7</t>
  </si>
  <si>
    <t>RT @nycgob: #Bomberos del @FDNY se enfrentan en una competencia de 5 alarmas en @RachaelRayShow! https://t.co/QiGejUbV4A https://t.co/uHi6u…</t>
  </si>
  <si>
    <t>RT @RachaelRayShow: .@FDNY firefighters face off in a 5-alarm hoagie showdown! https://t.co/XG6pR0nDFv https://t.co/QPY5M3oXuy</t>
  </si>
  <si>
    <t>RT @Sept11Memorial: #911Museum guests tie blue ribbons at the Last Column railing as tribute to #GroundZero Rescue &amp;amp; Recovery workers. http…</t>
  </si>
  <si>
    <t>RT @Sept11Memorial: Ceremonial units from @NYPDNews, @FDNY, &amp;amp; #PAPD open the ceremony honoring Rescue &amp;amp; Recovery workers. #911Museum https:…</t>
  </si>
  <si>
    <t>RT @nycgob: El @FDNY enfrentando un #incendio en 205 E 116 St #EastHarlem el 26 de mayo de 1978. https://t.co/RfsbAxEfl4 https://t.co/AEtot…</t>
  </si>
  <si>
    <t>RT @HotDogFDNY: Hi Friends!  Read my latest Smart Barks Post.  Stay #FDNYSmart and stay away from this dangerous trend!  https://t.co/yIOT7…</t>
  </si>
  <si>
    <t>.@HotDogFDNY teaches kids to be #FDNYSmart, never play with fire https://t.co/qmN6s5gbFt https://t.co/gMRbWEGERk</t>
  </si>
  <si>
    <t>If you suspect a child is playing w/ fire or setting fires intentionally, the #FDNY can help. Learn how https://t.co/1AuHSpGfs6</t>
  </si>
  <si>
    <t>Teach kids that playing with fire is NEVER okay. Read our #FDNYSmart tips at https://t.co/Es7EkEZPtC https://t.co/HagkBSeKrY</t>
  </si>
  <si>
    <t>RT @NYCParks: Here's what you need to know about water safety before our beaches open this weekend: https://t.co/uZhXrcAJjV https://t.co/iM…</t>
  </si>
  <si>
    <t>Today's #FDNY #tbt photo is from 5/26/78, a 3rd alarm at 205 E 116 St #EastHarlem. See more https://t.co/dnHb3ws3pg https://t.co/oHMUDrlUe8</t>
  </si>
  <si>
    <t>RT @NYPDnews: Three people shot at 17 Irving Place in Manhattan. Scene safe at this time. Please stay clear of area. More details to follow.</t>
  </si>
  <si>
    <t>RT @FDNYPro: Check out #FDNY Pro Podcast: https://t.co/ieWPV2jEmf https://t.co/FQNB9qM0Df</t>
  </si>
  <si>
    <t>#GetAlarmedNYC w/ @redcrossny &amp;amp; FREE smoke/CO alarm giveaway &amp;amp; installation events. Find yours by calling @nyc311 https://t.co/RlBsaPOIbu</t>
  </si>
  <si>
    <t>@DoreenAMugno Please visit https://t.co/Iw3fFR2jq2
 https://t.co/jRYtTnKd9e</t>
  </si>
  <si>
    <t>Info regarding incidents can now be found at @FDNYalerts, our 24/7 automated feed https://t.co/syDTYFXCcW</t>
  </si>
  <si>
    <t>RT @nycgob: #nemsmbr2016 concluyó el sábado 21 con Servicio conmemorativo nacional del #EMS: https://t.co/Lx5ANOunBN https://t.co/z2TWiJ4Iw…</t>
  </si>
  <si>
    <t>RT @FDNYFootball: Thank you @Giants @ShaneVereen34 for being the FDNY honorary captain at the 2016 #FunCityBowl https://t.co/yadV0lMenW</t>
  </si>
  <si>
    <t>Read more about last week's 16th annual #FDNY EMS Competition at https://t.co/lO15qk1xPp https://t.co/DGqPY66iHC</t>
  </si>
  <si>
    <t>#nemsmbr2016 concluded w/ the National EMS Memorial Service on Saturday. Read more at https://t.co/FIa0RNUkli https://t.co/z7sydKCWVD</t>
  </si>
  <si>
    <t>RT @WendyWilliams: The @FDNY sends Wendy a special message! #FDNY #WendyWilliams #WWDay
https://t.co/MNCiNvcNPD</t>
  </si>
  <si>
    <t>See photos from yesterday's #FDNY vs #NYPD Fun City Football Bowl at https://t.co/iErKzpdjt9 https://t.co/ISZWuTihHy</t>
  </si>
  <si>
    <t>Please email your request to recruitment@fdny.nyc.gov https://t.co/1MdA12B3X6</t>
  </si>
  <si>
    <t>We're happy to have you on team #Bravest!  https://t.co/QbbVWRfg9U</t>
  </si>
  <si>
    <t>RT @CommissBratton: Looking forward to the #FunCityBowl as @FinestFootball takes on @FDNY today in Coney Island for a great cause. https://…</t>
  </si>
  <si>
    <t>We’re warming up for the #FDNY vs #NYPD Fun City Football Bowl at 2! Tix at https://t.co/SYyjviykWK or at the door https://t.co/7gEcFG2A5b</t>
  </si>
  <si>
    <t>Come see the #FDNY Mobile CPR Unit &amp;amp; @SirenFDNY at MCU Park today for FREE compressions-only CPR training! https://t.co/Y6vwBTA9id</t>
  </si>
  <si>
    <t>#FDNY Mobile CPR Unit at St. Thomas Aquinas Church Health Fair TODAY, 1550 Hendrickson St #Brooklyn until 3pm https://t.co/eDC5zOCy36</t>
  </si>
  <si>
    <t>#FDNY vs #NYPD Fun City Football Bowl is TODAY at 2 pm! Tix at https://t.co/SYyjviykWK or the door. See you there! https://t.co/bb458daRY9</t>
  </si>
  <si>
    <t>RT @nycgob: .@FDNY añadió 89 #ambulancias a su flotilla; los EMTs y paramédicos atienden 1.4+ millones de emergencias por año: https://t.co…</t>
  </si>
  <si>
    <t>#FDNY &amp;amp; Nassau Co Fire Marshal’s Office conducted joint exercise today focusing on mutual aid of ambulance resources https://t.co/9NKWXi4XzE</t>
  </si>
  <si>
    <t>#FDNY vs @NYPDnews Fun City Football Bowl is TOMORROW at MCU Park! Tix at https://t.co/SYyjviykWK https://t.co/HiIKxmA5qH</t>
  </si>
  <si>
    <t>RT @nycgob: Vea más fotos de la 16ta Competencia anual de #EMS en: https://t.co/4bA6ixD47K https://t.co/wQbvRS4ykb @FDNY</t>
  </si>
  <si>
    <t>#FDNY Mobile CPR Unit giving FREE training at 2024 Mohegan Ave #Bronx TODAY https://t.co/4JywnL4jk6</t>
  </si>
  <si>
    <t>RT @nycgob: Estas fotos de #tbt muestran la evolución del Servicio Médico de Emergencias (EMS): https://t.co/Pu5aumkMeG https://t.co/mJ7x0q…</t>
  </si>
  <si>
    <t>RT @NYPDnews: Sunday, Sunday, Sunday! Come out for the Fun City Bowl, @FinestFootball vs @FDNY. Great fun for a great cause. https://t.co/y…</t>
  </si>
  <si>
    <t>Mr. Antonio Arlistico brought lunch to #FDNY EMS #Station35 today to thank members for saving his life https://t.co/r38Gjx9n4N</t>
  </si>
  <si>
    <t>Father Rayfield &amp;amp; Brother Nick of @sdm_mission bless members, vehicles at #FDNY EMS #Station35 in #Williamsburg https://t.co/ix4QAq6A4H</t>
  </si>
  <si>
    <t>Congrats to #FDNY BC Robert Holzmaier, #Battalion11, who worked his last tour yesterday after 43 yrs on the job https://t.co/2ZOaWuNrAO</t>
  </si>
  <si>
    <t>RT @FDNYFoundation: Proud to honor the thousands of #FDNY EMS members who keep this city safe! #EMSWeek https://t.co/dqx5nHEV5C https://t.c…</t>
  </si>
  <si>
    <t>89 new ambulances added to #FDNYfleet, bringing FDNY EMTs &amp;amp; Paramedics to more than 1.4 million emergencies per year https://t.co/gN2si8ikYm</t>
  </si>
  <si>
    <t>@GuillePolanc Please follow us so we can send you a direct message</t>
  </si>
  <si>
    <t>RT @joinFDNY: This year's #FDNYHS #EMS Games competitors are now facing off in #EMS Jeopardy at the #FDNY EMS Academy in #Queens. https://t…</t>
  </si>
  <si>
    <t>RT @joinFDNY: #FDNYHS seniors are competing in the school's 10th Annual #EMS Games at the #FDNY EMS Academy in #Queens. https://t.co/pmACzZ…</t>
  </si>
  <si>
    <t>See more photos from yesterday's 16th annual #FDNY EMS Competition at https://t.co/gP7Fv2x72I https://t.co/dyUkrpAp9l</t>
  </si>
  <si>
    <t>RT @joinFDNY: "Working as an EMT is not an easy job by any stretch, but it’s an incredibly important career"-FDNY FDC Turner at #FDNYHS EMS…</t>
  </si>
  <si>
    <t>RT @joinFDNY: "Each of you got to this moment because of all the hard work you’ve put in to learn what it takes to be an EMT"-FDNY FDC, #FD…</t>
  </si>
  <si>
    <t>RT @joinFDNY: We preparing to kick-off the 10th Annual #FDNYHS #EMS Games at the #FDNY EMS Academy at Fort Totten in #Queens. https://t.co/…</t>
  </si>
  <si>
    <t>#FDNY members free man entangled under boat engine in #Queens. Read more https://t.co/Cu5rWsYUJO https://t.co/1g9jZjTQc9</t>
  </si>
  <si>
    <t>RT @nycgob: La Competencia anual del #EMS incluye simulacros con actores como pacientes: https://t.co/zMI63JUFIP @FDNY</t>
  </si>
  <si>
    <t>Thank you @Mets for hosting #FDNY members &amp;amp; @SirenFDNY on EMS Night, during National #EMSWeek 2016! https://t.co/9kodApeEbu</t>
  </si>
  <si>
    <t>1st Place, #FDNY EMS Comp, Basic Life Support category: #Division2, #Station14! Read more https://t.co/je24CZgQsL https://t.co/I9sjLdyud9</t>
  </si>
  <si>
    <t>1st Place, #FDNY EMS Comp, Advanced Life Support category: #Division4, #Station45! Read more https://t.co/dEY1Ow0hza https://t.co/MNJQTWMaLM</t>
  </si>
  <si>
    <t>Happy first Anniversary @SirenFDNY!  https://t.co/sWFSZKIbbb</t>
  </si>
  <si>
    <t>#FDNY #tbt photos show NYC EMS over time https://t.co/IUR1hgRhtq https://t.co/FdVUdjgR8b</t>
  </si>
  <si>
    <t>You're welcome, Austin! We are proud to celebrate the second chance your dad was given by #FDNY first responders https://t.co/F1528xDmwh</t>
  </si>
  <si>
    <t>RT @nycgob: Socorristas del @FDNY salvaron la vida de Gaspare Cassara. Lea más en: https://t.co/Bd0aIJZIIl https://t.co/FA7DDfBdiN</t>
  </si>
  <si>
    <t>These first responders gave science teacher, Theodore Povinelli, a second chance. Read more  https://t.co/6VQPqFD0bJ https://t.co/eSdeZG0Bah</t>
  </si>
  <si>
    <t>RT @SirenFDNY: Doing compressions-only CPR at the 16th annual annual #FDNY EMS competition! https://t.co/s48yIhLYCu</t>
  </si>
  <si>
    <t>The annual #FDNY EMS Competition includes real-life scenarios including mock patients https://t.co/i5etahE5N2</t>
  </si>
  <si>
    <t>First responders saved Lawrence Dooley when he collapsed on Madison Ave. Read more https://t.co/jjDLnAje9W https://t.co/ybGcIgdcMf</t>
  </si>
  <si>
    <t>Come by #MetroTech #Brooklyn for FREE bystander CPR training TODAY until 3 pm! https://t.co/W6I6rlwsK8</t>
  </si>
  <si>
    <t>Come by MetroTech #Brooklyn TODAY &amp;amp; get your tix to #NYCBravest vs #NYCFinest Fun City Football Bowl on 5/22! https://t.co/xTbfDeEDfb</t>
  </si>
  <si>
    <t>Joseph Sorrentino collapsed at a #StatenIsland gym. Read how he received his second chance https://t.co/0VmvU9FqoA https://t.co/k1N3pT37yu</t>
  </si>
  <si>
    <t>Learn to be #FDNYSmart w/ #FDNY Fire Safety Educ team at the EMS Health Fair &amp;amp; Competition at MetroTech #Brooklyn! https://t.co/Eg0Ey4wRVd</t>
  </si>
  <si>
    <t>RT @nycoem: Students are going home with their own autographed copy of the new @marvel comic book! #hurricaneprep https://t.co/HEGHCRkorh</t>
  </si>
  <si>
    <t>RT @nycoem: Ready Girl tell students about a new comic book with @marvel's The Avengers: https://t.co/G28YefkHxc https://t.co/nvz332P15l</t>
  </si>
  <si>
    <t>Come by the #FDNY EMS Health Fair &amp;amp; Competition TODAY at MetroTech #Brooklyn for FREE bystander CPR training! https://t.co/0oNschn8KO</t>
  </si>
  <si>
    <t>RT @nycoem: Ready Girl shows students the 6 hurricane evacuation zones in NYC. #knowyourzone #hurricaneprep https://t.co/ilszPF0ePN</t>
  </si>
  <si>
    <t>RT @nycoem: Ready Girl is meeting with students at PS 39 in Brooklyn to teach them about hurricanes. #HurricanePrep https://t.co/6cnT40hDh2</t>
  </si>
  <si>
    <t>EMTs &amp;amp; Paramedics from across NYC are testing their life-saving skills at 16th annual #FDNY EMS Competition https://t.co/57zjj4CKER</t>
  </si>
  <si>
    <t>16th annual #FDNY EMS Health Fair &amp;amp; EMS Competition are underway at FDNY HQ in #Brooklyn during National #EMSWeek https://t.co/xHoUMaoTAh</t>
  </si>
  <si>
    <t>Yesterday, Joseph Mustanti met the first responders who saved his life. Read more  https://t.co/eOjQ8EazW6 https://t.co/ZiTckPvbeh</t>
  </si>
  <si>
    <t>#FDNY first responders saved the life of Gaspare Cassara. Read more https://t.co/VspLTc1jSe https://t.co/9dga14qDPT</t>
  </si>
  <si>
    <t>Bystander CPR was critical in saving Donna Grado’s life. Read more https://t.co/eliJ1OFqGI https://t.co/AfpmcFSFee</t>
  </si>
  <si>
    <t>Michael McClenan was 1 of 13 honored at the #FDNY Second Chance Brunch. Read his story https://t.co/sTnaWPIIjb https://t.co/eEOtjKXfzX</t>
  </si>
  <si>
    <t>Please e-mail pubcert@fdny.nyc.gov or call @nyc311  https://t.co/n4bdMBHVQN</t>
  </si>
  <si>
    <t>RT @WhiteHouseHstry: Today our @WHhistoryPres presented @FDNY Chief Leonard &amp;amp; First Deputy Commissioner Turner with the 2016 WH Ornament. h…</t>
  </si>
  <si>
    <t>#NYCStrongest #NYCFinest &amp;amp; #NYCBravest together saved the life of Edward Lapre. Read more https://t.co/zotbJ0pHwE https://t.co/k9IrkukQfW</t>
  </si>
  <si>
    <t>RT @WHhistoryPres: Honored to present 2016 WH Christmas Ornament to @FDNY Chief James Leonard and Dep Commissioner Robert Turner. https://t…</t>
  </si>
  <si>
    <t>Vincent Chau was reunited today w/ first responders who gave him a second chance. Read more https://t.co/xJNLJtN24X https://t.co/82wXXmkBta</t>
  </si>
  <si>
    <t>Today @Whitehousehstry  presented #FDNY w/ Official 2016 White
House Christmas Ornament https://t.co/CEpbqTmzS2 https://t.co/5ilws283uE</t>
  </si>
  <si>
    <t>#FDNY Fire Marshals: Cause of 5/17 4th alarm at 1640 Park Ave was accidental, fuel spilled on hot generator during re-fueling</t>
  </si>
  <si>
    <t>Carol Anne Newsam is 1 of 13 patients reunited w/ first responders at Second Chance Ceremony https://t.co/W4tcA6dP3C https://t.co/9MTqglLssX</t>
  </si>
  <si>
    <t>#NYCFinest #NYCBravest &amp;amp; #NYCBest gave @NYPDnews Sgt Tamburrino his second chance. Read more https://t.co/YJt00uek0y https://t.co/KrP6sdcAFp</t>
  </si>
  <si>
    <t>RT @SirenFDNY: Great post by @HotDogFDNY about #FDNYOpenHouse! https://t.co/LIrRNART7o</t>
  </si>
  <si>
    <t>RT @HotDogFDNY: Read about all the ways our visitors learned to be #FDNYSmart at #FDNYOpenHouse on Saturday in my latest blog post! https:/…</t>
  </si>
  <si>
    <t>RT @nycgob: HOY! Done #sangre 1-7PM en la Estación 23 del EMS en Rossville Ave #StatenIsland. Clase #gratis de CPR: https://t.co/hg9nxmUy0j…</t>
  </si>
  <si>
    <t>It shows our commitment to providing unmatched medical care to every community &amp;amp; every person - #FDNY COD Leonard, Second Chance Ceremony</t>
  </si>
  <si>
    <t>This Second Chance Ceremony demonstrates the important role the #FDNY has in our city - FDNY Chief of Department Leonard to attendees</t>
  </si>
  <si>
    <t>#FDNY EMS Pipes &amp;amp; Drums kick off the 2016 Second Chance Ceremony during National #EMSWeek https://t.co/lpXm2xviPf</t>
  </si>
  <si>
    <t>The enormous responsibility of providing pre-hospital care is one our Dept is proud to own - #FDNY FDC Turner at Second Chance Ceremony</t>
  </si>
  <si>
    <t>They have one thing in common, at their darkest moment #FDNY members responded &amp;amp; saved their lives - FDNY FDC Turner, Second Chance Ceremony</t>
  </si>
  <si>
    <t>At 2nd Chance Ceremony, retired #FDNY FF Mullen to meet first responders who saved his life https://t.co/TyZh5lgwW2 https://t.co/0KsbSRe58R</t>
  </si>
  <si>
    <t>Retired #FDNY FF Kenny Ruane to reunite w/ first responders who saved his life. Read more https://t.co/oEYAHifAaz https://t.co/D2XtBASMsk</t>
  </si>
  <si>
    <t>RT @nycgob: El @FDNY en el lugar de un #incendio en E 118 St/Park Ave #ElBarrio. Siga @FDNYAlerts para información actualizada: https://t.c…</t>
  </si>
  <si>
    <t>RT @FDNYAlerts: MAN 4-ALARM 1640 PARK AVE, (METRO-NORTH TRACKS) FIRE IN CONSTRUCTION TRAILERS UNDER ELEVATED TRACKS, UNDER CONTROL</t>
  </si>
  <si>
    <t>RT @FDNYAlerts: MAN 4-ALARM 1674 PARK AVE, (METRO-NORTH TRACKS) FIRE IN CONSTRUCTION TRAILERS UNDER ELEVATED TRACKS,</t>
  </si>
  <si>
    <t>RT @FDNYAlerts: MAN 3-ALARM 1674 PARK AVE, (METRO-NORTH TRACKS) FIRE IN CONSTRUCTION TRAILERS UNDER ELEVATED TRACKS,</t>
  </si>
  <si>
    <t>#FDNY members are on scene of a 3-alarm fire at E 118 St &amp;amp; Park Ave in #EastHarlem. Follow @FDNYAlerts for updates https://t.co/TgBJDF03c4</t>
  </si>
  <si>
    <t>The #NYCBravest vs #NYCFinest Fun City Football Bowl is this Sunday at MCU Park! Tix at https://t.co/SYyjviykWK https://t.co/JT6Fpz6zB3</t>
  </si>
  <si>
    <t>TOMORROW visit #FDNY EMS #Station23, 1100 Rossville Ave #OnStatenIsland for Blood Drive 1-7pm &amp;amp; FREE CPR Class 3-4pm https://t.co/O9X42jAo86</t>
  </si>
  <si>
    <t>The closest unit responds in an emergency https://t.co/l7hQPLlvd2</t>
  </si>
  <si>
    <t>NY State EMS Memorial Dedication hosted by @HealthNYGov today in Albany. Read more https://t.co/8jSjZmjPl1 https://t.co/bHyIOH0M72</t>
  </si>
  <si>
    <t>RT @galeabrewer: Had a wonderful time with @FDNY Commissioner Nigro this weekend at #FDNYOpenHouse! https://t.co/R01fZbJvuN</t>
  </si>
  <si>
    <t>RT @nycgob: Una misa en @StPatsNYC honró hoy a miembros caídos del EMS antes de #nemsmbr2016: https://t.co/AJh8nEcZPo @FDNY</t>
  </si>
  <si>
    <t>RT @NYPDnews: Still tix available! Come out 5/22 &amp;amp; watch @FinestFootball vs @FDNY in the #FunCityBowl https://t.co/tZ5gmfBDfD https://t.co/…</t>
  </si>
  <si>
    <t>RT @nycgob: El @FDNY sofocó un #incendio de 3 alarmas esta mañana en 175-01 Liberty Ave #Queens. No se reportaron lesionados. https://t.co/…</t>
  </si>
  <si>
    <t>We wish #FDNY members &amp;amp; other @MuddyAngelsEMS a safe ride as they continue on to DC for @NEMSMBR #nemsmbr2016 https://t.co/MJk2QKn4vD</t>
  </si>
  <si>
    <t>Thanks to BP Oddo @StatenIslUSA for honoring #FDNY at 24th annual EMS Recognition Ceremony, kicking off #EMSWeek https://t.co/MVoE2ogVtj</t>
  </si>
  <si>
    <t>RT @nycgob: El @EmpireStateBldg se vistió de amarillo, blanco y azul con sirena roja por @EMSWeek en colaboración con @FDNY. https://t.co/B…</t>
  </si>
  <si>
    <t>#FDNY EMS #Station4 welcomes #nemsmbr2016 participants for a luncheon before they begin the ride on to DC https://t.co/Jn2zyzvDZt</t>
  </si>
  <si>
    <t>RT @JamesVacca13: I stopped by the City Island Firehouse @FDNY Open House event on Sat. Proud to have saved this house in years past! https…</t>
  </si>
  <si>
    <t>RT @joinFDNY: It's #NationalEMSWeek! Learn more about New York's Best today. Meet #Paramedic Byron Melo. https://t.co/fm5u69tKsM https://t.…</t>
  </si>
  <si>
    <t>We salute the @C2CBikeRide4PTS participants who began riding in Ottawa on 5/7, &amp;amp; now join #nemsmbr2016 on to DC https://t.co/k5s3TEYn7P</t>
  </si>
  <si>
    <t>#FDNY members &amp;amp; Muddy Angels ride through #TimesSquare on their way to EMS #Station4 following mass at @StPatsNYC https://t.co/1VxLFBqNqm</t>
  </si>
  <si>
    <t>RT @FDNYAlerts: QNS 3-ALARM 175-01 LIBERTY AVE, PRIVATE DWELLING FIRE ON FIRST AND SECOND FLR WITH EXTENSION TO EXP 4 AND 4A, UNDER CONTROL</t>
  </si>
  <si>
    <t>3-alarm fire at 175-01 Liberty Ave #Queens has been placed under control. No injuries to report https://t.co/vTjCPWC3ho</t>
  </si>
  <si>
    <t>This morning #FDNY members rode through #Manhattan for #nemsmbr2016, on to @StPatsNYC for Memorial Mass https://t.co/JNNEhmwVgH</t>
  </si>
  <si>
    <t>The bikes of Muddy Angels participating in #nemsmbr2016  are blessed during Memorial Mass at @StPatsNYC https://t.co/cFl1mWvL3D</t>
  </si>
  <si>
    <t>At @StPatsNYC fallen EMS members &amp;amp; their families are honored before the start of #nemsmbr2016 https://t.co/7gzj6jxTSB</t>
  </si>
  <si>
    <t>Memorial Mass at @StPatsNYC honors our fallen EMS brothers &amp;amp; sisters, before members continue to DC #nemsmbr2016 https://t.co/9fgJRXgxlq</t>
  </si>
  <si>
    <t>#FDNY members are on scene of a 3rd alarm at 175-01 Liberty Ave #Queens. There are no injuries to report https://t.co/oORtzuyzMk</t>
  </si>
  <si>
    <t>#FDNY vs #NYPD Fun City Football Bowl tix are being sold at MetroTech #Brooklyn today-Friday! $20 ticket includes free @BkCyclones ticket!</t>
  </si>
  <si>
    <t>RT @NYPDnews: ICYMI: NYPD officers along w/ @FDNY &amp;amp; others trained together yesterday to keep NYC safe https://t.co/qohRwDJ0ci https://t.co…</t>
  </si>
  <si>
    <t>RT @nycgob: Escena de un evento de #casaabierta del @FDNY este pasado fin de semana: https://t.co/fBYWDz0Vjt https://t.co/QTwtBIdntV #LosMá…</t>
  </si>
  <si>
    <t>RT @EmpireStateBldg: In honor of @EMSWeek, we were lit in yellow, white &amp;amp; blue w/ a red siren in partnership with @FDNY. https://t.co/ymMuz…</t>
  </si>
  <si>
    <t>This is the 8th consecutive year that @EmpireStateBldg has partnered with #FDNY to celebrate National #EMSWeek https://t.co/GicMIJnT0n</t>
  </si>
  <si>
    <t>.@EmpireStateBldg is illuminted yellow, white &amp;amp; blue w/ red &amp;amp; white halo in celebration of National #EMSWeek 2016! https://t.co/a9LsWIB8Xh</t>
  </si>
  <si>
    <t>RT @Vanessalgibson: Great visit to #FDNY Engine 92, Ladder 44 #Claremont #BX during its Open House Thanks @FDNY for your public service! ht…</t>
  </si>
  <si>
    <t>RT @CMDebiRose: Great visit yesterday with Engine 157 ladder 80. Thank you @FDNY for the work you do every day! https://t.co/N6x3hz6B2n</t>
  </si>
  <si>
    <t>RT @BarryGrodenchik: Enjoyed open houses at 2 fire houses yesterday. It was great to get to better know the people protecting us. @FDNY htt…</t>
  </si>
  <si>
    <t>RT @CommissBratton: NYPD &amp;amp; our partner agencies honing their skills now in Bklyn at an active shooter scenario. Protecting NYC together. ht…</t>
  </si>
  <si>
    <t>This morning #FDNY participated in an @NYPDnews multi-agency active shooter drill, working to keep NYC safe https://t.co/F8W3a1L1i9</t>
  </si>
  <si>
    <t>RT @NYPDnews: The training today involved multiple agencies working as teams to rescue individuals &amp;amp; stop any threat. https://t.co/nOEz81gH…</t>
  </si>
  <si>
    <t>RT @NYPDnews: Training with our partner agencies today in Brooklyn to ensure we're always prepared - #ItsWhatWeDo https://t.co/S6vAPyHrZz</t>
  </si>
  <si>
    <t>RT @NYPDnews: These are the men &amp;amp; women that protect NYC. 
Training today with our partner agencies so you can rest easy. https://t.co/jGr…</t>
  </si>
  <si>
    <t>RT @NYPDnews: Just a drill! But NYPD &amp;amp; our partners training now in Brooklyn to continue protecting NYC. https://t.co/qYtdddBhbS</t>
  </si>
  <si>
    <t>RT @MichelleRijo: #FDNYOpenHouse was cool! Thxs Fireman John, for putting a huge smile on my kids faces. #engine167 &amp;amp; #ladder87 @FDNY https…</t>
  </si>
  <si>
    <t>We were honored to meet another one of NYC's Bravest! Thank you so much for visiting  https://t.co/k29E9JWMlw</t>
  </si>
  <si>
    <t>RT @FiDiFamilies: Huge thx to the @FDNY &amp;amp; #Engine4 #Ladder15 for the great open house tours today. Our… https://t.co/z9YfQyotyl</t>
  </si>
  <si>
    <t>RT @BabyEnzoG: Gracias @FDNY for showing me your truck today. Me gustan los bomberos! #nybravest https://t.co/bsABkcKxFg</t>
  </si>
  <si>
    <t>RT @AlfredoSalgad12: @FDNY thanks to our bravest of FDNY on  Sheffield ave. East New York. Brooklyn. https://t.co/RJLZ3Vpf0m</t>
  </si>
  <si>
    <t>RT @HelenRosenthal: Delighted to join @FDNY Ladder 25 today. @unitedwomenffs #proud https://t.co/lsplin7QCR</t>
  </si>
  <si>
    <t>So cute! Thank you for stopping by!  https://t.co/Uyu72yjT9R</t>
  </si>
  <si>
    <t>We are so happy that you were able to visit us today!  https://t.co/7EUdqpZnC8</t>
  </si>
  <si>
    <t>@1nOnlyMrsR our apologies, this firehouse is currently closed for renovation. Units have been relocated to adjacent firehouses</t>
  </si>
  <si>
    <t>Thank you for joining us! https://t.co/97l9p8BSzz</t>
  </si>
  <si>
    <t>Thank you so much for visiting our members today! https://t.co/ISJ6anLqL6</t>
  </si>
  <si>
    <t>RT @MarkTreyger718: Proud to support NY's Bravest! Thanks for your bravery and courage on our city's behalf! @FDNY https://t.co/vccr3FH6AJ</t>
  </si>
  <si>
    <t>Thank you #NYC for making #FDNYOpenHouse a success! See more photos  https://t.co/vZpteLLuhn https://t.co/G677kGxd2g</t>
  </si>
  <si>
    <t>That's a wrap on #FDNYOpenHouse 2016! Thank you for coming out to meet your neighborhood FDNY members! https://t.co/TXs2X90YLR</t>
  </si>
  <si>
    <t>RT @AliciaHyndman: @FDNY #FDNYOpenHouse #AD29 I have a deeply seeded respect and admiration for these 1st responders https://t.co/qKglLelbfI</t>
  </si>
  <si>
    <t>Kids at #Engine22 &amp;amp; #Ladder13 in #Yorkville learn to slide the pole just like #NYCBravest #FDNYOpenHouse https://t.co/4vn4Mfmq1b</t>
  </si>
  <si>
    <t>Our new friend Stanley was all smiles at #Engine214 &amp;amp; #Ladder111 in #BedStuy for #FDNYOpenHouse https://t.co/lmHL5WIrbf</t>
  </si>
  <si>
    <t>Future #FDNY members inspect an ambulance at FDNY EMS #Station15 in the #Bronx #FDNYOpenHouse https://t.co/Mcdl8C2Gfu</t>
  </si>
  <si>
    <t>RT @HeyNowJO: Thanks Chief Howe, Rescue 5 &amp;amp; all of @FDNY! Stay safe! #FDNYOpenHouse https://t.co/npHqQ2gSOX</t>
  </si>
  <si>
    <t>RT @Felixwortiz: @FDNY Ladder 279 &amp;amp; 131 #redhook @redhookhub @RedHookStar @gbrook https://t.co/CZlcdL2GMt</t>
  </si>
  <si>
    <t>Teaching kids to be #FDNYSmart at EMS #Station54 in #Queens #FDNYOpenHouse https://t.co/jsRhsJ3uPy</t>
  </si>
  <si>
    <t>Learning from #NYCBravest at FDNY #Rescue5 &amp;amp; #Engine160 #OnStatenIsland #FDNYOpenHouse https://t.co/FHNqi4NZS7</t>
  </si>
  <si>
    <t>We're glad you had fun! Hope to see you again next year! https://t.co/FB57dEf4y3</t>
  </si>
  <si>
    <t>RT @IDaneekMiller: Next stop, @FDNY Hook and Ladder Co 133 on Merrick Blvd and 111th. Great team of civil servants here. https://t.co/28aXn…</t>
  </si>
  <si>
    <t>There's an hour left in #FDNYOpenHouse Session 2! Find an FDNY Firehouse or EMS Station at https://t.co/RsAE9xlkIL https://t.co/esOV0EBvoS</t>
  </si>
  <si>
    <t>RT @Joe_Spaccarelli: Thank you @FDNY Commissioner Nigro &amp;amp; Chief Leonard for supporting local communities &amp;amp; #GetAlarmedNYC #FDNYOpenHouse ht…</t>
  </si>
  <si>
    <t>#FDNY Commissioner Nigro w/ fire safety mascot @HotDogFDNY at #Engine22 &amp;amp; #Ladder13 #FDNYOpenHouse https://t.co/QOHwy5uA6C</t>
  </si>
  <si>
    <t>Thank you for visiting! https://t.co/tjZEsKDvMd</t>
  </si>
  <si>
    <t>Come by #Station35 in #Brooklyn to say hi to members from the 2017 #CalendarOfHeroes during #FDNYOpenHouse! https://t.co/c4PpOzVxsl</t>
  </si>
  <si>
    <t>RT @Dromm25: Supporting our @FDNY on Northern Blvd &amp;amp; our EMS @ Elmhurst on their Open House Day. https://t.co/a4yXcIWdv2</t>
  </si>
  <si>
    <t>RT @redcrossny: Today: say hi to #RedCross at #FDNYOpenHouse &amp;amp; signup for FREE smoke alarm https://t.co/9MZExkOHGP #GetAlarmedNYC https://t…</t>
  </si>
  <si>
    <t>RT @mrsmercedesb: Had a great time learning about fire safety at @FDNY open house @ Engine Company 265 in FR today. @DRichards13 https://t.…</t>
  </si>
  <si>
    <t>RT @PaulVallone: Thank all of #NYCBravest today! Honoring our hardworking men and women in #CollegePoint #FDNYOpenHouse @FDNY https://t.co/…</t>
  </si>
  <si>
    <t>RT @bradhoylman: Don't miss visiting your local @FDNY firehouse for #FDNYOpenHouse! We're at Squad 18 saying thanks to NYC's bravest https:…</t>
  </si>
  <si>
    <t>RT @Felixwortiz: #Brooklyn @FDNY @BayRidgeBeat https://t.co/m14c4SsLF9</t>
  </si>
  <si>
    <t>RT @IDaneekMiller: We had a great visit at @FDNY Hook and Ladder Co. 365 on Linden and 196th today. https://t.co/GyMQMkI1nT</t>
  </si>
  <si>
    <t>#FDNYOpenHouse is still going until 3 pm! Find your nearest Firehouse or EMS Station at https://t.co/RsAE9xlkIL https://t.co/RyG2oPbOEc</t>
  </si>
  <si>
    <t>Get hands-on experience at EMS #Station32 &amp;amp; ALL FDNY Firehouses and EMS Stations today during #FDNYOpenHouse https://t.co/thg4Ix1Riz</t>
  </si>
  <si>
    <t>Learning the ropes at #Engine22 &amp;amp; #Ladder13 in #Yorkville at #FDNYOpenHouse https://t.co/XSw8nHuDuB</t>
  </si>
  <si>
    <t>Juliette is one of many kids enjoying #FDNYOpenHouse today! Come by any FDNY Firehouse or EMS Station until 3 pm! https://t.co/otmy3gyqH9</t>
  </si>
  <si>
    <t>Thank you so much for stopping by! https://t.co/CXuIxraYvT</t>
  </si>
  <si>
    <t>The sun is shining and #FDNYOpenHouse is in full swing! Find your nearest location at https://t.co/RsAE9xlkIL https://t.co/T5hYe50iPv</t>
  </si>
  <si>
    <t>Ambulance tours are underway at all EMS Stations for #FDNYOpenHouse! https://t.co/fny01VhK1f</t>
  </si>
  <si>
    <t>#FDNY Paramedic O'Grady shares his top secret coloring technique at #FDNYOpenHouse at #Station55 in the #Bronx https://t.co/WszgJ7MdQQ</t>
  </si>
  <si>
    <t>Future #NYCBravest at your service! We're having a great time at #Engine326 &amp;amp; #Ladder160 in #Queens! #FDNYOpenHouse https://t.co/8wOLZUHCFf</t>
  </si>
  <si>
    <t>#FDNYOpenHouse session 1 is still going for another hour! Here's a happy visitor at #Ladder161/#Engine245 #Brooklyn https://t.co/AbpxIltl9n</t>
  </si>
  <si>
    <t>#FDNYOpenHouse is a great event for families! Bring your kids to any Firehouse or EMS Station TODAY 11-1 pm &amp;amp; 1-3 pm https://t.co/JQYYdTJYM2</t>
  </si>
  <si>
    <t>#FDNY Paramedic shows our #FDNYOpenHouse visitors their own heartbeat at #Station55 in the #Bronx https://t.co/Ap6M94wlx6</t>
  </si>
  <si>
    <t>Come by #Engine326 &amp;amp; #Ladder160 in #Queens, or ANY FDNY Firehouse &amp;amp; EMS Station TODAY for #FDNYOpenHouse https://t.co/4xyqKkwd96</t>
  </si>
  <si>
    <t>Future #NYCBravest takes the wheel at #Engine245 &amp;amp; #Ladder161 in #ConeyIsland during today's #FDNYOpenHouse https://t.co/6HfMKFCFpE</t>
  </si>
  <si>
    <t>Bring your kids by for a tour of any #FDNY Firehouse or EMS Station at #FDNYOpenHouse today! https://t.co/48FjzjN9k4</t>
  </si>
  <si>
    <t>Come by #Engine214 &amp;amp; #Ladder111, or any FDNY Firehouse &amp;amp; EMS Station for #FDNYOpenHouse TODAY! https://t.co/0ekPCeVp45</t>
  </si>
  <si>
    <t>No, but ALL #FDNY Firehouses &amp;amp; EMS Stations are open! Come by &amp;amp; meet the members!  https://t.co/kQ0Xliks4R</t>
  </si>
  <si>
    <t>Kids of all ages are having a great time at #FDNYOpenHouse at #Engine245 &amp;amp; #Ladder161 in #ConeyIsland! https://t.co/dlJeJN0ilB</t>
  </si>
  <si>
    <t>Come by &amp;amp; take a tour of an #FDNY ambulance at #FDNYOpenHouse TODAY! Sessions are 11 am - 1 pm &amp;amp; 1 - 3 pm https://t.co/yTDiQWS4F0</t>
  </si>
  <si>
    <t>Our doors are open! Come by our Firehouses &amp;amp; EMS Stations for #FDNYOpenHouse! Find yours at https://t.co/RsAE9xlkIL https://t.co/2GHCtVgXc8</t>
  </si>
  <si>
    <t>Stop by an #FDNYOpenHouse location TODAY and sign up for #GetAlarmedNYC with @redcrossny https://t.co/1cV0eblUgo</t>
  </si>
  <si>
    <t>#FDNY members are participating in the @C2CBikeRide4PTS, riding from Ottawa to DC. Look for them in #Boston today https://t.co/bPP8uDoRQT</t>
  </si>
  <si>
    <t>TODAY is the day! Come by your neighborhood Firehouse or EMS Station! Plan your visit at https://t.co/RsAE9xlkIL https://t.co/PegP8RCffP</t>
  </si>
  <si>
    <t>#FDNYOpenHouse is TODAY! Sessions are 11am–1pm &amp;amp; 1-3 pm. View our Firehouse &amp;amp; Station map at https://t.co/RsAE9xlkIL https://t.co/pbCyzA538p</t>
  </si>
  <si>
    <t>Learn fire &amp;amp; life safety skills, take a tour &amp;amp; more at #FDNYOpenHouse TOMORROW! See our map https://t.co/RsAE9xlkIL https://t.co/PjddyRSFfc</t>
  </si>
  <si>
    <t>That's some view, @astro_tim  
Thank you for showcasing our beautiful city  https://t.co/wi73f0qaDq</t>
  </si>
  <si>
    <t>Read more about today's #FDNY Employee Recognition Ceremony at FDNY HQ in #Brooklyn https://t.co/76o6c1IhB3 https://t.co/yuDEoOipGk</t>
  </si>
  <si>
    <t>Come by &amp;amp; take a tour during #FDNYOpenHouse TOMORROW! Plan your visit at https://t.co/RsAE9xlkIL https://t.co/YLSs1150ER</t>
  </si>
  <si>
    <t>See photos from today's #FDNY Employee Recognition Ceremony at https://t.co/N9CXdrk4WE https://t.co/VtmmGm6Qjs</t>
  </si>
  <si>
    <t>RT @FDNYPro: #FDNYEMS20 challenge coin is on the back cover of the 1st edition of #FDNY Pro EMS. Get at https://t.co/jFHmp0VYUN https://t.c…</t>
  </si>
  <si>
    <t>Visit your neighborhood Firehouse or EMS Station TOMORROW! Find your #FDNYOpenHouse at https://t.co/RsAE9xlkIL https://t.co/sIiFFdDVMI</t>
  </si>
  <si>
    <t>Yes! Every Firehouse and EMS Station will be participating  https://t.co/UxQqzLL2fZ</t>
  </si>
  <si>
    <t>TOMORROW is #FDNYOpenHouse day! Plan your visit at https://t.co/RsAE9xlkIL https://t.co/Qfx2LTDsPg</t>
  </si>
  <si>
    <t>Congratulations to Jeanette McClarity, Clerical Associate, &amp;amp; Assistant Commissioner Gerard Neville who have each served the #FDNY for 45 yrs</t>
  </si>
  <si>
    <t>Today the #FDNY celebrates 200 employees at the Employee Recognition Ceremony who have a combined 52 centuries of service to the Department</t>
  </si>
  <si>
    <t>We’re honoring more than 200 of the men &amp;amp; women whose work in every bureau &amp;amp; every rank benefits &amp;amp; strengthens our Dept - #FDNY Comm Nigro</t>
  </si>
  <si>
    <t>Today is about recognizing so many important members of the #FDNY family - FDNY Commissioner Nigro at today’s Employee Recognition Ceremony</t>
  </si>
  <si>
    <t>TOMORROW - Meet the #FDNY members who keep your community safe! Find your #FDNYOpenHouse at https://t.co/RsAE9xlkIL https://t.co/C6iuxeDqcj</t>
  </si>
  <si>
    <t>Retired #FDNY FF Erik Wiener reunited today w/ man he saved from fire 20 yrs ago. Read more https://t.co/Wzj2rGhNbv https://t.co/ttWTfCZdqI</t>
  </si>
  <si>
    <t>Today @NYRotary honored #FDNY Lieutenant Brian Colleluori from #Ladder174 for dramatic rescue in 2015 https://t.co/pchXtHyeaz</t>
  </si>
  <si>
    <t>Congrats Taylor Moss on making @PatriotLeague All-Acad. team &amp;amp; honoring her father, retired #FDNY FF, by wearing #74 https://t.co/Uybs5jkM89</t>
  </si>
  <si>
    <t>The #FDNY was honored to play a small role in today's memorial mass for @US_NavySeals Charles Keating #NeverForget https://t.co/efv0pDC6ia</t>
  </si>
  <si>
    <t>RT @DanielSquadron: Big thanks @akansfield for all your work in our community, from @FDNY to @gpointchurch -- more on Ann's great work: htt…</t>
  </si>
  <si>
    <t>Thank you for coming by! We're glad that you enjoyed your visit https://t.co/J6TteoNtKu</t>
  </si>
  <si>
    <t>RT @nycgob: Manténgase al día 24/7/365 siguiendo a @FDNYalerts, con alertas automatizadas de operaciones del @FDNY. https://t.co/rL7efFRYiy</t>
  </si>
  <si>
    <t>Come by &amp;amp; take a tour during #FDNYOpenHouse, Saturday May 14! Plan your visit at https://t.co/RsAE9xlkIL https://t.co/g0QmT8V3pn</t>
  </si>
  <si>
    <t>Today's #FDNY #tbt photo from 5/12/91, a 2nd alarm in Port Richmond, #StatenIsland. See more https://t.co/iSQgmPb0vr https://t.co/mAAderH1qp</t>
  </si>
  <si>
    <t>It's almost here! This Saturday, May 14 is #FDNYOpenHouse day! Plan your visit at https://t.co/RsAE9xlkIL https://t.co/UunLz5yDGV</t>
  </si>
  <si>
    <t>RT @FDNYFoundation: We had a record-breaking night! Read all about the 21st Annual #FDNYFoundation Dinner here: https://t.co/yWb0mrLo2W htt…</t>
  </si>
  <si>
    <t>RT @C2CBikeRide4PTS: We are all so thankful to @FDNY for supplying a bus from #Ottawa to #WashingtonDC! Your support has been vital! https:…</t>
  </si>
  <si>
    <t>RT @JenGoez: An amazing day @FDNY @ColumbiaExecEd. #CBSAMP walks away with greater appreciation 4 #firefighters &amp;amp; self-awareness https://t.…</t>
  </si>
  <si>
    <t>Visit your neighborhood Firehouse or EMS Station on Sat, May 14! Find your #FDNYOpenHouse at https://t.co/RsAE9xlkIL https://t.co/A9V1ulRNpY</t>
  </si>
  <si>
    <t>RT @FDNYFoundation: Thank you. Thank you. Thank you. https://t.co/ECQj0IvPZ0</t>
  </si>
  <si>
    <t>RT @FDNYFoundation: "When we try to get away from danger, they're going into it. We have the greatest Fire Department on Earth." - Kenneth…</t>
  </si>
  <si>
    <t>RT @FDNYFoundation: We are so proud to honor Kenneth Langone with 2016 #FDNY Foundation Humanitarian Award.</t>
  </si>
  <si>
    <t>RT @FDNYFoundation: "What better example of selfless sacrificial love do we have than the FDNY." - @CardinalDolan accepting his Humanitaria…</t>
  </si>
  <si>
    <t>RT @FDNYFoundation: Recognizing friend of the #FDNY @CardinalDolan tonight with a Humanitarian Award. Thank you, Cardinal Dolan, for your o…</t>
  </si>
  <si>
    <t>RT @FDNYFoundation: .@JohnBowneHS is presented w/ William M. Feehan Fire Safety Education Award. https://t.co/rhLNELiU1s</t>
  </si>
  <si>
    <t>RT @FDNYFoundation: On behalf of every #FDNY member who proudly wears this uniform, thank you #FDNYFoundation for helping us better protect…</t>
  </si>
  <si>
    <t>RT @FDNYFoundation: #FDNY Legionnaires’ Task Force awarded the #FDNY Service Recognition Award https://t.co/9YtIAIaru0</t>
  </si>
  <si>
    <t>RT @FDNYFoundation: Fire Commissioner thanks Mayor @BilldeBlasio @NYCCouncil @KiddeSafety for #GetAlarmedNYC collaboration. https://t.co/9w…</t>
  </si>
  <si>
    <t>RT @FDNYFoundation: The work the #FDNYFoundation has helped the Dept. accomplish is extraordinary. - #FDNY Commissioner Daniel Nigro https:…</t>
  </si>
  <si>
    <t>RT @FDNYFoundation: Chairman Stephen Ruzow thanking generous supporters. Without our friends &amp;amp; partners, none of this would be possible! ht…</t>
  </si>
  <si>
    <t>RT @FDNYFoundation: Thanks to the hard work of our Board members &amp;amp; the generosity of our friends, tonight we raised a record $2.5 million t…</t>
  </si>
  <si>
    <t>RT @FDNYFoundation: Our wonderful emcee @RosannaScotto of @Fox5ny welcomes all to the 21st Annual #FDNYFoundation Dinner https://t.co/Vev5o…</t>
  </si>
  <si>
    <t>RT @FDNYFoundation: Counting down the minutes to the 21st Annual #FDNYFoundation Dinner... A record-breaking year for support of the #FDNY!</t>
  </si>
  <si>
    <t>RT @FDNYFoundation: .@FDNYPipeBand kicks off the 21st annual @FDNYFoundation Dinner at @NYHiltonMidtown. https://t.co/H1sAcWZZJn</t>
  </si>
  <si>
    <t>#FDNYOpenHouse sessions are 11am–1pm &amp;amp; 1-3 pm, May 14. View our Firehouse &amp;amp; Station map at https://t.co/RsAE9xlkIL https://t.co/VOO2ImTZCQ</t>
  </si>
  <si>
    <t>.@ShaneVereen34 &amp;amp; #NYCBravest are ready for the Fun City Football Bowl at MCU Park! Tix at https://t.co/SYyjviykWK https://t.co/iozGPbxRiH</t>
  </si>
  <si>
    <t>Honorary Co-Captain @Giants @ShaneVereen34 helps #NYCBravest prep for FDNY vs @NYPDnews Fun City Football Bowl 5/22 https://t.co/vqNbkPD99G</t>
  </si>
  <si>
    <t>Meet the #FDNY members who keep your community safe, Sat May 14! Find your #FDNYOpenHouse at https://t.co/RsAE9xlkIL https://t.co/YNcthzWrWH</t>
  </si>
  <si>
    <t>Thanks for helping us spread the word about #FDNYOpenHouse!  https://t.co/xH6Yt0I69w</t>
  </si>
  <si>
    <t>Learn fire &amp;amp; life safety skills, take a tour &amp;amp; more at #FDNYOpenHouse 5/14! Plan your visit https://t.co/RsAE9xlkIL https://t.co/lz9uvnk32N</t>
  </si>
  <si>
    <t>Watch #FDNY 2017 #CalendarOfHeroes models accept the #RunningManChallenge from @NYPDnews at https://t.co/cSVewsRirv https://t.co/5vrCcnYL5T</t>
  </si>
  <si>
    <t>#FDNY members from #10House host visit w/ @VermontAirGuard, whose jets first patrolled skies after 9/11 #NeverForget https://t.co/rEkBDNHKFh</t>
  </si>
  <si>
    <t>Tomorrow at 6 pm, see the final presentation in the @FDNYMuseum 2016 lecture series https://t.co/2hg0RVf8NY</t>
  </si>
  <si>
    <t>RT @joinFDNY: Does our #RunningManChallenge video inspire you to #joinfdny? Watch the full video at https://t.co/ADNwFbxJ2k. https://t.co/E…</t>
  </si>
  <si>
    <t>We can't wait to see what you've got in store for the #RunningManChallenge! https://t.co/ERbZcSxbxA</t>
  </si>
  <si>
    <t>We extend the #RunningManChallenge to @BostonFire @Boston_EMS @LAFDtalk &amp;amp; @MrMet https://t.co/FGq72hrwzT</t>
  </si>
  <si>
    <t>Our response to the @NYPDnews #RunningManChallange is here! Watch at: https://t.co/ZCEQNwGZ90 https://t.co/Ch8TNswyFz</t>
  </si>
  <si>
    <t>This Saturday, May 14 is #FDNYOpenHouse day! Plan your visit at https://t.co/RsAE9xlkIL https://t.co/nLkIlghk5W</t>
  </si>
  <si>
    <t>RT @FDNYPro: Print editions of WNYF back issues (2010-today) are now available at #FDNY Shop https://t.co/l7ZWKjUUiN https://t.co/5XhhYmVFji</t>
  </si>
  <si>
    <t>We’re delivering recognizable services across all channels &amp;amp; platforms. Visit https://t.co/8Nrcg8IUnU &amp;amp; follow @FDNYalerts #nycdigital</t>
  </si>
  <si>
    <t>Funeral mass will be May 13 at 11 am, St. Joseph’s RC Church, 1346 Broadway, Hewlett NY (3/3)</t>
  </si>
  <si>
    <t>A wake will be held on 5/11 &amp;amp; 5/12, 4-7pm &amp;amp; 7-9pm at Flinch &amp;amp; Burns Funeral Home, 34 Hempstead Ave. Lynbrook NY (2/3)</t>
  </si>
  <si>
    <t>With deep sympathy we announce funeral arrangements for former #FDNY Deputy Fire Commissioner, Leonard Mancusi (1/3)</t>
  </si>
  <si>
    <t>Come by &amp;amp; take a tour during #FDNYOpenHouse, Saturday May 14! Plan your visit at https://t.co/RsAE9xlkIL https://t.co/ZmJe9LAfgv</t>
  </si>
  <si>
    <t>Visit your neighborhood Firehouse or EMS Station on Sat, May 14! Find your #FDNYOpenHouse at https://t.co/RsAE9xlkIL https://t.co/SLvWsfCelI</t>
  </si>
  <si>
    <t>RT @nycgob: Ven a las Casas abiertas del @FDNY el 14 de mayo! Busca nuestras estaciones en el mapa: https://t.co/fBYWDz0Vjt https://t.co/zk…</t>
  </si>
  <si>
    <t>We’re making the #nycdigital playbook a reality by listening &amp;amp; responding to our followers. We’re here to help you be #FDNYSmart!</t>
  </si>
  <si>
    <t>#FDNYOpenHouse sessions are 11am–1pm &amp;amp; 1-3 pm, May 14. View our Firehouse &amp;amp; Station map at https://t.co/RsAE9xlkIL https://t.co/rGujme7wDq</t>
  </si>
  <si>
    <t>You can reference this map to find the location nearest you: https://t.co/RsAE9xlkIL  https://t.co/UGgb4HwRlH</t>
  </si>
  <si>
    <t>Yes! You can come by any FDNY Firehouse or EMS Station on #FDNYOpenHouse day, Saturday May 14, to take a tour https://t.co/gE18r7qTOn</t>
  </si>
  <si>
    <t>Meet the #FDNY members who keep your community safe, Sat May 14! Find your #FDNYOpenHouse at https://t.co/RsAE9xlkIL https://t.co/iVjYMY53yK</t>
  </si>
  <si>
    <t>RT @WarriorCare: WCP Blog: Training, cultural similarities inspire smooth transitions to civilian roles @FDNY https://t.co/D0C8r6lzqv https…</t>
  </si>
  <si>
    <t>By constantly improving #nycdigital, we're creating a more equitable city. Here's how: https://t.co/8nbSBjKtE8 https://t.co/94GwUeK39h</t>
  </si>
  <si>
    <t>RT @NYCMayorsOffice: We're also streaming the Digital Playbook event with @BilldeBlasio and @ariannahuff on Facebook Live. Watch here: http…</t>
  </si>
  <si>
    <t>Learn fire &amp;amp; life safety skills, take a tour &amp;amp; more at #FDNYOpenHouse 5/14! Plan your visit https://t.co/RsAE9xlkIL https://t.co/nFMWVdL2kw</t>
  </si>
  <si>
    <t>Come by &amp;amp; take a tour during #FDNYOpenHouse, Saturday May 14! Plan your visit at https://t.co/RsAE9xlkIL https://t.co/7GfDyFJ0EO</t>
  </si>
  <si>
    <t>We hope to see you again this year! #FDNYOpenHouse is fun for kids &amp;amp; adults of all ages  https://t.co/OXne0RKASJ</t>
  </si>
  <si>
    <t>See more #HappyMothersDay drawings from the children of #NYCBravest at https://t.co/AbI9xcqdm9 https://t.co/DZlQCgZruS</t>
  </si>
  <si>
    <t>“My mom is a superhero" - Jisella, age 6, daughter of FDNY FFer Joann Jorsling from #Engine79. #HappyMothersDay https://t.co/hdw1bFjVkl</t>
  </si>
  <si>
    <t>"Mom saves people's lives" – Jade, age 10, daughter of FDNY Paramedic Michelle Santiago, #Station15 #HappyMothersDay https://t.co/43SASkbE4z</t>
  </si>
  <si>
    <t>“My mom is strong” – Gianna, age 13, daughter of FDNY Firefighter Annette Astaiza from #Engine287. #HappyMothersDay https://t.co/mTUVGi1BiV</t>
  </si>
  <si>
    <t>“My mom is brave” – Patryk, age 7, son of FDNY Firefighter Kinga Mielnik from #Engine282. #HappyMothersDay https://t.co/7TZOJPv71u</t>
  </si>
  <si>
    <t>“My mom answers when someone needs help” – Sebastian, age 7, son of FDNY EMT Rosa Torres from EMD #HappyMothersDay https://t.co/LepNzwkGgT</t>
  </si>
  <si>
    <t>We’d like to wish our #FDNY members, and all mothers, a very #HappyMothersDay https://t.co/Bi16TffDBo</t>
  </si>
  <si>
    <t>RT @JustinTrudeau: UPDATE: Our matching of individual donations to @redcrosscanada will backdate to May 3rd and continue to May 31, without…</t>
  </si>
  <si>
    <t>Our thoughts are w/ those affected by, &amp;amp; currently battling, #FortMcMurray fire. Anyone wishing to help please donate to @redcrosscanada</t>
  </si>
  <si>
    <t>Saturday, May 14 is #FDNYOpenHouse day! Plan your visit at https://t.co/RsAE9xlkIL https://t.co/pSTPXKBo9b</t>
  </si>
  <si>
    <t>Visit your neighborhood Firehouse or EMS Station on Sat, May 14! Find your #FDNYOpenHouse at https://t.co/RsAE9xlkIL https://t.co/LBHMM8v6DX</t>
  </si>
  <si>
    <t>#FDNYOpenHouse sessions are 11am–1pm &amp;amp; 1-3 pm, May 14. View our Firehouse &amp;amp; Station map at https://t.co/RsAE9xlkIL https://t.co/m87qLYbaw9</t>
  </si>
  <si>
    <t>RT @nycgob: El Departamento de Bomberos de NYC ofrece consejos para evitar incendios al usar #velas en: https://t.co/W0kRKy3y8D #españolNYC…</t>
  </si>
  <si>
    <t>#FDNY members share #FDNYSmart tips on Career Day w/ students at @achievement1st Brownsville in #Brooklyn https://t.co/9QnaXjq3MZ</t>
  </si>
  <si>
    <t>We're looking back to #FDNYOpenHouse '15 for #FlashbackFriday! Read more https://t.co/6IiWB2SRpp https://t.co/HNWx8iDyP1</t>
  </si>
  <si>
    <t>Meet the #FDNY members who keep your community safe, Sat May 14! Find your #FDNYOpenHouse at https://t.co/RsAE9xlkIL https://t.co/LYnKSvAGa0</t>
  </si>
  <si>
    <t>TY @FoxFriendsFirst for inviting #FDNY members to discuss what one should do when they experience trauma from a fall https://t.co/RYq2oTeRQ8</t>
  </si>
  <si>
    <t>RT @EmpireStateBldg: Much-loved lightings: Honoring the 150th anniversary of @FDNY in fire truck red!
#ESBday [62 of 85] https://t.co/sjGK9…</t>
  </si>
  <si>
    <t>RT @NYPDnews: Make sure to come cheer on our rugby team as we take on @FDNY tomorrow at Gaelic Park, Bronx. https://t.co/C3MXm6SHhF</t>
  </si>
  <si>
    <t>Learn fire &amp;amp; life safety skills, take a tour &amp;amp; more at #FDNYOpenHouse 5/14! Plan your visit https://t.co/RsAE9xlkIL https://t.co/78Ac2vdcWm</t>
  </si>
  <si>
    <t>Come by &amp;amp; take a tour during #FDNYOpenHouse, Saturday May 14! Plan your visit at https://t.co/RsAE9xlkIL https://t.co/FQRmhpLn7Q</t>
  </si>
  <si>
    <t>RT @NYCDHS: Alerts about mass transit, @FDNY, health, safety, utilities, weather, and more, now in 13 additional languages, ASL: https://t.…</t>
  </si>
  <si>
    <t>RT @nycgob: El @FDNY luchando para extinguir un incendio en 7ta Ave #Chelsea en 1968. Más: https://t.co/dpYIumnuoJ https://t.co/tWgEcaRoz1#…</t>
  </si>
  <si>
    <t>Read about today's #FDNY 2016 National EMS Week poster unveiling at https://t.co/dsSvCAN2AM https://t.co/fpTDGNuA0h</t>
  </si>
  <si>
    <t>Don't miss the final presentation in the @FDNYMuseum 2016 lecture series on May 11. See attached for details https://t.co/hLdEzGvGAN</t>
  </si>
  <si>
    <t>Saturday, May 14 is #FDNYOpenHouse day! Plan your visit at https://t.co/RsAE9xlkIL https://t.co/xzgmdpwVeq</t>
  </si>
  <si>
    <t>RT @NYCService: Sign your @NYCSchools high school up for FREE CPR training! Register @FDNY &amp;amp; develop our next citizen responders https://t.…</t>
  </si>
  <si>
    <t>RT @Birdie_NYC: .@HotDogFDNY and I are big fans of fire safety, a green NYC, and Twitter @FDNY https://t.co/M365QxxJSv</t>
  </si>
  <si>
    <t>You're very welcome, we are proud to help keep New Yorkers and visitors to our great city safe  https://t.co/t8tlzlFwZF</t>
  </si>
  <si>
    <t>Today's #FDNY #tbt photo is from 5/5/68, a 3rd alarm at 225 7th Ave #Chelsea. See more at https://t.co/lFZXoB6leh https://t.co/iHSb1cFNHh</t>
  </si>
  <si>
    <t>Visit your neighborhood Firehouse or EMS Station on Sat, May 14! Find your #FDNYOpenHouse at https://t.co/RsAE9xlkIL https://t.co/OZp998Cm53</t>
  </si>
  <si>
    <t>RT @NYPDTransit: All the best today &amp;amp; always (except during the Battle of the Badges) to the entire @FDNY team! Be safe! #InternationalFire…</t>
  </si>
  <si>
    <t>RT @FDNYFoundation: Thank you so much for your support!  https://t.co/O0gTLrPbxY</t>
  </si>
  <si>
    <t>Read more about yesterday's #FDNY Probationary Firefighter graduation ceremony at https://t.co/XYUiWKzQZr https://t.co/umWtwyU1qz</t>
  </si>
  <si>
    <t>#FDNY EMS Week 2016 poster features EMT Shaun Alexander of #Station58 &amp;amp; Paramedic Carlos Muller of #Station15 https://t.co/PR7nPGDaNJ</t>
  </si>
  <si>
    <t>RT @NYPDnews: 100's of cops &amp;amp; members of the community gather in Queens to fulfill a promise to #NeverForget Officer Brian Moore https://t.…</t>
  </si>
  <si>
    <t>.@NYPDnews Game on. #ChallengeAccepted https://t.co/JTEVPkStcv</t>
  </si>
  <si>
    <t>#FDNYOpenHouse sessions are 11am–1pm &amp;amp; 1-3 pm, May 14. View our Firehouse &amp;amp; Station map at https://t.co/RsAE9xlkIL https://t.co/sX9mWBJ9Dz</t>
  </si>
  <si>
    <t>RT @joinFDNY: Happy #InternationalFirefightersDay! Learn more about our amazing #Firefighter career at https://t.co/JwzUp1KIkb. https://t.c…</t>
  </si>
  <si>
    <t>RT @HotDogFDNY: Happy anniversary to my best buddy @SirenFDNY! https://t.co/PCrVcQbg9S</t>
  </si>
  <si>
    <t>RT @SirenFDNY: Happy one year anniversary to me!  Read my latest blog post about all the great things happening at the #FDNY.  https://t.co…</t>
  </si>
  <si>
    <t>Meet the #FDNY members who keep your community safe, Sat May 14! Find your #FDNYOpenHouse at https://t.co/RsAE9xlkIL https://t.co/N9rptfoj3n</t>
  </si>
  <si>
    <t>RT @GuardiansNYPD: Congrats to the FDNY graduates 2016 @FDNYWomen @FDNY @joinFDNY https://t.co/7GdNuNtQAG</t>
  </si>
  <si>
    <t>See photos from today's #FDNY Probationary Firefighter graduation ceremony at https://t.co/S05GzznKCH https://t.co/TtFohcLqsV</t>
  </si>
  <si>
    <t>RT @carnegiehall: Come to @FatouDiawara @SchomburgCenter on 5/4 to get a free smoke/co alarm thru the #getalarmednyc giveaway. @FDNY @mayor…</t>
  </si>
  <si>
    <t>#FDNY Probie Brendan Tracy graduates today as a 6th generation FDNY member. Read more https://t.co/ffLxnhEqJV https://t.co/tMGTzdClCs</t>
  </si>
  <si>
    <t>Congrats to 310 highly motivated, truly dedicated #FDNY Probies on your graduation from the FDNY Fire Academy https://t.co/TspKdW97YO</t>
  </si>
  <si>
    <t>#FDNY FF Harry S. Ford died on Father’s Day, 2001. Today his son graduates FDNY Fire Academy https://t.co/W45xZdnKf0 https://t.co/kC5BGhkAML</t>
  </si>
  <si>
    <t>#FDNY Probie Thomas Palombo follows footsteps of father killed on 9/11 https://t.co/YYPWStJACF #NeverForget https://t.co/QbBU23JkWf</t>
  </si>
  <si>
    <t>.@FDNYPipeBand kicks off #FDNY Probationary Firefighter graduation at @cccinfoorg in #Brooklyn https://t.co/8NaCDkUKpm</t>
  </si>
  <si>
    <t>Congratulations to 49 U.S. Veterans who are graduating today from the #FDNY Fire Academy https://t.co/RX6uqGXeWM</t>
  </si>
  <si>
    <t>#FDNY Probies Ford, Palombo, Herman lost fathers in 2001 Father’s Day fire, 9/11 &amp;amp; NYPD line of duty, respectively https://t.co/7N2NH8aF8P</t>
  </si>
  <si>
    <t>#FDNY Probies Tracy, Bryant, Brown, Garcia &amp;amp; Totten graduate from FDNY Fire Academy today, follow father’s footsteps https://t.co/dI4oHvx66p</t>
  </si>
  <si>
    <t>Congratulations to #FDNY legacy Probies Ford, Palombo, Cavuto &amp;amp; Herman graduating today from FDNY Fire Academy https://t.co/eF3OMHIMk2</t>
  </si>
  <si>
    <t>#FDNY Probie Clara Lyde is one of 3 female FDNY Firefighters graduating today. Read more https://t.co/qFdWdqC1RB https://t.co/P2XrGrqiyi</t>
  </si>
  <si>
    <t>Congrats to 3 female FFers graduating from #FDNY Fire Academy. 52 female FFers now on the job, most in Dept history https://t.co/zAAs734LMF</t>
  </si>
  <si>
    <t>NYers can #GetAlarmedNYC at @SchomburgCenter neighborhood community concert TOMORROW from 6:30-8 pm. 515 Malcolm X Blvd/135 St #CHinMyHood</t>
  </si>
  <si>
    <t>RT @FDNYPro: Thank you to everyone who attended  the 4th Annual #FDNY MSOC! Check out photo gallery at https://t.co/Y3G7b6efxH https://t.co…</t>
  </si>
  <si>
    <t>RT @NYPDnews: Come out, have a great time &amp;amp; support a great cause. Join @FinestFootball &amp;amp; @FDNY for the Fun City Bowl on May 22. https://t.…</t>
  </si>
  <si>
    <t>Thank you @ABetterNY for awarding the 10th annual #SpiritofABNY to #FDNY, in honor of #FDNY150 https://t.co/rpzXEQZ5Yt</t>
  </si>
  <si>
    <t>Watch former #FDNY member Chris Tempro on @Jeopardy #TeachersTournament TONIGHT! Photo cred Jeopardy Productions Inc https://t.co/8NZB4bs6sb</t>
  </si>
  <si>
    <t>#FDNY members on scene earlier this a.m., 3rd alarm 2220 Voorhies Ave #Brooklyn. Fire has been placed under control. https://t.co/Uw2XuTcP4C</t>
  </si>
  <si>
    <t>RT @nycgob: 170 #bomberos en un #incendio de 4 alarmas en la calle 25 esq. Broadway #Manhattan: https://t.co/mFtHNcMqHG @FDNY</t>
  </si>
  <si>
    <t>RT @nycgob: Otra vista de la operación del @FDNY esta noche en la calle 25 y #Broadway #Manhattan: https://t.co/ohnJGrWiZx</t>
  </si>
  <si>
    <t>RT @FDNYAlerts: MAN 4-ALARM 15 W 25 ST, HOUSE OF WORSHIP FIRE IN CHURCH, UNDER CONTROL</t>
  </si>
  <si>
    <t>170 #FDNY members on scene of 4-alarm fire at 25th &amp;amp; Broadway #Manhattan https://t.co/Y9vTqFNBLQ</t>
  </si>
  <si>
    <t>#FDNY members operating at 4-alarm fire at 25th &amp;amp; Broadway #Manhattan https://t.co/gjrnQ0MAjC</t>
  </si>
  <si>
    <t>#FDNY members utilizing an exterior operation due to heavy fire throughout church at 24 W 25th St #Manhattan</t>
  </si>
  <si>
    <t>No injuries reported at 3rd alarm at 24 W 25th St. #Manhattan. 140+ #FDNY members on scene</t>
  </si>
  <si>
    <t>#FDNY members on scene of 3rd alarm at 24 W 25th St #Manhattan. Follow @FDNYalerts for updates https://t.co/9q9DBD6md3</t>
  </si>
  <si>
    <t>RT @FDNYAlerts: MAN 3-ALARM 24 W 25 ST, HOUSE OF WORSHIP FIRE IN CHURCH,</t>
  </si>
  <si>
    <t>RT @FDNYPro: Operating as a team during #FDNY MSOC. Train with us at https://t.co/eSJJo2pII9! https://t.co/pttisaYcbL</t>
  </si>
  <si>
    <t>RT @FDNYPro: First responders transport a patient during a mass transit disaster drill at MSOC inside #FDNY subway simulator. https://t.co/…</t>
  </si>
  <si>
    <t>RT @FDNYPro: Stabilizing a patient during a mass transit disaster. Train with #FDNY at https://t.co/eSJJo2pII9! https://t.co/XrrLF5flTd</t>
  </si>
  <si>
    <t>RT @FDNYPro: "We must be ready to supply world class care in the worst of environments" #FDNY Chief Paul Miano's remarks at MSOC. https://t…</t>
  </si>
  <si>
    <t>RT @FDNYPro: Uniformed personnel from various agencies team-up during a complicated rubble pile scenario at #FDNY MSOC. https://t.co/FtffYC…</t>
  </si>
  <si>
    <t>RT @FDNYPro: Providing patient care during a simulated disaster in a confined space at #FDNY MSOC... https://t.co/CvEEERmNq4</t>
  </si>
  <si>
    <t>RT @FDNYPro: #FDNY MSOC attendees see firsthand how the use of robotics and other technologies can be used during operations. https://t.co/…</t>
  </si>
  <si>
    <t>RT @FDNYPro: Last day of MSOC is under way at the #FDNY Fire Academy...not in town? Check out https://t.co/n7BTaXdJrn! https://t.co/flDs6vh…</t>
  </si>
  <si>
    <t>RT @FDNYPro: #FDNY MSOC featured the latest equipment/products for pre-hospital care. Watch for our online vendor showcase! https://t.co/q1…</t>
  </si>
  <si>
    <t>RT @FDNYPro: Inside the rubble pile station at #FDNY MSOC! Hands-on skills at the Fire Academy. https://t.co/84uLg4dTUd</t>
  </si>
  <si>
    <t>RT @FDNYPro: The big city disaster skill station presented #FDNY MSOC participants with challenging scenarios... https://t.co/zeT5hHaZEC</t>
  </si>
  <si>
    <t>RT @FDNYPro: Operating in a compromised work zone can be very dangerous. Great job by everyone involved in today's MSOC drill! https://t.co…</t>
  </si>
  <si>
    <t>RT @FDNYPro: Rest up! Tomorrow is another day of training at the #FDNY Fire Academy. View schedule at https://t.co/tVh4L7YNXZ. https://t.co…</t>
  </si>
  <si>
    <t>RT @FDNYPro: MSOC attendees, check out https://t.co/iiSMTnx6U9 for more ways to train with #FDNY! Plans start at just $19.99! https://t.co/…</t>
  </si>
  <si>
    <t>RT @FDNYPro: MSOC attendees take part in a rubble pile skill station at the #FDNY Fire Academy. https://t.co/DMX7h758n4</t>
  </si>
  <si>
    <t>RT @FDNYPro: Inside the #FDNY subway simulator, MSOC participants at the Fire Academy take part in a mass transit disaster drill. https://t…</t>
  </si>
  <si>
    <t>Learn more about what NYC’s doing to increase healthy food access in neighborhood stores: https://t.co/y18maUyQb7 https://t.co/pCBN4PsgHO</t>
  </si>
  <si>
    <t>RT @FDNYPro: #FDNY MSOC presenter Dr. Christopher Ho discusses helicopter operations for first responders at the Fire Academy. https://t.co…</t>
  </si>
  <si>
    <t>RT @FDNYPro: Busy day at the #FDNY Fire Academy! MSOC am sessions covered many topics. Learn more at https://t.co/tVh4L7YNXZ! https://t.co/…</t>
  </si>
  <si>
    <t>RT @FDNYPro: #FDNY Chief of Dept. James Leonard and @FDNYFoundation welcome attendees to Day 2 of MSOC at the Fire Academy! https://t.co/I4…</t>
  </si>
  <si>
    <t>RT @nycgob: 220 #bomberos en probatoria se inscribieron como donantes de #médula. Más info en: https://t.co/mLzBFHNkFj https://t.co/QgeMNUC…</t>
  </si>
  <si>
    <t>RT @FDNYPro: #FDNY Commissioner Daniel Nigro and @FDNYFoundation welcome MSOC attendees at @FDNYMuseum reception in NYC https://t.co/iJd9lh…</t>
  </si>
  <si>
    <t>RT @nycgob: El #bombero Wilson conocerá al paciente que recibió su donación de médula: https://t.co/NjvrMx2DNG https://t.co/qztsOphN1e @FDN…</t>
  </si>
  <si>
    <t>RT @FDNYPro: MSOC workshop attendees at the #FDNY Fire Academy practice performing patient care at active shooter incidents. https://t.co/5…</t>
  </si>
  <si>
    <t>RT @FDNYPro: High altitude illness, animal attacks, avalanches and lightning strikes! Oh my! #FDNY MSOC workshop enters the wild. https://t…</t>
  </si>
  <si>
    <t>Read more about today's #FDNY Honor Roll of Life inductee ceremony w/ @NYBloodCenter at https://t.co/XRZRia0eXr https://t.co/dvWCnCspTd</t>
  </si>
  <si>
    <t>Thank you to @ctcwp for 13 yrs of support for the Counterterrorism Leadership Program. #NeverForget</t>
  </si>
  <si>
    <t>Thank you to @USarmy &amp;amp; @NPSCHDS for support of @WestPoint_USMA &amp;amp; FDNY Counterterrorism Leadership Program. #NeverForget</t>
  </si>
  <si>
    <t>32 #FDNY Fire &amp;amp; EMS Officers graduate from @WestPoint_USMA &amp;amp; FDNY Counterterrorism Leadership Program. #NeverForget https://t.co/M09RbM6XBJ</t>
  </si>
  <si>
    <t>Learn how you can @BeTheMatch by visiting https://t.co/onOwRbYcQQ https://t.co/0A7F75ffFU</t>
  </si>
  <si>
    <t>RT @FDNYPro: #FDNY MSOC workshop attendees at the @NorthwellHealth Bioskills Education Center execute patient care techniques. https://t.co…</t>
  </si>
  <si>
    <t>RT @FDNYPro: #FDNY MSOC participants practice skills on a simulated canine specimen at @AMCNY. https://t.co/tVh4L7YNXZ https://t.co/ruwka8A…</t>
  </si>
  <si>
    <t>See more photos from today's #FDNY Honor Roll of Life induction ceremony at https://t.co/NlHOeSOBCR https://t.co/CwtvjJdwrp</t>
  </si>
  <si>
    <t>#FDNY FF Perdue w/ Jonathan Ragland, his @BeTheMatch bone marrow recipient. Read more https://t.co/KnL5e0UfHe https://t.co/J1fjCJ8C8i</t>
  </si>
  <si>
    <t>#FDNY FF Wilson meets Amy Alcorn, the recipient of his life-saving bone marrow. Read more https://t.co/nKPArVzT4b https://t.co/bWPHTjn0Qh</t>
  </si>
  <si>
    <t>#FDNY FF Wilson, #Ladder166, meets recipient of his life-saving bone marrow, Amy Alcorn, mother from Erie, PA https://t.co/Q2hG7C97EK</t>
  </si>
  <si>
    <t>#FDNY FF Perdue meets recipient of his life-saving bone marrow, Jonathan Lamont Ragland, father of 2 from KY https://t.co/g7ys0XjHXv</t>
  </si>
  <si>
    <t>Each class of #FDNY Probie FFers participates in @NYBloodCenter blood drive. Read more https://t.co/yWTGN7JnI3 https://t.co/B8wdaRxKmo</t>
  </si>
  <si>
    <t>Eight #FDNY members’ names added today to the FDNY Honor Roll of Life in a ceremony at FDNY HQ in #Brooklyn https://t.co/Nf2dhcg5Kw</t>
  </si>
  <si>
    <t>220 #FDNY Probie FFers from the current class signed up to be bone marrow donors. Read more https://t.co/2YzTPPy5Cc https://t.co/PK1DK93He5</t>
  </si>
  <si>
    <t>The 12th annual Honor Roll of Life inductee ceremony is underway w/ @NYBloodCenter at #FDNY HQ in #Brooklyn https://t.co/adsJxly1MU</t>
  </si>
  <si>
    <t>RT @FDNYPro: It's go time! The 4th Annual MSOC is underway in NYC! Schedule of events is available at https://t.co/tVh4L7YNXZ https://t.co/…</t>
  </si>
  <si>
    <t>#FDNY FF Wilson of #Engine311 brings supplies to residents in Flint, Michigan. Read more https://t.co/KHh9ZdtjTY https://t.co/1thKfgY6wn</t>
  </si>
  <si>
    <t>RT @nycgob: El @FDNY sofocó incendio un día como hoy en 1974 en Bedford Ave/Lafayette St #Brooklyn. https://t.co/vGMsCnltKc https://t.co/dN…</t>
  </si>
  <si>
    <t>#FDNY FF Wilson, #Ladder166, to meet the recipient of his bone marrow donation. Read more https://t.co/FALr3gRaoj https://t.co/6thWZPcbWW</t>
  </si>
  <si>
    <t>#FDNY FF Perdue, #Engine67, to meet the recipient of his bone marrow donation. Read more https://t.co/MZU7nUrKhw https://t.co/j0q9vOft6R</t>
  </si>
  <si>
    <t>That’s one #FDNYSmart kid! #Engine304 &amp;amp; #Ladder162 had a great time hosting #TOCTWD2016 @Tuesdayschldrn #NeverForget https://t.co/RhDhVwUpwP</t>
  </si>
  <si>
    <t>Children affected by events of 9/11 were welcomed to #Engine304 &amp;amp; #Ladder162 w/ @Tuesdayschldrn #NeverForget https://t.co/9fAgEgjSXo</t>
  </si>
  <si>
    <t>#FDNY members from #Engine304 &amp;amp; #Ladder162 in #Queens participate in @Tuesdayschldrn 14th annual #TOCTWD2016 https://t.co/rBVolNtdEg</t>
  </si>
  <si>
    <t>RT @SirenFDNY: Had a blast with my best buddy @HotDogFDNY at #TakeYourKidToWorkDay ! https://t.co/Lx66qOMdQG</t>
  </si>
  <si>
    <t>RT @HotDogFDNY: Meeting our next generation of #FDNYSmart kids at #TakeYourKidToWorkDay @fdny HQs with @SirenFDNY. https://t.co/urjDr4tvvn</t>
  </si>
  <si>
    <t>Man missing since yesterday brought to #FDNY #Engine205 in #BrooklynHeights. Read more https://t.co/ylt8HlVuPT https://t.co/w5DqOlBIDb</t>
  </si>
  <si>
    <t>Today's #FDNY #tbt from 4/28/74, a 2nd alarm at Bedford Ave/Lafayette St #Brooklyn. See more https://t.co/8yIwqp7bL2 https://t.co/sBmGACRQEU</t>
  </si>
  <si>
    <t>RT @nycgob: #Veteranos del @FDNY tomaron #juramento #espartano hoy con espada hecha de acero del 9/11: https://t.co/oeCXkVH8jL @FDNY #WTC</t>
  </si>
  <si>
    <t>RT @FDNYPro: Welcome to NYC! #MSOC is hours away from kicking-off at the #FDNY Fire Academy! Learn more https://t.co/tVh4L7YNXZ https://t.c…</t>
  </si>
  <si>
    <t>RT @nycgob: Comisarios del @FDNY La causa del incendio ayer en 29 Lorimer St #Brooklyn fue accidental, alambre pelado de una lámpara.</t>
  </si>
  <si>
    <t>RT @nycgob: Fotos de la ceremonia de #juramento #espartano hoy yen el cuartel #10House del @FDNY: https://t.co/keQAfY49wK https://t.co/fDAq…</t>
  </si>
  <si>
    <t>#FDNY members &amp;amp; families meet @Mets @Smatz88 at ceremony for #Tru32, honoring first responders #LGM https://t.co/iSquW40mYZ</t>
  </si>
  <si>
    <t>Thank you @Smatz88 &amp;amp; @Mets for honoring #FDNY members w/ #Tru32 #LoveTheMets #LGM https://t.co/4e0vlJd8W9</t>
  </si>
  <si>
    <t>RT @Mets: .@Smatz88 invited 32 @FDNY 1st responders and families to tonight's game as part of the #Tru32 program. #Mets https://t.co/CZ19hE…</t>
  </si>
  <si>
    <t>Watch LIVE - @Mets &amp;amp; @Smatz88 announce #Tru32 initiative, honoring first responders https://t.co/c5iU3fE2dX https://t.co/hNRueK3190</t>
  </si>
  <si>
    <t>RT @Mets: Take a live look at @Smatz88's #Tru32 initiative to honor FDNY/NYPD/Military 1st responders: https://t.co/rkTTwNpse9 https://t.co…</t>
  </si>
  <si>
    <t>RT @joinFDNY: High school girls from around #NYC are completing CPR Training at our first-ever Mobile Academy Event in #Brooklyn. https://t…</t>
  </si>
  <si>
    <t>RT @joinFDNY: New York's Bravest women are teaching #NYC girls about their career during our Mobile Academy Event in #Brooklyn. https://t.c…</t>
  </si>
  <si>
    <t>#FDNY partners w/ Asian American Council for Certificate of Fitness outreach workshop https://t.co/ufKMTpbX85 https://t.co/MybZwszjwK</t>
  </si>
  <si>
    <t>See more photos from today's #SpartanOath ceremony at #FDNY #10House at https://t.co/9w7LavLSu4 https://t.co/nyeEa1vUlj</t>
  </si>
  <si>
    <t>RT @TributeWTC: Yesterday members of @FDNY Engine 74 introduced us all to Yogi, their firehouse dalmatian! #WoofWednesday https://t.co/vRo0…</t>
  </si>
  <si>
    <t>#FDNY Fire Marshals: Cause of 4/26 all-hands fire at 29 Lorimer St #Brooklyn was accidental, electrical wiring of pinched lamp cord</t>
  </si>
  <si>
    <t>U.S. Veteran #FDNY members take the #SpartanPledge, w/ Spartan Sword made from 9/11 WTC steel https://t.co/tunoqige6n</t>
  </si>
  <si>
    <t>Watch LIVE – U.S. Veteran #FDNY members take #SpartanPledge: https://t.co/SHeJI2jsbL</t>
  </si>
  <si>
    <t>RT @nycgob: Niños en @TributeWTC con #bomberos del @FDNY y Yogi, el dálmata de la estación (Foto: @TributeWTC) https://t.co/yzHfmhXm1N #Eng…</t>
  </si>
  <si>
    <t>#FDNY members from #Engine74 teach kids at @TributeWTC about Yogi, the firehouse Dalmatian. Photo cred @TributeWTC https://t.co/gfuWfHCVIF</t>
  </si>
  <si>
    <t>RT @redcrossny: Proud to see our @FDNY volunteer team representing NYC down in Houston for flood relief, https://t.co/8K7SYl6Ahh @HoustonRe…</t>
  </si>
  <si>
    <t>RT @TributeWTC: Thanks to all the members of @FDNY Engine 74! https://t.co/ajq0RTfTMP</t>
  </si>
  <si>
    <t>RT @NYCMayorsOffice: 50 more @FDNY ambulance tours to bring NYers help when we need it most. #NYCBudget https://t.co/xcbI3MCzdC</t>
  </si>
  <si>
    <t>RT @nyc311: Think you know NYC? Want to work in #civilservice? Apply for #NYC311 CCR Exam through 4/26: https://t.co/XfLcLtsnXF https://t.c…</t>
  </si>
  <si>
    <t>Stay informed 24/7/365! Follow @FDNYalerts, the FDNY’s new automated operations feed https://t.co/pUAcM7OWIv</t>
  </si>
  <si>
    <t>RT @nycgob: Vea fotos del Día de familias en la Academia de #bomberos del @FDNY en #RandallsIsland: https://t.co/LFHxCUQtJN https://t.co/jZ…</t>
  </si>
  <si>
    <t>#FDNY Fire Marshals: Cause of 4/24 2-alarm fire at 313 E. 170 St #Bronx was accidental electrical, hot plate extension cord</t>
  </si>
  <si>
    <t>#FDNY Fire Marshals: Cause of 4/23 all-hands fire at 306 E. 171 St #Bronx was accidental, careless smoking</t>
  </si>
  <si>
    <t>See photos from Family Day at the #FDNY Fire Academy on #RandallsIsland at https://t.co/m07wP8XcMC https://t.co/meR1PioDwJ</t>
  </si>
  <si>
    <t>#FDNY Fire Marshals: Cause of 4/24 6th alarm at 270 Arlington Ave #Brooklyn was caused by repair work involving a torch on a garage roof</t>
  </si>
  <si>
    <t>RT @nycgob: La Compañía de escaladores 11 en Arlington Ave #Brooklyn esta noche. @FDNY #Ladder111 Siga al día con @FDNYAlerts. https://t.co…</t>
  </si>
  <si>
    <t>RT @nycgob: #Incendio de 5 alarmas en Arlington Av #Brooklyn. 4 con heridas leves. @FDNY  https://t.co/PshPnnoo9p</t>
  </si>
  <si>
    <t>RT @FDNYAlerts: BKLYN 5-ALARM 270 ARLINGTON AVE, PRIVATE DWELLING</t>
  </si>
  <si>
    <t>Fire at 270 Arlington Ave #Brooklyn is now 5th alarm, 4 minor injuries reported. Follow @FDNYAlerts for updates https://t.co/lgMeCOzXzJ</t>
  </si>
  <si>
    <t>#FDNY members from #Ladder111 battling 4th alarm at 270 Arlington Ave #Brooklyn. Follow @FDNYAlerts for updates https://t.co/FdDY7beg2r</t>
  </si>
  <si>
    <t>#FDNY members are on scene of a 4th alarm at 270 Arlington Ave #Brooklyn. Follow @FDNYAlerts for updates https://t.co/w0Alj6q06H</t>
  </si>
  <si>
    <t>RT @FDNYAlerts: BKLYN 4-ALARM 270 ARLINGTON AVE, PRIVATE DWELLING</t>
  </si>
  <si>
    <t>RT @FDNYAlerts: BKLYN 3-ALARM 270 ARLINGTON AVE, PRIVATE DWELLING</t>
  </si>
  <si>
    <t>Today the #FDNY Holy Name Society honored the memory of fallen Firefighters at their 92nd Communion Mass &amp;amp; Breakfast https://t.co/6WJAgD4fYX</t>
  </si>
  <si>
    <t>RT @Sept11Memorial: Community Day is underway! #911Memorial5K #NYPD #fdny #westpointband #papd https://t.co/DGv4r444tU</t>
  </si>
  <si>
    <t>RT @nycgob: Qué propuesta de #matrimonio la de Ziyad Santana a su novia hoy en la Academia de #Bomberos! #RoofRopeProposal https://t.co/y6G…</t>
  </si>
  <si>
    <t>See photos from today’s Fire Commissioner Robert O. Lowery Way street co-naming ceremony at https://t.co/Ephxuyus9O https://t.co/SDC7rqnpWN</t>
  </si>
  <si>
    <t>It’s a beautiful afternoon at the #Tribeca2016 Street Fair! Come visit us to learn how you can be #FDNYSmart https://t.co/kZ955ktCAB</t>
  </si>
  <si>
    <t>Congrats to #FDNY Probie FF Ziyad Santana who pulled off a #RoofRopeProposal today at Family Day at the Fire Academy https://t.co/QVlZggmmjT</t>
  </si>
  <si>
    <t>RT @nycgob: .@FDNY está en la Feria de #Tribeca2016 hoy! Ven a aprender de seguridad en #incendios con @HotDogFDNY y @SirenFDNY! https://t.…</t>
  </si>
  <si>
    <t>Members from the #FDNY Mobile CPR Unit share #FDNYSmart safety tips w/ Bronx Community Board 9 members https://t.co/mLOAT6mjRz</t>
  </si>
  <si>
    <t>Today #FDNY EMS #Station3 welcomes #Bronx Community Board 9 members https://t.co/OKsh2W0MvK</t>
  </si>
  <si>
    <t>Read about today’s street co-naming for former #FDNY Commissioner Robert Lowery at https://t.co/awQ7fVTsmJ https://t.co/PKyOiea8WF</t>
  </si>
  <si>
    <t>We're at #Tribeca2016 Street Fair today! Come by to meet @HotDogFDNY, @SirenFDNY &amp;amp; learn about fire safety &amp;amp; CPR! https://t.co/VCrSniQOXw</t>
  </si>
  <si>
    <t>Former #FDNY Commissioner Robert Lowery honored in street co-naming ceremony at W 155 St &amp;amp; Riverside Dr https://t.co/yH3IXGOQX5</t>
  </si>
  <si>
    <t>Today we will honor Former #FDNY Commissioner Robert Lowery in a street co-naming ceremony, W 155 St &amp;amp; Riverside Dr https://t.co/ZK8AQWX8xG</t>
  </si>
  <si>
    <t>RT @nycgob: Miembros del @FDNY promovieron el Calendario de héroes hoy en @MorningsMaria @FoxBusiness: https://t.co/xuHqConGEB https://t.co…</t>
  </si>
  <si>
    <t>RT @nycgob: #Bomberos en probatoria del @FDNY llevaron una corona de flores hoy a @Sept11Memorial. #NeverForget https://t.co/19ieNOuOe6</t>
  </si>
  <si>
    <t>RT @nycgob: El @FDNY les desea una feliz #Pascua! Celebre con seguridad con estos consejos: https://t.co/l64UMCa8gX https://t.co/6P5E06tF2K…</t>
  </si>
  <si>
    <t>RT @FDNYPro: Watched #FDNY vs EVD yet? Get the inside story about how @FDNY fought Ebola in NYC. More at https://t.co/eSJJo2pII9! https://t…</t>
  </si>
  <si>
    <t>RT @Sept11Memorial: Members graduating class of the @FDNY Probationary Firefighter School visited the #911Memorial &amp;amp; #911Museum today. http…</t>
  </si>
  <si>
    <t>Following the ceremony, #FDNY Probationary Firefighters visited the @Sept11Memorial &amp;amp; #911Museum #NeverForget https://t.co/O6DruzLefy</t>
  </si>
  <si>
    <t>Today #FDNY Probationary Firefighters took part in a wreath-laying ceremony at @Sept11Memorial #NeverForget https://t.co/sgdyPip07i</t>
  </si>
  <si>
    <t>RT @BilldeBlasio: #OneNYCProgress: making our coasts more resilient, our city greener, our industry sustainable. Looking ahead at https://t…</t>
  </si>
  <si>
    <t>RT @Birdie_NYC: .@FDNY Thanks – you too! Lots of simple steps for New Yorkers at the shiny new https://t.co/edym9pKmJg #WeGreeNYC</t>
  </si>
  <si>
    <t>Happy Passover from the #FDNY! Celebrate safely with our #FDNYSmart tips: https://t.co/KoxTYnFKmk https://t.co/b9SBKYlPh1</t>
  </si>
  <si>
    <t>We are always happy to help. Sending our well wishes to you and your mom. https://t.co/zRRICn9xVw</t>
  </si>
  <si>
    <t>Cause of 4/21 all-hands at 63-28 Booth St #Queens was accidental, cutting tool used by workers ignited materials in bldg under renovation</t>
  </si>
  <si>
    <t>Happy #EarthDay from the FDNY! Follow @Birdie_NYC to learn how you can be #GreeNYC! https://t.co/YT3oUZmXqm</t>
  </si>
  <si>
    <t>RT @FDNYPro: Step inside! The 1st edition of Pro EMS digital magazine is now available online! https://t.co/iiSMTnx6U9 https://t.co/qG7QfQh…</t>
  </si>
  <si>
    <t>RT @FDNYPro: Countdown to #FDNY MSOC... Learn more at https://t.co/tVh4L7YNXZ https://t.co/guH9YNnaoY</t>
  </si>
  <si>
    <t>RT @MariaBartiromo: Thanks so much @FDNY for your service to our great country! Greatcalendar @MorningsMaria @FoxBusiness @dagenmcdowell ht…</t>
  </si>
  <si>
    <t>RT @MariaBartiromo: Loved @FDNY when we are running out..they are running in! Thnx you all fire fighters, EMT's, police everywhere https://…</t>
  </si>
  <si>
    <t>Thank you for having us, @MorningsMaria! The 2017 #CalendarOfHeroes is available at https://t.co/3fs4K1yHnp https://t.co/givqHODAM6</t>
  </si>
  <si>
    <t>#FDNY men &amp;amp; women from the 2017 #CalendarOfHeroes on @MorningsMaria @FoxBusiness. Buy yours https://t.co/3fs4K1yHnp https://t.co/zZfaGLSUs2</t>
  </si>
  <si>
    <t>#FDNY members from the #CalendarofHeroes are live on @FoxBusiness NOW! Tune in!</t>
  </si>
  <si>
    <t>RT @nycgob: El @FDNY en el lugar de un #incendio en 1771 Jerome Ave #ElBronx en 1981. Vea más en: https://t.co/EyD6juP9Ln https://t.co/v7Gl…</t>
  </si>
  <si>
    <t>Per #FDNY Fire Marshals: Cause of March 29 6th alarm at 1427 Dekalb Ave #Brooklyn was accidental, electrical in rear of building</t>
  </si>
  <si>
    <t>10 yr, sealed battery smoke/CO combo recommended. Regardless of the kind, test often to make sure it is working https://t.co/dLgfSLqNZi</t>
  </si>
  <si>
    <t>Today’s #FDNY #tbt photo is from 4/21/81, a 2nd alarm at 1771 Jerome Ave #Bronx. See more at https://t.co/R03sj2VUqG https://t.co/hz3eYYbp1r</t>
  </si>
  <si>
    <t>Today #FDNY members from #Engine331 &amp;amp; #Ladder173 shared #FDNYSmart tips w/ students at @NYFAC https://t.co/PMl6Cwh8L0</t>
  </si>
  <si>
    <t>Thanks @NYFAC for hosting lunch for #FDNY members from #E331 &amp;amp; #L173, &amp;amp; for your tireless work for #AutismAwareness https://t.co/ZYX1qCIkg3</t>
  </si>
  <si>
    <t>RT @nycgob: Fumar es la principal causa de muertes en incendios en hogares con personas de 65+ años. Nunca fume en la cama o acostado! @FDN…</t>
  </si>
  <si>
    <t>RT @FDNYAlerts: BX ALL HANDS 907 FAILE ST, PRIVATE DWELLING FIRE ON 1ST FLR, UNDER CONTROL</t>
  </si>
  <si>
    <t>RT @FDNYAlerts: BX ALL HANDS 907 FAILE ST, PRIVATE DWELLING</t>
  </si>
  <si>
    <t>Don't miss one tweet! Info regarding incidents can now be found at @FDNYalerts, our new 24/7 automated feed https://t.co/AkGhw1bnk1</t>
  </si>
  <si>
    <t>RT @nycgob: El @FDNY en el lugar de incendio anoche en la calle Fenimore #Brooklyn (Foto: H. Molina/nycgob). https://t.co/4KIDPqcALG</t>
  </si>
  <si>
    <t>RT @FDNYAlerts: BKLYN 3-ALARM 257 HANCOCK ST, PRIVATE DWELLING FIRE ON 2ND ,3RD AND 4TH FLR, FIRE IN SHAFT WITH EXTENTION TO EXPOSURE 4,</t>
  </si>
  <si>
    <t>#FDNY members on scene of a 3-alarm fire at 257 Hancock St #Brooklyn. Follow @FDNYAlerts for auto updates https://t.co/KCyLqkEplW</t>
  </si>
  <si>
    <t>RT @nycgob: Comisarios del @FDNY: La causa del incendio ayer en 203 Fenimore St #Brooklyn fue descuido al fumar, con alarmas de humo sin fu…</t>
  </si>
  <si>
    <t>#FDNY Lt Roeder, #Station45, helped evacuate family &amp;amp; dog from #Queens house fire. Read more https://t.co/7WxF4O0axS https://t.co/MMyaWE3x4w</t>
  </si>
  <si>
    <t>Per #FDNY Fire Marshals: Cause of today's 2-alarm fire at 59-38 48th Ave #Queens was accidental, smoking https://t.co/lEXqHW470V</t>
  </si>
  <si>
    <t>RT @nycgob: Conozca el Programa de entrenamiento en #resucitacióncardiopulmonar Be 911 #CPR en: https://t.co/JMnvTcYUF1 https://t.co/kqSyD6…</t>
  </si>
  <si>
    <t>As a result of yesterday’s fatal fire, #FDNY Fire Safety Education team is at Walgreens at Hollis Ave/Francis Lewis Blvd TODAY until 2 pm</t>
  </si>
  <si>
    <t>RT @nycgob: Ven a @FDNYMuseum el 21/4 para apertura de exhibición de #fotografía Estaciones de bomberos de #Brooklyn: https://t.co/BZe934ss…</t>
  </si>
  <si>
    <t>Per #FDNY Fire Marshals: Cause of 4/18 fatal fire at 205-16 113 Rd #Queens was accidental, smoking. Smoke alarm present &amp;amp; operational</t>
  </si>
  <si>
    <t>As result of yesterday’s fatal fire, #FDNY Fire Safety Education to be at 203 Fenimore St #Brooklyn TODAY, noon-2 pm</t>
  </si>
  <si>
    <t>#FDNY Fire Marshals: Cause of 4/18 fatal fire at 203 Fenimore St #Brooklyn was accidental, smoking. Smoke alarms present, not operational</t>
  </si>
  <si>
    <t>RT @nycgob: Felicidades al nuevo grupo de EMTs juramentado hoy en el Cuartel general de #Brooklyn. https://t.co/KQV2q9NqN7 https://t.co/JTY…</t>
  </si>
  <si>
    <t>RT @FDNYAlerts: BKLYN 2-ALARM 1671 COLEMAN ST, PRIVATE DWELLING FIRE ON 2ND FLR, UNDER CONTROL</t>
  </si>
  <si>
    <t>RT @FDNYAlerts: BKLYN 2-ALARM COLEMAN ST, PRIVATE DWELLING</t>
  </si>
  <si>
    <t>RT @FDNYAlerts: BKLYN 2-ALARM 203 FENIMORE ST, PRIVATE DWELLING FIRE ON 2ND AND 3RD FLR, UNDER CONTROL</t>
  </si>
  <si>
    <t>#FDNY members on scene of 2-alarm fire at 203 Fenimore St #Brooklyn. Follow @FDNYalerts for 24/7 automated updates https://t.co/v0w4hrVzZu</t>
  </si>
  <si>
    <t>Learn about the #FDNY Be 911 CPR Training Program by visiting https://t.co/mBff6NQyTe https://t.co/ECCZhLDkrB</t>
  </si>
  <si>
    <t>#FDNY Mobile CPR Unit taught CPR to attendees of the NYC Family Strong Party for Prevention at St Mary’s Park #Bronx https://t.co/4jky5Ucbiq</t>
  </si>
  <si>
    <t>RT @joinFDNY: Congrats to the 15 #FDNY YWDI alumni members who were sworn in to the EMS Academy today at HQ in #Brooklyn. https://t.co/WkuG…</t>
  </si>
  <si>
    <t>RT @WarriorCare: Today's event, "Firefighter for a Day," allowed #woundedwarriors, #Veterans, &amp;amp; others to train @FDNY Fire Academy. https:/…</t>
  </si>
  <si>
    <t>RT @WarriorCare: #MotivationMonday: Firefighters carry 80+ lbs of gear during @FDNY training, just as WCP's DASD Rodriguez did today! https…</t>
  </si>
  <si>
    <t>Congrats to our newest group of #FDNY EMTs, sworn in today at HQ in #Brooklyn. Read more at https://t.co/c5j91PEVBu https://t.co/yCU6meVrDm</t>
  </si>
  <si>
    <t>RT @WarriorCare: DASD Rodriguez helps put out a car fire @FDNY's "The Rock," one of the largest fire training academies in the U.S. https:/…</t>
  </si>
  <si>
    <t>RT @WarriorCare: DASD Rodriguez with #woundedwarriors in front of steel from Ground Zero at today's @FDNY training https://t.co/wPV4QNKuyf</t>
  </si>
  <si>
    <t>Join @FDNYMuseum on 4/21 6-9 pm for opening reception of Stephen Healy's photo exhibit, Historic Brooklyn Firehouses https://t.co/IxcENq7HUC</t>
  </si>
  <si>
    <t>RT @WarriorCare: It's a beautiful day in #NYC as DASD Rodriguez participates in fire training alongside #WoundedWarriors. Many thanks to @F…</t>
  </si>
  <si>
    <t>#FDNY Marine 1 welcomed @SeaScoutsBSA Ship 12 from #OysterBay on Saturday. See more photos https://t.co/O5eraHIqdK https://t.co/IuwO4nV27x</t>
  </si>
  <si>
    <t>RT @WarriorCare: Warrior Care's DASD Rodriguez is suited up in bunker gear and ready to hit the fire training course! @FDNY https://t.co/5N…</t>
  </si>
  <si>
    <t>RT @WarriorCare: .@USArmy COL Davidson, @FDNY Training Chiefs Morkal &amp;amp; Hodgins w/ the DASD at wall honoring fallen 9/11 firefighters https:…</t>
  </si>
  <si>
    <t>RT @WarriorCare: WCP DASD Rodriguez is @FDNY today touring the firefighter training academy. Stay tuned for updates! https://t.co/hYFNrWBySP</t>
  </si>
  <si>
    <t>RT @nycgob: Vea más fotos del lanzamiento esta semana del Calendario de héroes 2017 del @FDNY en: https://t.co/n1GCu9mRRB https://t.co/VIIj…</t>
  </si>
  <si>
    <t>RT @nycgob: El @FDNY sofocando un incendio ayer en 141-40 185 St #Queens. Siga a @FDNYalerts para info de operaciones 24/7. https://t.co/fi…</t>
  </si>
  <si>
    <t>The @FDNYMuseum 2016 lecture series is almost over! See attached for details on the final two presentations https://t.co/a1DXQHL0rF</t>
  </si>
  <si>
    <t>#FDNY members on scene of 2-alarm fire earlier today, 141-40 185 St #Queens. Follow @FDNYalerts for 24/7 updates https://t.co/ItwDRF9Jwj</t>
  </si>
  <si>
    <t>RT @FDNYAlerts: QNS 2-ALARM 141-40 185 ST, PRIVATE DWELLING HEAVY FIRE THROUGHOUT WITH EXTENSION TO 2 GARAGES, UNDER CONTROL</t>
  </si>
  <si>
    <t>RT @FDNYAlerts: QNS 2-ALARM 141-40 185 ST, PRIVATE DWELLING HEAVY FIRE THROUGHOUT WITH EXTENSION TO GARAGE,</t>
  </si>
  <si>
    <t>RT @StephenFanuka: Thanks to @FDNY I now have swagger I'll put out the fake fires &amp;amp; leave the real ones to you #milliondollarcontractor htt…</t>
  </si>
  <si>
    <t>RT @ACSNYC: Thank you @FDNY for providing free CPR training at our #NYCFamilyStrong Party for Prevention! https://t.co/0RBqxdBOVy</t>
  </si>
  <si>
    <t>See more photos from yesterday’s #FDNY 2017 #CalendarOfHeroes launch at https://t.co/j5FqnRWwPL https://t.co/tRXyCtJz1D</t>
  </si>
  <si>
    <t>Please visit https://t.co/iYZtDlihpi and follow @joinFDNY  https://t.co/SPKLGKadQs</t>
  </si>
  <si>
    <t>RT @nycgob: Gracias, @fox5ny #GDNY, por recibirnos hoy para promover el Calendario de héroes del @FDNY 2017! https://t.co/CeFNiF6D3S</t>
  </si>
  <si>
    <t>RT @FDNYFoundation: This year's #FDNY Calendar of Heroes is different from any other year! Read about it here: https://t.co/z7btDX4Wn6 http…</t>
  </si>
  <si>
    <t>NYC Missing Persons Day - Sat Apr 16. Get connected with support &amp;amp; resources to find loved ones. https://t.co/jWI7XQdSjT l #NYCMPD2016</t>
  </si>
  <si>
    <t>Thanks for a great event everyone! The #FDNY 2017 #CalendarOfHeroes is available online at https://t.co/AwAVcoivLV https://t.co/jc9muhDJgi</t>
  </si>
  <si>
    <t>RT @nycgob: El @FDNY presenta mañana un evento p/ conectar seres queridos de #desaparecidos con ayuda y recursos: https://t.co/Aes1aHCHZj l…</t>
  </si>
  <si>
    <t>Thanks for supporting us, @DonLemon! Coming to the #CalendarOfHeroes signing was definitely an #FDNYSmart choice! https://t.co/BzT8UUxjcw</t>
  </si>
  <si>
    <t>We’re at #HeraldSquare until 2 pm! Come by for your #FDNY 2017 #CalendarOfHeroes! Buy online https://t.co/3fs4K1yHnp https://t.co/f8j2LI6Zwt</t>
  </si>
  <si>
    <t>You can sign up for the Be 911 CPR Program at https://t.co/hieGRhEAzY https://t.co/F9hmQ61orZ</t>
  </si>
  <si>
    <t>The #FDNY 2017 Calendar of Heroes can be purchased online at https://t.co/3fs4K1yHnp  https://t.co/JZ0BixDLnA</t>
  </si>
  <si>
    <t>Yes! Please visit https://t.co/pqAEfD8uB7 to learn about our Be 911 CPR Program  https://t.co/kAtlYbgLwE</t>
  </si>
  <si>
    <t>RT @nycgob: #Bomberos del @FDNY están autografiando copias del Calendario 2017 hasta las 2PM. Compra tu copia hoy! https://t.co/7SDhEjgFMv</t>
  </si>
  <si>
    <t>The men &amp;amp; women of the #FDNY 2017 #CalendarOfHeroes are in #HeraldSquare until 2 pm &amp;amp; are ready to meet you! https://t.co/rwIBtRF2tb</t>
  </si>
  <si>
    <t>.@taylorswift13 our #FDNY members will fulfill your #WildestDreams &amp;amp; teach you CPR so you’ll always feel #Fearless https://t.co/ZdSzgVmyUD</t>
  </si>
  <si>
    <t>The men &amp;amp; women of #FDNY 2017 #CalendarOfHeroes are in #HeraldSquare &amp;amp; ready to meet you! Come by NOW until 2 pm! https://t.co/mjjTwajERv</t>
  </si>
  <si>
    <t>#PoetweetNYC #GetAlarmedNYC https://t.co/nDE8l8tG1J</t>
  </si>
  <si>
    <t>Thanks for having us @fox5ny #GDNY! Meet our 2017 #CalendarOfHeroes models at #HeraldSquare TODAY 11 am - 2 pm! https://t.co/Kv4LAvkhGi</t>
  </si>
  <si>
    <t>RT @fox5ny: The new #FDNY #CalendarofHeroes features female firefighters. The ladies and gents coming up on #GDNY. https://t.co/OKTxci9LUB</t>
  </si>
  <si>
    <t>Lights, camera, action! Tune in to @fox5ny #GDNY to meet our members in the #FDNY 2017 #CalendarOfHeroes! https://t.co/QoyNVUXL01</t>
  </si>
  <si>
    <t>#HBD to #FDNY EMT Esther Ford, 2017 #CalendarOfHeroes model for Feb! Watch her live this am on @fox5ny #GDNY https://t.co/hJ3r4sM3bb</t>
  </si>
  <si>
    <t>Good morning from the men &amp;amp; women of the #FDNY 2017 #CalendarOfHeroes!  Tune in to @fox5ny #GDNY &amp;amp; meet the members! https://t.co/kn9bELvcHn</t>
  </si>
  <si>
    <t>Come by #HeraldSquare TODAY, 11 am – 2 pm to meet members from the #FDNY 2017 Calendar of Heroes https://t.co/32CW6AEZad</t>
  </si>
  <si>
    <t>TOMORROW at #HeraldSquare 11 am - 2 pm meet #FDNY FF Andre De Cristo &amp;amp; others from 2017 Calendar of Heroes https://t.co/69Doeziw4r</t>
  </si>
  <si>
    <t>Meet #FDNY Lt. Sara Lupin &amp;amp; others from 2017 Calendar of Heroes TOMORROW 11 am - 2 pm at #HeraldSquare https://t.co/y4MoFuMPhM</t>
  </si>
  <si>
    <t>Come by #HeraldSquare TOMORROW 11 am - 2 pm to meet #FDNY EMT Matthew Herzog &amp;amp; others from 2017 Calendar of Heroes https://t.co/QVHgu6UCy0</t>
  </si>
  <si>
    <t>Meet FDNY FF Jackie-Michelle Martinez &amp;amp; others from 2017 Calendar of Heroes TOMORROW 11 am - 2 pm at #HeraldSquare https://t.co/D3xennbTwW</t>
  </si>
  <si>
    <t>TOMORROW at #HeraldSquare 11 am - 2 pm meet #FDNY EMT Vincent Oyangoren &amp;amp; others from 2017 Calendar of Heroes https://t.co/cLExXfjsvN</t>
  </si>
  <si>
    <t>TOMORROW at #HeraldSquare 11 am - 2 pm meet #FDNY EMT Michelle Campbell &amp;amp; others from 2017 Calendar of Heroes https://t.co/FUQKvMoXoB</t>
  </si>
  <si>
    <t>Come by #HeraldSquare TOMORROW 11 am - 2 pm to meet #FDNY FF Norman Bennett &amp;amp; others from 2017 Calendar of Heroes https://t.co/s5mQhdSVjS</t>
  </si>
  <si>
    <t>Meet FDNY FF Jennifer Quinones &amp;amp; others from the 2017 Calendar of Heroes TOMORROW 11 am – 2 pm at #HeraldSquare https://t.co/0swVQcI0tJ</t>
  </si>
  <si>
    <t>Come by #HeraldSquare TOMORROW, 11 am – 2 pm to meet members from the #FDNY 2017 Calendar of Heroes https://t.co/oWSBB17Zj9</t>
  </si>
  <si>
    <t>RT @nycgob: Comisarios del @FDNY: La causa del incendio mortal ayer en Webster Av #ElBronx fue descuido al quemar #incienso, sin alarmas fu…</t>
  </si>
  <si>
    <t>RT @nycgob: El @FDNY en plena labor el 2347 Coney Island Ave, #Brooklyn en 1974. Vea más en: https://t.co/4kwD8I1LDP https://t.co/0odeoCiwki</t>
  </si>
  <si>
    <t>Today the #FDNY welcomed @WestPoint_USMA cadets to FDNY Operations Center for a joint training exercise https://t.co/mieSqhQcTN</t>
  </si>
  <si>
    <t>RT @nycgob: Conozca a miembros del @FDNY que participaron en nuestro Calendario 2017 MAÑANA en #HeraldSquare 11AM–2PM: https://t.co/quvXELA…</t>
  </si>
  <si>
    <t>Always happy to help, @DaveNavarro!   https://t.co/BVtgXRK5UV</t>
  </si>
  <si>
    <t>#FDNY Deputy Assistant Chief Michael Gala helps to announce the official starter of 5/15 @Tunnel2Towers Climb https://t.co/wB3j1Jx2o1</t>
  </si>
  <si>
    <t>#FDNY 2017 Calendar of Heroes features men &amp;amp; women of the FDNY. Meet them TOMORROW at #HeraldSquare 11 am – 2 pm https://t.co/NvrqkloFzW</t>
  </si>
  <si>
    <t>Spread the word, NYC is hosting an event to connect loved ones of missing persons to help &amp;amp; resources: https://t.co/jWI7XQdSjT l #NYCMPD2016</t>
  </si>
  <si>
    <t>RT @nycgob: .@SirenFDNY nos trae estos consejos de seguridad en #primavera! https://t.co/lrFkqMBQCs https://t.co/ojd7Vfnpmh @FDNY #FDNYSmart</t>
  </si>
  <si>
    <t>Meet members from the #FDNY 2017 Calendar of Heroes TOMORROW 11 am – 1:30 pm at #HeraldSquare https://t.co/zMSOh7cPkK</t>
  </si>
  <si>
    <t>#FDNY #tbt photo from 4/14/74, a 2nd alarm at 2347 Coney Island Ave, #Brooklyn. See more https://t.co/hDJKfuXo6y https://t.co/kcojmhdXwz</t>
  </si>
  <si>
    <t>Yesterday #FDNY COD &amp;amp; members met w/ Jewish community leaders for pre-Passover fire safety awareness &amp;amp; education https://t.co/ifnNnJya7X</t>
  </si>
  <si>
    <t>#FDNY Fire Safety Education team is at Webster Ave/170th St #Bronx TODAY until 2 pm following last night's fire that killed two children</t>
  </si>
  <si>
    <t>Cause of 4/13 fatal fire 1368 Webster Ave #Bronx was accidental, burning incense left unattended. No operational smoke alarms found</t>
  </si>
  <si>
    <t>RT @nycgob: Conozca 3 vehículos nuevos de @FDNY, incluyendo a esta Unidad de apoyo táctico, en: https://t.co/IOm7aI2SGi https://t.co/tqr3VX…</t>
  </si>
  <si>
    <t>RT @FDNYAlerts: BX 3-ALARM 209 E 165 ST, MULTIPLE DWELLING HEAVY FIRE IN THE B WING, UNDER CONTROL</t>
  </si>
  <si>
    <t>Give your kids a head start. Teach them to be #FDNYSmart! https://t.co/tOMmJg7S9y #PoetweetNYC https://t.co/Ga0WI4jDXT</t>
  </si>
  <si>
    <t>Show off your poetry skills this National Poetry Month. Write a poem this week to enter #PoetweetNYC: https://t.co/3mOJdtjYLX #NPM2016</t>
  </si>
  <si>
    <t>13,000 ppl were reported missing last year. #NYCMPD2016 connects families to real resources that can help them --&amp;gt; https://t.co/gYDdXy9b80</t>
  </si>
  <si>
    <t>Learn about 3 new vehicles in the #FDNYfleet, including this Tactical Support Unit, at https://t.co/k8JSLfYfkw https://t.co/3PcwG3uM9k</t>
  </si>
  <si>
    <t>Learn how to be #FDNYSmart with spring safety tips from @SirenFDNY! https://t.co/bXFlNPoNFF https://t.co/0Nln75mgrl</t>
  </si>
  <si>
    <t>RT @nycgob: El sábado 16 es el Día de desaparecidos en NYC. Si busca a un ser querido, haga una cita en el 212 323 1201. https://t.co/COr4k…</t>
  </si>
  <si>
    <t>NYC Missing Persons Day returns on Sat Apr 16. For help finding a loved one, call 212 323 1201 to schedule an appt. https://t.co/uFgqCF4Cvm</t>
  </si>
  <si>
    <t>RT @PresidentsCup: One final stop today, meeting the @FDNY Ten House heroes! Thank you for all you do! https://t.co/qEyq7kL7if</t>
  </si>
  <si>
    <t>RT @Sept11Memorial: There’s only 25 days until the #911Memorial5K Run/Walk! Have you signed up yet?  https://t.co/0ebrGDZV2G https://t.co/b…</t>
  </si>
  <si>
    <t>You're welcome! We hope you'll be dancing again very soon https://t.co/Q6hkJuMSxo</t>
  </si>
  <si>
    <t>RT @nycgob: Vea fotos de @HotDogFDNY @SirenFDNY y el @FDNY en el Desfile de @ASPCA antier: https://t.co/dO0lK63huK https://t.co/kCEA7rE202</t>
  </si>
  <si>
    <t>RT @nycgob: .@SirenFDNY y @HotDogFDNY celebrando #ASPCA150 y 150 años del @FDNY en Desfile de @ASPCA ayer: https://t.co/CkbOUVOrwW @FDNY</t>
  </si>
  <si>
    <t>See photos of @HotDogFDNY @SirenFDNY &amp;amp; #FDNY members at Saturday's @ASPCA NYC Paws Parade at https://t.co/aEQcft8UXy https://t.co/QuIla0Ly3l</t>
  </si>
  <si>
    <t>.@SirenFDNY &amp;amp; @HotDogFDNY had a blast celebrating #ASPCA150 &amp;amp; #FDNY150 at the @ASPCA NYC Paws Parade yesterday https://t.co/zXrT9UxEZW</t>
  </si>
  <si>
    <t>See more photos from the 43rd Annual FDNY vs #NYPD Charity Hockey Game at https://t.co/Mp1ehavbsl #IceHockeyHeroes https://t.co/8k09xxebp4</t>
  </si>
  <si>
    <t>RT @nycgob: El comisionado Nigro y miembros de la Sociedad #Helénica del @FDNY hoy en el Desfile de la Independencia de #Grecia: https://t.…</t>
  </si>
  <si>
    <t>See more #FDNY photos from today’s Greek Independence Day Parade at https://t.co/5NlQpslEJD https://t.co/61GTOB6gd1</t>
  </si>
  <si>
    <t>Thanks for stopping by! We love teaching visitors to be #FDNYSmart  https://t.co/2x8I5Z4ujZ</t>
  </si>
  <si>
    <t>#FDNY Commissioner Nigro &amp;amp; FDNY Hellenic Society members march in today’s Greek Independence Day Parade https://t.co/wwKPgpOfNp</t>
  </si>
  <si>
    <t>#FDNY Comm Nigro &amp;amp; FDNY Hellenic Society members ready to step off in today’s Greek Independence Day Parade https://t.co/7DxKZ87lL4</t>
  </si>
  <si>
    <t>RT @theFDNYShop: @jeans_josh @FDNY @FDIC This is definitely the pic of the month! Absolutely adorable. Thanks for pic support.</t>
  </si>
  <si>
    <t>RT @nycgob: La banda de gaitas del @FDNY en el 43er Juego de #hockey de caridad vs el #NYPD en @TheGarden: https://t.co/NxHNB0urKV @FDNYpip…</t>
  </si>
  <si>
    <t>Bragging rights to #NYPD, but when proceeds go to @FireFamilyTrnsp &amp;amp; @AnswerTheCall everybody wins #IceHockeyHeroes https://t.co/EJXAFQ1dR3</t>
  </si>
  <si>
    <t>RT @TheGarden: 🔥🔥🔥 @FDNY score in the 2nd period to make it 5-3 here in #IceHockeyHeroes at @TheGarden! https://t.co/2YaMfhVyaj</t>
  </si>
  <si>
    <t>RT @TheGarden: .@FDNY score in the 2nd period as they trail 3-2 against the #NYPD @TheGarden in #IceHockeyHeroes https://t.co/TAbjIL3qaR</t>
  </si>
  <si>
    <t>RT @TheGarden: NY's Bravest @FDNY are ready to take the ice for the 2nd period here at @TheGarden for #IceHockeyHeroes! #FDNY https://t.co/…</t>
  </si>
  <si>
    <t>RT @TheGarden: Make sure to follow us on Snapchat (search: TheGarden) to see behind the scenes action @#IceHockeyHeroes!#NYPD #FDNY https:/…</t>
  </si>
  <si>
    <t>RT @TheGarden: .@FDNY are on the board &amp;amp; getting hot on the ice as they score against #NYPD here in the 1st period!#IceHockeyHeroes https:/…</t>
  </si>
  <si>
    <t>RT @TheGarden: Bragging rights are on the line tonight. It's #FDNY vs #NYPD in Ice Hockey Heroes here at @TheGarden. https://t.co/caiY6DoYFB</t>
  </si>
  <si>
    <t>RT @TheGarden: #FDNY come close to scoring against the #NYPD in their 43rd annual charity hockey game here @TheGarden #HockeyHeroes https:/…</t>
  </si>
  <si>
    <t>.@FDNYpipeband getting us ready for puck drop at the 43rd Annual FDNY vs #NYPD Charity Hockey Game at @TheGarden https://t.co/DrnoPagGKT</t>
  </si>
  <si>
    <t>Don't miss one tweet! Info regarding incidents can now be found at @FDNYalerts, our new 24/7 automated feed https://t.co/2ooeLhLlkO</t>
  </si>
  <si>
    <t>RT @nycgob: .@BilldeBlasio @CommissBratton y comisionado de @FDNY en el 1er día de #béisbol 2016 en @CitiField: https://t.co/TKLDy5sau4 @NY…</t>
  </si>
  <si>
    <t>RT @NYPDBklynNorth: Ran into @FDNY newest member today. @NYPDnews @NYPDnoticias https://t.co/YFPjBfmlp9</t>
  </si>
  <si>
    <t>#FDNY FFers from #Engine323 &amp;amp; #Engine233 help deliver baby girl in #Brooklyn. Read more https://t.co/yD9QkJhhYQ https://t.co/Zbr1u08iBv</t>
  </si>
  <si>
    <t>RT @FDNYAlerts: MAN ALL HANDS 470 WEST END AVE, HIGH RISE FIRE ON 8TH FLR, UNDER CONTROL</t>
  </si>
  <si>
    <t>Thank you @Mets for honoring #FDNY Cpt Donald Hodgkinson from
#Engine222, who suffered a severe leg injury from manhole explosion in 2015</t>
  </si>
  <si>
    <t>#LGM Thank you @Mets for honoring #FDNY FF Kristopher Mahon from
#Ladder21, who lost his arm while operating FDNY Fireboat in 2014</t>
  </si>
  <si>
    <t>RT @nycgob: Vea fotos de la ceremonia de ascensos de oficiales de bomberos y EMS hoy en: https://t.co/JTLvweRhZx https://t.co/4onUSEqEAQ @F…</t>
  </si>
  <si>
    <t>RT @nycgob: El @FDNY socorrió a este avión de #PanAm 707-139 al salirse de la pista en #JFK en 1964. https://t.co/mrpndQKlGN https://t.co/B…</t>
  </si>
  <si>
    <t>RT @nycgob: Las compañías #Ladder26 #Ladder43 hoy en 2da Ave/94th St #UES. El incendio ha sido controlado. https://t.co/VVgxtLirDi @FDNY</t>
  </si>
  <si>
    <t>RT @nycgob: #Bomberos del @FDNY rescataron hombre de edificio en llamas antier en #ElBronx: https://t.co/cbomUu7BwO https://t.co/lGlxSwTuri…</t>
  </si>
  <si>
    <t>Read more about today's #FDNY Fire and EMS Officers Promotion Ceremony at https://t.co/podMYbgKpZ https://t.co/vSEgB4X0tm</t>
  </si>
  <si>
    <t>Today #FDNY Chief of Dept Leonard &amp;amp; members welcomed students from the US @ArmyWarCollege to FDNY HQ in #Brooklyn https://t.co/hYfkxn8gWC</t>
  </si>
  <si>
    <t>See photos from today's #FDNY Fire &amp;amp; EMS Officers Promotion Ceremony at https://t.co/OPisCnh5ud https://t.co/TtQXqBju5K</t>
  </si>
  <si>
    <t>Follow https://t.co/m3OJ6m1UxE to read about Deputy Assistant Chief Bonsignore &amp;amp; other members promoted today https://t.co/PesRBRQD0X</t>
  </si>
  <si>
    <t>You’re standing on the shoulders of giants who came before you, who came before all of us - #FDNY COD at Fire &amp;amp; EMS Officers Promo Ceremony</t>
  </si>
  <si>
    <t>Every member promoted today is absolutely critical to the Dept’s mission, &amp;amp; today is truly a milestone day for the #FDNY - FDNY Comm Nigro</t>
  </si>
  <si>
    <t>#FDNY Fire &amp;amp; EMS Officers Promotion Ceremony is underway at the Fire Academy on #RandallsIsland https://t.co/RgmwYYv7zp</t>
  </si>
  <si>
    <t>RT @nycgob: ¡Te amamos, @Birdie_NYC! Gracias por enseñar a los neoyorquinos a respetar el #medioambiente: https://t.co/807VVaW8dU @FDNY #Gr…</t>
  </si>
  <si>
    <t>Per #FDNY Fire Marshals: Cause of yesterday's 2nd alarm at 740 Park Ave was accidental, combustibles too close to heating element of suana</t>
  </si>
  <si>
    <t>RT @nycgob: Miembros del @FDNY enfrentando #incendio en 740 Park Ave #LenoxHill #UES. Siga a @FDNYalerts para informes al día: https://t.co…</t>
  </si>
  <si>
    <t>Our automated alerts have moved to @FDNYalerts. Continue to follow @FDNY for public info, events, photos https://t.co/2GwSjyXlKI</t>
  </si>
  <si>
    <t>RT @nycgob: Comisarios del @FDNY: La causa del incendio en 1796 Vyse Ave #ElBronx antier fue un fallo eléctrico. Había alarmas de humo func…</t>
  </si>
  <si>
    <t>#FDNY #tbt from 4/7/64, when Pan Am 707-139 Aircraft overran the runway at #JFK. See more at https://t.co/vMuGlTNXbf https://t.co/ohVx4kKPNt</t>
  </si>
  <si>
    <t>RT @FDNYPro: Produced by members of the @fdny, Pro EMS digital mag includes articles, videos, links and digital downloads! #FDNY https://t.…</t>
  </si>
  <si>
    <t>FDNY #Ladder26 #Ladder43 at 3-alarm fire 2nd Ave/94th St #UES. Fire is under control. Follow @FDNYalerts for updates https://t.co/mnw4AgKMda</t>
  </si>
  <si>
    <t>Please direct anyone looking for FDNY photos to our Twitter account  https://t.co/RfBsZrZKml</t>
  </si>
  <si>
    <t>#FDNY #Ladder58 FFers rescued a man from a burning building in #Bronx last night. Read more https://t.co/uJtovX8iIk https://t.co/xNVvB501iU</t>
  </si>
  <si>
    <t>Per #FDNY Fire Marshals: Cause of 4/5 all-hands fire at 1796 Vyse Ave #Bronx was accidental electrical. Smoke alarms present &amp;amp; operational</t>
  </si>
  <si>
    <t>RT @LeydaHV: Glad to have Mike Gala here with us today from the @FDNY #CMOclubSummit https://t.co/rfcSaK9N5l</t>
  </si>
  <si>
    <t>#FDNY members on scene of all-hands fire at 740 Park Ave in #LenoxHill #UES. Follow @FDNYalerts for updates https://t.co/JPKFAbYEj6</t>
  </si>
  <si>
    <t>RT @FDNYPro: This is #FDNY Pro EMS! A new digital mag focusing on our EMTs, Paramedics and EMS Officers! https://t.co/0US0I0wefR https://t.…</t>
  </si>
  <si>
    <t>RT @FDNYFoundation: Introducing #FDNY Pro EMS! Our new magazine focused on the Department's EMS https://t.co/9tV2QFrx5C</t>
  </si>
  <si>
    <t>RT @FDNYFoundation: In the tradition of WNYF mag, #FDNY Pro EMS focuses on the  training, dedication and preparedness of EMS members! https…</t>
  </si>
  <si>
    <t>RT @FDNYFoundation: We are proud to announce our first ever magazine highlighting the work done by @FDNY EMS! https://t.co/jP4FN48zmq https…</t>
  </si>
  <si>
    <t>RT @FDNYPro: Did you get NYC's hottest conference ticket? #FDNY MSOC is coming soon. Register today at https://t.co/tVh4L7YNXZ https://t.co…</t>
  </si>
  <si>
    <t>RT @SFCNY: FDNY Transgender Firefighter Brooke Guinan: https://t.co/sAPgOB13IM via @YouTube</t>
  </si>
  <si>
    <t>Watch #FDNY FF Brooke Guinan at @SFCNY sharing her journey as the first &amp;amp; only openly transgender FDNY Firefighter https://t.co/73mqao6fB3</t>
  </si>
  <si>
    <t>We love you, @Birdie_NYC! Thanks for teaching New Yorkers to be #GreeNYC  https://t.co/9UJUL6sy0q</t>
  </si>
  <si>
    <t>RT @nycgob: Mantente a salvo y abrigada esta noche, NYC. NUNCA calientes tu casa con un horno o estufa. Un consejo del @FDNY. #FDNYSmart</t>
  </si>
  <si>
    <t>RT @nycgob: : #NYCBravest vs #NYCFinest Football en el Parque MCU de @BKCyclones! Info: https://t.co/u11EY08sAr https://t.co/FikVrrxHDv @FD…</t>
  </si>
  <si>
    <t>Stay safe and warm tonight, New Yorkers. Be #FDNYSmart - NEVER use your oven/stove to heat your home</t>
  </si>
  <si>
    <t>RT @redcrossny: VIDEO: Thank you to all our #volunteers supporting #GetAlarmedNYC programs in your communities! https://t.co/e8blITinud @FD…</t>
  </si>
  <si>
    <t>RT @nycgob: Manténgase a salvo en el frío: apague/desconecte calefactores al salir de habitación. Consejos del @FDNY: https://t.co/jbIQLtZG…</t>
  </si>
  <si>
    <t>Thank you so much for sharing! https://t.co/SY7mDxz5vm</t>
  </si>
  <si>
    <t>Stay safe in this cold weather - turn off/unplug space heaters when leaving the room. Be #FDNYSmart w/ these tips https://t.co/yItznT4c0b</t>
  </si>
  <si>
    <t>#NYCBravest vs #NYCFinest Football is coming to @BKCyclones MCU Park! Read more https://t.co/o1L2Karpcc https://t.co/EoP2ZJIRFD</t>
  </si>
  <si>
    <t>RT @NYPDnews: #HappeningSoon: NYPD &amp;amp; @FDNY in Brooklyn to announce the Fun City Bowl on May 22 at MCU Park. https://t.co/Ici5GcXG5J</t>
  </si>
  <si>
    <t>RT @nycgob: El @FDNY esta madrugada sudando por nuestra seguridad en Parkside Av/Nostrand Av #Brooklyn. 1 #bombero herido leve. https://t.c…</t>
  </si>
  <si>
    <t>RT @nycgob: Nunca descuide las estufas encendidas al cocinar. Consejos del @FDNY: https://t.co/3OWHxVy080 #FDNYSmart</t>
  </si>
  <si>
    <t>RT @nycgob: Comisarios del @FDNY: La causa del incendio anoche en Parkside Ave/Nostrand Ave #Brooklyn fue descuido con una estufa en la coc…</t>
  </si>
  <si>
    <t>Be #FDNYSmart, never leave cooking food unattended. Learn more at https://t.co/m5wQo3Tpwi</t>
  </si>
  <si>
    <t>Per #FDNY Fire Marshals: Cause of last night’s 5th alarm at Parkside Ave/Nostrand Ave #Brooklyn was unattended stove top in kitchen</t>
  </si>
  <si>
    <t>Read about today’s 3rd Ave Collapse 60th Anniv Plaque Dedication Ceremony at https://t.co/dj02cSAqGo #NeverForget https://t.co/f8gl81A0JS</t>
  </si>
  <si>
    <t>RT @MAKERSwomen: Meet this trailblazing @FDNY female firefighter: https://t.co/Hm7oUtM1Z9 #JoinFDNY #blackgirlmagic https://t.co/a7tIHjatbC</t>
  </si>
  <si>
    <t>RT @nycgob: El @FDNY sofocó este enorme #incendio de 5 alarmas anoche en Parkside Ave/Nostrand Ave #Brooklyn. https://t.co/SII4qVopfI</t>
  </si>
  <si>
    <t>See photos from today’s 3rd Ave Collapse Plaque Dedication Ceremony at https://t.co/Xp3rqgKR9U #NeverForget https://t.co/SXxf9uvVci</t>
  </si>
  <si>
    <t>On 4/4/56, 6 #FDNY members fighting a 3rd Ave Bronx furniture store fire were killed when the building's marquee gave way &amp;amp; collapsed</t>
  </si>
  <si>
    <t>#FDNY members, family &amp;amp; friends attended funeral of Firefighter Arthur G. Hanson, one of 6 members lost on 4/4/56 https://t.co/UandqmK7fR</t>
  </si>
  <si>
    <t>Today we remember the 60th anniversary of the 3rd Ave Collapse, when 6 #FDNY members died in the line of duty</t>
  </si>
  <si>
    <t>Watch #FDNY members on scene of 5-alarm fire last night at Parkside Ave &amp;amp; Nostrand Ave #Brooklyn https://t.co/SPuWd9zhrq</t>
  </si>
  <si>
    <t>#FDNY members on scene of 5th alarm overnight, Parkside Ave &amp;amp; Nostrand Ave #Brooklyn. 1 minor injury to FF reported https://t.co/ZAHwa0LRLj</t>
  </si>
  <si>
    <t>#FDNY members responded to 5-alarm fire last night at Parkside Ave &amp;amp; Nostrand Ave #Brooklyn. Fire is under control https://t.co/ta2T37mzy9</t>
  </si>
  <si>
    <t>RT @nycgob: Los electrodomésticos necesitan espacio para no sobrecalentarse. Más consejos del @FDNY: https://t.co/EhyCkmUgnj #MarchMadness</t>
  </si>
  <si>
    <t>RT @FDNYAlerts: BKLYN 2-ALARM 640 PARKSIDE AVE, COMMERCIAL FIRE ON 1ST FLR,</t>
  </si>
  <si>
    <t>RT @nycgob: La Compañía de escaladores #Ladder115 hoy en un #incendio comercial en 13 St/40 Ave #Queens: https://t.co/zEnA1hMpe3 @FDNY</t>
  </si>
  <si>
    <t>RT @nycgob: El #incendio de 4 alarmas esta tarde en 13 St/40 Ave #Queens: https://t.co/B1eeqO7y1N @FDNY</t>
  </si>
  <si>
    <t>RT @FDNYAlerts: QNS 5-ALARM 38-72 13 ST, COMMERCIAL HEAVY FIRE WITH EXTENSION TO EXPOSURE 4, UNDER CONTROL</t>
  </si>
  <si>
    <t>Keep track of what's happening in your neighborhood. Follow @FDNYalerts, the official, automated, 24/7 alert system https://t.co/1aRzCasW7F</t>
  </si>
  <si>
    <t>RT @FDNYAlerts: QNS 5-ALARM 38-72 13 ST, COMMERCIAL HEAVY FIRE WITH EXTENSION TO EXPOSURE 4,</t>
  </si>
  <si>
    <t>#FDNY members continue to operate at 4-alarm fire at 13 St &amp;amp; 40 Ave #Queens https://t.co/z2IsTTl095</t>
  </si>
  <si>
    <t>RT @FDNYAlerts: QNS 4-ALARM 38-72 13 ST, COMMERCIAL HEAVY FIRE WITH EXTENSION TO EXPOSURE 4,</t>
  </si>
  <si>
    <t>#FDNY members on scene of 3-alarm commercial fire at 13 St &amp;amp; 40 Ave #Queens. Follow @FDNYalerts for updates https://t.co/h1vAihHy62</t>
  </si>
  <si>
    <t>#FDNY #Ladder115 operating at 3-alarm commercial fire at 13 St &amp;amp; 40 Ave #Queens https://t.co/XQBQcT2GAG</t>
  </si>
  <si>
    <t>#FDNY members on scene of 3-alarm commercial fire, 13 St &amp;amp; 40 Ave #Queens. Follow @FDNYalerts for 24/7 notifications https://t.co/rgkWMCZMhq</t>
  </si>
  <si>
    <t>RT @FDNYAlerts: QNS 3-ALARM 38-68 13 ST, COMMERCIAL FIRE ON 1ST FLR,</t>
  </si>
  <si>
    <t>RT @FDNYAlerts: QNS 2-ALARM 38-72 13 ST, COMMERCIAL FIRE ON 1ST FLR,</t>
  </si>
  <si>
    <t>RT @nycgob: El @FDNY en lugar de un colapso parcial de techo esta mañana en 535 4th Ave #ParkSlope. https://t.co/nb5y9eCjy4 #Brooklyn</t>
  </si>
  <si>
    <t>There are still 3 opportunities left to attend the @FDNYMuseum 2016 lecture series. See attached for details https://t.co/s1kUNd6a88</t>
  </si>
  <si>
    <t>#FDNY on scene of partial roof collapse of bldg under construction at 535 4th Ave #ParkSlope https://t.co/pF0aNxh53s</t>
  </si>
  <si>
    <t>TVs need a break, even during #MarchMadness. Give appliances plenty of space so they don’t overheat. Learn more at https://t.co/VoFt3qMjRH</t>
  </si>
  <si>
    <t>Don’t let #MarchMadness turn into March sadness - Stand by your pan &amp;amp; help prevent a game day kitchen fire</t>
  </si>
  <si>
    <t>Read our #FDNY Fire Safety Tips for families who have a member w/ autism #AutismAwareness https://t.co/38xZ4vdj0i</t>
  </si>
  <si>
    <t>#FDNY Comm Nigro, FDC Turner, uniformed &amp;amp; civilian personnel #LIUB at HQ in #Brooklyn for World #AutismAwareness Day https://t.co/jxcVB1Rr18</t>
  </si>
  <si>
    <t>Read about yesterday's #FDNY #WomensHistoryMonth celebration at https://t.co/Ite7W9t2vr https://t.co/o2r8Y9JSm6</t>
  </si>
  <si>
    <t>Lil Bravest charity, founded by FDNY #E84 &amp;amp; #L34 members, donate custom kiosk to @Blythedale https://t.co/pM8gREvqNR https://t.co/DsCjwVezxl</t>
  </si>
  <si>
    <t>Tax Day is April 18. Have you filed yet? Use @NYCDCA’s interactive map to find a #FreeTaxPrep site near you: https://t.co/vrQ8WifpEO</t>
  </si>
  <si>
    <t>RT @nycgob: No pierda un solo #tuit! La info del @FDNY sobre incidentes en curso puede hallarse ahora 24/7 en su nueva cuenta de #Twitter,…</t>
  </si>
  <si>
    <t>See photos from yesterday's #FDNY #WomensHistoryMonth event at https://t.co/F7LK1jyhhj https://t.co/FBG7rpb1Jl</t>
  </si>
  <si>
    <t>RT @unitedwomenffs: @unitedwomenffs closing out Women's History Month with @HelenRosenthal @cmlauriecumbo @CM_MargaretChin @FDNY https://t.…</t>
  </si>
  <si>
    <t>Thank you @cmlauriecumbo @HelenRosenthal @CM_MargaretChin for honoring #FDNY Dep Asst Chief Olszewski #WomenLead https://t.co/VSbmBGvk2A</t>
  </si>
  <si>
    <t>Congrats to #FDNY @NYPDnews @CorrectionNYC @NYCSanitation honored by @NYCCouncil Women’s Caucus #WomensHerstoryMonth https://t.co/BS494Fht7U</t>
  </si>
  <si>
    <t>RT @nycgob: Felicidades a subcomisionada Thomson  y homenajeadas del Mes de historia de la mujer! https://t.co/OmxmFvKk97 https://t.co/fn0P…</t>
  </si>
  <si>
    <t>Don't miss one tweet! Info regarding incidents can now be found at @FDNYalerts, our new 24/7 automated feed https://t.co/dhDk1CvnCM</t>
  </si>
  <si>
    <t>RT @HelenRosenthal: Proud to join @FDNY Sarinya and Regina for #womenlead #herstory @NYCCouncil https://t.co/1G7zWva15r</t>
  </si>
  <si>
    <t>RT @nycgob: El @FDNY en plena faena en esta foto de 1968, 727 Gates Ave #Brooklyn: https://t.co/yo5A891er1 https://t.co/xTf1uS0AoD #tbt</t>
  </si>
  <si>
    <t>RT @jointheboldest: Katie Ridley is representing for @FDNY   at #WomenLead . #bravest #jointheboldest #WomenInUniform https://t.co/BFDpRScN…</t>
  </si>
  <si>
    <t>RT @NYCCouncil: Tonight! We honor the women in uniform of @FDNY @NYPDnews @NYCSanitation @CorrectionNYC #WomenHerstoryMonth #WomenLead #WHM</t>
  </si>
  <si>
    <t>RT @NYCCouncil: Tonight we celebrate &amp;amp; honor our women in uniform for #WHM. #womenlead with Speaker  @MMViverito, Laurie Cu... https://t.co…</t>
  </si>
  <si>
    <t>Congrats to #FDNY Asst Comm Thomson &amp;amp; all of today’s #WMNhist honorees! Read her story at https://t.co/C3XZgLNM3q https://t.co/lRabOOiHjq</t>
  </si>
  <si>
    <t>RT @FDNYAlerts: QNS ALL HANDS 177-36 115 AVE, PRIVATE DWELLING FIRE IN BASEMENT, UNDER CONTROL</t>
  </si>
  <si>
    <t>RT @FDNYAlerts: QNS ALL HANDS 177-36 115 AVE, PRIVATE DWELLING FIRE IN BASEMENT,</t>
  </si>
  <si>
    <t>Read about one of today's honorees, #FDNY Paramedic &amp;amp; Senior Instructor Coordinator Levoce - https://t.co/28x8NiMfbC https://t.co/OiiObH1ryF</t>
  </si>
  <si>
    <t>Chief Olszewski is the first woman promoted to #FDNY 2-star Deputy Asst Chief. Read more at https://t.co/eECGSZoLHe https://t.co/XXLSHS3DoU</t>
  </si>
  <si>
    <t>Read about Kristin Eng, #FDNY Video Program Producer &amp;amp; #WomensHistoryMonth honoree at https://t.co/y2CSi3eLen https://t.co/ZIv84w2Uxt</t>
  </si>
  <si>
    <t>On #TDOV &amp;amp; every day, the #FDNY supports the LGBTQ
community. Watch our contribution to the @ItGetsBetter project https://t.co/aeONRhycc6</t>
  </si>
  <si>
    <t>Follow #FDNY on Instagram to learn about today’s #WomensHistoryMonth honorees https://t.co/SR0U1T9FPE https://t.co/2BIPwA43VE</t>
  </si>
  <si>
    <t>Today the #FDNY celebrates #WomensHistoryMonth by honoring Women in Public Service &amp;amp; Government at HQ in #Brooklyn</t>
  </si>
  <si>
    <t>Today's #FDNY #tbt photo is from 3/31/68, a 2nd-alarm at 727 Gates Ave #Brooklyn. See more https://t.co/zwl0BCptVE https://t.co/meYkLS8rrk</t>
  </si>
  <si>
    <t>Stay informed 24/7/365! Follow @FDNYalerts, the FDNY’s new automated operations feed https://t.co/4TxkWAKQyx</t>
  </si>
  <si>
    <t>RT @ConsulFranceNYC: The meeting between the @CHEM_FR délégation and Commissioner Nigro at the head department of the @FDNY https://t.co/7j…</t>
  </si>
  <si>
    <t>RT @NYCMayorsOffice: Nick Scoppetta would not have been who he was without NYC – but WE would not be the city we are today without HIM. htt…</t>
  </si>
  <si>
    <t>RT @wcknicks: Thanks to @HSpecialSurgery &amp;amp; @FDNY 343 for a great First Responders Night &amp;amp; thanks to all those keeping us safe! https://t.co…</t>
  </si>
  <si>
    <t>RT @nycgob: Anoche, el @FDNY extinguió un #incendio de 6 alarmas en 3 edificios en Dekalb Ave #Brooklyn. 1 herido. Foto: @nycoem https://t.…</t>
  </si>
  <si>
    <t>Read about today’s #FDNY EMS Academy graduation at https://t.co/Wx90VEK2PC https://t.co/tZNXjq8pqK</t>
  </si>
  <si>
    <t>RT @nycgob: El @FDNY recuerda vida y servicio del excomisionado Scoppetta, muerto la semana pasada a los 83 años: https://t.co/WoMPDpkeWN</t>
  </si>
  <si>
    <t>See photos from today's #FDNY EMS Academy graduation at https://t.co/1KnqZ8wYsW https://t.co/7kydvlSI4B</t>
  </si>
  <si>
    <t>Love was in the air at today's #FDNY EMS Academy graduation.  Read more https://t.co/kfz3a7tJ35 https://t.co/bHvoEmLrLI</t>
  </si>
  <si>
    <t>RT @NYCMayoralPhoto: Mayor @BilldeBlasio and @FDNY at memorial service for Commissioner Scoppetta, @ACSNYC /Nicholas Scoppetta Center. http…</t>
  </si>
  <si>
    <t>Today the #FDNY honors seven veterans who graduated as EMTs from FDNY EMS Academy https://t.co/ngHnIsSCpc</t>
  </si>
  <si>
    <t>#FDNY EMS Academy grad EMT Christopher Boll is a 3rd-generation FDNY member. Read more https://t.co/etQENaRhxa https://t.co/0s0nreU0lj</t>
  </si>
  <si>
    <t>See photos from today's service for former #FDNY Commissioner Nicholas Scoppetta at https://t.co/IiLaxqkgeO https://t.co/0uWzC1LeQu</t>
  </si>
  <si>
    <t>RT @FDNYAlerts: BKLYN ALL HANDS 2815 GLENWOOD RD, TOP FLR/COCKLOFT, UNDER CONTROL</t>
  </si>
  <si>
    <t>Today we remember the life &amp;amp; service of former #FDNY Commissioner Scoppetta, who died last week at the age of 83 https://t.co/uX85wyxFDB</t>
  </si>
  <si>
    <t>Please contact @redcrossny to donate items to those in need  https://t.co/PQwvJ6RkWp</t>
  </si>
  <si>
    <t>Never forget every single day how hard you worked &amp;amp; how truly blessed you are to wear this uniform - #FDNY COD Leonard to EMS Academy grads</t>
  </si>
  <si>
    <t>When you leave here today &amp;amp; report to your new assignments, you’ll instantly be making an impact in communities across the city - #FDNY COD</t>
  </si>
  <si>
    <t>Each of you is absolutely critical to the success of our Dept, &amp;amp; you represent the very best this city has to offer – FDNY FDC Turner</t>
  </si>
  <si>
    <t>Tomorrow &amp;amp; for many yrs to come, you’ll be the ones out on the streets making a difference - #FDNY FDC Turner to today’s EMS Academy grads</t>
  </si>
  <si>
    <t>RT @nycgob: EN VIVO: El alcalde @BilldeBlasio habla en funeral del excomisionado Nicholas Scoppetta del @FDNY. Véalo en: https://t.co/2dwuP…</t>
  </si>
  <si>
    <t>#FDNY EMS Academy graduation is under way in #Brooklyn https://t.co/87E1agZoUj</t>
  </si>
  <si>
    <t>Watch live video of former #FDNY Commissioner Scoppetta’s funeral service at https://t.co/pg43oKiSGT</t>
  </si>
  <si>
    <t>#FDNY #Ladder124 on scene of 6-alarm fire at 1427 Dekalb Ave #Brooklyn. Follow @FDNYalerts for auto updates https://t.co/0FPZf7k4kd</t>
  </si>
  <si>
    <t>RT @FDNYAlerts: BKLYN 6-ALARM 1427 DEKALB AVE, MULTIPLE DWELLING FIRE IN 4 BUILDINGS,</t>
  </si>
  <si>
    <t>#FDNY members on scene of 5th alarm at 1427 Dekalb Ave #Brooklyn https://t.co/w3uo2EbCiV</t>
  </si>
  <si>
    <t>RT @FDNYAlerts: BKLYN 5-ALARM 1427 DEKALB AVE, MULTIPLE DWELLING FIRE IN 4 BUILDINGS,</t>
  </si>
  <si>
    <t>Remember to follow @FDNYAlerts for 24/7 operations info  https://t.co/ulRCv7ydMH</t>
  </si>
  <si>
    <t>#FDNY FFers battling 3rd-alarm in 3 buildings at 1427 Dekalb Ave #Brooklyn. 1 minor injury. Photo credit @nycoem https://t.co/w3CSCLCSS8</t>
  </si>
  <si>
    <t>RT @nycgob: RT @GarySinise: Gracias al comisionado Nigro y todo el @FDNY por este maravilloso honor. https://t.co/WqJIvh2PuR https://t.co/A…</t>
  </si>
  <si>
    <t>RT @nycgob: Comisarios del @FDNY: El incendiio de 38 Pine St #StatenIsland el 23/2 empezó en la cocina. Las alarmas alertaron a los residen…</t>
  </si>
  <si>
    <t>See photos from the @FDBoxingClub v @gardaboxingclub charity match, benefitting @helpbhh https://t.co/4a96RzDviC https://t.co/frA0LyOzjs</t>
  </si>
  <si>
    <t>RT @GarySinise: Thank u to Commissioner Daniel Nigro &amp;amp; all FDNY for this wonderful honor #FDNY #honored  https://t.co/uKXPO1NLdg https://t.…</t>
  </si>
  <si>
    <t>RT @nycgob: Miembros de @SirenFDNY y el @FDNY llevaron consejos de #primerosauxilios a alumnos de @LE_LaEscuelita ayer en #UWS: https://t.c…</t>
  </si>
  <si>
    <t>Smoke alarms save lives. New Yorkers can #GetAlarmedNYC w/ @redcrossny by calling @nyc311 https://t.co/cZM01GBt9d</t>
  </si>
  <si>
    <t>#FDNY Fire Marshals: Cause of 2/23 all-hands at 38 Pine St #StatenIsland was cooking. Working smoke alarms credited for alerting residents</t>
  </si>
  <si>
    <t>#FDNY Fire Marshals: Cause of 3/28 2nd alarm, 232 Metropolitan Ave #Brooklyn was accidental, electrical. No working smoke alarm present</t>
  </si>
  <si>
    <t>RT @FDNYAlerts: BX ALL HANDS 1687 VYSE AVE, MULTIPLE DWELLING FIRE ON 4TH FLR, UNDER CONTROL</t>
  </si>
  <si>
    <t>Our automated operations feed has moved to @FDNYalerts  https://t.co/HNvGNYK9mx</t>
  </si>
  <si>
    <t>RT @nycgob: El @FDNY celebró el Día familiar de novatos del #EMS en la Academia EMS. Fotos: https://t.co/YOGUPpFbWy https://t.co/4u0PKtP83h</t>
  </si>
  <si>
    <t>Don't forget to follow @FDNYalerts to keep up with what's happening your neighborhood https://t.co/lvLEeLImZ1</t>
  </si>
  <si>
    <t>.@SirenFDNY &amp;amp; #FDNY members from #Station8 share first aid &amp;amp; safety tips w/ students at @LE_LaEscuelita on the #UWS https://t.co/kfGTFnCQ1f</t>
  </si>
  <si>
    <t>#GetAlarmedNYC w/ @redcrossny &amp;amp; FREE smoke/CO alarm giveaway &amp;amp; installation events. Find yours by calling @nyc311 https://t.co/zFHDI6sMw4</t>
  </si>
  <si>
    <t>RT @NYPD33Pct: What a great way we can all know what is going on in our community fire related,check out @FDNYalerts on Twitter. https://t.…</t>
  </si>
  <si>
    <t>RT @nycgob: Nunca deje #velas sin atender. Consejos del @FDNY: https://t.co/wnasDY2aoP https://t.co/nvZjL9x497 #FDNYSmart</t>
  </si>
  <si>
    <t>See photos from Saturday's EMS Probie Family Day at the #FDNY EMS Academy at https://t.co/UUNCotCvNV https://t.co/59dH8zR69m</t>
  </si>
  <si>
    <t>RT @FDNYAlerts: BX ALL HANDS 1382 WHITE PLAINS RD, MULTIPLE DWELLING FIRE ON THE 3 RD FLR, UNDER CONTROL</t>
  </si>
  <si>
    <t>Info regarding incidents can now be found at @FDNYalerts, our 24/7 automated feed https://t.co/jTUBDVl8Rx</t>
  </si>
  <si>
    <t>#HappyEaster from the #FDNY! https://t.co/1APBrlm4lx</t>
  </si>
  <si>
    <t>#NYCBravest @FDBoxingClub ready to take on @gardaboxingclub at @WebsterHall w/ proceeds benefitting @helpbhh https://t.co/1dFSkQpNAq</t>
  </si>
  <si>
    <t>RT @nycgob: Conozca 3 vehículos nuevos en la flotilla del @FDNY, incluido este p/ incendios forestales: https://t.co/7qF03QXQ8U https://t.c…</t>
  </si>
  <si>
    <t>Keep track of what's happening in your neighborhood. Follow @FDNYalerts, the official, automated, 24/7 alert system https://t.co/rgHXwFJSmF</t>
  </si>
  <si>
    <t>RT @nycgob: Comisarios del @FDNY: La causa del incendio en 601 W 151 St esta madrugada fue accidental, descuido con una vela. https://t.co/…</t>
  </si>
  <si>
    <t>RT @BilldeBlasio: Remembering N. Figueroa + M.I. Locón Yac, killed in #eastvillageexplosion 3/26/15. @FDNY bravely saved many NYers.</t>
  </si>
  <si>
    <t>Celebrate safetly this #EasterWeekend by following our #FDNYSmart cooking tips at https://t.co/m5wQo3Tpwi</t>
  </si>
  <si>
    <t>Never leave a candle unattended. Watch to see how you can be #FDNYSmart https://t.co/rrYoE7Al3q https://t.co/gXtggS4iaT</t>
  </si>
  <si>
    <t>#FDNY Fire Marshals: Cause of early morning 3rd alarm at 601 W 151 St was accidental, unattended candle  https://t.co/kUbcST8FcW</t>
  </si>
  <si>
    <t>RT @FDNYAlerts: MAN ALL HANDS 725 GREENWICH ST, MULTIPLE DWELLING FIRE ON 2ND FLR, UNDER CONTROL</t>
  </si>
  <si>
    <t>RT @FDNYAlerts: MAN BOX 518 ALL HANDS 725 GREENWICH ST, MULTIPLE DWELLING FIRE ON 2ND FLR,</t>
  </si>
  <si>
    <t>RT @FDNYAlerts: MAN 3-ALARM 601 W 151 ST, MULTIPLE DWELLING FIRE ON 6 FLR AND COCKLOFT, UNDER CONTROL</t>
  </si>
  <si>
    <t>RT @nycgob: El @FDNY recuerda el incendio de la fábrica de Triangle Shirtwaist hace 105 años hoy: https://t.co/KhZNq3BgEU https://t.co/q5ow…</t>
  </si>
  <si>
    <t>RT @nyphospital: Every year it's a *Happy* Easter at @nyphospital thanks to the @FDNY Burn Center Foundation. https://t.co/SmPKoXGxnL</t>
  </si>
  <si>
    <t>RT @nycgob: Ven mañana a buscar huevos de #Pascua con el @FDNY en @FDNYMuseum! Boletos: https://t.co/6Ysdg79uLJ https://t.co/PJKyQauU5W</t>
  </si>
  <si>
    <t>Great question! @FDNYAlerts is operated by FDNY members, but is not monitored for comments, questions, etc.  https://t.co/1cCO5q1VJZ</t>
  </si>
  <si>
    <t>Stay informed 24/7/365! Follow @FDNYalerts, the FDNY’s new automated operations feed https://t.co/bsokCH3w0H</t>
  </si>
  <si>
    <t>RT @nycgob: Antes de su retiro, el bote cisterna McKean trabajó en el #WTC el 9/11 y el #MilagroenelHudson en 2009. https://t.co/yHkrFwOQF7…</t>
  </si>
  <si>
    <t>The @FDNYMuseum Easter Egg Hunt is tomorrow! Get your tickets at https://t.co/Nlz8Bhcoh8 https://t.co/xICczVxcbL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</si>
</sst>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HYPERLINK("http://www.twitter.com/FDNY/status/808381018042433536", "808381018042433536")</f>
        <v>0</v>
      </c>
      <c r="B2" s="2">
        <v>42716.7781018519</v>
      </c>
      <c r="C2">
        <v>9</v>
      </c>
      <c r="D2">
        <v>6</v>
      </c>
      <c r="E2" t="s">
        <v>5</v>
      </c>
    </row>
    <row r="3" spans="1:5">
      <c r="A3">
        <f>HYPERLINK("http://www.twitter.com/FDNY/status/808375108377124864", "808375108377124864")</f>
        <v>0</v>
      </c>
      <c r="B3" s="2">
        <v>42716.7617939815</v>
      </c>
      <c r="C3">
        <v>5</v>
      </c>
      <c r="D3">
        <v>4</v>
      </c>
      <c r="E3" t="s">
        <v>6</v>
      </c>
    </row>
    <row r="4" spans="1:5">
      <c r="A4">
        <f>HYPERLINK("http://www.twitter.com/FDNY/status/808335841928028162", "808335841928028162")</f>
        <v>0</v>
      </c>
      <c r="B4" s="2">
        <v>42716.6534375</v>
      </c>
      <c r="C4">
        <v>0</v>
      </c>
      <c r="D4">
        <v>14</v>
      </c>
      <c r="E4" t="s">
        <v>7</v>
      </c>
    </row>
    <row r="5" spans="1:5">
      <c r="A5">
        <f>HYPERLINK("http://www.twitter.com/FDNY/status/808328330059673600", "808328330059673600")</f>
        <v>0</v>
      </c>
      <c r="B5" s="2">
        <v>42716.6327083333</v>
      </c>
      <c r="C5">
        <v>12</v>
      </c>
      <c r="D5">
        <v>7</v>
      </c>
      <c r="E5" t="s">
        <v>8</v>
      </c>
    </row>
    <row r="6" spans="1:5">
      <c r="A6">
        <f>HYPERLINK("http://www.twitter.com/FDNY/status/808324380128378880", "808324380128378880")</f>
        <v>0</v>
      </c>
      <c r="B6" s="2">
        <v>42716.6218055556</v>
      </c>
      <c r="C6">
        <v>8</v>
      </c>
      <c r="D6">
        <v>3</v>
      </c>
      <c r="E6" t="s">
        <v>9</v>
      </c>
    </row>
    <row r="7" spans="1:5">
      <c r="A7">
        <f>HYPERLINK("http://www.twitter.com/FDNY/status/808322679237476352", "808322679237476352")</f>
        <v>0</v>
      </c>
      <c r="B7" s="2">
        <v>42716.6171180556</v>
      </c>
      <c r="C7">
        <v>0</v>
      </c>
      <c r="D7">
        <v>3</v>
      </c>
      <c r="E7" t="s">
        <v>10</v>
      </c>
    </row>
    <row r="8" spans="1:5">
      <c r="A8">
        <f>HYPERLINK("http://www.twitter.com/FDNY/status/808310907138875396", "808310907138875396")</f>
        <v>0</v>
      </c>
      <c r="B8" s="2">
        <v>42716.5846296296</v>
      </c>
      <c r="C8">
        <v>10</v>
      </c>
      <c r="D8">
        <v>6</v>
      </c>
      <c r="E8" t="s">
        <v>11</v>
      </c>
    </row>
    <row r="9" spans="1:5">
      <c r="A9">
        <f>HYPERLINK("http://www.twitter.com/FDNY/status/808084189719498752", "808084189719498752")</f>
        <v>0</v>
      </c>
      <c r="B9" s="2">
        <v>42715.9590046296</v>
      </c>
      <c r="C9">
        <v>25</v>
      </c>
      <c r="D9">
        <v>11</v>
      </c>
      <c r="E9" t="s">
        <v>12</v>
      </c>
    </row>
    <row r="10" spans="1:5">
      <c r="A10">
        <f>HYPERLINK("http://www.twitter.com/FDNY/status/808038990960005120", "808038990960005120")</f>
        <v>0</v>
      </c>
      <c r="B10" s="2">
        <v>42715.8342824074</v>
      </c>
      <c r="C10">
        <v>12</v>
      </c>
      <c r="D10">
        <v>9</v>
      </c>
      <c r="E10" t="s">
        <v>13</v>
      </c>
    </row>
    <row r="11" spans="1:5">
      <c r="A11">
        <f>HYPERLINK("http://www.twitter.com/FDNY/status/808024875914952705", "808024875914952705")</f>
        <v>0</v>
      </c>
      <c r="B11" s="2">
        <v>42715.7953356481</v>
      </c>
      <c r="C11">
        <v>23</v>
      </c>
      <c r="D11">
        <v>13</v>
      </c>
      <c r="E11" t="s">
        <v>14</v>
      </c>
    </row>
    <row r="12" spans="1:5">
      <c r="A12">
        <f>HYPERLINK("http://www.twitter.com/FDNY/status/807997208939335680", "807997208939335680")</f>
        <v>0</v>
      </c>
      <c r="B12" s="2">
        <v>42715.7189930556</v>
      </c>
      <c r="C12">
        <v>5</v>
      </c>
      <c r="D12">
        <v>1</v>
      </c>
      <c r="E12" t="s">
        <v>15</v>
      </c>
    </row>
    <row r="13" spans="1:5">
      <c r="A13">
        <f>HYPERLINK("http://www.twitter.com/FDNY/status/807975816726462465", "807975816726462465")</f>
        <v>0</v>
      </c>
      <c r="B13" s="2">
        <v>42715.6599537037</v>
      </c>
      <c r="C13">
        <v>19</v>
      </c>
      <c r="D13">
        <v>8</v>
      </c>
      <c r="E13" t="s">
        <v>16</v>
      </c>
    </row>
    <row r="14" spans="1:5">
      <c r="A14">
        <f>HYPERLINK("http://www.twitter.com/FDNY/status/807722872890396674", "807722872890396674")</f>
        <v>0</v>
      </c>
      <c r="B14" s="2">
        <v>42714.9619675926</v>
      </c>
      <c r="C14">
        <v>33</v>
      </c>
      <c r="D14">
        <v>18</v>
      </c>
      <c r="E14" t="s">
        <v>17</v>
      </c>
    </row>
    <row r="15" spans="1:5">
      <c r="A15">
        <f>HYPERLINK("http://www.twitter.com/FDNY/status/807686264711475200", "807686264711475200")</f>
        <v>0</v>
      </c>
      <c r="B15" s="2">
        <v>42714.8609490741</v>
      </c>
      <c r="C15">
        <v>0</v>
      </c>
      <c r="D15">
        <v>39</v>
      </c>
      <c r="E15" t="s">
        <v>18</v>
      </c>
    </row>
    <row r="16" spans="1:5">
      <c r="A16">
        <f>HYPERLINK("http://www.twitter.com/FDNY/status/807678872825303042", "807678872825303042")</f>
        <v>0</v>
      </c>
      <c r="B16" s="2">
        <v>42714.8405439815</v>
      </c>
      <c r="C16">
        <v>15</v>
      </c>
      <c r="D16">
        <v>13</v>
      </c>
      <c r="E16" t="s">
        <v>19</v>
      </c>
    </row>
    <row r="17" spans="1:5">
      <c r="A17">
        <f>HYPERLINK("http://www.twitter.com/FDNY/status/807639829513125888", "807639829513125888")</f>
        <v>0</v>
      </c>
      <c r="B17" s="2">
        <v>42714.7328125</v>
      </c>
      <c r="C17">
        <v>24</v>
      </c>
      <c r="D17">
        <v>12</v>
      </c>
      <c r="E17" t="s">
        <v>20</v>
      </c>
    </row>
    <row r="18" spans="1:5">
      <c r="A18">
        <f>HYPERLINK("http://www.twitter.com/FDNY/status/807624293110677504", "807624293110677504")</f>
        <v>0</v>
      </c>
      <c r="B18" s="2">
        <v>42714.6899421296</v>
      </c>
      <c r="C18">
        <v>25</v>
      </c>
      <c r="D18">
        <v>11</v>
      </c>
      <c r="E18" t="s">
        <v>21</v>
      </c>
    </row>
    <row r="19" spans="1:5">
      <c r="A19">
        <f>HYPERLINK("http://www.twitter.com/FDNY/status/807613437249548288", "807613437249548288")</f>
        <v>0</v>
      </c>
      <c r="B19" s="2">
        <v>42714.6599768518</v>
      </c>
      <c r="C19">
        <v>11</v>
      </c>
      <c r="D19">
        <v>4</v>
      </c>
      <c r="E19" t="s">
        <v>22</v>
      </c>
    </row>
    <row r="20" spans="1:5">
      <c r="A20">
        <f>HYPERLINK("http://www.twitter.com/FDNY/status/807588795671519236", "807588795671519236")</f>
        <v>0</v>
      </c>
      <c r="B20" s="2">
        <v>42714.5919791667</v>
      </c>
      <c r="C20">
        <v>37</v>
      </c>
      <c r="D20">
        <v>22</v>
      </c>
      <c r="E20" t="s">
        <v>23</v>
      </c>
    </row>
    <row r="21" spans="1:5">
      <c r="A21">
        <f>HYPERLINK("http://www.twitter.com/FDNY/status/807588186444664832", "807588186444664832")</f>
        <v>0</v>
      </c>
      <c r="B21" s="2">
        <v>42714.5903009259</v>
      </c>
      <c r="C21">
        <v>32</v>
      </c>
      <c r="D21">
        <v>21</v>
      </c>
      <c r="E21" t="s">
        <v>24</v>
      </c>
    </row>
    <row r="22" spans="1:5">
      <c r="A22">
        <f>HYPERLINK("http://www.twitter.com/FDNY/status/807399512113315840", "807399512113315840")</f>
        <v>0</v>
      </c>
      <c r="B22" s="2">
        <v>42714.0696643519</v>
      </c>
      <c r="C22">
        <v>0</v>
      </c>
      <c r="D22">
        <v>4</v>
      </c>
      <c r="E22" t="s">
        <v>25</v>
      </c>
    </row>
    <row r="23" spans="1:5">
      <c r="A23">
        <f>HYPERLINK("http://www.twitter.com/FDNY/status/807331583338409985", "807331583338409985")</f>
        <v>0</v>
      </c>
      <c r="B23" s="2">
        <v>42713.8822106481</v>
      </c>
      <c r="C23">
        <v>23</v>
      </c>
      <c r="D23">
        <v>14</v>
      </c>
      <c r="E23" t="s">
        <v>26</v>
      </c>
    </row>
    <row r="24" spans="1:5">
      <c r="A24">
        <f>HYPERLINK("http://www.twitter.com/FDNY/status/807288912527888384", "807288912527888384")</f>
        <v>0</v>
      </c>
      <c r="B24" s="2">
        <v>42713.7644675926</v>
      </c>
      <c r="C24">
        <v>0</v>
      </c>
      <c r="D24">
        <v>5</v>
      </c>
      <c r="E24" t="s">
        <v>27</v>
      </c>
    </row>
    <row r="25" spans="1:5">
      <c r="A25">
        <f>HYPERLINK("http://www.twitter.com/FDNY/status/807285059745173506", "807285059745173506")</f>
        <v>0</v>
      </c>
      <c r="B25" s="2">
        <v>42713.7538310185</v>
      </c>
      <c r="C25">
        <v>11</v>
      </c>
      <c r="D25">
        <v>3</v>
      </c>
      <c r="E25" t="s">
        <v>28</v>
      </c>
    </row>
    <row r="26" spans="1:5">
      <c r="A26">
        <f>HYPERLINK("http://www.twitter.com/FDNY/status/807284378028089344", "807284378028089344")</f>
        <v>0</v>
      </c>
      <c r="B26" s="2">
        <v>42713.7519444444</v>
      </c>
      <c r="C26">
        <v>0</v>
      </c>
      <c r="D26">
        <v>8</v>
      </c>
      <c r="E26" t="s">
        <v>29</v>
      </c>
    </row>
    <row r="27" spans="1:5">
      <c r="A27">
        <f>HYPERLINK("http://www.twitter.com/FDNY/status/807272557372182528", "807272557372182528")</f>
        <v>0</v>
      </c>
      <c r="B27" s="2">
        <v>42713.7193287037</v>
      </c>
      <c r="C27">
        <v>15</v>
      </c>
      <c r="D27">
        <v>7</v>
      </c>
      <c r="E27" t="s">
        <v>30</v>
      </c>
    </row>
    <row r="28" spans="1:5">
      <c r="A28">
        <f>HYPERLINK("http://www.twitter.com/FDNY/status/807246528163287044", "807246528163287044")</f>
        <v>0</v>
      </c>
      <c r="B28" s="2">
        <v>42713.6475</v>
      </c>
      <c r="C28">
        <v>8</v>
      </c>
      <c r="D28">
        <v>6</v>
      </c>
      <c r="E28" t="s">
        <v>31</v>
      </c>
    </row>
    <row r="29" spans="1:5">
      <c r="A29">
        <f>HYPERLINK("http://www.twitter.com/FDNY/status/807244725371731969", "807244725371731969")</f>
        <v>0</v>
      </c>
      <c r="B29" s="2">
        <v>42713.6425347222</v>
      </c>
      <c r="C29">
        <v>9</v>
      </c>
      <c r="D29">
        <v>6</v>
      </c>
      <c r="E29" t="s">
        <v>32</v>
      </c>
    </row>
    <row r="30" spans="1:5">
      <c r="A30">
        <f>HYPERLINK("http://www.twitter.com/FDNY/status/807236138293489664", "807236138293489664")</f>
        <v>0</v>
      </c>
      <c r="B30" s="2">
        <v>42713.6188310185</v>
      </c>
      <c r="C30">
        <v>0</v>
      </c>
      <c r="D30">
        <v>4</v>
      </c>
      <c r="E30" t="s">
        <v>33</v>
      </c>
    </row>
    <row r="31" spans="1:5">
      <c r="A31">
        <f>HYPERLINK("http://www.twitter.com/FDNY/status/807236097931612161", "807236097931612161")</f>
        <v>0</v>
      </c>
      <c r="B31" s="2">
        <v>42713.6187268519</v>
      </c>
      <c r="C31">
        <v>0</v>
      </c>
      <c r="D31">
        <v>5</v>
      </c>
      <c r="E31" t="s">
        <v>34</v>
      </c>
    </row>
    <row r="32" spans="1:5">
      <c r="A32">
        <f>HYPERLINK("http://www.twitter.com/FDNY/status/807236059562131460", "807236059562131460")</f>
        <v>0</v>
      </c>
      <c r="B32" s="2">
        <v>42713.6186111111</v>
      </c>
      <c r="C32">
        <v>0</v>
      </c>
      <c r="D32">
        <v>6</v>
      </c>
      <c r="E32" t="s">
        <v>35</v>
      </c>
    </row>
    <row r="33" spans="1:5">
      <c r="A33">
        <f>HYPERLINK("http://www.twitter.com/FDNY/status/807229642717483009", "807229642717483009")</f>
        <v>0</v>
      </c>
      <c r="B33" s="2">
        <v>42713.6009143519</v>
      </c>
      <c r="C33">
        <v>27</v>
      </c>
      <c r="D33">
        <v>19</v>
      </c>
      <c r="E33" t="s">
        <v>36</v>
      </c>
    </row>
    <row r="34" spans="1:5">
      <c r="A34">
        <f>HYPERLINK("http://www.twitter.com/FDNY/status/806988715906236421", "806988715906236421")</f>
        <v>0</v>
      </c>
      <c r="B34" s="2">
        <v>42712.9360763889</v>
      </c>
      <c r="C34">
        <v>15</v>
      </c>
      <c r="D34">
        <v>17</v>
      </c>
      <c r="E34" t="s">
        <v>37</v>
      </c>
    </row>
    <row r="35" spans="1:5">
      <c r="A35">
        <f>HYPERLINK("http://www.twitter.com/FDNY/status/806962938552745985", "806962938552745985")</f>
        <v>0</v>
      </c>
      <c r="B35" s="2">
        <v>42712.8649421296</v>
      </c>
      <c r="C35">
        <v>14</v>
      </c>
      <c r="D35">
        <v>9</v>
      </c>
      <c r="E35" t="s">
        <v>38</v>
      </c>
    </row>
    <row r="36" spans="1:5">
      <c r="A36">
        <f>HYPERLINK("http://www.twitter.com/FDNY/status/806940713573228546", "806940713573228546")</f>
        <v>0</v>
      </c>
      <c r="B36" s="2">
        <v>42712.8036226852</v>
      </c>
      <c r="C36">
        <v>9</v>
      </c>
      <c r="D36">
        <v>10</v>
      </c>
      <c r="E36" t="s">
        <v>39</v>
      </c>
    </row>
    <row r="37" spans="1:5">
      <c r="A37">
        <f>HYPERLINK("http://www.twitter.com/FDNY/status/806940597445607424", "806940597445607424")</f>
        <v>0</v>
      </c>
      <c r="B37" s="2">
        <v>42712.8032986111</v>
      </c>
      <c r="C37">
        <v>7</v>
      </c>
      <c r="D37">
        <v>5</v>
      </c>
      <c r="E37" t="s">
        <v>40</v>
      </c>
    </row>
    <row r="38" spans="1:5">
      <c r="A38">
        <f>HYPERLINK("http://www.twitter.com/FDNY/status/806940558614732801", "806940558614732801")</f>
        <v>0</v>
      </c>
      <c r="B38" s="2">
        <v>42712.8031944444</v>
      </c>
      <c r="C38">
        <v>6</v>
      </c>
      <c r="D38">
        <v>3</v>
      </c>
      <c r="E38" t="s">
        <v>41</v>
      </c>
    </row>
    <row r="39" spans="1:5">
      <c r="A39">
        <f>HYPERLINK("http://www.twitter.com/FDNY/status/806938156155011072", "806938156155011072")</f>
        <v>0</v>
      </c>
      <c r="B39" s="2">
        <v>42712.7965625</v>
      </c>
      <c r="C39">
        <v>0</v>
      </c>
      <c r="D39">
        <v>8</v>
      </c>
      <c r="E39" t="s">
        <v>42</v>
      </c>
    </row>
    <row r="40" spans="1:5">
      <c r="A40">
        <f>HYPERLINK("http://www.twitter.com/FDNY/status/806914820268142592", "806914820268142592")</f>
        <v>0</v>
      </c>
      <c r="B40" s="2">
        <v>42712.7321643519</v>
      </c>
      <c r="C40">
        <v>13</v>
      </c>
      <c r="D40">
        <v>8</v>
      </c>
      <c r="E40" t="s">
        <v>43</v>
      </c>
    </row>
    <row r="41" spans="1:5">
      <c r="A41">
        <f>HYPERLINK("http://www.twitter.com/FDNY/status/806907589250449412", "806907589250449412")</f>
        <v>0</v>
      </c>
      <c r="B41" s="2">
        <v>42712.7122106481</v>
      </c>
      <c r="C41">
        <v>17</v>
      </c>
      <c r="D41">
        <v>12</v>
      </c>
      <c r="E41" t="s">
        <v>44</v>
      </c>
    </row>
    <row r="42" spans="1:5">
      <c r="A42">
        <f>HYPERLINK("http://www.twitter.com/FDNY/status/806896265908944897", "806896265908944897")</f>
        <v>0</v>
      </c>
      <c r="B42" s="2">
        <v>42712.6809606481</v>
      </c>
      <c r="C42">
        <v>7</v>
      </c>
      <c r="D42">
        <v>6</v>
      </c>
      <c r="E42" t="s">
        <v>45</v>
      </c>
    </row>
    <row r="43" spans="1:5">
      <c r="A43">
        <f>HYPERLINK("http://www.twitter.com/FDNY/status/806888559663792128", "806888559663792128")</f>
        <v>0</v>
      </c>
      <c r="B43" s="2">
        <v>42712.6596990741</v>
      </c>
      <c r="C43">
        <v>43</v>
      </c>
      <c r="D43">
        <v>13</v>
      </c>
      <c r="E43" t="s">
        <v>46</v>
      </c>
    </row>
    <row r="44" spans="1:5">
      <c r="A44">
        <f>HYPERLINK("http://www.twitter.com/FDNY/status/806874627872067586", "806874627872067586")</f>
        <v>0</v>
      </c>
      <c r="B44" s="2">
        <v>42712.62125</v>
      </c>
      <c r="C44">
        <v>53</v>
      </c>
      <c r="D44">
        <v>23</v>
      </c>
      <c r="E44" t="s">
        <v>47</v>
      </c>
    </row>
    <row r="45" spans="1:5">
      <c r="A45">
        <f>HYPERLINK("http://www.twitter.com/FDNY/status/806871083643273216", "806871083643273216")</f>
        <v>0</v>
      </c>
      <c r="B45" s="2">
        <v>42712.6114699074</v>
      </c>
      <c r="C45">
        <v>8</v>
      </c>
      <c r="D45">
        <v>4</v>
      </c>
      <c r="E45" t="s">
        <v>48</v>
      </c>
    </row>
    <row r="46" spans="1:5">
      <c r="A46">
        <f>HYPERLINK("http://www.twitter.com/FDNY/status/806864780661313536", "806864780661313536")</f>
        <v>0</v>
      </c>
      <c r="B46" s="2">
        <v>42712.5940856481</v>
      </c>
      <c r="C46">
        <v>10</v>
      </c>
      <c r="D46">
        <v>11</v>
      </c>
      <c r="E46" t="s">
        <v>49</v>
      </c>
    </row>
    <row r="47" spans="1:5">
      <c r="A47">
        <f>HYPERLINK("http://www.twitter.com/FDNY/status/806630011428073474", "806630011428073474")</f>
        <v>0</v>
      </c>
      <c r="B47" s="2">
        <v>42711.9462384259</v>
      </c>
      <c r="C47">
        <v>0</v>
      </c>
      <c r="D47">
        <v>2</v>
      </c>
      <c r="E47" t="s">
        <v>50</v>
      </c>
    </row>
    <row r="48" spans="1:5">
      <c r="A48">
        <f>HYPERLINK("http://www.twitter.com/FDNY/status/806626127020167169", "806626127020167169")</f>
        <v>0</v>
      </c>
      <c r="B48" s="2">
        <v>42711.9355208333</v>
      </c>
      <c r="C48">
        <v>0</v>
      </c>
      <c r="D48">
        <v>3</v>
      </c>
      <c r="E48" t="s">
        <v>51</v>
      </c>
    </row>
    <row r="49" spans="1:5">
      <c r="A49">
        <f>HYPERLINK("http://www.twitter.com/FDNY/status/806626114575679488", "806626114575679488")</f>
        <v>0</v>
      </c>
      <c r="B49" s="2">
        <v>42711.9354861111</v>
      </c>
      <c r="C49">
        <v>0</v>
      </c>
      <c r="D49">
        <v>9</v>
      </c>
      <c r="E49" t="s">
        <v>52</v>
      </c>
    </row>
    <row r="50" spans="1:5">
      <c r="A50">
        <f>HYPERLINK("http://www.twitter.com/FDNY/status/806527927265480704", "806527927265480704")</f>
        <v>0</v>
      </c>
      <c r="B50" s="2">
        <v>42711.6645486111</v>
      </c>
      <c r="C50">
        <v>138</v>
      </c>
      <c r="D50">
        <v>75</v>
      </c>
      <c r="E50" t="s">
        <v>53</v>
      </c>
    </row>
    <row r="51" spans="1:5">
      <c r="A51">
        <f>HYPERLINK("http://www.twitter.com/FDNY/status/806518736446427140", "806518736446427140")</f>
        <v>0</v>
      </c>
      <c r="B51" s="2">
        <v>42711.6391782407</v>
      </c>
      <c r="C51">
        <v>4</v>
      </c>
      <c r="D51">
        <v>6</v>
      </c>
      <c r="E51" t="s">
        <v>48</v>
      </c>
    </row>
    <row r="52" spans="1:5">
      <c r="A52">
        <f>HYPERLINK("http://www.twitter.com/FDNY/status/806517480827088896", "806517480827088896")</f>
        <v>0</v>
      </c>
      <c r="B52" s="2">
        <v>42711.6357175926</v>
      </c>
      <c r="C52">
        <v>4</v>
      </c>
      <c r="D52">
        <v>2</v>
      </c>
      <c r="E52" t="s">
        <v>54</v>
      </c>
    </row>
    <row r="53" spans="1:5">
      <c r="A53">
        <f>HYPERLINK("http://www.twitter.com/FDNY/status/806511173927600128", "806511173927600128")</f>
        <v>0</v>
      </c>
      <c r="B53" s="2">
        <v>42711.6183101852</v>
      </c>
      <c r="C53">
        <v>11</v>
      </c>
      <c r="D53">
        <v>4</v>
      </c>
      <c r="E53" t="s">
        <v>55</v>
      </c>
    </row>
    <row r="54" spans="1:5">
      <c r="A54">
        <f>HYPERLINK("http://www.twitter.com/FDNY/status/806503644069851136", "806503644069851136")</f>
        <v>0</v>
      </c>
      <c r="B54" s="2">
        <v>42711.5975347222</v>
      </c>
      <c r="C54">
        <v>6</v>
      </c>
      <c r="D54">
        <v>4</v>
      </c>
      <c r="E54" t="s">
        <v>56</v>
      </c>
    </row>
    <row r="55" spans="1:5">
      <c r="A55">
        <f>HYPERLINK("http://www.twitter.com/FDNY/status/806300279557722113", "806300279557722113")</f>
        <v>0</v>
      </c>
      <c r="B55" s="2">
        <v>42711.0363541667</v>
      </c>
      <c r="C55">
        <v>0</v>
      </c>
      <c r="D55">
        <v>5</v>
      </c>
      <c r="E55" t="s">
        <v>57</v>
      </c>
    </row>
    <row r="56" spans="1:5">
      <c r="A56">
        <f>HYPERLINK("http://www.twitter.com/FDNY/status/806278188888453120", "806278188888453120")</f>
        <v>0</v>
      </c>
      <c r="B56" s="2">
        <v>42710.9753935185</v>
      </c>
      <c r="C56">
        <v>0</v>
      </c>
      <c r="D56">
        <v>7</v>
      </c>
      <c r="E56" t="s">
        <v>58</v>
      </c>
    </row>
    <row r="57" spans="1:5">
      <c r="A57">
        <f>HYPERLINK("http://www.twitter.com/FDNY/status/806278172790714368", "806278172790714368")</f>
        <v>0</v>
      </c>
      <c r="B57" s="2">
        <v>42710.9753472222</v>
      </c>
      <c r="C57">
        <v>0</v>
      </c>
      <c r="D57">
        <v>8</v>
      </c>
      <c r="E57" t="s">
        <v>59</v>
      </c>
    </row>
    <row r="58" spans="1:5">
      <c r="A58">
        <f>HYPERLINK("http://www.twitter.com/FDNY/status/806255577747881989", "806255577747881989")</f>
        <v>0</v>
      </c>
      <c r="B58" s="2">
        <v>42710.9129976852</v>
      </c>
      <c r="C58">
        <v>22</v>
      </c>
      <c r="D58">
        <v>11</v>
      </c>
      <c r="E58" t="s">
        <v>60</v>
      </c>
    </row>
    <row r="59" spans="1:5">
      <c r="A59">
        <f>HYPERLINK("http://www.twitter.com/FDNY/status/806230745534570497", "806230745534570497")</f>
        <v>0</v>
      </c>
      <c r="B59" s="2">
        <v>42710.8444791667</v>
      </c>
      <c r="C59">
        <v>0</v>
      </c>
      <c r="D59">
        <v>4</v>
      </c>
      <c r="E59" t="s">
        <v>61</v>
      </c>
    </row>
    <row r="60" spans="1:5">
      <c r="A60">
        <f>HYPERLINK("http://www.twitter.com/FDNY/status/806226196295991296", "806226196295991296")</f>
        <v>0</v>
      </c>
      <c r="B60" s="2">
        <v>42710.8319212963</v>
      </c>
      <c r="C60">
        <v>29</v>
      </c>
      <c r="D60">
        <v>8</v>
      </c>
      <c r="E60" t="s">
        <v>62</v>
      </c>
    </row>
    <row r="61" spans="1:5">
      <c r="A61">
        <f>HYPERLINK("http://www.twitter.com/FDNY/status/806209281318068224", "806209281318068224")</f>
        <v>0</v>
      </c>
      <c r="B61" s="2">
        <v>42710.7852430556</v>
      </c>
      <c r="C61">
        <v>0</v>
      </c>
      <c r="D61">
        <v>16</v>
      </c>
      <c r="E61" t="s">
        <v>63</v>
      </c>
    </row>
    <row r="62" spans="1:5">
      <c r="A62">
        <f>HYPERLINK("http://www.twitter.com/FDNY/status/806185050727481370", "806185050727481370")</f>
        <v>0</v>
      </c>
      <c r="B62" s="2">
        <v>42710.7183796296</v>
      </c>
      <c r="C62">
        <v>10</v>
      </c>
      <c r="D62">
        <v>9</v>
      </c>
      <c r="E62" t="s">
        <v>64</v>
      </c>
    </row>
    <row r="63" spans="1:5">
      <c r="A63">
        <f>HYPERLINK("http://www.twitter.com/FDNY/status/806183653088837632", "806183653088837632")</f>
        <v>0</v>
      </c>
      <c r="B63" s="2">
        <v>42710.714525463</v>
      </c>
      <c r="C63">
        <v>0</v>
      </c>
      <c r="D63">
        <v>4</v>
      </c>
      <c r="E63" t="s">
        <v>65</v>
      </c>
    </row>
    <row r="64" spans="1:5">
      <c r="A64">
        <f>HYPERLINK("http://www.twitter.com/FDNY/status/806181049197797376", "806181049197797376")</f>
        <v>0</v>
      </c>
      <c r="B64" s="2">
        <v>42710.707337963</v>
      </c>
      <c r="C64">
        <v>8</v>
      </c>
      <c r="D64">
        <v>3</v>
      </c>
      <c r="E64" t="s">
        <v>56</v>
      </c>
    </row>
    <row r="65" spans="1:5">
      <c r="A65">
        <f>HYPERLINK("http://www.twitter.com/FDNY/status/806171447978758144", "806171447978758144")</f>
        <v>0</v>
      </c>
      <c r="B65" s="2">
        <v>42710.6808449074</v>
      </c>
      <c r="C65">
        <v>6</v>
      </c>
      <c r="D65">
        <v>5</v>
      </c>
      <c r="E65" t="s">
        <v>45</v>
      </c>
    </row>
    <row r="66" spans="1:5">
      <c r="A66">
        <f>HYPERLINK("http://www.twitter.com/FDNY/status/806155084837089280", "806155084837089280")</f>
        <v>0</v>
      </c>
      <c r="B66" s="2">
        <v>42710.6356944444</v>
      </c>
      <c r="C66">
        <v>4</v>
      </c>
      <c r="D66">
        <v>3</v>
      </c>
      <c r="E66" t="s">
        <v>54</v>
      </c>
    </row>
    <row r="67" spans="1:5">
      <c r="A67">
        <f>HYPERLINK("http://www.twitter.com/FDNY/status/806144151054155777", "806144151054155777")</f>
        <v>0</v>
      </c>
      <c r="B67" s="2">
        <v>42710.6055208333</v>
      </c>
      <c r="C67">
        <v>0</v>
      </c>
      <c r="D67">
        <v>3</v>
      </c>
      <c r="E67" t="s">
        <v>66</v>
      </c>
    </row>
    <row r="68" spans="1:5">
      <c r="A68">
        <f>HYPERLINK("http://www.twitter.com/FDNY/status/806139981165162496", "806139981165162496")</f>
        <v>0</v>
      </c>
      <c r="B68" s="2">
        <v>42710.5940162037</v>
      </c>
      <c r="C68">
        <v>12</v>
      </c>
      <c r="D68">
        <v>7</v>
      </c>
      <c r="E68" t="s">
        <v>48</v>
      </c>
    </row>
    <row r="69" spans="1:5">
      <c r="A69">
        <f>HYPERLINK("http://www.twitter.com/FDNY/status/805948078142398464", "805948078142398464")</f>
        <v>0</v>
      </c>
      <c r="B69" s="2">
        <v>42710.0644675926</v>
      </c>
      <c r="C69">
        <v>0</v>
      </c>
      <c r="D69">
        <v>7</v>
      </c>
      <c r="E69" t="s">
        <v>67</v>
      </c>
    </row>
    <row r="70" spans="1:5">
      <c r="A70">
        <f>HYPERLINK("http://www.twitter.com/FDNY/status/805891428677251073", "805891428677251073")</f>
        <v>0</v>
      </c>
      <c r="B70" s="2">
        <v>42709.9081365741</v>
      </c>
      <c r="C70">
        <v>0</v>
      </c>
      <c r="D70">
        <v>2</v>
      </c>
      <c r="E70" t="s">
        <v>68</v>
      </c>
    </row>
    <row r="71" spans="1:5">
      <c r="A71">
        <f>HYPERLINK("http://www.twitter.com/FDNY/status/805873713786851328", "805873713786851328")</f>
        <v>0</v>
      </c>
      <c r="B71" s="2">
        <v>42709.8592592593</v>
      </c>
      <c r="C71">
        <v>0</v>
      </c>
      <c r="D71">
        <v>4</v>
      </c>
      <c r="E71" t="s">
        <v>69</v>
      </c>
    </row>
    <row r="72" spans="1:5">
      <c r="A72">
        <f>HYPERLINK("http://www.twitter.com/FDNY/status/805873700318937088", "805873700318937088")</f>
        <v>0</v>
      </c>
      <c r="B72" s="2">
        <v>42709.859224537</v>
      </c>
      <c r="C72">
        <v>0</v>
      </c>
      <c r="D72">
        <v>2</v>
      </c>
      <c r="E72" t="s">
        <v>70</v>
      </c>
    </row>
    <row r="73" spans="1:5">
      <c r="A73">
        <f>HYPERLINK("http://www.twitter.com/FDNY/status/805862593483120640", "805862593483120640")</f>
        <v>0</v>
      </c>
      <c r="B73" s="2">
        <v>42709.8285763889</v>
      </c>
      <c r="C73">
        <v>47</v>
      </c>
      <c r="D73">
        <v>15</v>
      </c>
      <c r="E73" t="s">
        <v>71</v>
      </c>
    </row>
    <row r="74" spans="1:5">
      <c r="A74">
        <f>HYPERLINK("http://www.twitter.com/FDNY/status/805824111213740036", "805824111213740036")</f>
        <v>0</v>
      </c>
      <c r="B74" s="2">
        <v>42709.7223842593</v>
      </c>
      <c r="C74">
        <v>10</v>
      </c>
      <c r="D74">
        <v>4</v>
      </c>
      <c r="E74" t="s">
        <v>56</v>
      </c>
    </row>
    <row r="75" spans="1:5">
      <c r="A75">
        <f>HYPERLINK("http://www.twitter.com/FDNY/status/805820393235824640", "805820393235824640")</f>
        <v>0</v>
      </c>
      <c r="B75" s="2">
        <v>42709.7121180556</v>
      </c>
      <c r="C75">
        <v>17</v>
      </c>
      <c r="D75">
        <v>21</v>
      </c>
      <c r="E75" t="s">
        <v>72</v>
      </c>
    </row>
    <row r="76" spans="1:5">
      <c r="A76">
        <f>HYPERLINK("http://www.twitter.com/FDNY/status/805819726056321024", "805819726056321024")</f>
        <v>0</v>
      </c>
      <c r="B76" s="2">
        <v>42709.7102777778</v>
      </c>
      <c r="C76">
        <v>12</v>
      </c>
      <c r="D76">
        <v>11</v>
      </c>
      <c r="E76" t="s">
        <v>73</v>
      </c>
    </row>
    <row r="77" spans="1:5">
      <c r="A77">
        <f>HYPERLINK("http://www.twitter.com/FDNY/status/805819248778080256", "805819248778080256")</f>
        <v>0</v>
      </c>
      <c r="B77" s="2">
        <v>42709.7089583333</v>
      </c>
      <c r="C77">
        <v>12</v>
      </c>
      <c r="D77">
        <v>10</v>
      </c>
      <c r="E77" t="s">
        <v>74</v>
      </c>
    </row>
    <row r="78" spans="1:5">
      <c r="A78">
        <f>HYPERLINK("http://www.twitter.com/FDNY/status/805818463243685889", "805818463243685889")</f>
        <v>0</v>
      </c>
      <c r="B78" s="2">
        <v>42709.7067939815</v>
      </c>
      <c r="C78">
        <v>7</v>
      </c>
      <c r="D78">
        <v>5</v>
      </c>
      <c r="E78" t="s">
        <v>75</v>
      </c>
    </row>
    <row r="79" spans="1:5">
      <c r="A79">
        <f>HYPERLINK("http://www.twitter.com/FDNY/status/805810436385939456", "805810436385939456")</f>
        <v>0</v>
      </c>
      <c r="B79" s="2">
        <v>42709.6846412037</v>
      </c>
      <c r="C79">
        <v>289</v>
      </c>
      <c r="D79">
        <v>47</v>
      </c>
      <c r="E79" t="s">
        <v>76</v>
      </c>
    </row>
    <row r="80" spans="1:5">
      <c r="A80">
        <f>HYPERLINK("http://www.twitter.com/FDNY/status/805796448789037056", "805796448789037056")</f>
        <v>0</v>
      </c>
      <c r="B80" s="2">
        <v>42709.6460532407</v>
      </c>
      <c r="C80">
        <v>10</v>
      </c>
      <c r="D80">
        <v>4</v>
      </c>
      <c r="E80" t="s">
        <v>77</v>
      </c>
    </row>
    <row r="81" spans="1:5">
      <c r="A81">
        <f>HYPERLINK("http://www.twitter.com/FDNY/status/805792720950272000", "805792720950272000")</f>
        <v>0</v>
      </c>
      <c r="B81" s="2">
        <v>42709.6357638889</v>
      </c>
      <c r="C81">
        <v>11</v>
      </c>
      <c r="D81">
        <v>9</v>
      </c>
      <c r="E81" t="s">
        <v>78</v>
      </c>
    </row>
    <row r="82" spans="1:5">
      <c r="A82">
        <f>HYPERLINK("http://www.twitter.com/FDNY/status/805790478893453313", "805790478893453313")</f>
        <v>0</v>
      </c>
      <c r="B82" s="2">
        <v>42709.6295717593</v>
      </c>
      <c r="C82">
        <v>14</v>
      </c>
      <c r="D82">
        <v>4</v>
      </c>
      <c r="E82" t="s">
        <v>48</v>
      </c>
    </row>
    <row r="83" spans="1:5">
      <c r="A83">
        <f>HYPERLINK("http://www.twitter.com/FDNY/status/805788931681820676", "805788931681820676")</f>
        <v>0</v>
      </c>
      <c r="B83" s="2">
        <v>42709.6253009259</v>
      </c>
      <c r="C83">
        <v>10</v>
      </c>
      <c r="D83">
        <v>3</v>
      </c>
      <c r="E83" t="s">
        <v>79</v>
      </c>
    </row>
    <row r="84" spans="1:5">
      <c r="A84">
        <f>HYPERLINK("http://www.twitter.com/FDNY/status/805785422773239808", "805785422773239808")</f>
        <v>0</v>
      </c>
      <c r="B84" s="2">
        <v>42709.615625</v>
      </c>
      <c r="C84">
        <v>0</v>
      </c>
      <c r="D84">
        <v>3</v>
      </c>
      <c r="E84" t="s">
        <v>80</v>
      </c>
    </row>
    <row r="85" spans="1:5">
      <c r="A85">
        <f>HYPERLINK("http://www.twitter.com/FDNY/status/805565155354484736", "805565155354484736")</f>
        <v>0</v>
      </c>
      <c r="B85" s="2">
        <v>42709.0078009259</v>
      </c>
      <c r="C85">
        <v>0</v>
      </c>
      <c r="D85">
        <v>6</v>
      </c>
      <c r="E85" t="s">
        <v>81</v>
      </c>
    </row>
    <row r="86" spans="1:5">
      <c r="A86">
        <f>HYPERLINK("http://www.twitter.com/FDNY/status/805553893539270656", "805553893539270656")</f>
        <v>0</v>
      </c>
      <c r="B86" s="2">
        <v>42708.976724537</v>
      </c>
      <c r="C86">
        <v>0</v>
      </c>
      <c r="D86">
        <v>5</v>
      </c>
      <c r="E86" t="s">
        <v>82</v>
      </c>
    </row>
    <row r="87" spans="1:5">
      <c r="A87">
        <f>HYPERLINK("http://www.twitter.com/FDNY/status/805479349512261633", "805479349512261633")</f>
        <v>0</v>
      </c>
      <c r="B87" s="2">
        <v>42708.7710185185</v>
      </c>
      <c r="C87">
        <v>12</v>
      </c>
      <c r="D87">
        <v>1</v>
      </c>
      <c r="E87" t="s">
        <v>79</v>
      </c>
    </row>
    <row r="88" spans="1:5">
      <c r="A88">
        <f>HYPERLINK("http://www.twitter.com/FDNY/status/805465472552599553", "805465472552599553")</f>
        <v>0</v>
      </c>
      <c r="B88" s="2">
        <v>42708.7327314815</v>
      </c>
      <c r="C88">
        <v>4</v>
      </c>
      <c r="D88">
        <v>4</v>
      </c>
      <c r="E88" t="s">
        <v>77</v>
      </c>
    </row>
    <row r="89" spans="1:5">
      <c r="A89">
        <f>HYPERLINK("http://www.twitter.com/FDNY/status/805451628899958784", "805451628899958784")</f>
        <v>0</v>
      </c>
      <c r="B89" s="2">
        <v>42708.694525463</v>
      </c>
      <c r="C89">
        <v>7</v>
      </c>
      <c r="D89">
        <v>5</v>
      </c>
      <c r="E89" t="s">
        <v>48</v>
      </c>
    </row>
    <row r="90" spans="1:5">
      <c r="A90">
        <f>HYPERLINK("http://www.twitter.com/FDNY/status/805439040619184129", "805439040619184129")</f>
        <v>0</v>
      </c>
      <c r="B90" s="2">
        <v>42708.6597916667</v>
      </c>
      <c r="C90">
        <v>9</v>
      </c>
      <c r="D90">
        <v>4</v>
      </c>
      <c r="E90" t="s">
        <v>56</v>
      </c>
    </row>
    <row r="91" spans="1:5">
      <c r="A91">
        <f>HYPERLINK("http://www.twitter.com/FDNY/status/805431407535357952", "805431407535357952")</f>
        <v>0</v>
      </c>
      <c r="B91" s="2">
        <v>42708.6387268519</v>
      </c>
      <c r="C91">
        <v>6</v>
      </c>
      <c r="D91">
        <v>1</v>
      </c>
      <c r="E91" t="s">
        <v>45</v>
      </c>
    </row>
    <row r="92" spans="1:5">
      <c r="A92">
        <f>HYPERLINK("http://www.twitter.com/FDNY/status/805197463804055552", "805197463804055552")</f>
        <v>0</v>
      </c>
      <c r="B92" s="2">
        <v>42707.9931597222</v>
      </c>
      <c r="C92">
        <v>21</v>
      </c>
      <c r="D92">
        <v>10</v>
      </c>
      <c r="E92" t="s">
        <v>83</v>
      </c>
    </row>
    <row r="93" spans="1:5">
      <c r="A93">
        <f>HYPERLINK("http://www.twitter.com/FDNY/status/805117086716559360", "805117086716559360")</f>
        <v>0</v>
      </c>
      <c r="B93" s="2">
        <v>42707.7713657407</v>
      </c>
      <c r="C93">
        <v>9</v>
      </c>
      <c r="D93">
        <v>2</v>
      </c>
      <c r="E93" t="s">
        <v>84</v>
      </c>
    </row>
    <row r="94" spans="1:5">
      <c r="A94">
        <f>HYPERLINK("http://www.twitter.com/FDNY/status/804912434632884224", "804912434632884224")</f>
        <v>0</v>
      </c>
      <c r="B94" s="2">
        <v>42707.2066319444</v>
      </c>
      <c r="C94">
        <v>0</v>
      </c>
      <c r="D94">
        <v>3</v>
      </c>
      <c r="E94" t="s">
        <v>85</v>
      </c>
    </row>
    <row r="95" spans="1:5">
      <c r="A95">
        <f>HYPERLINK("http://www.twitter.com/FDNY/status/804798703970189312", "804798703970189312")</f>
        <v>0</v>
      </c>
      <c r="B95" s="2">
        <v>42706.8928009259</v>
      </c>
      <c r="C95">
        <v>18</v>
      </c>
      <c r="D95">
        <v>8</v>
      </c>
      <c r="E95" t="s">
        <v>86</v>
      </c>
    </row>
    <row r="96" spans="1:5">
      <c r="A96">
        <f>HYPERLINK("http://www.twitter.com/FDNY/status/804798422570110976", "804798422570110976")</f>
        <v>0</v>
      </c>
      <c r="B96" s="2">
        <v>42706.892025463</v>
      </c>
      <c r="C96">
        <v>11</v>
      </c>
      <c r="D96">
        <v>6</v>
      </c>
      <c r="E96" t="s">
        <v>87</v>
      </c>
    </row>
    <row r="97" spans="1:5">
      <c r="A97">
        <f>HYPERLINK("http://www.twitter.com/FDNY/status/804797904191885312", "804797904191885312")</f>
        <v>0</v>
      </c>
      <c r="B97" s="2">
        <v>42706.8905902778</v>
      </c>
      <c r="C97">
        <v>12</v>
      </c>
      <c r="D97">
        <v>3</v>
      </c>
      <c r="E97" t="s">
        <v>88</v>
      </c>
    </row>
    <row r="98" spans="1:5">
      <c r="A98">
        <f>HYPERLINK("http://www.twitter.com/FDNY/status/804745474561417217", "804745474561417217")</f>
        <v>0</v>
      </c>
      <c r="B98" s="2">
        <v>42706.7459143518</v>
      </c>
      <c r="C98">
        <v>0</v>
      </c>
      <c r="D98">
        <v>127</v>
      </c>
      <c r="E98" t="s">
        <v>89</v>
      </c>
    </row>
    <row r="99" spans="1:5">
      <c r="A99">
        <f>HYPERLINK("http://www.twitter.com/FDNY/status/804712044943605760", "804712044943605760")</f>
        <v>0</v>
      </c>
      <c r="B99" s="2">
        <v>42706.6536574074</v>
      </c>
      <c r="C99">
        <v>26</v>
      </c>
      <c r="D99">
        <v>7</v>
      </c>
      <c r="E99" t="s">
        <v>90</v>
      </c>
    </row>
    <row r="100" spans="1:5">
      <c r="A100">
        <f>HYPERLINK("http://www.twitter.com/FDNY/status/804709564876722176", "804709564876722176")</f>
        <v>0</v>
      </c>
      <c r="B100" s="2">
        <v>42706.6468171296</v>
      </c>
      <c r="C100">
        <v>30</v>
      </c>
      <c r="D100">
        <v>7</v>
      </c>
      <c r="E100" t="s">
        <v>91</v>
      </c>
    </row>
    <row r="101" spans="1:5">
      <c r="A101">
        <f>HYPERLINK("http://www.twitter.com/FDNY/status/804706800637448194", "804706800637448194")</f>
        <v>0</v>
      </c>
      <c r="B101" s="2">
        <v>42706.6391898148</v>
      </c>
      <c r="C101">
        <v>14</v>
      </c>
      <c r="D101">
        <v>8</v>
      </c>
      <c r="E101" t="s">
        <v>92</v>
      </c>
    </row>
    <row r="102" spans="1:5">
      <c r="A102">
        <f>HYPERLINK("http://www.twitter.com/FDNY/status/804476337712992257", "804476337712992257")</f>
        <v>0</v>
      </c>
      <c r="B102" s="2">
        <v>42706.0032407407</v>
      </c>
      <c r="C102">
        <v>0</v>
      </c>
      <c r="D102">
        <v>11</v>
      </c>
      <c r="E102" t="s">
        <v>93</v>
      </c>
    </row>
    <row r="103" spans="1:5">
      <c r="A103">
        <f>HYPERLINK("http://www.twitter.com/FDNY/status/804473544507801604", "804473544507801604")</f>
        <v>0</v>
      </c>
      <c r="B103" s="2">
        <v>42705.9955324074</v>
      </c>
      <c r="C103">
        <v>96</v>
      </c>
      <c r="D103">
        <v>37</v>
      </c>
      <c r="E103" t="s">
        <v>94</v>
      </c>
    </row>
    <row r="104" spans="1:5">
      <c r="A104">
        <f>HYPERLINK("http://www.twitter.com/FDNY/status/804462578135105536", "804462578135105536")</f>
        <v>0</v>
      </c>
      <c r="B104" s="2">
        <v>42705.9652662037</v>
      </c>
      <c r="C104">
        <v>0</v>
      </c>
      <c r="D104">
        <v>5</v>
      </c>
      <c r="E104" t="s">
        <v>95</v>
      </c>
    </row>
    <row r="105" spans="1:5">
      <c r="A105">
        <f>HYPERLINK("http://www.twitter.com/FDNY/status/804442522764406788", "804442522764406788")</f>
        <v>0</v>
      </c>
      <c r="B105" s="2">
        <v>42705.9099189815</v>
      </c>
      <c r="C105">
        <v>16</v>
      </c>
      <c r="D105">
        <v>9</v>
      </c>
      <c r="E105" t="s">
        <v>96</v>
      </c>
    </row>
    <row r="106" spans="1:5">
      <c r="A106">
        <f>HYPERLINK("http://www.twitter.com/FDNY/status/804426715392929792", "804426715392929792")</f>
        <v>0</v>
      </c>
      <c r="B106" s="2">
        <v>42705.8663078704</v>
      </c>
      <c r="C106">
        <v>14</v>
      </c>
      <c r="D106">
        <v>4</v>
      </c>
      <c r="E106" t="s">
        <v>97</v>
      </c>
    </row>
    <row r="107" spans="1:5">
      <c r="A107">
        <f>HYPERLINK("http://www.twitter.com/FDNY/status/804408044339613696", "804408044339613696")</f>
        <v>0</v>
      </c>
      <c r="B107" s="2">
        <v>42705.8147800926</v>
      </c>
      <c r="C107">
        <v>15</v>
      </c>
      <c r="D107">
        <v>10</v>
      </c>
      <c r="E107" t="s">
        <v>98</v>
      </c>
    </row>
    <row r="108" spans="1:5">
      <c r="A108">
        <f>HYPERLINK("http://www.twitter.com/FDNY/status/804383022887948289", "804383022887948289")</f>
        <v>0</v>
      </c>
      <c r="B108" s="2">
        <v>42705.7457407407</v>
      </c>
      <c r="C108">
        <v>27</v>
      </c>
      <c r="D108">
        <v>4</v>
      </c>
      <c r="E108" t="s">
        <v>99</v>
      </c>
    </row>
    <row r="109" spans="1:5">
      <c r="A109">
        <f>HYPERLINK("http://www.twitter.com/FDNY/status/804380981608202240", "804380981608202240")</f>
        <v>0</v>
      </c>
      <c r="B109" s="2">
        <v>42705.7401041667</v>
      </c>
      <c r="C109">
        <v>0</v>
      </c>
      <c r="D109">
        <v>3</v>
      </c>
      <c r="E109" t="s">
        <v>100</v>
      </c>
    </row>
    <row r="110" spans="1:5">
      <c r="A110">
        <f>HYPERLINK("http://www.twitter.com/FDNY/status/804366425305579520", "804366425305579520")</f>
        <v>0</v>
      </c>
      <c r="B110" s="2">
        <v>42705.6999305556</v>
      </c>
      <c r="C110">
        <v>11</v>
      </c>
      <c r="D110">
        <v>4</v>
      </c>
      <c r="E110" t="s">
        <v>101</v>
      </c>
    </row>
    <row r="111" spans="1:5">
      <c r="A111">
        <f>HYPERLINK("http://www.twitter.com/FDNY/status/804364042345336832", "804364042345336832")</f>
        <v>0</v>
      </c>
      <c r="B111" s="2">
        <v>42705.6933564815</v>
      </c>
      <c r="C111">
        <v>27</v>
      </c>
      <c r="D111">
        <v>9</v>
      </c>
      <c r="E111" t="s">
        <v>102</v>
      </c>
    </row>
    <row r="112" spans="1:5">
      <c r="A112">
        <f>HYPERLINK("http://www.twitter.com/FDNY/status/804363541310570497", "804363541310570497")</f>
        <v>0</v>
      </c>
      <c r="B112" s="2">
        <v>42705.6919791667</v>
      </c>
      <c r="C112">
        <v>28</v>
      </c>
      <c r="D112">
        <v>7</v>
      </c>
      <c r="E112" t="s">
        <v>103</v>
      </c>
    </row>
    <row r="113" spans="1:5">
      <c r="A113">
        <f>HYPERLINK("http://www.twitter.com/FDNY/status/804363130671337472", "804363130671337472")</f>
        <v>0</v>
      </c>
      <c r="B113" s="2">
        <v>42705.6908449074</v>
      </c>
      <c r="C113">
        <v>27</v>
      </c>
      <c r="D113">
        <v>11</v>
      </c>
      <c r="E113" t="s">
        <v>104</v>
      </c>
    </row>
    <row r="114" spans="1:5">
      <c r="A114">
        <f>HYPERLINK("http://www.twitter.com/FDNY/status/804362846205263874", "804362846205263874")</f>
        <v>0</v>
      </c>
      <c r="B114" s="2">
        <v>42705.6900578704</v>
      </c>
      <c r="C114">
        <v>26</v>
      </c>
      <c r="D114">
        <v>8</v>
      </c>
      <c r="E114" t="s">
        <v>105</v>
      </c>
    </row>
    <row r="115" spans="1:5">
      <c r="A115">
        <f>HYPERLINK("http://www.twitter.com/FDNY/status/804362645176455168", "804362645176455168")</f>
        <v>0</v>
      </c>
      <c r="B115" s="2">
        <v>42705.6895023148</v>
      </c>
      <c r="C115">
        <v>23</v>
      </c>
      <c r="D115">
        <v>6</v>
      </c>
      <c r="E115" t="s">
        <v>106</v>
      </c>
    </row>
    <row r="116" spans="1:5">
      <c r="A116">
        <f>HYPERLINK("http://www.twitter.com/FDNY/status/804361968010268672", "804361968010268672")</f>
        <v>0</v>
      </c>
      <c r="B116" s="2">
        <v>42705.6876388889</v>
      </c>
      <c r="C116">
        <v>18</v>
      </c>
      <c r="D116">
        <v>5</v>
      </c>
      <c r="E116" t="s">
        <v>107</v>
      </c>
    </row>
    <row r="117" spans="1:5">
      <c r="A117">
        <f>HYPERLINK("http://www.twitter.com/FDNY/status/804361509979688960", "804361509979688960")</f>
        <v>0</v>
      </c>
      <c r="B117" s="2">
        <v>42705.6863657407</v>
      </c>
      <c r="C117">
        <v>6</v>
      </c>
      <c r="D117">
        <v>5</v>
      </c>
      <c r="E117" t="s">
        <v>108</v>
      </c>
    </row>
    <row r="118" spans="1:5">
      <c r="A118">
        <f>HYPERLINK("http://www.twitter.com/FDNY/status/804339582816911364", "804339582816911364")</f>
        <v>0</v>
      </c>
      <c r="B118" s="2">
        <v>42705.6258680556</v>
      </c>
      <c r="C118">
        <v>27</v>
      </c>
      <c r="D118">
        <v>6</v>
      </c>
      <c r="E118" t="s">
        <v>109</v>
      </c>
    </row>
    <row r="119" spans="1:5">
      <c r="A119">
        <f>HYPERLINK("http://www.twitter.com/FDNY/status/804161986242183168", "804161986242183168")</f>
        <v>0</v>
      </c>
      <c r="B119" s="2">
        <v>42705.135787037</v>
      </c>
      <c r="C119">
        <v>0</v>
      </c>
      <c r="D119">
        <v>11</v>
      </c>
      <c r="E119" t="s">
        <v>110</v>
      </c>
    </row>
    <row r="120" spans="1:5">
      <c r="A120">
        <f>HYPERLINK("http://www.twitter.com/FDNY/status/804099067596984324", "804099067596984324")</f>
        <v>0</v>
      </c>
      <c r="B120" s="2">
        <v>42704.9621643519</v>
      </c>
      <c r="C120">
        <v>44</v>
      </c>
      <c r="D120">
        <v>8</v>
      </c>
      <c r="E120" t="s">
        <v>111</v>
      </c>
    </row>
    <row r="121" spans="1:5">
      <c r="A121">
        <f>HYPERLINK("http://www.twitter.com/FDNY/status/804067446474870788", "804067446474870788")</f>
        <v>0</v>
      </c>
      <c r="B121" s="2">
        <v>42704.8749074074</v>
      </c>
      <c r="C121">
        <v>0</v>
      </c>
      <c r="D121">
        <v>20</v>
      </c>
      <c r="E121" t="s">
        <v>112</v>
      </c>
    </row>
    <row r="122" spans="1:5">
      <c r="A122">
        <f>HYPERLINK("http://www.twitter.com/FDNY/status/804067366514675717", "804067366514675717")</f>
        <v>0</v>
      </c>
      <c r="B122" s="2">
        <v>42704.8746875</v>
      </c>
      <c r="C122">
        <v>0</v>
      </c>
      <c r="D122">
        <v>34</v>
      </c>
      <c r="E122" t="s">
        <v>113</v>
      </c>
    </row>
    <row r="123" spans="1:5">
      <c r="A123">
        <f>HYPERLINK("http://www.twitter.com/FDNY/status/804064154378178560", "804064154378178560")</f>
        <v>0</v>
      </c>
      <c r="B123" s="2">
        <v>42704.8658217593</v>
      </c>
      <c r="C123">
        <v>0</v>
      </c>
      <c r="D123">
        <v>2</v>
      </c>
      <c r="E123" t="s">
        <v>114</v>
      </c>
    </row>
    <row r="124" spans="1:5">
      <c r="A124">
        <f>HYPERLINK("http://www.twitter.com/FDNY/status/804041965469835264", "804041965469835264")</f>
        <v>0</v>
      </c>
      <c r="B124" s="2">
        <v>42704.8045949074</v>
      </c>
      <c r="C124">
        <v>0</v>
      </c>
      <c r="D124">
        <v>9</v>
      </c>
      <c r="E124" t="s">
        <v>115</v>
      </c>
    </row>
    <row r="125" spans="1:5">
      <c r="A125">
        <f>HYPERLINK("http://www.twitter.com/FDNY/status/804041789372059648", "804041789372059648")</f>
        <v>0</v>
      </c>
      <c r="B125" s="2">
        <v>42704.8041087963</v>
      </c>
      <c r="C125">
        <v>0</v>
      </c>
      <c r="D125">
        <v>8</v>
      </c>
      <c r="E125" t="s">
        <v>116</v>
      </c>
    </row>
    <row r="126" spans="1:5">
      <c r="A126">
        <f>HYPERLINK("http://www.twitter.com/FDNY/status/804037251659399168", "804037251659399168")</f>
        <v>0</v>
      </c>
      <c r="B126" s="2">
        <v>42704.7915856481</v>
      </c>
      <c r="C126">
        <v>13</v>
      </c>
      <c r="D126">
        <v>8</v>
      </c>
      <c r="E126" t="s">
        <v>117</v>
      </c>
    </row>
    <row r="127" spans="1:5">
      <c r="A127">
        <f>HYPERLINK("http://www.twitter.com/FDNY/status/804035647828873217", "804035647828873217")</f>
        <v>0</v>
      </c>
      <c r="B127" s="2">
        <v>42704.7871643519</v>
      </c>
      <c r="C127">
        <v>16</v>
      </c>
      <c r="D127">
        <v>7</v>
      </c>
      <c r="E127" t="s">
        <v>118</v>
      </c>
    </row>
    <row r="128" spans="1:5">
      <c r="A128">
        <f>HYPERLINK("http://www.twitter.com/FDNY/status/804035283297665025", "804035283297665025")</f>
        <v>0</v>
      </c>
      <c r="B128" s="2">
        <v>42704.7861574074</v>
      </c>
      <c r="C128">
        <v>35</v>
      </c>
      <c r="D128">
        <v>5</v>
      </c>
      <c r="E128" t="s">
        <v>119</v>
      </c>
    </row>
    <row r="129" spans="1:5">
      <c r="A129">
        <f>HYPERLINK("http://www.twitter.com/FDNY/status/804035079563575306", "804035079563575306")</f>
        <v>0</v>
      </c>
      <c r="B129" s="2">
        <v>42704.7855902778</v>
      </c>
      <c r="C129">
        <v>11</v>
      </c>
      <c r="D129">
        <v>2</v>
      </c>
      <c r="E129" t="s">
        <v>120</v>
      </c>
    </row>
    <row r="130" spans="1:5">
      <c r="A130">
        <f>HYPERLINK("http://www.twitter.com/FDNY/status/804033735834370048", "804033735834370048")</f>
        <v>0</v>
      </c>
      <c r="B130" s="2">
        <v>42704.7818865741</v>
      </c>
      <c r="C130">
        <v>12</v>
      </c>
      <c r="D130">
        <v>2</v>
      </c>
      <c r="E130" t="s">
        <v>121</v>
      </c>
    </row>
    <row r="131" spans="1:5">
      <c r="A131">
        <f>HYPERLINK("http://www.twitter.com/FDNY/status/804033400281694210", "804033400281694210")</f>
        <v>0</v>
      </c>
      <c r="B131" s="2">
        <v>42704.7809606481</v>
      </c>
      <c r="C131">
        <v>13</v>
      </c>
      <c r="D131">
        <v>5</v>
      </c>
      <c r="E131" t="s">
        <v>122</v>
      </c>
    </row>
    <row r="132" spans="1:5">
      <c r="A132">
        <f>HYPERLINK("http://www.twitter.com/FDNY/status/803997764233392133", "803997764233392133")</f>
        <v>0</v>
      </c>
      <c r="B132" s="2">
        <v>42704.6826273148</v>
      </c>
      <c r="C132">
        <v>17</v>
      </c>
      <c r="D132">
        <v>4</v>
      </c>
      <c r="E132" t="s">
        <v>123</v>
      </c>
    </row>
    <row r="133" spans="1:5">
      <c r="A133">
        <f>HYPERLINK("http://www.twitter.com/FDNY/status/803996287528042496", "803996287528042496")</f>
        <v>0</v>
      </c>
      <c r="B133" s="2">
        <v>42704.6785532407</v>
      </c>
      <c r="C133">
        <v>13</v>
      </c>
      <c r="D133">
        <v>5</v>
      </c>
      <c r="E133" t="s">
        <v>124</v>
      </c>
    </row>
    <row r="134" spans="1:5">
      <c r="A134">
        <f>HYPERLINK("http://www.twitter.com/FDNY/status/803996155378106369", "803996155378106369")</f>
        <v>0</v>
      </c>
      <c r="B134" s="2">
        <v>42704.6781828704</v>
      </c>
      <c r="C134">
        <v>30</v>
      </c>
      <c r="D134">
        <v>14</v>
      </c>
      <c r="E134" t="s">
        <v>125</v>
      </c>
    </row>
    <row r="135" spans="1:5">
      <c r="A135">
        <f>HYPERLINK("http://www.twitter.com/FDNY/status/803990792331202560", "803990792331202560")</f>
        <v>0</v>
      </c>
      <c r="B135" s="2">
        <v>42704.6633796296</v>
      </c>
      <c r="C135">
        <v>12</v>
      </c>
      <c r="D135">
        <v>4</v>
      </c>
      <c r="E135" t="s">
        <v>126</v>
      </c>
    </row>
    <row r="136" spans="1:5">
      <c r="A136">
        <f>HYPERLINK("http://www.twitter.com/FDNY/status/803977807680442368", "803977807680442368")</f>
        <v>0</v>
      </c>
      <c r="B136" s="2">
        <v>42704.6275578704</v>
      </c>
      <c r="C136">
        <v>0</v>
      </c>
      <c r="D136">
        <v>4</v>
      </c>
      <c r="E136" t="s">
        <v>127</v>
      </c>
    </row>
    <row r="137" spans="1:5">
      <c r="A137">
        <f>HYPERLINK("http://www.twitter.com/FDNY/status/803975686453133313", "803975686453133313")</f>
        <v>0</v>
      </c>
      <c r="B137" s="2">
        <v>42704.6217013889</v>
      </c>
      <c r="C137">
        <v>15</v>
      </c>
      <c r="D137">
        <v>12</v>
      </c>
      <c r="E137" t="s">
        <v>128</v>
      </c>
    </row>
    <row r="138" spans="1:5">
      <c r="A138">
        <f>HYPERLINK("http://www.twitter.com/FDNY/status/803782540683313152", "803782540683313152")</f>
        <v>0</v>
      </c>
      <c r="B138" s="2">
        <v>42704.0887152778</v>
      </c>
      <c r="C138">
        <v>0</v>
      </c>
      <c r="D138">
        <v>4</v>
      </c>
      <c r="E138" t="s">
        <v>129</v>
      </c>
    </row>
    <row r="139" spans="1:5">
      <c r="A139">
        <f>HYPERLINK("http://www.twitter.com/FDNY/status/803782453643149312", "803782453643149312")</f>
        <v>0</v>
      </c>
      <c r="B139" s="2">
        <v>42704.0884837963</v>
      </c>
      <c r="C139">
        <v>50</v>
      </c>
      <c r="D139">
        <v>15</v>
      </c>
      <c r="E139" t="s">
        <v>130</v>
      </c>
    </row>
    <row r="140" spans="1:5">
      <c r="A140">
        <f>HYPERLINK("http://www.twitter.com/FDNY/status/803726860043558913", "803726860043558913")</f>
        <v>0</v>
      </c>
      <c r="B140" s="2">
        <v>42703.9350694444</v>
      </c>
      <c r="C140">
        <v>0</v>
      </c>
      <c r="D140">
        <v>7</v>
      </c>
      <c r="E140" t="s">
        <v>131</v>
      </c>
    </row>
    <row r="141" spans="1:5">
      <c r="A141">
        <f>HYPERLINK("http://www.twitter.com/FDNY/status/803726138014986240", "803726138014986240")</f>
        <v>0</v>
      </c>
      <c r="B141" s="2">
        <v>42703.9330787037</v>
      </c>
      <c r="C141">
        <v>0</v>
      </c>
      <c r="D141">
        <v>16</v>
      </c>
      <c r="E141" t="s">
        <v>132</v>
      </c>
    </row>
    <row r="142" spans="1:5">
      <c r="A142">
        <f>HYPERLINK("http://www.twitter.com/FDNY/status/803708045758959616", "803708045758959616")</f>
        <v>0</v>
      </c>
      <c r="B142" s="2">
        <v>42703.8831481481</v>
      </c>
      <c r="C142">
        <v>27</v>
      </c>
      <c r="D142">
        <v>12</v>
      </c>
      <c r="E142" t="s">
        <v>133</v>
      </c>
    </row>
    <row r="143" spans="1:5">
      <c r="A143">
        <f>HYPERLINK("http://www.twitter.com/FDNY/status/803706988580507648", "803706988580507648")</f>
        <v>0</v>
      </c>
      <c r="B143" s="2">
        <v>42703.8802314815</v>
      </c>
      <c r="C143">
        <v>0</v>
      </c>
      <c r="D143">
        <v>16</v>
      </c>
      <c r="E143" t="s">
        <v>134</v>
      </c>
    </row>
    <row r="144" spans="1:5">
      <c r="A144">
        <f>HYPERLINK("http://www.twitter.com/FDNY/status/803692235510325248", "803692235510325248")</f>
        <v>0</v>
      </c>
      <c r="B144" s="2">
        <v>42703.839525463</v>
      </c>
      <c r="C144">
        <v>0</v>
      </c>
      <c r="D144">
        <v>15</v>
      </c>
      <c r="E144" t="s">
        <v>135</v>
      </c>
    </row>
    <row r="145" spans="1:5">
      <c r="A145">
        <f>HYPERLINK("http://www.twitter.com/FDNY/status/803679444720156672", "803679444720156672")</f>
        <v>0</v>
      </c>
      <c r="B145" s="2">
        <v>42703.804224537</v>
      </c>
      <c r="C145">
        <v>0</v>
      </c>
      <c r="D145">
        <v>5</v>
      </c>
      <c r="E145" t="s">
        <v>136</v>
      </c>
    </row>
    <row r="146" spans="1:5">
      <c r="A146">
        <f>HYPERLINK("http://www.twitter.com/FDNY/status/803676183011487745", "803676183011487745")</f>
        <v>0</v>
      </c>
      <c r="B146" s="2">
        <v>42703.7952314815</v>
      </c>
      <c r="C146">
        <v>0</v>
      </c>
      <c r="D146">
        <v>2</v>
      </c>
      <c r="E146" t="s">
        <v>137</v>
      </c>
    </row>
    <row r="147" spans="1:5">
      <c r="A147">
        <f>HYPERLINK("http://www.twitter.com/FDNY/status/803659024411529216", "803659024411529216")</f>
        <v>0</v>
      </c>
      <c r="B147" s="2">
        <v>42703.7478819444</v>
      </c>
      <c r="C147">
        <v>17</v>
      </c>
      <c r="D147">
        <v>14</v>
      </c>
      <c r="E147" t="s">
        <v>138</v>
      </c>
    </row>
    <row r="148" spans="1:5">
      <c r="A148">
        <f>HYPERLINK("http://www.twitter.com/FDNY/status/803653917968048132", "803653917968048132")</f>
        <v>0</v>
      </c>
      <c r="B148" s="2">
        <v>42703.7337847222</v>
      </c>
      <c r="C148">
        <v>0</v>
      </c>
      <c r="D148">
        <v>8</v>
      </c>
      <c r="E148" t="s">
        <v>139</v>
      </c>
    </row>
    <row r="149" spans="1:5">
      <c r="A149">
        <f>HYPERLINK("http://www.twitter.com/FDNY/status/803653911567601664", "803653911567601664")</f>
        <v>0</v>
      </c>
      <c r="B149" s="2">
        <v>42703.7337731481</v>
      </c>
      <c r="C149">
        <v>0</v>
      </c>
      <c r="D149">
        <v>9</v>
      </c>
      <c r="E149" t="s">
        <v>140</v>
      </c>
    </row>
    <row r="150" spans="1:5">
      <c r="A150">
        <f>HYPERLINK("http://www.twitter.com/FDNY/status/803653902554042369", "803653902554042369")</f>
        <v>0</v>
      </c>
      <c r="B150" s="2">
        <v>42703.73375</v>
      </c>
      <c r="C150">
        <v>0</v>
      </c>
      <c r="D150">
        <v>7</v>
      </c>
      <c r="E150" t="s">
        <v>141</v>
      </c>
    </row>
    <row r="151" spans="1:5">
      <c r="A151">
        <f>HYPERLINK("http://www.twitter.com/FDNY/status/803653895616626688", "803653895616626688")</f>
        <v>0</v>
      </c>
      <c r="B151" s="2">
        <v>42703.7337268519</v>
      </c>
      <c r="C151">
        <v>0</v>
      </c>
      <c r="D151">
        <v>9</v>
      </c>
      <c r="E151" t="s">
        <v>142</v>
      </c>
    </row>
    <row r="152" spans="1:5">
      <c r="A152">
        <f>HYPERLINK("http://www.twitter.com/FDNY/status/803653882052218880", "803653882052218880")</f>
        <v>0</v>
      </c>
      <c r="B152" s="2">
        <v>42703.7336921296</v>
      </c>
      <c r="C152">
        <v>0</v>
      </c>
      <c r="D152">
        <v>10</v>
      </c>
      <c r="E152" t="s">
        <v>143</v>
      </c>
    </row>
    <row r="153" spans="1:5">
      <c r="A153">
        <f>HYPERLINK("http://www.twitter.com/FDNY/status/803653330123636736", "803653330123636736")</f>
        <v>0</v>
      </c>
      <c r="B153" s="2">
        <v>42703.7321643519</v>
      </c>
      <c r="C153">
        <v>0</v>
      </c>
      <c r="D153">
        <v>8</v>
      </c>
      <c r="E153" t="s">
        <v>144</v>
      </c>
    </row>
    <row r="154" spans="1:5">
      <c r="A154">
        <f>HYPERLINK("http://www.twitter.com/FDNY/status/803653317855326222", "803653317855326222")</f>
        <v>0</v>
      </c>
      <c r="B154" s="2">
        <v>42703.7321296296</v>
      </c>
      <c r="C154">
        <v>0</v>
      </c>
      <c r="D154">
        <v>5</v>
      </c>
      <c r="E154" t="s">
        <v>145</v>
      </c>
    </row>
    <row r="155" spans="1:5">
      <c r="A155">
        <f>HYPERLINK("http://www.twitter.com/FDNY/status/803653308661387265", "803653308661387265")</f>
        <v>0</v>
      </c>
      <c r="B155" s="2">
        <v>42703.7321064815</v>
      </c>
      <c r="C155">
        <v>0</v>
      </c>
      <c r="D155">
        <v>5</v>
      </c>
      <c r="E155" t="s">
        <v>146</v>
      </c>
    </row>
    <row r="156" spans="1:5">
      <c r="A156">
        <f>HYPERLINK("http://www.twitter.com/FDNY/status/803653298108514304", "803653298108514304")</f>
        <v>0</v>
      </c>
      <c r="B156" s="2">
        <v>42703.7320833333</v>
      </c>
      <c r="C156">
        <v>0</v>
      </c>
      <c r="D156">
        <v>4</v>
      </c>
      <c r="E156" t="s">
        <v>147</v>
      </c>
    </row>
    <row r="157" spans="1:5">
      <c r="A157">
        <f>HYPERLINK("http://www.twitter.com/FDNY/status/803653266181476352", "803653266181476352")</f>
        <v>0</v>
      </c>
      <c r="B157" s="2">
        <v>42703.7319907407</v>
      </c>
      <c r="C157">
        <v>0</v>
      </c>
      <c r="D157">
        <v>6</v>
      </c>
      <c r="E157" t="s">
        <v>148</v>
      </c>
    </row>
    <row r="158" spans="1:5">
      <c r="A158">
        <f>HYPERLINK("http://www.twitter.com/FDNY/status/803618339557736448", "803618339557736448")</f>
        <v>0</v>
      </c>
      <c r="B158" s="2">
        <v>42703.6356134259</v>
      </c>
      <c r="C158">
        <v>0</v>
      </c>
      <c r="D158">
        <v>6</v>
      </c>
      <c r="E158" t="s">
        <v>149</v>
      </c>
    </row>
    <row r="159" spans="1:5">
      <c r="A159">
        <f>HYPERLINK("http://www.twitter.com/FDNY/status/803612331129315328", "803612331129315328")</f>
        <v>0</v>
      </c>
      <c r="B159" s="2">
        <v>42703.6190277778</v>
      </c>
      <c r="C159">
        <v>0</v>
      </c>
      <c r="D159">
        <v>17</v>
      </c>
      <c r="E159" t="s">
        <v>150</v>
      </c>
    </row>
    <row r="160" spans="1:5">
      <c r="A160">
        <f>HYPERLINK("http://www.twitter.com/FDNY/status/803334368110460929", "803334368110460929")</f>
        <v>0</v>
      </c>
      <c r="B160" s="2">
        <v>42702.8520023148</v>
      </c>
      <c r="C160">
        <v>102</v>
      </c>
      <c r="D160">
        <v>35</v>
      </c>
      <c r="E160" t="s">
        <v>151</v>
      </c>
    </row>
    <row r="161" spans="1:5">
      <c r="A161">
        <f>HYPERLINK("http://www.twitter.com/FDNY/status/803322684981608448", "803322684981608448")</f>
        <v>0</v>
      </c>
      <c r="B161" s="2">
        <v>42702.8197569444</v>
      </c>
      <c r="C161">
        <v>104</v>
      </c>
      <c r="D161">
        <v>34</v>
      </c>
      <c r="E161" t="s">
        <v>152</v>
      </c>
    </row>
    <row r="162" spans="1:5">
      <c r="A162">
        <f>HYPERLINK("http://www.twitter.com/FDNY/status/803300860251893760", "803300860251893760")</f>
        <v>0</v>
      </c>
      <c r="B162" s="2">
        <v>42702.759537037</v>
      </c>
      <c r="C162">
        <v>0</v>
      </c>
      <c r="D162">
        <v>6</v>
      </c>
      <c r="E162" t="s">
        <v>153</v>
      </c>
    </row>
    <row r="163" spans="1:5">
      <c r="A163">
        <f>HYPERLINK("http://www.twitter.com/FDNY/status/803275145334947840", "803275145334947840")</f>
        <v>0</v>
      </c>
      <c r="B163" s="2">
        <v>42702.6885763889</v>
      </c>
      <c r="C163">
        <v>0</v>
      </c>
      <c r="D163">
        <v>5</v>
      </c>
      <c r="E163" t="s">
        <v>154</v>
      </c>
    </row>
    <row r="164" spans="1:5">
      <c r="A164">
        <f>HYPERLINK("http://www.twitter.com/FDNY/status/803270165420969984", "803270165420969984")</f>
        <v>0</v>
      </c>
      <c r="B164" s="2">
        <v>42702.674837963</v>
      </c>
      <c r="C164">
        <v>0</v>
      </c>
      <c r="D164">
        <v>5</v>
      </c>
      <c r="E164" t="s">
        <v>155</v>
      </c>
    </row>
    <row r="165" spans="1:5">
      <c r="A165">
        <f>HYPERLINK("http://www.twitter.com/FDNY/status/803249679446183936", "803249679446183936")</f>
        <v>0</v>
      </c>
      <c r="B165" s="2">
        <v>42702.6182986111</v>
      </c>
      <c r="C165">
        <v>15</v>
      </c>
      <c r="D165">
        <v>11</v>
      </c>
      <c r="E165" t="s">
        <v>156</v>
      </c>
    </row>
    <row r="166" spans="1:5">
      <c r="A166">
        <f>HYPERLINK("http://www.twitter.com/FDNY/status/802928779324694529", "802928779324694529")</f>
        <v>0</v>
      </c>
      <c r="B166" s="2">
        <v>42701.7327893519</v>
      </c>
      <c r="C166">
        <v>14</v>
      </c>
      <c r="D166">
        <v>5</v>
      </c>
      <c r="E166" t="s">
        <v>157</v>
      </c>
    </row>
    <row r="167" spans="1:5">
      <c r="A167">
        <f>HYPERLINK("http://www.twitter.com/FDNY/status/802566389676515330", "802566389676515330")</f>
        <v>0</v>
      </c>
      <c r="B167" s="2">
        <v>42700.7327777778</v>
      </c>
      <c r="C167">
        <v>18</v>
      </c>
      <c r="D167">
        <v>10</v>
      </c>
      <c r="E167" t="s">
        <v>158</v>
      </c>
    </row>
    <row r="168" spans="1:5">
      <c r="A168">
        <f>HYPERLINK("http://www.twitter.com/FDNY/status/802390521989791744", "802390521989791744")</f>
        <v>0</v>
      </c>
      <c r="B168" s="2">
        <v>42700.2474768519</v>
      </c>
      <c r="C168">
        <v>0</v>
      </c>
      <c r="D168">
        <v>8</v>
      </c>
      <c r="E168" t="s">
        <v>159</v>
      </c>
    </row>
    <row r="169" spans="1:5">
      <c r="A169">
        <f>HYPERLINK("http://www.twitter.com/FDNY/status/802313487313674241", "802313487313674241")</f>
        <v>0</v>
      </c>
      <c r="B169" s="2">
        <v>42700.0349074074</v>
      </c>
      <c r="C169">
        <v>0</v>
      </c>
      <c r="D169">
        <v>3</v>
      </c>
      <c r="E169" t="s">
        <v>160</v>
      </c>
    </row>
    <row r="170" spans="1:5">
      <c r="A170">
        <f>HYPERLINK("http://www.twitter.com/FDNY/status/802261530528088064", "802261530528088064")</f>
        <v>0</v>
      </c>
      <c r="B170" s="2">
        <v>42699.8915277778</v>
      </c>
      <c r="C170">
        <v>96</v>
      </c>
      <c r="D170">
        <v>25</v>
      </c>
      <c r="E170" t="s">
        <v>161</v>
      </c>
    </row>
    <row r="171" spans="1:5">
      <c r="A171">
        <f>HYPERLINK("http://www.twitter.com/FDNY/status/802248354822496256", "802248354822496256")</f>
        <v>0</v>
      </c>
      <c r="B171" s="2">
        <v>42699.8551736111</v>
      </c>
      <c r="C171">
        <v>29</v>
      </c>
      <c r="D171">
        <v>8</v>
      </c>
      <c r="E171" t="s">
        <v>162</v>
      </c>
    </row>
    <row r="172" spans="1:5">
      <c r="A172">
        <f>HYPERLINK("http://www.twitter.com/FDNY/status/801961231624130564", "801961231624130564")</f>
        <v>0</v>
      </c>
      <c r="B172" s="2">
        <v>42699.0628587963</v>
      </c>
      <c r="C172">
        <v>34</v>
      </c>
      <c r="D172">
        <v>19</v>
      </c>
      <c r="E172" t="s">
        <v>163</v>
      </c>
    </row>
    <row r="173" spans="1:5">
      <c r="A173">
        <f>HYPERLINK("http://www.twitter.com/FDNY/status/801909568062230531", "801909568062230531")</f>
        <v>0</v>
      </c>
      <c r="B173" s="2">
        <v>42698.9203009259</v>
      </c>
      <c r="C173">
        <v>14</v>
      </c>
      <c r="D173">
        <v>18</v>
      </c>
      <c r="E173" t="s">
        <v>164</v>
      </c>
    </row>
    <row r="174" spans="1:5">
      <c r="A174">
        <f>HYPERLINK("http://www.twitter.com/FDNY/status/801885827232055299", "801885827232055299")</f>
        <v>0</v>
      </c>
      <c r="B174" s="2">
        <v>42698.8547916667</v>
      </c>
      <c r="C174">
        <v>24</v>
      </c>
      <c r="D174">
        <v>15</v>
      </c>
      <c r="E174" t="s">
        <v>165</v>
      </c>
    </row>
    <row r="175" spans="1:5">
      <c r="A175">
        <f>HYPERLINK("http://www.twitter.com/FDNY/status/801878439699615744", "801878439699615744")</f>
        <v>0</v>
      </c>
      <c r="B175" s="2">
        <v>42698.8343981481</v>
      </c>
      <c r="C175">
        <v>35</v>
      </c>
      <c r="D175">
        <v>14</v>
      </c>
      <c r="E175" t="s">
        <v>166</v>
      </c>
    </row>
    <row r="176" spans="1:5">
      <c r="A176">
        <f>HYPERLINK("http://www.twitter.com/FDNY/status/801866309097111553", "801866309097111553")</f>
        <v>0</v>
      </c>
      <c r="B176" s="2">
        <v>42698.8009259259</v>
      </c>
      <c r="C176">
        <v>0</v>
      </c>
      <c r="D176">
        <v>9</v>
      </c>
      <c r="E176" t="s">
        <v>167</v>
      </c>
    </row>
    <row r="177" spans="1:5">
      <c r="A177">
        <f>HYPERLINK("http://www.twitter.com/FDNY/status/801840599892692992", "801840599892692992")</f>
        <v>0</v>
      </c>
      <c r="B177" s="2">
        <v>42698.7299884259</v>
      </c>
      <c r="C177">
        <v>21</v>
      </c>
      <c r="D177">
        <v>18</v>
      </c>
      <c r="E177" t="s">
        <v>168</v>
      </c>
    </row>
    <row r="178" spans="1:5">
      <c r="A178">
        <f>HYPERLINK("http://www.twitter.com/FDNY/status/801819126532546561", "801819126532546561")</f>
        <v>0</v>
      </c>
      <c r="B178" s="2">
        <v>42698.6707291667</v>
      </c>
      <c r="C178">
        <v>0</v>
      </c>
      <c r="D178">
        <v>8</v>
      </c>
      <c r="E178" t="s">
        <v>169</v>
      </c>
    </row>
    <row r="179" spans="1:5">
      <c r="A179">
        <f>HYPERLINK("http://www.twitter.com/FDNY/status/801789958646329344", "801789958646329344")</f>
        <v>0</v>
      </c>
      <c r="B179" s="2">
        <v>42698.5902430556</v>
      </c>
      <c r="C179">
        <v>0</v>
      </c>
      <c r="D179">
        <v>7</v>
      </c>
      <c r="E179" t="s">
        <v>170</v>
      </c>
    </row>
    <row r="180" spans="1:5">
      <c r="A180">
        <f>HYPERLINK("http://www.twitter.com/FDNY/status/801787961817833472", "801787961817833472")</f>
        <v>0</v>
      </c>
      <c r="B180" s="2">
        <v>42698.5847337963</v>
      </c>
      <c r="C180">
        <v>57</v>
      </c>
      <c r="D180">
        <v>13</v>
      </c>
      <c r="E180" t="s">
        <v>171</v>
      </c>
    </row>
    <row r="181" spans="1:5">
      <c r="A181">
        <f>HYPERLINK("http://www.twitter.com/FDNY/status/801639133609426944", "801639133609426944")</f>
        <v>0</v>
      </c>
      <c r="B181" s="2">
        <v>42698.1740393518</v>
      </c>
      <c r="C181">
        <v>0</v>
      </c>
      <c r="D181">
        <v>9</v>
      </c>
      <c r="E181" t="s">
        <v>172</v>
      </c>
    </row>
    <row r="182" spans="1:5">
      <c r="A182">
        <f>HYPERLINK("http://www.twitter.com/FDNY/status/801639040260915206", "801639040260915206")</f>
        <v>0</v>
      </c>
      <c r="B182" s="2">
        <v>42698.1737847222</v>
      </c>
      <c r="C182">
        <v>0</v>
      </c>
      <c r="D182">
        <v>21</v>
      </c>
      <c r="E182" t="s">
        <v>173</v>
      </c>
    </row>
    <row r="183" spans="1:5">
      <c r="A183">
        <f>HYPERLINK("http://www.twitter.com/FDNY/status/801638947038359552", "801638947038359552")</f>
        <v>0</v>
      </c>
      <c r="B183" s="2">
        <v>42698.1735300926</v>
      </c>
      <c r="C183">
        <v>0</v>
      </c>
      <c r="D183">
        <v>6</v>
      </c>
      <c r="E183" t="s">
        <v>174</v>
      </c>
    </row>
    <row r="184" spans="1:5">
      <c r="A184">
        <f>HYPERLINK("http://www.twitter.com/FDNY/status/801638940335816705", "801638940335816705")</f>
        <v>0</v>
      </c>
      <c r="B184" s="2">
        <v>42698.1735069444</v>
      </c>
      <c r="C184">
        <v>0</v>
      </c>
      <c r="D184">
        <v>5</v>
      </c>
      <c r="E184" t="s">
        <v>175</v>
      </c>
    </row>
    <row r="185" spans="1:5">
      <c r="A185">
        <f>HYPERLINK("http://www.twitter.com/FDNY/status/801638925685194752", "801638925685194752")</f>
        <v>0</v>
      </c>
      <c r="B185" s="2">
        <v>42698.1734722222</v>
      </c>
      <c r="C185">
        <v>0</v>
      </c>
      <c r="D185">
        <v>2</v>
      </c>
      <c r="E185" t="s">
        <v>176</v>
      </c>
    </row>
    <row r="186" spans="1:5">
      <c r="A186">
        <f>HYPERLINK("http://www.twitter.com/FDNY/status/801544678529175553", "801544678529175553")</f>
        <v>0</v>
      </c>
      <c r="B186" s="2">
        <v>42697.9133912037</v>
      </c>
      <c r="C186">
        <v>14</v>
      </c>
      <c r="D186">
        <v>9</v>
      </c>
      <c r="E186" t="s">
        <v>177</v>
      </c>
    </row>
    <row r="187" spans="1:5">
      <c r="A187">
        <f>HYPERLINK("http://www.twitter.com/FDNY/status/801539860377042944", "801539860377042944")</f>
        <v>0</v>
      </c>
      <c r="B187" s="2">
        <v>42697.9001041667</v>
      </c>
      <c r="C187">
        <v>42</v>
      </c>
      <c r="D187">
        <v>12</v>
      </c>
      <c r="E187" t="s">
        <v>178</v>
      </c>
    </row>
    <row r="188" spans="1:5">
      <c r="A188">
        <f>HYPERLINK("http://www.twitter.com/FDNY/status/801534646215462912", "801534646215462912")</f>
        <v>0</v>
      </c>
      <c r="B188" s="2">
        <v>42697.8857175926</v>
      </c>
      <c r="C188">
        <v>15</v>
      </c>
      <c r="D188">
        <v>28</v>
      </c>
      <c r="E188" t="s">
        <v>179</v>
      </c>
    </row>
    <row r="189" spans="1:5">
      <c r="A189">
        <f>HYPERLINK("http://www.twitter.com/FDNY/status/801528164245716992", "801528164245716992")</f>
        <v>0</v>
      </c>
      <c r="B189" s="2">
        <v>42697.8678240741</v>
      </c>
      <c r="C189">
        <v>0</v>
      </c>
      <c r="D189">
        <v>3</v>
      </c>
      <c r="E189" t="s">
        <v>180</v>
      </c>
    </row>
    <row r="190" spans="1:5">
      <c r="A190">
        <f>HYPERLINK("http://www.twitter.com/FDNY/status/801523462800031744", "801523462800031744")</f>
        <v>0</v>
      </c>
      <c r="B190" s="2">
        <v>42697.854849537</v>
      </c>
      <c r="C190">
        <v>14</v>
      </c>
      <c r="D190">
        <v>10</v>
      </c>
      <c r="E190" t="s">
        <v>181</v>
      </c>
    </row>
    <row r="191" spans="1:5">
      <c r="A191">
        <f>HYPERLINK("http://www.twitter.com/FDNY/status/801494925196066817", "801494925196066817")</f>
        <v>0</v>
      </c>
      <c r="B191" s="2">
        <v>42697.776099537</v>
      </c>
      <c r="C191">
        <v>37</v>
      </c>
      <c r="D191">
        <v>17</v>
      </c>
      <c r="E191" t="s">
        <v>182</v>
      </c>
    </row>
    <row r="192" spans="1:5">
      <c r="A192">
        <f>HYPERLINK("http://www.twitter.com/FDNY/status/801494197954084870", "801494197954084870")</f>
        <v>0</v>
      </c>
      <c r="B192" s="2">
        <v>42697.7740972222</v>
      </c>
      <c r="C192">
        <v>0</v>
      </c>
      <c r="D192">
        <v>2</v>
      </c>
      <c r="E192" t="s">
        <v>183</v>
      </c>
    </row>
    <row r="193" spans="1:5">
      <c r="A193">
        <f>HYPERLINK("http://www.twitter.com/FDNY/status/801494164668088326", "801494164668088326")</f>
        <v>0</v>
      </c>
      <c r="B193" s="2">
        <v>42697.7740046296</v>
      </c>
      <c r="C193">
        <v>0</v>
      </c>
      <c r="D193">
        <v>11</v>
      </c>
      <c r="E193" t="s">
        <v>184</v>
      </c>
    </row>
    <row r="194" spans="1:5">
      <c r="A194">
        <f>HYPERLINK("http://www.twitter.com/FDNY/status/801490618308591616", "801490618308591616")</f>
        <v>0</v>
      </c>
      <c r="B194" s="2">
        <v>42697.764224537</v>
      </c>
      <c r="C194">
        <v>9</v>
      </c>
      <c r="D194">
        <v>10</v>
      </c>
      <c r="E194" t="s">
        <v>185</v>
      </c>
    </row>
    <row r="195" spans="1:5">
      <c r="A195">
        <f>HYPERLINK("http://www.twitter.com/FDNY/status/801445322505515008", "801445322505515008")</f>
        <v>0</v>
      </c>
      <c r="B195" s="2">
        <v>42697.639224537</v>
      </c>
      <c r="C195">
        <v>10</v>
      </c>
      <c r="D195">
        <v>11</v>
      </c>
      <c r="E195" t="s">
        <v>186</v>
      </c>
    </row>
    <row r="196" spans="1:5">
      <c r="A196">
        <f>HYPERLINK("http://www.twitter.com/FDNY/status/801427699608731649", "801427699608731649")</f>
        <v>0</v>
      </c>
      <c r="B196" s="2">
        <v>42697.5906018519</v>
      </c>
      <c r="C196">
        <v>5</v>
      </c>
      <c r="D196">
        <v>5</v>
      </c>
      <c r="E196" t="s">
        <v>187</v>
      </c>
    </row>
    <row r="197" spans="1:5">
      <c r="A197">
        <f>HYPERLINK("http://www.twitter.com/FDNY/status/801420123940777989", "801420123940777989")</f>
        <v>0</v>
      </c>
      <c r="B197" s="2">
        <v>42697.5696875</v>
      </c>
      <c r="C197">
        <v>5</v>
      </c>
      <c r="D197">
        <v>3</v>
      </c>
      <c r="E197" t="s">
        <v>188</v>
      </c>
    </row>
    <row r="198" spans="1:5">
      <c r="A198">
        <f>HYPERLINK("http://www.twitter.com/FDNY/status/801411678214754304", "801411678214754304")</f>
        <v>0</v>
      </c>
      <c r="B198" s="2">
        <v>42697.5463888889</v>
      </c>
      <c r="C198">
        <v>0</v>
      </c>
      <c r="D198">
        <v>8</v>
      </c>
      <c r="E198" t="s">
        <v>189</v>
      </c>
    </row>
    <row r="199" spans="1:5">
      <c r="A199">
        <f>HYPERLINK("http://www.twitter.com/FDNY/status/801411653921308673", "801411653921308673")</f>
        <v>0</v>
      </c>
      <c r="B199" s="2">
        <v>42697.5463194444</v>
      </c>
      <c r="C199">
        <v>0</v>
      </c>
      <c r="D199">
        <v>7</v>
      </c>
      <c r="E199" t="s">
        <v>190</v>
      </c>
    </row>
    <row r="200" spans="1:5">
      <c r="A200">
        <f>HYPERLINK("http://www.twitter.com/FDNY/status/801411314895753216", "801411314895753216")</f>
        <v>0</v>
      </c>
      <c r="B200" s="2">
        <v>42697.5453819444</v>
      </c>
      <c r="C200">
        <v>6</v>
      </c>
      <c r="D200">
        <v>3</v>
      </c>
      <c r="E200" t="s">
        <v>191</v>
      </c>
    </row>
    <row r="201" spans="1:5">
      <c r="A201">
        <f>HYPERLINK("http://www.twitter.com/FDNY/status/801213408750211072", "801213408750211072")</f>
        <v>0</v>
      </c>
      <c r="B201" s="2">
        <v>42696.9992708333</v>
      </c>
      <c r="C201">
        <v>0</v>
      </c>
      <c r="D201">
        <v>11</v>
      </c>
      <c r="E201" t="s">
        <v>192</v>
      </c>
    </row>
    <row r="202" spans="1:5">
      <c r="A202">
        <f>HYPERLINK("http://www.twitter.com/FDNY/status/801165993892528134", "801165993892528134")</f>
        <v>0</v>
      </c>
      <c r="B202" s="2">
        <v>42696.8684259259</v>
      </c>
      <c r="C202">
        <v>0</v>
      </c>
      <c r="D202">
        <v>10</v>
      </c>
      <c r="E202" t="s">
        <v>193</v>
      </c>
    </row>
    <row r="203" spans="1:5">
      <c r="A203">
        <f>HYPERLINK("http://www.twitter.com/FDNY/status/801165934522171392", "801165934522171392")</f>
        <v>0</v>
      </c>
      <c r="B203" s="2">
        <v>42696.8682638889</v>
      </c>
      <c r="C203">
        <v>0</v>
      </c>
      <c r="D203">
        <v>6</v>
      </c>
      <c r="E203" t="s">
        <v>194</v>
      </c>
    </row>
    <row r="204" spans="1:5">
      <c r="A204">
        <f>HYPERLINK("http://www.twitter.com/FDNY/status/801132871662456832", "801132871662456832")</f>
        <v>0</v>
      </c>
      <c r="B204" s="2">
        <v>42696.777025463</v>
      </c>
      <c r="C204">
        <v>36</v>
      </c>
      <c r="D204">
        <v>15</v>
      </c>
      <c r="E204" t="s">
        <v>195</v>
      </c>
    </row>
    <row r="205" spans="1:5">
      <c r="A205">
        <f>HYPERLINK("http://www.twitter.com/FDNY/status/801127286015750144", "801127286015750144")</f>
        <v>0</v>
      </c>
      <c r="B205" s="2">
        <v>42696.7616087963</v>
      </c>
      <c r="C205">
        <v>17</v>
      </c>
      <c r="D205">
        <v>11</v>
      </c>
      <c r="E205" t="s">
        <v>196</v>
      </c>
    </row>
    <row r="206" spans="1:5">
      <c r="A206">
        <f>HYPERLINK("http://www.twitter.com/FDNY/status/801122274598211584", "801122274598211584")</f>
        <v>0</v>
      </c>
      <c r="B206" s="2">
        <v>42696.7477893519</v>
      </c>
      <c r="C206">
        <v>44</v>
      </c>
      <c r="D206">
        <v>38</v>
      </c>
      <c r="E206" t="s">
        <v>197</v>
      </c>
    </row>
    <row r="207" spans="1:5">
      <c r="A207">
        <f>HYPERLINK("http://www.twitter.com/FDNY/status/801118465369239560", "801118465369239560")</f>
        <v>0</v>
      </c>
      <c r="B207" s="2">
        <v>42696.7372685185</v>
      </c>
      <c r="C207">
        <v>1</v>
      </c>
      <c r="D207">
        <v>4</v>
      </c>
      <c r="E207" t="s">
        <v>198</v>
      </c>
    </row>
    <row r="208" spans="1:5">
      <c r="A208">
        <f>HYPERLINK("http://www.twitter.com/FDNY/status/801118415868063744", "801118415868063744")</f>
        <v>0</v>
      </c>
      <c r="B208" s="2">
        <v>42696.7371412037</v>
      </c>
      <c r="C208">
        <v>5</v>
      </c>
      <c r="D208">
        <v>1</v>
      </c>
      <c r="E208" t="s">
        <v>199</v>
      </c>
    </row>
    <row r="209" spans="1:5">
      <c r="A209">
        <f>HYPERLINK("http://www.twitter.com/FDNY/status/801115431184592896", "801115431184592896")</f>
        <v>0</v>
      </c>
      <c r="B209" s="2">
        <v>42696.728900463</v>
      </c>
      <c r="C209">
        <v>3</v>
      </c>
      <c r="D209">
        <v>2</v>
      </c>
      <c r="E209" t="s">
        <v>200</v>
      </c>
    </row>
    <row r="210" spans="1:5">
      <c r="A210">
        <f>HYPERLINK("http://www.twitter.com/FDNY/status/801108651440226308", "801108651440226308")</f>
        <v>0</v>
      </c>
      <c r="B210" s="2">
        <v>42696.7101967593</v>
      </c>
      <c r="C210">
        <v>93</v>
      </c>
      <c r="D210">
        <v>40</v>
      </c>
      <c r="E210" t="s">
        <v>201</v>
      </c>
    </row>
    <row r="211" spans="1:5">
      <c r="A211">
        <f>HYPERLINK("http://www.twitter.com/FDNY/status/801108061226053632", "801108061226053632")</f>
        <v>0</v>
      </c>
      <c r="B211" s="2">
        <v>42696.7085648148</v>
      </c>
      <c r="C211">
        <v>0</v>
      </c>
      <c r="D211">
        <v>1</v>
      </c>
      <c r="E211" t="s">
        <v>202</v>
      </c>
    </row>
    <row r="212" spans="1:5">
      <c r="A212">
        <f>HYPERLINK("http://www.twitter.com/FDNY/status/801104838524338176", "801104838524338176")</f>
        <v>0</v>
      </c>
      <c r="B212" s="2">
        <v>42696.6996643519</v>
      </c>
      <c r="C212">
        <v>0</v>
      </c>
      <c r="D212">
        <v>4</v>
      </c>
      <c r="E212" t="s">
        <v>203</v>
      </c>
    </row>
    <row r="213" spans="1:5">
      <c r="A213">
        <f>HYPERLINK("http://www.twitter.com/FDNY/status/801104825249185792", "801104825249185792")</f>
        <v>0</v>
      </c>
      <c r="B213" s="2">
        <v>42696.6996296296</v>
      </c>
      <c r="C213">
        <v>0</v>
      </c>
      <c r="D213">
        <v>2</v>
      </c>
      <c r="E213" t="s">
        <v>204</v>
      </c>
    </row>
    <row r="214" spans="1:5">
      <c r="A214">
        <f>HYPERLINK("http://www.twitter.com/FDNY/status/801104504510967808", "801104504510967808")</f>
        <v>0</v>
      </c>
      <c r="B214" s="2">
        <v>42696.69875</v>
      </c>
      <c r="C214">
        <v>0</v>
      </c>
      <c r="D214">
        <v>1</v>
      </c>
      <c r="E214" t="s">
        <v>205</v>
      </c>
    </row>
    <row r="215" spans="1:5">
      <c r="A215">
        <f>HYPERLINK("http://www.twitter.com/FDNY/status/801099270963298304", "801099270963298304")</f>
        <v>0</v>
      </c>
      <c r="B215" s="2">
        <v>42696.6843055556</v>
      </c>
      <c r="C215">
        <v>21</v>
      </c>
      <c r="D215">
        <v>19</v>
      </c>
      <c r="E215" t="s">
        <v>206</v>
      </c>
    </row>
    <row r="216" spans="1:5">
      <c r="A216">
        <f>HYPERLINK("http://www.twitter.com/FDNY/status/801096648361472004", "801096648361472004")</f>
        <v>0</v>
      </c>
      <c r="B216" s="2">
        <v>42696.6770717593</v>
      </c>
      <c r="C216">
        <v>0</v>
      </c>
      <c r="D216">
        <v>5</v>
      </c>
      <c r="E216" t="s">
        <v>207</v>
      </c>
    </row>
    <row r="217" spans="1:5">
      <c r="A217">
        <f>HYPERLINK("http://www.twitter.com/FDNY/status/801096629432569856", "801096629432569856")</f>
        <v>0</v>
      </c>
      <c r="B217" s="2">
        <v>42696.6770138889</v>
      </c>
      <c r="C217">
        <v>0</v>
      </c>
      <c r="D217">
        <v>4</v>
      </c>
      <c r="E217" t="s">
        <v>208</v>
      </c>
    </row>
    <row r="218" spans="1:5">
      <c r="A218">
        <f>HYPERLINK("http://www.twitter.com/FDNY/status/801096356861542400", "801096356861542400")</f>
        <v>0</v>
      </c>
      <c r="B218" s="2">
        <v>42696.6762615741</v>
      </c>
      <c r="C218">
        <v>0</v>
      </c>
      <c r="D218">
        <v>4</v>
      </c>
      <c r="E218" t="s">
        <v>209</v>
      </c>
    </row>
    <row r="219" spans="1:5">
      <c r="A219">
        <f>HYPERLINK("http://www.twitter.com/FDNY/status/801093334357934080", "801093334357934080")</f>
        <v>0</v>
      </c>
      <c r="B219" s="2">
        <v>42696.6679282407</v>
      </c>
      <c r="C219">
        <v>3</v>
      </c>
      <c r="D219">
        <v>5</v>
      </c>
      <c r="E219" t="s">
        <v>210</v>
      </c>
    </row>
    <row r="220" spans="1:5">
      <c r="A220">
        <f>HYPERLINK("http://www.twitter.com/FDNY/status/801092175362686976", "801092175362686976")</f>
        <v>0</v>
      </c>
      <c r="B220" s="2">
        <v>42696.6647222222</v>
      </c>
      <c r="C220">
        <v>0</v>
      </c>
      <c r="D220">
        <v>5</v>
      </c>
      <c r="E220" t="s">
        <v>211</v>
      </c>
    </row>
    <row r="221" spans="1:5">
      <c r="A221">
        <f>HYPERLINK("http://www.twitter.com/FDNY/status/801092099131265024", "801092099131265024")</f>
        <v>0</v>
      </c>
      <c r="B221" s="2">
        <v>42696.6645138889</v>
      </c>
      <c r="C221">
        <v>0</v>
      </c>
      <c r="D221">
        <v>5</v>
      </c>
      <c r="E221" t="s">
        <v>212</v>
      </c>
    </row>
    <row r="222" spans="1:5">
      <c r="A222">
        <f>HYPERLINK("http://www.twitter.com/FDNY/status/801092077098586116", "801092077098586116")</f>
        <v>0</v>
      </c>
      <c r="B222" s="2">
        <v>42696.6644560185</v>
      </c>
      <c r="C222">
        <v>0</v>
      </c>
      <c r="D222">
        <v>4</v>
      </c>
      <c r="E222" t="s">
        <v>213</v>
      </c>
    </row>
    <row r="223" spans="1:5">
      <c r="A223">
        <f>HYPERLINK("http://www.twitter.com/FDNY/status/801089627553726465", "801089627553726465")</f>
        <v>0</v>
      </c>
      <c r="B223" s="2">
        <v>42696.6576967593</v>
      </c>
      <c r="C223">
        <v>0</v>
      </c>
      <c r="D223">
        <v>9</v>
      </c>
      <c r="E223" t="s">
        <v>214</v>
      </c>
    </row>
    <row r="224" spans="1:5">
      <c r="A224">
        <f>HYPERLINK("http://www.twitter.com/FDNY/status/801086670023979008", "801086670023979008")</f>
        <v>0</v>
      </c>
      <c r="B224" s="2">
        <v>42696.649537037</v>
      </c>
      <c r="C224">
        <v>3</v>
      </c>
      <c r="D224">
        <v>5</v>
      </c>
      <c r="E224" t="s">
        <v>215</v>
      </c>
    </row>
    <row r="225" spans="1:5">
      <c r="A225">
        <f>HYPERLINK("http://www.twitter.com/FDNY/status/801083180363218947", "801083180363218947")</f>
        <v>0</v>
      </c>
      <c r="B225" s="2">
        <v>42696.6399074074</v>
      </c>
      <c r="C225">
        <v>0</v>
      </c>
      <c r="D225">
        <v>6</v>
      </c>
      <c r="E225" t="s">
        <v>216</v>
      </c>
    </row>
    <row r="226" spans="1:5">
      <c r="A226">
        <f>HYPERLINK("http://www.twitter.com/FDNY/status/801075354202996737", "801075354202996737")</f>
        <v>0</v>
      </c>
      <c r="B226" s="2">
        <v>42696.6183101852</v>
      </c>
      <c r="C226">
        <v>4</v>
      </c>
      <c r="D226">
        <v>5</v>
      </c>
      <c r="E226" t="s">
        <v>217</v>
      </c>
    </row>
    <row r="227" spans="1:5">
      <c r="A227">
        <f>HYPERLINK("http://www.twitter.com/FDNY/status/801072132033638401", "801072132033638401")</f>
        <v>0</v>
      </c>
      <c r="B227" s="2">
        <v>42696.6094212963</v>
      </c>
      <c r="C227">
        <v>0</v>
      </c>
      <c r="D227">
        <v>10</v>
      </c>
      <c r="E227" t="s">
        <v>218</v>
      </c>
    </row>
    <row r="228" spans="1:5">
      <c r="A228">
        <f>HYPERLINK("http://www.twitter.com/FDNY/status/801071563671945216", "801071563671945216")</f>
        <v>0</v>
      </c>
      <c r="B228" s="2">
        <v>42696.6078472222</v>
      </c>
      <c r="C228">
        <v>5</v>
      </c>
      <c r="D228">
        <v>2</v>
      </c>
      <c r="E228" t="s">
        <v>219</v>
      </c>
    </row>
    <row r="229" spans="1:5">
      <c r="A229">
        <f>HYPERLINK("http://www.twitter.com/FDNY/status/801071249178972166", "801071249178972166")</f>
        <v>0</v>
      </c>
      <c r="B229" s="2">
        <v>42696.6069791667</v>
      </c>
      <c r="C229">
        <v>0</v>
      </c>
      <c r="D229">
        <v>15</v>
      </c>
      <c r="E229" t="s">
        <v>220</v>
      </c>
    </row>
    <row r="230" spans="1:5">
      <c r="A230">
        <f>HYPERLINK("http://www.twitter.com/FDNY/status/801064069696471040", "801064069696471040")</f>
        <v>0</v>
      </c>
      <c r="B230" s="2">
        <v>42696.5871643519</v>
      </c>
      <c r="C230">
        <v>2</v>
      </c>
      <c r="D230">
        <v>1</v>
      </c>
      <c r="E230" t="s">
        <v>221</v>
      </c>
    </row>
    <row r="231" spans="1:5">
      <c r="A231">
        <f>HYPERLINK("http://www.twitter.com/FDNY/status/801056464131522560", "801056464131522560")</f>
        <v>0</v>
      </c>
      <c r="B231" s="2">
        <v>42696.5661805556</v>
      </c>
      <c r="C231">
        <v>6</v>
      </c>
      <c r="D231">
        <v>1</v>
      </c>
      <c r="E231" t="s">
        <v>222</v>
      </c>
    </row>
    <row r="232" spans="1:5">
      <c r="A232">
        <f>HYPERLINK("http://www.twitter.com/FDNY/status/801051462348537856", "801051462348537856")</f>
        <v>0</v>
      </c>
      <c r="B232" s="2">
        <v>42696.5523842593</v>
      </c>
      <c r="C232">
        <v>7</v>
      </c>
      <c r="D232">
        <v>3</v>
      </c>
      <c r="E232" t="s">
        <v>223</v>
      </c>
    </row>
    <row r="233" spans="1:5">
      <c r="A233">
        <f>HYPERLINK("http://www.twitter.com/FDNY/status/801049030591713281", "801049030591713281")</f>
        <v>0</v>
      </c>
      <c r="B233" s="2">
        <v>42696.5456712963</v>
      </c>
      <c r="C233">
        <v>0</v>
      </c>
      <c r="D233">
        <v>6</v>
      </c>
      <c r="E233" t="s">
        <v>224</v>
      </c>
    </row>
    <row r="234" spans="1:5">
      <c r="A234">
        <f>HYPERLINK("http://www.twitter.com/FDNY/status/801048927109808128", "801048927109808128")</f>
        <v>0</v>
      </c>
      <c r="B234" s="2">
        <v>42696.5453819444</v>
      </c>
      <c r="C234">
        <v>9</v>
      </c>
      <c r="D234">
        <v>5</v>
      </c>
      <c r="E234" t="s">
        <v>225</v>
      </c>
    </row>
    <row r="235" spans="1:5">
      <c r="A235">
        <f>HYPERLINK("http://www.twitter.com/FDNY/status/800897163198922752", "800897163198922752")</f>
        <v>0</v>
      </c>
      <c r="B235" s="2">
        <v>42696.1265972222</v>
      </c>
      <c r="C235">
        <v>0</v>
      </c>
      <c r="D235">
        <v>5</v>
      </c>
      <c r="E235" t="s">
        <v>226</v>
      </c>
    </row>
    <row r="236" spans="1:5">
      <c r="A236">
        <f>HYPERLINK("http://www.twitter.com/FDNY/status/800889822671945728", "800889822671945728")</f>
        <v>0</v>
      </c>
      <c r="B236" s="2">
        <v>42696.1063425926</v>
      </c>
      <c r="C236">
        <v>0</v>
      </c>
      <c r="D236">
        <v>157</v>
      </c>
      <c r="E236" t="s">
        <v>227</v>
      </c>
    </row>
    <row r="237" spans="1:5">
      <c r="A237">
        <f>HYPERLINK("http://www.twitter.com/FDNY/status/800831666608631808", "800831666608631808")</f>
        <v>0</v>
      </c>
      <c r="B237" s="2">
        <v>42695.9458564815</v>
      </c>
      <c r="C237">
        <v>4</v>
      </c>
      <c r="D237">
        <v>6</v>
      </c>
      <c r="E237" t="s">
        <v>228</v>
      </c>
    </row>
    <row r="238" spans="1:5">
      <c r="A238">
        <f>HYPERLINK("http://www.twitter.com/FDNY/status/800813768909455360", "800813768909455360")</f>
        <v>0</v>
      </c>
      <c r="B238" s="2">
        <v>42695.8964699074</v>
      </c>
      <c r="C238">
        <v>23</v>
      </c>
      <c r="D238">
        <v>25</v>
      </c>
      <c r="E238" t="s">
        <v>229</v>
      </c>
    </row>
    <row r="239" spans="1:5">
      <c r="A239">
        <f>HYPERLINK("http://www.twitter.com/FDNY/status/800805331039387649", "800805331039387649")</f>
        <v>0</v>
      </c>
      <c r="B239" s="2">
        <v>42695.8731828704</v>
      </c>
      <c r="C239">
        <v>10</v>
      </c>
      <c r="D239">
        <v>8</v>
      </c>
      <c r="E239" t="s">
        <v>230</v>
      </c>
    </row>
    <row r="240" spans="1:5">
      <c r="A240">
        <f>HYPERLINK("http://www.twitter.com/FDNY/status/800793608240721922", "800793608240721922")</f>
        <v>0</v>
      </c>
      <c r="B240" s="2">
        <v>42695.8408333333</v>
      </c>
      <c r="C240">
        <v>12</v>
      </c>
      <c r="D240">
        <v>10</v>
      </c>
      <c r="E240" t="s">
        <v>231</v>
      </c>
    </row>
    <row r="241" spans="1:5">
      <c r="A241">
        <f>HYPERLINK("http://www.twitter.com/FDNY/status/800783715794321408", "800783715794321408")</f>
        <v>0</v>
      </c>
      <c r="B241" s="2">
        <v>42695.8135416667</v>
      </c>
      <c r="C241">
        <v>4</v>
      </c>
      <c r="D241">
        <v>3</v>
      </c>
      <c r="E241" t="s">
        <v>232</v>
      </c>
    </row>
    <row r="242" spans="1:5">
      <c r="A242">
        <f>HYPERLINK("http://www.twitter.com/FDNY/status/800783069934301185", "800783069934301185")</f>
        <v>0</v>
      </c>
      <c r="B242" s="2">
        <v>42695.8117592593</v>
      </c>
      <c r="C242">
        <v>5</v>
      </c>
      <c r="D242">
        <v>5</v>
      </c>
      <c r="E242" t="s">
        <v>233</v>
      </c>
    </row>
    <row r="243" spans="1:5">
      <c r="A243">
        <f>HYPERLINK("http://www.twitter.com/FDNY/status/800775461223759873", "800775461223759873")</f>
        <v>0</v>
      </c>
      <c r="B243" s="2">
        <v>42695.7907638889</v>
      </c>
      <c r="C243">
        <v>0</v>
      </c>
      <c r="D243">
        <v>4</v>
      </c>
      <c r="E243" t="s">
        <v>234</v>
      </c>
    </row>
    <row r="244" spans="1:5">
      <c r="A244">
        <f>HYPERLINK("http://www.twitter.com/FDNY/status/800764636144476160", "800764636144476160")</f>
        <v>0</v>
      </c>
      <c r="B244" s="2">
        <v>42695.7608912037</v>
      </c>
      <c r="C244">
        <v>0</v>
      </c>
      <c r="D244">
        <v>12</v>
      </c>
      <c r="E244" t="s">
        <v>235</v>
      </c>
    </row>
    <row r="245" spans="1:5">
      <c r="A245">
        <f>HYPERLINK("http://www.twitter.com/FDNY/status/800763879248818176", "800763879248818176")</f>
        <v>0</v>
      </c>
      <c r="B245" s="2">
        <v>42695.7587962963</v>
      </c>
      <c r="C245">
        <v>19</v>
      </c>
      <c r="D245">
        <v>8</v>
      </c>
      <c r="E245" t="s">
        <v>236</v>
      </c>
    </row>
    <row r="246" spans="1:5">
      <c r="A246">
        <f>HYPERLINK("http://www.twitter.com/FDNY/status/800763318990475264", "800763318990475264")</f>
        <v>0</v>
      </c>
      <c r="B246" s="2">
        <v>42695.7572569444</v>
      </c>
      <c r="C246">
        <v>8</v>
      </c>
      <c r="D246">
        <v>3</v>
      </c>
      <c r="E246" t="s">
        <v>219</v>
      </c>
    </row>
    <row r="247" spans="1:5">
      <c r="A247">
        <f>HYPERLINK("http://www.twitter.com/FDNY/status/800760662851014656", "800760662851014656")</f>
        <v>0</v>
      </c>
      <c r="B247" s="2">
        <v>42695.7499305556</v>
      </c>
      <c r="C247">
        <v>6</v>
      </c>
      <c r="D247">
        <v>5</v>
      </c>
      <c r="E247" t="s">
        <v>237</v>
      </c>
    </row>
    <row r="248" spans="1:5">
      <c r="A248">
        <f>HYPERLINK("http://www.twitter.com/FDNY/status/800741492054704128", "800741492054704128")</f>
        <v>0</v>
      </c>
      <c r="B248" s="2">
        <v>42695.697025463</v>
      </c>
      <c r="C248">
        <v>0</v>
      </c>
      <c r="D248">
        <v>201</v>
      </c>
      <c r="E248" t="s">
        <v>238</v>
      </c>
    </row>
    <row r="249" spans="1:5">
      <c r="A249">
        <f>HYPERLINK("http://www.twitter.com/FDNY/status/800736805184106496", "800736805184106496")</f>
        <v>0</v>
      </c>
      <c r="B249" s="2">
        <v>42695.6840856482</v>
      </c>
      <c r="C249">
        <v>0</v>
      </c>
      <c r="D249">
        <v>33</v>
      </c>
      <c r="E249" t="s">
        <v>239</v>
      </c>
    </row>
    <row r="250" spans="1:5">
      <c r="A250">
        <f>HYPERLINK("http://www.twitter.com/FDNY/status/800734855256371202", "800734855256371202")</f>
        <v>0</v>
      </c>
      <c r="B250" s="2">
        <v>42695.6787152778</v>
      </c>
      <c r="C250">
        <v>0</v>
      </c>
      <c r="D250">
        <v>21</v>
      </c>
      <c r="E250" t="s">
        <v>240</v>
      </c>
    </row>
    <row r="251" spans="1:5">
      <c r="A251">
        <f>HYPERLINK("http://www.twitter.com/FDNY/status/800734409590800384", "800734409590800384")</f>
        <v>0</v>
      </c>
      <c r="B251" s="2">
        <v>42695.6774768519</v>
      </c>
      <c r="C251">
        <v>12</v>
      </c>
      <c r="D251">
        <v>7</v>
      </c>
      <c r="E251" t="s">
        <v>241</v>
      </c>
    </row>
    <row r="252" spans="1:5">
      <c r="A252">
        <f>HYPERLINK("http://www.twitter.com/FDNY/status/800733753152798722", "800733753152798722")</f>
        <v>0</v>
      </c>
      <c r="B252" s="2">
        <v>42695.6756712963</v>
      </c>
      <c r="C252">
        <v>0</v>
      </c>
      <c r="D252">
        <v>7</v>
      </c>
      <c r="E252" t="s">
        <v>242</v>
      </c>
    </row>
    <row r="253" spans="1:5">
      <c r="A253">
        <f>HYPERLINK("http://www.twitter.com/FDNY/status/800732828593954816", "800732828593954816")</f>
        <v>0</v>
      </c>
      <c r="B253" s="2">
        <v>42695.6731134259</v>
      </c>
      <c r="C253">
        <v>0</v>
      </c>
      <c r="D253">
        <v>30</v>
      </c>
      <c r="E253" t="s">
        <v>243</v>
      </c>
    </row>
    <row r="254" spans="1:5">
      <c r="A254">
        <f>HYPERLINK("http://www.twitter.com/FDNY/status/800708046792048640", "800708046792048640")</f>
        <v>0</v>
      </c>
      <c r="B254" s="2">
        <v>42695.6047337963</v>
      </c>
      <c r="C254">
        <v>7</v>
      </c>
      <c r="D254">
        <v>2</v>
      </c>
      <c r="E254" t="s">
        <v>244</v>
      </c>
    </row>
    <row r="255" spans="1:5">
      <c r="A255">
        <f>HYPERLINK("http://www.twitter.com/FDNY/status/800706373457682432", "800706373457682432")</f>
        <v>0</v>
      </c>
      <c r="B255" s="2">
        <v>42695.6001157407</v>
      </c>
      <c r="C255">
        <v>0</v>
      </c>
      <c r="D255">
        <v>205</v>
      </c>
      <c r="E255" t="s">
        <v>245</v>
      </c>
    </row>
    <row r="256" spans="1:5">
      <c r="A256">
        <f>HYPERLINK("http://www.twitter.com/FDNY/status/800706327743987712", "800706327743987712")</f>
        <v>0</v>
      </c>
      <c r="B256" s="2">
        <v>42695.5999884259</v>
      </c>
      <c r="C256">
        <v>0</v>
      </c>
      <c r="D256">
        <v>215</v>
      </c>
      <c r="E256" t="s">
        <v>246</v>
      </c>
    </row>
    <row r="257" spans="1:5">
      <c r="A257">
        <f>HYPERLINK("http://www.twitter.com/FDNY/status/800706270357585920", "800706270357585920")</f>
        <v>0</v>
      </c>
      <c r="B257" s="2">
        <v>42695.5998263889</v>
      </c>
      <c r="C257">
        <v>0</v>
      </c>
      <c r="D257">
        <v>2</v>
      </c>
      <c r="E257" t="s">
        <v>247</v>
      </c>
    </row>
    <row r="258" spans="1:5">
      <c r="A258">
        <f>HYPERLINK("http://www.twitter.com/FDNY/status/800701653569720320", "800701653569720320")</f>
        <v>0</v>
      </c>
      <c r="B258" s="2">
        <v>42695.5870949074</v>
      </c>
      <c r="C258">
        <v>10</v>
      </c>
      <c r="D258">
        <v>6</v>
      </c>
      <c r="E258" t="s">
        <v>248</v>
      </c>
    </row>
    <row r="259" spans="1:5">
      <c r="A259">
        <f>HYPERLINK("http://www.twitter.com/FDNY/status/800691539819327488", "800691539819327488")</f>
        <v>0</v>
      </c>
      <c r="B259" s="2">
        <v>42695.5591782407</v>
      </c>
      <c r="C259">
        <v>14</v>
      </c>
      <c r="D259">
        <v>8</v>
      </c>
      <c r="E259" t="s">
        <v>249</v>
      </c>
    </row>
    <row r="260" spans="1:5">
      <c r="A260">
        <f>HYPERLINK("http://www.twitter.com/FDNY/status/800497737615585280", "800497737615585280")</f>
        <v>0</v>
      </c>
      <c r="B260" s="2">
        <v>42695.0243865741</v>
      </c>
      <c r="C260">
        <v>22</v>
      </c>
      <c r="D260">
        <v>7</v>
      </c>
      <c r="E260" t="s">
        <v>250</v>
      </c>
    </row>
    <row r="261" spans="1:5">
      <c r="A261">
        <f>HYPERLINK("http://www.twitter.com/FDNY/status/800452453145554944", "800452453145554944")</f>
        <v>0</v>
      </c>
      <c r="B261" s="2">
        <v>42694.8994328704</v>
      </c>
      <c r="C261">
        <v>12</v>
      </c>
      <c r="D261">
        <v>11</v>
      </c>
      <c r="E261" t="s">
        <v>251</v>
      </c>
    </row>
    <row r="262" spans="1:5">
      <c r="A262">
        <f>HYPERLINK("http://www.twitter.com/FDNY/status/800417259684511752", "800417259684511752")</f>
        <v>0</v>
      </c>
      <c r="B262" s="2">
        <v>42694.8023148148</v>
      </c>
      <c r="C262">
        <v>9</v>
      </c>
      <c r="D262">
        <v>7</v>
      </c>
      <c r="E262" t="s">
        <v>252</v>
      </c>
    </row>
    <row r="263" spans="1:5">
      <c r="A263">
        <f>HYPERLINK("http://www.twitter.com/FDNY/status/800383494488662016", "800383494488662016")</f>
        <v>0</v>
      </c>
      <c r="B263" s="2">
        <v>42694.7091435185</v>
      </c>
      <c r="C263">
        <v>17</v>
      </c>
      <c r="D263">
        <v>10</v>
      </c>
      <c r="E263" t="s">
        <v>253</v>
      </c>
    </row>
    <row r="264" spans="1:5">
      <c r="A264">
        <f>HYPERLINK("http://www.twitter.com/FDNY/status/800363134510891008", "800363134510891008")</f>
        <v>0</v>
      </c>
      <c r="B264" s="2">
        <v>42694.6529513889</v>
      </c>
      <c r="C264">
        <v>11</v>
      </c>
      <c r="D264">
        <v>7</v>
      </c>
      <c r="E264" t="s">
        <v>254</v>
      </c>
    </row>
    <row r="265" spans="1:5">
      <c r="A265">
        <f>HYPERLINK("http://www.twitter.com/FDNY/status/800087557824507904", "800087557824507904")</f>
        <v>0</v>
      </c>
      <c r="B265" s="2">
        <v>42693.8925115741</v>
      </c>
      <c r="C265">
        <v>12</v>
      </c>
      <c r="D265">
        <v>10</v>
      </c>
      <c r="E265" t="s">
        <v>255</v>
      </c>
    </row>
    <row r="266" spans="1:5">
      <c r="A266">
        <f>HYPERLINK("http://www.twitter.com/FDNY/status/800041687284334592", "800041687284334592")</f>
        <v>0</v>
      </c>
      <c r="B266" s="2">
        <v>42693.7659259259</v>
      </c>
      <c r="C266">
        <v>0</v>
      </c>
      <c r="D266">
        <v>58</v>
      </c>
      <c r="E266" t="s">
        <v>256</v>
      </c>
    </row>
    <row r="267" spans="1:5">
      <c r="A267">
        <f>HYPERLINK("http://www.twitter.com/FDNY/status/800002574673965056", "800002574673965056")</f>
        <v>0</v>
      </c>
      <c r="B267" s="2">
        <v>42693.6579976852</v>
      </c>
      <c r="C267">
        <v>0</v>
      </c>
      <c r="D267">
        <v>8</v>
      </c>
      <c r="E267" t="s">
        <v>257</v>
      </c>
    </row>
    <row r="268" spans="1:5">
      <c r="A268">
        <f>HYPERLINK("http://www.twitter.com/FDNY/status/799830176817418241", "799830176817418241")</f>
        <v>0</v>
      </c>
      <c r="B268" s="2">
        <v>42693.1822685185</v>
      </c>
      <c r="C268">
        <v>33</v>
      </c>
      <c r="D268">
        <v>18</v>
      </c>
      <c r="E268" t="s">
        <v>258</v>
      </c>
    </row>
    <row r="269" spans="1:5">
      <c r="A269">
        <f>HYPERLINK("http://www.twitter.com/FDNY/status/799743774041608192", "799743774041608192")</f>
        <v>0</v>
      </c>
      <c r="B269" s="2">
        <v>42692.9438425926</v>
      </c>
      <c r="C269">
        <v>0</v>
      </c>
      <c r="D269">
        <v>6</v>
      </c>
      <c r="E269" t="s">
        <v>259</v>
      </c>
    </row>
    <row r="270" spans="1:5">
      <c r="A270">
        <f>HYPERLINK("http://www.twitter.com/FDNY/status/799743130077724676", "799743130077724676")</f>
        <v>0</v>
      </c>
      <c r="B270" s="2">
        <v>42692.9420717593</v>
      </c>
      <c r="C270">
        <v>49</v>
      </c>
      <c r="D270">
        <v>25</v>
      </c>
      <c r="E270" t="s">
        <v>260</v>
      </c>
    </row>
    <row r="271" spans="1:5">
      <c r="A271">
        <f>HYPERLINK("http://www.twitter.com/FDNY/status/799726095167799296", "799726095167799296")</f>
        <v>0</v>
      </c>
      <c r="B271" s="2">
        <v>42692.8950578704</v>
      </c>
      <c r="C271">
        <v>39</v>
      </c>
      <c r="D271">
        <v>24</v>
      </c>
      <c r="E271" t="s">
        <v>261</v>
      </c>
    </row>
    <row r="272" spans="1:5">
      <c r="A272">
        <f>HYPERLINK("http://www.twitter.com/FDNY/status/799725882894065665", "799725882894065665")</f>
        <v>0</v>
      </c>
      <c r="B272" s="2">
        <v>42692.8944791667</v>
      </c>
      <c r="C272">
        <v>10</v>
      </c>
      <c r="D272">
        <v>5</v>
      </c>
      <c r="E272" t="s">
        <v>262</v>
      </c>
    </row>
    <row r="273" spans="1:5">
      <c r="A273">
        <f>HYPERLINK("http://www.twitter.com/FDNY/status/799709911277932544", "799709911277932544")</f>
        <v>0</v>
      </c>
      <c r="B273" s="2">
        <v>42692.8504050926</v>
      </c>
      <c r="C273">
        <v>72</v>
      </c>
      <c r="D273">
        <v>33</v>
      </c>
      <c r="E273" t="s">
        <v>263</v>
      </c>
    </row>
    <row r="274" spans="1:5">
      <c r="A274">
        <f>HYPERLINK("http://www.twitter.com/FDNY/status/799677758204940288", "799677758204940288")</f>
        <v>0</v>
      </c>
      <c r="B274" s="2">
        <v>42692.7616782407</v>
      </c>
      <c r="C274">
        <v>33</v>
      </c>
      <c r="D274">
        <v>11</v>
      </c>
      <c r="E274" t="s">
        <v>264</v>
      </c>
    </row>
    <row r="275" spans="1:5">
      <c r="A275">
        <f>HYPERLINK("http://www.twitter.com/FDNY/status/799662355160453120", "799662355160453120")</f>
        <v>0</v>
      </c>
      <c r="B275" s="2">
        <v>42692.7191782407</v>
      </c>
      <c r="C275">
        <v>11</v>
      </c>
      <c r="D275">
        <v>9</v>
      </c>
      <c r="E275" t="s">
        <v>265</v>
      </c>
    </row>
    <row r="276" spans="1:5">
      <c r="A276">
        <f>HYPERLINK("http://www.twitter.com/FDNY/status/799654135821897728", "799654135821897728")</f>
        <v>0</v>
      </c>
      <c r="B276" s="2">
        <v>42692.6964930556</v>
      </c>
      <c r="C276">
        <v>20</v>
      </c>
      <c r="D276">
        <v>4</v>
      </c>
      <c r="E276" t="s">
        <v>266</v>
      </c>
    </row>
    <row r="277" spans="1:5">
      <c r="A277">
        <f>HYPERLINK("http://www.twitter.com/FDNY/status/799349125162483712", "799349125162483712")</f>
        <v>0</v>
      </c>
      <c r="B277" s="2">
        <v>42691.8548263889</v>
      </c>
      <c r="C277">
        <v>18</v>
      </c>
      <c r="D277">
        <v>9</v>
      </c>
      <c r="E277" t="s">
        <v>267</v>
      </c>
    </row>
    <row r="278" spans="1:5">
      <c r="A278">
        <f>HYPERLINK("http://www.twitter.com/FDNY/status/799266161997312000", "799266161997312000")</f>
        <v>0</v>
      </c>
      <c r="B278" s="2">
        <v>42691.6258912037</v>
      </c>
      <c r="C278">
        <v>32</v>
      </c>
      <c r="D278">
        <v>17</v>
      </c>
      <c r="E278" t="s">
        <v>268</v>
      </c>
    </row>
    <row r="279" spans="1:5">
      <c r="A279">
        <f>HYPERLINK("http://www.twitter.com/FDNY/status/799008082126893057", "799008082126893057")</f>
        <v>0</v>
      </c>
      <c r="B279" s="2">
        <v>42690.9137268519</v>
      </c>
      <c r="C279">
        <v>11</v>
      </c>
      <c r="D279">
        <v>6</v>
      </c>
      <c r="E279" t="s">
        <v>269</v>
      </c>
    </row>
    <row r="280" spans="1:5">
      <c r="A280">
        <f>HYPERLINK("http://www.twitter.com/FDNY/status/798984481617178624", "798984481617178624")</f>
        <v>0</v>
      </c>
      <c r="B280" s="2">
        <v>42690.848599537</v>
      </c>
      <c r="C280">
        <v>0</v>
      </c>
      <c r="D280">
        <v>6</v>
      </c>
      <c r="E280" t="s">
        <v>270</v>
      </c>
    </row>
    <row r="281" spans="1:5">
      <c r="A281">
        <f>HYPERLINK("http://www.twitter.com/FDNY/status/798981876673347587", "798981876673347587")</f>
        <v>0</v>
      </c>
      <c r="B281" s="2">
        <v>42690.841412037</v>
      </c>
      <c r="C281">
        <v>14</v>
      </c>
      <c r="D281">
        <v>6</v>
      </c>
      <c r="E281" t="s">
        <v>271</v>
      </c>
    </row>
    <row r="282" spans="1:5">
      <c r="A282">
        <f>HYPERLINK("http://www.twitter.com/FDNY/status/798972209737957378", "798972209737957378")</f>
        <v>0</v>
      </c>
      <c r="B282" s="2">
        <v>42690.8147337963</v>
      </c>
      <c r="C282">
        <v>0</v>
      </c>
      <c r="D282">
        <v>3</v>
      </c>
      <c r="E282" t="s">
        <v>272</v>
      </c>
    </row>
    <row r="283" spans="1:5">
      <c r="A283">
        <f>HYPERLINK("http://www.twitter.com/FDNY/status/798968189874909184", "798968189874909184")</f>
        <v>0</v>
      </c>
      <c r="B283" s="2">
        <v>42690.8036458333</v>
      </c>
      <c r="C283">
        <v>15</v>
      </c>
      <c r="D283">
        <v>10</v>
      </c>
      <c r="E283" t="s">
        <v>273</v>
      </c>
    </row>
    <row r="284" spans="1:5">
      <c r="A284">
        <f>HYPERLINK("http://www.twitter.com/FDNY/status/798934954898030592", "798934954898030592")</f>
        <v>0</v>
      </c>
      <c r="B284" s="2">
        <v>42690.7119328704</v>
      </c>
      <c r="C284">
        <v>0</v>
      </c>
      <c r="D284">
        <v>7</v>
      </c>
      <c r="E284" t="s">
        <v>274</v>
      </c>
    </row>
    <row r="285" spans="1:5">
      <c r="A285">
        <f>HYPERLINK("http://www.twitter.com/FDNY/status/798931443003064320", "798931443003064320")</f>
        <v>0</v>
      </c>
      <c r="B285" s="2">
        <v>42690.7022453704</v>
      </c>
      <c r="C285">
        <v>0</v>
      </c>
      <c r="D285">
        <v>5</v>
      </c>
      <c r="E285" t="s">
        <v>275</v>
      </c>
    </row>
    <row r="286" spans="1:5">
      <c r="A286">
        <f>HYPERLINK("http://www.twitter.com/FDNY/status/798912865486794756", "798912865486794756")</f>
        <v>0</v>
      </c>
      <c r="B286" s="2">
        <v>42690.6509722222</v>
      </c>
      <c r="C286">
        <v>0</v>
      </c>
      <c r="D286">
        <v>8</v>
      </c>
      <c r="E286" t="s">
        <v>276</v>
      </c>
    </row>
    <row r="287" spans="1:5">
      <c r="A287">
        <f>HYPERLINK("http://www.twitter.com/FDNY/status/798905988959137792", "798905988959137792")</f>
        <v>0</v>
      </c>
      <c r="B287" s="2">
        <v>42690.6320023148</v>
      </c>
      <c r="C287">
        <v>18</v>
      </c>
      <c r="D287">
        <v>20</v>
      </c>
      <c r="E287" t="s">
        <v>277</v>
      </c>
    </row>
    <row r="288" spans="1:5">
      <c r="A288">
        <f>HYPERLINK("http://www.twitter.com/FDNY/status/798647286263910400", "798647286263910400")</f>
        <v>0</v>
      </c>
      <c r="B288" s="2">
        <v>42689.9181134259</v>
      </c>
      <c r="C288">
        <v>29</v>
      </c>
      <c r="D288">
        <v>11</v>
      </c>
      <c r="E288" t="s">
        <v>278</v>
      </c>
    </row>
    <row r="289" spans="1:5">
      <c r="A289">
        <f>HYPERLINK("http://www.twitter.com/FDNY/status/798638347086393344", "798638347086393344")</f>
        <v>0</v>
      </c>
      <c r="B289" s="2">
        <v>42689.8934490741</v>
      </c>
      <c r="C289">
        <v>45</v>
      </c>
      <c r="D289">
        <v>12</v>
      </c>
      <c r="E289" t="s">
        <v>279</v>
      </c>
    </row>
    <row r="290" spans="1:5">
      <c r="A290">
        <f>HYPERLINK("http://www.twitter.com/FDNY/status/798637539519176708", "798637539519176708")</f>
        <v>0</v>
      </c>
      <c r="B290" s="2">
        <v>42689.8912268519</v>
      </c>
      <c r="C290">
        <v>38</v>
      </c>
      <c r="D290">
        <v>8</v>
      </c>
      <c r="E290" t="s">
        <v>280</v>
      </c>
    </row>
    <row r="291" spans="1:5">
      <c r="A291">
        <f>HYPERLINK("http://www.twitter.com/FDNY/status/798637112409067521", "798637112409067521")</f>
        <v>0</v>
      </c>
      <c r="B291" s="2">
        <v>42689.8900462963</v>
      </c>
      <c r="C291">
        <v>34</v>
      </c>
      <c r="D291">
        <v>7</v>
      </c>
      <c r="E291" t="s">
        <v>281</v>
      </c>
    </row>
    <row r="292" spans="1:5">
      <c r="A292">
        <f>HYPERLINK("http://www.twitter.com/FDNY/status/798574619762376704", "798574619762376704")</f>
        <v>0</v>
      </c>
      <c r="B292" s="2">
        <v>42689.7175925926</v>
      </c>
      <c r="C292">
        <v>0</v>
      </c>
      <c r="D292">
        <v>6</v>
      </c>
      <c r="E292" t="s">
        <v>282</v>
      </c>
    </row>
    <row r="293" spans="1:5">
      <c r="A293">
        <f>HYPERLINK("http://www.twitter.com/FDNY/status/798562922398105601", "798562922398105601")</f>
        <v>0</v>
      </c>
      <c r="B293" s="2">
        <v>42689.6853125</v>
      </c>
      <c r="C293">
        <v>18</v>
      </c>
      <c r="D293">
        <v>5</v>
      </c>
      <c r="E293" t="s">
        <v>283</v>
      </c>
    </row>
    <row r="294" spans="1:5">
      <c r="A294">
        <f>HYPERLINK("http://www.twitter.com/FDNY/status/798561608461144070", "798561608461144070")</f>
        <v>0</v>
      </c>
      <c r="B294" s="2">
        <v>42689.6816898148</v>
      </c>
      <c r="C294">
        <v>45</v>
      </c>
      <c r="D294">
        <v>20</v>
      </c>
      <c r="E294" t="s">
        <v>284</v>
      </c>
    </row>
    <row r="295" spans="1:5">
      <c r="A295">
        <f>HYPERLINK("http://www.twitter.com/FDNY/status/798560602990014465", "798560602990014465")</f>
        <v>0</v>
      </c>
      <c r="B295" s="2">
        <v>42689.678912037</v>
      </c>
      <c r="C295">
        <v>50</v>
      </c>
      <c r="D295">
        <v>14</v>
      </c>
      <c r="E295" t="s">
        <v>285</v>
      </c>
    </row>
    <row r="296" spans="1:5">
      <c r="A296">
        <f>HYPERLINK("http://www.twitter.com/FDNY/status/798351515253510144", "798351515253510144")</f>
        <v>0</v>
      </c>
      <c r="B296" s="2">
        <v>42689.1019444444</v>
      </c>
      <c r="C296">
        <v>0</v>
      </c>
      <c r="D296">
        <v>8</v>
      </c>
      <c r="E296" t="s">
        <v>286</v>
      </c>
    </row>
    <row r="297" spans="1:5">
      <c r="A297">
        <f>HYPERLINK("http://www.twitter.com/FDNY/status/798289652285341698", "798289652285341698")</f>
        <v>0</v>
      </c>
      <c r="B297" s="2">
        <v>42688.9312384259</v>
      </c>
      <c r="C297">
        <v>26</v>
      </c>
      <c r="D297">
        <v>6</v>
      </c>
      <c r="E297" t="s">
        <v>287</v>
      </c>
    </row>
    <row r="298" spans="1:5">
      <c r="A298">
        <f>HYPERLINK("http://www.twitter.com/FDNY/status/798196510835896320", "798196510835896320")</f>
        <v>0</v>
      </c>
      <c r="B298" s="2">
        <v>42688.674212963</v>
      </c>
      <c r="C298">
        <v>8</v>
      </c>
      <c r="D298">
        <v>6</v>
      </c>
      <c r="E298" t="s">
        <v>288</v>
      </c>
    </row>
    <row r="299" spans="1:5">
      <c r="A299">
        <f>HYPERLINK("http://www.twitter.com/FDNY/status/798196308070658052", "798196308070658052")</f>
        <v>0</v>
      </c>
      <c r="B299" s="2">
        <v>42688.6736574074</v>
      </c>
      <c r="C299">
        <v>0</v>
      </c>
      <c r="D299">
        <v>8</v>
      </c>
      <c r="E299" t="s">
        <v>289</v>
      </c>
    </row>
    <row r="300" spans="1:5">
      <c r="A300">
        <f>HYPERLINK("http://www.twitter.com/FDNY/status/798189489675829249", "798189489675829249")</f>
        <v>0</v>
      </c>
      <c r="B300" s="2">
        <v>42688.654837963</v>
      </c>
      <c r="C300">
        <v>0</v>
      </c>
      <c r="D300">
        <v>11</v>
      </c>
      <c r="E300" t="s">
        <v>290</v>
      </c>
    </row>
    <row r="301" spans="1:5">
      <c r="A301">
        <f>HYPERLINK("http://www.twitter.com/FDNY/status/797962170369617920", "797962170369617920")</f>
        <v>0</v>
      </c>
      <c r="B301" s="2">
        <v>42688.0275578704</v>
      </c>
      <c r="C301">
        <v>14</v>
      </c>
      <c r="D301">
        <v>9</v>
      </c>
      <c r="E301" t="s">
        <v>291</v>
      </c>
    </row>
    <row r="302" spans="1:5">
      <c r="A302">
        <f>HYPERLINK("http://www.twitter.com/FDNY/status/797907146608234496", "797907146608234496")</f>
        <v>0</v>
      </c>
      <c r="B302" s="2">
        <v>42687.8757175926</v>
      </c>
      <c r="C302">
        <v>27</v>
      </c>
      <c r="D302">
        <v>4</v>
      </c>
      <c r="E302" t="s">
        <v>292</v>
      </c>
    </row>
    <row r="303" spans="1:5">
      <c r="A303">
        <f>HYPERLINK("http://www.twitter.com/FDNY/status/797891887411658753", "797891887411658753")</f>
        <v>0</v>
      </c>
      <c r="B303" s="2">
        <v>42687.8336111111</v>
      </c>
      <c r="C303">
        <v>19</v>
      </c>
      <c r="D303">
        <v>9</v>
      </c>
      <c r="E303" t="s">
        <v>293</v>
      </c>
    </row>
    <row r="304" spans="1:5">
      <c r="A304">
        <f>HYPERLINK("http://www.twitter.com/FDNY/status/797876152404676613", "797876152404676613")</f>
        <v>0</v>
      </c>
      <c r="B304" s="2">
        <v>42687.7901967593</v>
      </c>
      <c r="C304">
        <v>0</v>
      </c>
      <c r="D304">
        <v>4</v>
      </c>
      <c r="E304" t="s">
        <v>294</v>
      </c>
    </row>
    <row r="305" spans="1:5">
      <c r="A305">
        <f>HYPERLINK("http://www.twitter.com/FDNY/status/797876077888606208", "797876077888606208")</f>
        <v>0</v>
      </c>
      <c r="B305" s="2">
        <v>42687.7899884259</v>
      </c>
      <c r="C305">
        <v>0</v>
      </c>
      <c r="D305">
        <v>7</v>
      </c>
      <c r="E305" t="s">
        <v>295</v>
      </c>
    </row>
    <row r="306" spans="1:5">
      <c r="A306">
        <f>HYPERLINK("http://www.twitter.com/FDNY/status/797875564224856064", "797875564224856064")</f>
        <v>0</v>
      </c>
      <c r="B306" s="2">
        <v>42687.7885648148</v>
      </c>
      <c r="C306">
        <v>23</v>
      </c>
      <c r="D306">
        <v>10</v>
      </c>
      <c r="E306" t="s">
        <v>296</v>
      </c>
    </row>
    <row r="307" spans="1:5">
      <c r="A307">
        <f>HYPERLINK("http://www.twitter.com/FDNY/status/797802507259019264", "797802507259019264")</f>
        <v>0</v>
      </c>
      <c r="B307" s="2">
        <v>42687.5869675926</v>
      </c>
      <c r="C307">
        <v>23</v>
      </c>
      <c r="D307">
        <v>10</v>
      </c>
      <c r="E307" t="s">
        <v>297</v>
      </c>
    </row>
    <row r="308" spans="1:5">
      <c r="A308">
        <f>HYPERLINK("http://www.twitter.com/FDNY/status/797574919819264004", "797574919819264004")</f>
        <v>0</v>
      </c>
      <c r="B308" s="2">
        <v>42686.9589467593</v>
      </c>
      <c r="C308">
        <v>24</v>
      </c>
      <c r="D308">
        <v>10</v>
      </c>
      <c r="E308" t="s">
        <v>163</v>
      </c>
    </row>
    <row r="309" spans="1:5">
      <c r="A309">
        <f>HYPERLINK("http://www.twitter.com/FDNY/status/797534507863855104", "797534507863855104")</f>
        <v>0</v>
      </c>
      <c r="B309" s="2">
        <v>42686.8474305556</v>
      </c>
      <c r="C309">
        <v>16</v>
      </c>
      <c r="D309">
        <v>13</v>
      </c>
      <c r="E309" t="s">
        <v>298</v>
      </c>
    </row>
    <row r="310" spans="1:5">
      <c r="A310">
        <f>HYPERLINK("http://www.twitter.com/FDNY/status/797515619654664192", "797515619654664192")</f>
        <v>0</v>
      </c>
      <c r="B310" s="2">
        <v>42686.7953125</v>
      </c>
      <c r="C310">
        <v>12</v>
      </c>
      <c r="D310">
        <v>8</v>
      </c>
      <c r="E310" t="s">
        <v>299</v>
      </c>
    </row>
    <row r="311" spans="1:5">
      <c r="A311">
        <f>HYPERLINK("http://www.twitter.com/FDNY/status/797439138609905664", "797439138609905664")</f>
        <v>0</v>
      </c>
      <c r="B311" s="2">
        <v>42686.5842708333</v>
      </c>
      <c r="C311">
        <v>155</v>
      </c>
      <c r="D311">
        <v>80</v>
      </c>
      <c r="E311" t="s">
        <v>300</v>
      </c>
    </row>
    <row r="312" spans="1:5">
      <c r="A312">
        <f>HYPERLINK("http://www.twitter.com/FDNY/status/797292578819473408", "797292578819473408")</f>
        <v>0</v>
      </c>
      <c r="B312" s="2">
        <v>42686.179837963</v>
      </c>
      <c r="C312">
        <v>0</v>
      </c>
      <c r="D312">
        <v>5</v>
      </c>
      <c r="E312" t="s">
        <v>301</v>
      </c>
    </row>
    <row r="313" spans="1:5">
      <c r="A313">
        <f>HYPERLINK("http://www.twitter.com/FDNY/status/797292413375090688", "797292413375090688")</f>
        <v>0</v>
      </c>
      <c r="B313" s="2">
        <v>42686.179375</v>
      </c>
      <c r="C313">
        <v>17</v>
      </c>
      <c r="D313">
        <v>4</v>
      </c>
      <c r="E313" t="s">
        <v>302</v>
      </c>
    </row>
    <row r="314" spans="1:5">
      <c r="A314">
        <f>HYPERLINK("http://www.twitter.com/FDNY/status/797291802265079808", "797291802265079808")</f>
        <v>0</v>
      </c>
      <c r="B314" s="2">
        <v>42686.1776967593</v>
      </c>
      <c r="C314">
        <v>26</v>
      </c>
      <c r="D314">
        <v>5</v>
      </c>
      <c r="E314" t="s">
        <v>303</v>
      </c>
    </row>
    <row r="315" spans="1:5">
      <c r="A315">
        <f>HYPERLINK("http://www.twitter.com/FDNY/status/797146514388828160", "797146514388828160")</f>
        <v>0</v>
      </c>
      <c r="B315" s="2">
        <v>42685.7767708333</v>
      </c>
      <c r="C315">
        <v>0</v>
      </c>
      <c r="D315">
        <v>20</v>
      </c>
      <c r="E315" t="s">
        <v>304</v>
      </c>
    </row>
    <row r="316" spans="1:5">
      <c r="A316">
        <f>HYPERLINK("http://www.twitter.com/FDNY/status/797146485653700608", "797146485653700608")</f>
        <v>0</v>
      </c>
      <c r="B316" s="2">
        <v>42685.7767013889</v>
      </c>
      <c r="C316">
        <v>0</v>
      </c>
      <c r="D316">
        <v>3</v>
      </c>
      <c r="E316" t="s">
        <v>305</v>
      </c>
    </row>
    <row r="317" spans="1:5">
      <c r="A317">
        <f>HYPERLINK("http://www.twitter.com/FDNY/status/797145644339232769", "797145644339232769")</f>
        <v>0</v>
      </c>
      <c r="B317" s="2">
        <v>42685.774375</v>
      </c>
      <c r="C317">
        <v>48</v>
      </c>
      <c r="D317">
        <v>13</v>
      </c>
      <c r="E317" t="s">
        <v>306</v>
      </c>
    </row>
    <row r="318" spans="1:5">
      <c r="A318">
        <f>HYPERLINK("http://www.twitter.com/FDNY/status/797125654273806336", "797125654273806336")</f>
        <v>0</v>
      </c>
      <c r="B318" s="2">
        <v>42685.719212963</v>
      </c>
      <c r="C318">
        <v>0</v>
      </c>
      <c r="D318">
        <v>6</v>
      </c>
      <c r="E318" t="s">
        <v>307</v>
      </c>
    </row>
    <row r="319" spans="1:5">
      <c r="A319">
        <f>HYPERLINK("http://www.twitter.com/FDNY/status/797124920266342401", "797124920266342401")</f>
        <v>0</v>
      </c>
      <c r="B319" s="2">
        <v>42685.7171875</v>
      </c>
      <c r="C319">
        <v>54</v>
      </c>
      <c r="D319">
        <v>15</v>
      </c>
      <c r="E319" t="s">
        <v>308</v>
      </c>
    </row>
    <row r="320" spans="1:5">
      <c r="A320">
        <f>HYPERLINK("http://www.twitter.com/FDNY/status/797124601616695296", "797124601616695296")</f>
        <v>0</v>
      </c>
      <c r="B320" s="2">
        <v>42685.7163078704</v>
      </c>
      <c r="C320">
        <v>13</v>
      </c>
      <c r="D320">
        <v>5</v>
      </c>
      <c r="E320" t="s">
        <v>309</v>
      </c>
    </row>
    <row r="321" spans="1:5">
      <c r="A321">
        <f>HYPERLINK("http://www.twitter.com/FDNY/status/797124499930042368", "797124499930042368")</f>
        <v>0</v>
      </c>
      <c r="B321" s="2">
        <v>42685.7160300926</v>
      </c>
      <c r="C321">
        <v>24</v>
      </c>
      <c r="D321">
        <v>4</v>
      </c>
      <c r="E321" t="s">
        <v>310</v>
      </c>
    </row>
    <row r="322" spans="1:5">
      <c r="A322">
        <f>HYPERLINK("http://www.twitter.com/FDNY/status/797114464218861570", "797114464218861570")</f>
        <v>0</v>
      </c>
      <c r="B322" s="2">
        <v>42685.6883333333</v>
      </c>
      <c r="C322">
        <v>54</v>
      </c>
      <c r="D322">
        <v>10</v>
      </c>
      <c r="E322" t="s">
        <v>311</v>
      </c>
    </row>
    <row r="323" spans="1:5">
      <c r="A323">
        <f>HYPERLINK("http://www.twitter.com/FDNY/status/797108227108376576", "797108227108376576")</f>
        <v>0</v>
      </c>
      <c r="B323" s="2">
        <v>42685.6711226852</v>
      </c>
      <c r="C323">
        <v>37</v>
      </c>
      <c r="D323">
        <v>12</v>
      </c>
      <c r="E323" t="s">
        <v>312</v>
      </c>
    </row>
    <row r="324" spans="1:5">
      <c r="A324">
        <f>HYPERLINK("http://www.twitter.com/FDNY/status/797107292693004288", "797107292693004288")</f>
        <v>0</v>
      </c>
      <c r="B324" s="2">
        <v>42685.6685416667</v>
      </c>
      <c r="C324">
        <v>87</v>
      </c>
      <c r="D324">
        <v>32</v>
      </c>
      <c r="E324" t="s">
        <v>313</v>
      </c>
    </row>
    <row r="325" spans="1:5">
      <c r="A325">
        <f>HYPERLINK("http://www.twitter.com/FDNY/status/797093096806879232", "797093096806879232")</f>
        <v>0</v>
      </c>
      <c r="B325" s="2">
        <v>42685.629375</v>
      </c>
      <c r="C325">
        <v>64</v>
      </c>
      <c r="D325">
        <v>21</v>
      </c>
      <c r="E325" t="s">
        <v>314</v>
      </c>
    </row>
    <row r="326" spans="1:5">
      <c r="A326">
        <f>HYPERLINK("http://www.twitter.com/FDNY/status/797085234307153921", "797085234307153921")</f>
        <v>0</v>
      </c>
      <c r="B326" s="2">
        <v>42685.6076736111</v>
      </c>
      <c r="C326">
        <v>144</v>
      </c>
      <c r="D326">
        <v>54</v>
      </c>
      <c r="E326" t="s">
        <v>315</v>
      </c>
    </row>
    <row r="327" spans="1:5">
      <c r="A327">
        <f>HYPERLINK("http://www.twitter.com/FDNY/status/797077647390048258", "797077647390048258")</f>
        <v>0</v>
      </c>
      <c r="B327" s="2">
        <v>42685.5867361111</v>
      </c>
      <c r="C327">
        <v>48</v>
      </c>
      <c r="D327">
        <v>19</v>
      </c>
      <c r="E327" t="s">
        <v>316</v>
      </c>
    </row>
    <row r="328" spans="1:5">
      <c r="A328">
        <f>HYPERLINK("http://www.twitter.com/FDNY/status/797070024443920384", "797070024443920384")</f>
        <v>0</v>
      </c>
      <c r="B328" s="2">
        <v>42685.5657060185</v>
      </c>
      <c r="C328">
        <v>62</v>
      </c>
      <c r="D328">
        <v>19</v>
      </c>
      <c r="E328" t="s">
        <v>317</v>
      </c>
    </row>
    <row r="329" spans="1:5">
      <c r="A329">
        <f>HYPERLINK("http://www.twitter.com/FDNY/status/797064138006597632", "797064138006597632")</f>
        <v>0</v>
      </c>
      <c r="B329" s="2">
        <v>42685.5494560185</v>
      </c>
      <c r="C329">
        <v>58</v>
      </c>
      <c r="D329">
        <v>17</v>
      </c>
      <c r="E329" t="s">
        <v>318</v>
      </c>
    </row>
    <row r="330" spans="1:5">
      <c r="A330">
        <f>HYPERLINK("http://www.twitter.com/FDNY/status/797062353963614209", "797062353963614209")</f>
        <v>0</v>
      </c>
      <c r="B330" s="2">
        <v>42685.544537037</v>
      </c>
      <c r="C330">
        <v>96</v>
      </c>
      <c r="D330">
        <v>47</v>
      </c>
      <c r="E330" t="s">
        <v>319</v>
      </c>
    </row>
    <row r="331" spans="1:5">
      <c r="A331">
        <f>HYPERLINK("http://www.twitter.com/FDNY/status/796851576853983232", "796851576853983232")</f>
        <v>0</v>
      </c>
      <c r="B331" s="2">
        <v>42684.9629050926</v>
      </c>
      <c r="C331">
        <v>0</v>
      </c>
      <c r="D331">
        <v>2</v>
      </c>
      <c r="E331" t="s">
        <v>320</v>
      </c>
    </row>
    <row r="332" spans="1:5">
      <c r="A332">
        <f>HYPERLINK("http://www.twitter.com/FDNY/status/796850700462551052", "796850700462551052")</f>
        <v>0</v>
      </c>
      <c r="B332" s="2">
        <v>42684.9604861111</v>
      </c>
      <c r="C332">
        <v>42</v>
      </c>
      <c r="D332">
        <v>15</v>
      </c>
      <c r="E332" t="s">
        <v>321</v>
      </c>
    </row>
    <row r="333" spans="1:5">
      <c r="A333">
        <f>HYPERLINK("http://www.twitter.com/FDNY/status/796850459063500801", "796850459063500801")</f>
        <v>0</v>
      </c>
      <c r="B333" s="2">
        <v>42684.9598148148</v>
      </c>
      <c r="C333">
        <v>0</v>
      </c>
      <c r="D333">
        <v>11</v>
      </c>
      <c r="E333" t="s">
        <v>322</v>
      </c>
    </row>
    <row r="334" spans="1:5">
      <c r="A334">
        <f>HYPERLINK("http://www.twitter.com/FDNY/status/796850423420354561", "796850423420354561")</f>
        <v>0</v>
      </c>
      <c r="B334" s="2">
        <v>42684.9597222222</v>
      </c>
      <c r="C334">
        <v>0</v>
      </c>
      <c r="D334">
        <v>12</v>
      </c>
      <c r="E334" t="s">
        <v>323</v>
      </c>
    </row>
    <row r="335" spans="1:5">
      <c r="A335">
        <f>HYPERLINK("http://www.twitter.com/FDNY/status/796831340255649796", "796831340255649796")</f>
        <v>0</v>
      </c>
      <c r="B335" s="2">
        <v>42684.9070601852</v>
      </c>
      <c r="C335">
        <v>0</v>
      </c>
      <c r="D335">
        <v>8</v>
      </c>
      <c r="E335" t="s">
        <v>324</v>
      </c>
    </row>
    <row r="336" spans="1:5">
      <c r="A336">
        <f>HYPERLINK("http://www.twitter.com/FDNY/status/796831303136055296", "796831303136055296")</f>
        <v>0</v>
      </c>
      <c r="B336" s="2">
        <v>42684.9069560185</v>
      </c>
      <c r="C336">
        <v>0</v>
      </c>
      <c r="D336">
        <v>4</v>
      </c>
      <c r="E336" t="s">
        <v>325</v>
      </c>
    </row>
    <row r="337" spans="1:5">
      <c r="A337">
        <f>HYPERLINK("http://www.twitter.com/FDNY/status/796829052950691841", "796829052950691841")</f>
        <v>0</v>
      </c>
      <c r="B337" s="2">
        <v>42684.9007523148</v>
      </c>
      <c r="C337">
        <v>52</v>
      </c>
      <c r="D337">
        <v>13</v>
      </c>
      <c r="E337" t="s">
        <v>326</v>
      </c>
    </row>
    <row r="338" spans="1:5">
      <c r="A338">
        <f>HYPERLINK("http://www.twitter.com/FDNY/status/796809841129963520", "796809841129963520")</f>
        <v>0</v>
      </c>
      <c r="B338" s="2">
        <v>42684.8477314815</v>
      </c>
      <c r="C338">
        <v>26</v>
      </c>
      <c r="D338">
        <v>8</v>
      </c>
      <c r="E338" t="s">
        <v>327</v>
      </c>
    </row>
    <row r="339" spans="1:5">
      <c r="A339">
        <f>HYPERLINK("http://www.twitter.com/FDNY/status/796809421431119872", "796809421431119872")</f>
        <v>0</v>
      </c>
      <c r="B339" s="2">
        <v>42684.8465740741</v>
      </c>
      <c r="C339">
        <v>30</v>
      </c>
      <c r="D339">
        <v>6</v>
      </c>
      <c r="E339" t="s">
        <v>328</v>
      </c>
    </row>
    <row r="340" spans="1:5">
      <c r="A340">
        <f>HYPERLINK("http://www.twitter.com/FDNY/status/796747401985949696", "796747401985949696")</f>
        <v>0</v>
      </c>
      <c r="B340" s="2">
        <v>42684.6754398148</v>
      </c>
      <c r="C340">
        <v>0</v>
      </c>
      <c r="D340">
        <v>321</v>
      </c>
      <c r="E340" t="s">
        <v>329</v>
      </c>
    </row>
    <row r="341" spans="1:5">
      <c r="A341">
        <f>HYPERLINK("http://www.twitter.com/FDNY/status/796730636899905536", "796730636899905536")</f>
        <v>0</v>
      </c>
      <c r="B341" s="2">
        <v>42684.6291782407</v>
      </c>
      <c r="C341">
        <v>0</v>
      </c>
      <c r="D341">
        <v>269</v>
      </c>
      <c r="E341" t="s">
        <v>330</v>
      </c>
    </row>
    <row r="342" spans="1:5">
      <c r="A342">
        <f>HYPERLINK("http://www.twitter.com/FDNY/status/796729460242415616", "796729460242415616")</f>
        <v>0</v>
      </c>
      <c r="B342" s="2">
        <v>42684.6259259259</v>
      </c>
      <c r="C342">
        <v>25</v>
      </c>
      <c r="D342">
        <v>10</v>
      </c>
      <c r="E342" t="s">
        <v>331</v>
      </c>
    </row>
    <row r="343" spans="1:5">
      <c r="A343">
        <f>HYPERLINK("http://www.twitter.com/FDNY/status/796483431173603328", "796483431173603328")</f>
        <v>0</v>
      </c>
      <c r="B343" s="2">
        <v>42683.9470138889</v>
      </c>
      <c r="C343">
        <v>100</v>
      </c>
      <c r="D343">
        <v>34</v>
      </c>
      <c r="E343" t="s">
        <v>332</v>
      </c>
    </row>
    <row r="344" spans="1:5">
      <c r="A344">
        <f>HYPERLINK("http://www.twitter.com/FDNY/status/796457532453781504", "796457532453781504")</f>
        <v>0</v>
      </c>
      <c r="B344" s="2">
        <v>42683.8755439815</v>
      </c>
      <c r="C344">
        <v>0</v>
      </c>
      <c r="D344">
        <v>37</v>
      </c>
      <c r="E344" t="s">
        <v>333</v>
      </c>
    </row>
    <row r="345" spans="1:5">
      <c r="A345">
        <f>HYPERLINK("http://www.twitter.com/FDNY/status/796408407171432452", "796408407171432452")</f>
        <v>0</v>
      </c>
      <c r="B345" s="2">
        <v>42683.7399884259</v>
      </c>
      <c r="C345">
        <v>0</v>
      </c>
      <c r="D345">
        <v>9</v>
      </c>
      <c r="E345" t="s">
        <v>334</v>
      </c>
    </row>
    <row r="346" spans="1:5">
      <c r="A346">
        <f>HYPERLINK("http://www.twitter.com/FDNY/status/796404746374377472", "796404746374377472")</f>
        <v>0</v>
      </c>
      <c r="B346" s="2">
        <v>42683.7298842593</v>
      </c>
      <c r="C346">
        <v>203</v>
      </c>
      <c r="D346">
        <v>53</v>
      </c>
      <c r="E346" t="s">
        <v>335</v>
      </c>
    </row>
    <row r="347" spans="1:5">
      <c r="A347">
        <f>HYPERLINK("http://www.twitter.com/FDNY/status/796038767119310848", "796038767119310848")</f>
        <v>0</v>
      </c>
      <c r="B347" s="2">
        <v>42682.7199768519</v>
      </c>
      <c r="C347">
        <v>64</v>
      </c>
      <c r="D347">
        <v>23</v>
      </c>
      <c r="E347" t="s">
        <v>336</v>
      </c>
    </row>
    <row r="348" spans="1:5">
      <c r="A348">
        <f>HYPERLINK("http://www.twitter.com/FDNY/status/795815737935953920", "795815737935953920")</f>
        <v>0</v>
      </c>
      <c r="B348" s="2">
        <v>42682.104537037</v>
      </c>
      <c r="C348">
        <v>38</v>
      </c>
      <c r="D348">
        <v>10</v>
      </c>
      <c r="E348" t="s">
        <v>337</v>
      </c>
    </row>
    <row r="349" spans="1:5">
      <c r="A349">
        <f>HYPERLINK("http://www.twitter.com/FDNY/status/795815343608496128", "795815343608496128")</f>
        <v>0</v>
      </c>
      <c r="B349" s="2">
        <v>42682.1034490741</v>
      </c>
      <c r="C349">
        <v>41</v>
      </c>
      <c r="D349">
        <v>12</v>
      </c>
      <c r="E349" t="s">
        <v>338</v>
      </c>
    </row>
    <row r="350" spans="1:5">
      <c r="A350">
        <f>HYPERLINK("http://www.twitter.com/FDNY/status/795743352016830465", "795743352016830465")</f>
        <v>0</v>
      </c>
      <c r="B350" s="2">
        <v>42681.9047800926</v>
      </c>
      <c r="C350">
        <v>3</v>
      </c>
      <c r="D350">
        <v>0</v>
      </c>
      <c r="E350" t="s">
        <v>339</v>
      </c>
    </row>
    <row r="351" spans="1:5">
      <c r="A351">
        <f>HYPERLINK("http://www.twitter.com/FDNY/status/795719574490587140", "795719574490587140")</f>
        <v>0</v>
      </c>
      <c r="B351" s="2">
        <v>42681.8391666667</v>
      </c>
      <c r="C351">
        <v>58</v>
      </c>
      <c r="D351">
        <v>23</v>
      </c>
      <c r="E351" t="s">
        <v>340</v>
      </c>
    </row>
    <row r="352" spans="1:5">
      <c r="A352">
        <f>HYPERLINK("http://www.twitter.com/FDNY/status/795635287108030464", "795635287108030464")</f>
        <v>0</v>
      </c>
      <c r="B352" s="2">
        <v>42681.6065856482</v>
      </c>
      <c r="C352">
        <v>51</v>
      </c>
      <c r="D352">
        <v>23</v>
      </c>
      <c r="E352" t="s">
        <v>341</v>
      </c>
    </row>
    <row r="353" spans="1:5">
      <c r="A353">
        <f>HYPERLINK("http://www.twitter.com/FDNY/status/795423219931086848", "795423219931086848")</f>
        <v>0</v>
      </c>
      <c r="B353" s="2">
        <v>42681.0213888889</v>
      </c>
      <c r="C353">
        <v>0</v>
      </c>
      <c r="D353">
        <v>43</v>
      </c>
      <c r="E353" t="s">
        <v>342</v>
      </c>
    </row>
    <row r="354" spans="1:5">
      <c r="A354">
        <f>HYPERLINK("http://www.twitter.com/FDNY/status/795422925365084161", "795422925365084161")</f>
        <v>0</v>
      </c>
      <c r="B354" s="2">
        <v>42681.0205787037</v>
      </c>
      <c r="C354">
        <v>0</v>
      </c>
      <c r="D354">
        <v>8</v>
      </c>
      <c r="E354" t="s">
        <v>343</v>
      </c>
    </row>
    <row r="355" spans="1:5">
      <c r="A355">
        <f>HYPERLINK("http://www.twitter.com/FDNY/status/795420564156452864", "795420564156452864")</f>
        <v>0</v>
      </c>
      <c r="B355" s="2">
        <v>42681.0140625</v>
      </c>
      <c r="C355">
        <v>30</v>
      </c>
      <c r="D355">
        <v>13</v>
      </c>
      <c r="E355" t="s">
        <v>344</v>
      </c>
    </row>
    <row r="356" spans="1:5">
      <c r="A356">
        <f>HYPERLINK("http://www.twitter.com/FDNY/status/795390362097422336", "795390362097422336")</f>
        <v>0</v>
      </c>
      <c r="B356" s="2">
        <v>42680.9307175926</v>
      </c>
      <c r="C356">
        <v>28</v>
      </c>
      <c r="D356">
        <v>28</v>
      </c>
      <c r="E356" t="s">
        <v>345</v>
      </c>
    </row>
    <row r="357" spans="1:5">
      <c r="A357">
        <f>HYPERLINK("http://www.twitter.com/FDNY/status/795349250590834689", "795349250590834689")</f>
        <v>0</v>
      </c>
      <c r="B357" s="2">
        <v>42680.8172685185</v>
      </c>
      <c r="C357">
        <v>100</v>
      </c>
      <c r="D357">
        <v>24</v>
      </c>
      <c r="E357" t="s">
        <v>346</v>
      </c>
    </row>
    <row r="358" spans="1:5">
      <c r="A358">
        <f>HYPERLINK("http://www.twitter.com/FDNY/status/795336861510205440", "795336861510205440")</f>
        <v>0</v>
      </c>
      <c r="B358" s="2">
        <v>42680.7830902778</v>
      </c>
      <c r="C358">
        <v>0</v>
      </c>
      <c r="D358">
        <v>50</v>
      </c>
      <c r="E358" t="s">
        <v>347</v>
      </c>
    </row>
    <row r="359" spans="1:5">
      <c r="A359">
        <f>HYPERLINK("http://www.twitter.com/FDNY/status/795336837569069056", "795336837569069056")</f>
        <v>0</v>
      </c>
      <c r="B359" s="2">
        <v>42680.7830208333</v>
      </c>
      <c r="C359">
        <v>0</v>
      </c>
      <c r="D359">
        <v>53</v>
      </c>
      <c r="E359" t="s">
        <v>348</v>
      </c>
    </row>
    <row r="360" spans="1:5">
      <c r="A360">
        <f>HYPERLINK("http://www.twitter.com/FDNY/status/795336746628157440", "795336746628157440")</f>
        <v>0</v>
      </c>
      <c r="B360" s="2">
        <v>42680.7827662037</v>
      </c>
      <c r="C360">
        <v>19</v>
      </c>
      <c r="D360">
        <v>17</v>
      </c>
      <c r="E360" t="s">
        <v>349</v>
      </c>
    </row>
    <row r="361" spans="1:5">
      <c r="A361">
        <f>HYPERLINK("http://www.twitter.com/FDNY/status/795308584762482688", "795308584762482688")</f>
        <v>0</v>
      </c>
      <c r="B361" s="2">
        <v>42680.7050578704</v>
      </c>
      <c r="C361">
        <v>26</v>
      </c>
      <c r="D361">
        <v>14</v>
      </c>
      <c r="E361" t="s">
        <v>350</v>
      </c>
    </row>
    <row r="362" spans="1:5">
      <c r="A362">
        <f>HYPERLINK("http://www.twitter.com/FDNY/status/795292226020634626", "795292226020634626")</f>
        <v>0</v>
      </c>
      <c r="B362" s="2">
        <v>42680.6599189815</v>
      </c>
      <c r="C362">
        <v>64</v>
      </c>
      <c r="D362">
        <v>14</v>
      </c>
      <c r="E362" t="s">
        <v>351</v>
      </c>
    </row>
    <row r="363" spans="1:5">
      <c r="A363">
        <f>HYPERLINK("http://www.twitter.com/FDNY/status/795290923026567168", "795290923026567168")</f>
        <v>0</v>
      </c>
      <c r="B363" s="2">
        <v>42680.6563194444</v>
      </c>
      <c r="C363">
        <v>107</v>
      </c>
      <c r="D363">
        <v>35</v>
      </c>
      <c r="E363" t="s">
        <v>352</v>
      </c>
    </row>
    <row r="364" spans="1:5">
      <c r="A364">
        <f>HYPERLINK("http://www.twitter.com/FDNY/status/795281598056960006", "795281598056960006")</f>
        <v>0</v>
      </c>
      <c r="B364" s="2">
        <v>42680.6305902778</v>
      </c>
      <c r="C364">
        <v>74</v>
      </c>
      <c r="D364">
        <v>31</v>
      </c>
      <c r="E364" t="s">
        <v>353</v>
      </c>
    </row>
    <row r="365" spans="1:5">
      <c r="A365">
        <f>HYPERLINK("http://www.twitter.com/FDNY/status/795270812135804928", "795270812135804928")</f>
        <v>0</v>
      </c>
      <c r="B365" s="2">
        <v>42680.6008217593</v>
      </c>
      <c r="C365">
        <v>29</v>
      </c>
      <c r="D365">
        <v>26</v>
      </c>
      <c r="E365" t="s">
        <v>354</v>
      </c>
    </row>
    <row r="366" spans="1:5">
      <c r="A366">
        <f>HYPERLINK("http://www.twitter.com/FDNY/status/795265161078697984", "795265161078697984")</f>
        <v>0</v>
      </c>
      <c r="B366" s="2">
        <v>42680.5852314815</v>
      </c>
      <c r="C366">
        <v>62</v>
      </c>
      <c r="D366">
        <v>11</v>
      </c>
      <c r="E366" t="s">
        <v>355</v>
      </c>
    </row>
    <row r="367" spans="1:5">
      <c r="A367">
        <f>HYPERLINK("http://www.twitter.com/FDNY/status/795041820589834240", "795041820589834240")</f>
        <v>0</v>
      </c>
      <c r="B367" s="2">
        <v>42679.9689236111</v>
      </c>
      <c r="C367">
        <v>22</v>
      </c>
      <c r="D367">
        <v>14</v>
      </c>
      <c r="E367" t="s">
        <v>356</v>
      </c>
    </row>
    <row r="368" spans="1:5">
      <c r="A368">
        <f>HYPERLINK("http://www.twitter.com/FDNY/status/794993997257314305", "794993997257314305")</f>
        <v>0</v>
      </c>
      <c r="B368" s="2">
        <v>42679.8369560185</v>
      </c>
      <c r="C368">
        <v>26</v>
      </c>
      <c r="D368">
        <v>26</v>
      </c>
      <c r="E368" t="s">
        <v>357</v>
      </c>
    </row>
    <row r="369" spans="1:5">
      <c r="A369">
        <f>HYPERLINK("http://www.twitter.com/FDNY/status/794968174253015040", "794968174253015040")</f>
        <v>0</v>
      </c>
      <c r="B369" s="2">
        <v>42679.7657060185</v>
      </c>
      <c r="C369">
        <v>0</v>
      </c>
      <c r="D369">
        <v>3</v>
      </c>
      <c r="E369" t="s">
        <v>358</v>
      </c>
    </row>
    <row r="370" spans="1:5">
      <c r="A370">
        <f>HYPERLINK("http://www.twitter.com/FDNY/status/794938676375683072", "794938676375683072")</f>
        <v>0</v>
      </c>
      <c r="B370" s="2">
        <v>42679.6843055556</v>
      </c>
      <c r="C370">
        <v>30</v>
      </c>
      <c r="D370">
        <v>33</v>
      </c>
      <c r="E370" t="s">
        <v>359</v>
      </c>
    </row>
    <row r="371" spans="1:5">
      <c r="A371">
        <f>HYPERLINK("http://www.twitter.com/FDNY/status/794928607596527616", "794928607596527616")</f>
        <v>0</v>
      </c>
      <c r="B371" s="2">
        <v>42679.6565162037</v>
      </c>
      <c r="C371">
        <v>4</v>
      </c>
      <c r="D371">
        <v>4</v>
      </c>
      <c r="E371" t="s">
        <v>360</v>
      </c>
    </row>
    <row r="372" spans="1:5">
      <c r="A372">
        <f>HYPERLINK("http://www.twitter.com/FDNY/status/794922758979416064", "794922758979416064")</f>
        <v>0</v>
      </c>
      <c r="B372" s="2">
        <v>42679.6403819444</v>
      </c>
      <c r="C372">
        <v>8</v>
      </c>
      <c r="D372">
        <v>11</v>
      </c>
      <c r="E372" t="s">
        <v>361</v>
      </c>
    </row>
    <row r="373" spans="1:5">
      <c r="A373">
        <f>HYPERLINK("http://www.twitter.com/FDNY/status/794922320787861505", "794922320787861505")</f>
        <v>0</v>
      </c>
      <c r="B373" s="2">
        <v>42679.6391666667</v>
      </c>
      <c r="C373">
        <v>6</v>
      </c>
      <c r="D373">
        <v>7</v>
      </c>
      <c r="E373" t="s">
        <v>362</v>
      </c>
    </row>
    <row r="374" spans="1:5">
      <c r="A374">
        <f>HYPERLINK("http://www.twitter.com/FDNY/status/794918513051897856", "794918513051897856")</f>
        <v>0</v>
      </c>
      <c r="B374" s="2">
        <v>42679.6286689815</v>
      </c>
      <c r="C374">
        <v>4</v>
      </c>
      <c r="D374">
        <v>4</v>
      </c>
      <c r="E374" t="s">
        <v>363</v>
      </c>
    </row>
    <row r="375" spans="1:5">
      <c r="A375">
        <f>HYPERLINK("http://www.twitter.com/FDNY/status/794913463013376004", "794913463013376004")</f>
        <v>0</v>
      </c>
      <c r="B375" s="2">
        <v>42679.6147337963</v>
      </c>
      <c r="C375">
        <v>4</v>
      </c>
      <c r="D375">
        <v>4</v>
      </c>
      <c r="E375" t="s">
        <v>364</v>
      </c>
    </row>
    <row r="376" spans="1:5">
      <c r="A376">
        <f>HYPERLINK("http://www.twitter.com/FDNY/status/794910980291592192", "794910980291592192")</f>
        <v>0</v>
      </c>
      <c r="B376" s="2">
        <v>42679.6078819444</v>
      </c>
      <c r="C376">
        <v>2</v>
      </c>
      <c r="D376">
        <v>2</v>
      </c>
      <c r="E376" t="s">
        <v>365</v>
      </c>
    </row>
    <row r="377" spans="1:5">
      <c r="A377">
        <f>HYPERLINK("http://www.twitter.com/FDNY/status/794909822827249669", "794909822827249669")</f>
        <v>0</v>
      </c>
      <c r="B377" s="2">
        <v>42679.6046875</v>
      </c>
      <c r="C377">
        <v>8</v>
      </c>
      <c r="D377">
        <v>4</v>
      </c>
      <c r="E377" t="s">
        <v>366</v>
      </c>
    </row>
    <row r="378" spans="1:5">
      <c r="A378">
        <f>HYPERLINK("http://www.twitter.com/FDNY/status/794902937076174848", "794902937076174848")</f>
        <v>0</v>
      </c>
      <c r="B378" s="2">
        <v>42679.5856828704</v>
      </c>
      <c r="C378">
        <v>0</v>
      </c>
      <c r="D378">
        <v>10</v>
      </c>
      <c r="E378" t="s">
        <v>367</v>
      </c>
    </row>
    <row r="379" spans="1:5">
      <c r="A379">
        <f>HYPERLINK("http://www.twitter.com/FDNY/status/794720045867892736", "794720045867892736")</f>
        <v>0</v>
      </c>
      <c r="B379" s="2">
        <v>42679.0809953704</v>
      </c>
      <c r="C379">
        <v>0</v>
      </c>
      <c r="D379">
        <v>2727</v>
      </c>
      <c r="E379" t="s">
        <v>368</v>
      </c>
    </row>
    <row r="380" spans="1:5">
      <c r="A380">
        <f>HYPERLINK("http://www.twitter.com/FDNY/status/794720006772768769", "794720006772768769")</f>
        <v>0</v>
      </c>
      <c r="B380" s="2">
        <v>42679.0808912037</v>
      </c>
      <c r="C380">
        <v>0</v>
      </c>
      <c r="D380">
        <v>968</v>
      </c>
      <c r="E380" t="s">
        <v>369</v>
      </c>
    </row>
    <row r="381" spans="1:5">
      <c r="A381">
        <f>HYPERLINK("http://www.twitter.com/FDNY/status/794670985819648000", "794670985819648000")</f>
        <v>0</v>
      </c>
      <c r="B381" s="2">
        <v>42678.9456134259</v>
      </c>
      <c r="C381">
        <v>0</v>
      </c>
      <c r="D381">
        <v>3480</v>
      </c>
      <c r="E381" t="s">
        <v>370</v>
      </c>
    </row>
    <row r="382" spans="1:5">
      <c r="A382">
        <f>HYPERLINK("http://www.twitter.com/FDNY/status/794670592276525057", "794670592276525057")</f>
        <v>0</v>
      </c>
      <c r="B382" s="2">
        <v>42678.944537037</v>
      </c>
      <c r="C382">
        <v>404</v>
      </c>
      <c r="D382">
        <v>257</v>
      </c>
      <c r="E382" t="s">
        <v>371</v>
      </c>
    </row>
    <row r="383" spans="1:5">
      <c r="A383">
        <f>HYPERLINK("http://www.twitter.com/FDNY/status/794622894198456320", "794622894198456320")</f>
        <v>0</v>
      </c>
      <c r="B383" s="2">
        <v>42678.8129166667</v>
      </c>
      <c r="C383">
        <v>0</v>
      </c>
      <c r="D383">
        <v>4</v>
      </c>
      <c r="E383" t="s">
        <v>372</v>
      </c>
    </row>
    <row r="384" spans="1:5">
      <c r="A384">
        <f>HYPERLINK("http://www.twitter.com/FDNY/status/794619628882432001", "794619628882432001")</f>
        <v>0</v>
      </c>
      <c r="B384" s="2">
        <v>42678.803900463</v>
      </c>
      <c r="C384">
        <v>0</v>
      </c>
      <c r="D384">
        <v>15</v>
      </c>
      <c r="E384" t="s">
        <v>373</v>
      </c>
    </row>
    <row r="385" spans="1:5">
      <c r="A385">
        <f>HYPERLINK("http://www.twitter.com/FDNY/status/794617826933927936", "794617826933927936")</f>
        <v>0</v>
      </c>
      <c r="B385" s="2">
        <v>42678.7989236111</v>
      </c>
      <c r="C385">
        <v>5</v>
      </c>
      <c r="D385">
        <v>1</v>
      </c>
      <c r="E385" t="s">
        <v>374</v>
      </c>
    </row>
    <row r="386" spans="1:5">
      <c r="A386">
        <f>HYPERLINK("http://www.twitter.com/FDNY/status/794614270944247808", "794614270944247808")</f>
        <v>0</v>
      </c>
      <c r="B386" s="2">
        <v>42678.7891203704</v>
      </c>
      <c r="C386">
        <v>0</v>
      </c>
      <c r="D386">
        <v>7</v>
      </c>
      <c r="E386" t="s">
        <v>375</v>
      </c>
    </row>
    <row r="387" spans="1:5">
      <c r="A387">
        <f>HYPERLINK("http://www.twitter.com/FDNY/status/794613038699737088", "794613038699737088")</f>
        <v>0</v>
      </c>
      <c r="B387" s="2">
        <v>42678.7857175926</v>
      </c>
      <c r="C387">
        <v>0</v>
      </c>
      <c r="D387">
        <v>13</v>
      </c>
      <c r="E387" t="s">
        <v>376</v>
      </c>
    </row>
    <row r="388" spans="1:5">
      <c r="A388">
        <f>HYPERLINK("http://www.twitter.com/FDNY/status/794606480695631872", "794606480695631872")</f>
        <v>0</v>
      </c>
      <c r="B388" s="2">
        <v>42678.7676157407</v>
      </c>
      <c r="C388">
        <v>5</v>
      </c>
      <c r="D388">
        <v>3</v>
      </c>
      <c r="E388" t="s">
        <v>377</v>
      </c>
    </row>
    <row r="389" spans="1:5">
      <c r="A389">
        <f>HYPERLINK("http://www.twitter.com/FDNY/status/794596835272904705", "794596835272904705")</f>
        <v>0</v>
      </c>
      <c r="B389" s="2">
        <v>42678.7410069444</v>
      </c>
      <c r="C389">
        <v>4</v>
      </c>
      <c r="D389">
        <v>3</v>
      </c>
      <c r="E389" t="s">
        <v>378</v>
      </c>
    </row>
    <row r="390" spans="1:5">
      <c r="A390">
        <f>HYPERLINK("http://www.twitter.com/FDNY/status/794593928196583428", "794593928196583428")</f>
        <v>0</v>
      </c>
      <c r="B390" s="2">
        <v>42678.732974537</v>
      </c>
      <c r="C390">
        <v>2</v>
      </c>
      <c r="D390">
        <v>4</v>
      </c>
      <c r="E390" t="s">
        <v>379</v>
      </c>
    </row>
    <row r="391" spans="1:5">
      <c r="A391">
        <f>HYPERLINK("http://www.twitter.com/FDNY/status/794571295388291072", "794571295388291072")</f>
        <v>0</v>
      </c>
      <c r="B391" s="2">
        <v>42678.6705208333</v>
      </c>
      <c r="C391">
        <v>4</v>
      </c>
      <c r="D391">
        <v>3</v>
      </c>
      <c r="E391" t="s">
        <v>380</v>
      </c>
    </row>
    <row r="392" spans="1:5">
      <c r="A392">
        <f>HYPERLINK("http://www.twitter.com/FDNY/status/794568741308743680", "794568741308743680")</f>
        <v>0</v>
      </c>
      <c r="B392" s="2">
        <v>42678.6634722222</v>
      </c>
      <c r="C392">
        <v>3</v>
      </c>
      <c r="D392">
        <v>1</v>
      </c>
      <c r="E392" t="s">
        <v>381</v>
      </c>
    </row>
    <row r="393" spans="1:5">
      <c r="A393">
        <f>HYPERLINK("http://www.twitter.com/FDNY/status/794562270751760384", "794562270751760384")</f>
        <v>0</v>
      </c>
      <c r="B393" s="2">
        <v>42678.645625</v>
      </c>
      <c r="C393">
        <v>5</v>
      </c>
      <c r="D393">
        <v>6</v>
      </c>
      <c r="E393" t="s">
        <v>382</v>
      </c>
    </row>
    <row r="394" spans="1:5">
      <c r="A394">
        <f>HYPERLINK("http://www.twitter.com/FDNY/status/794559183303692288", "794559183303692288")</f>
        <v>0</v>
      </c>
      <c r="B394" s="2">
        <v>42678.6371064815</v>
      </c>
      <c r="C394">
        <v>5</v>
      </c>
      <c r="D394">
        <v>5</v>
      </c>
      <c r="E394" t="s">
        <v>383</v>
      </c>
    </row>
    <row r="395" spans="1:5">
      <c r="A395">
        <f>HYPERLINK("http://www.twitter.com/FDNY/status/794558341829820419", "794558341829820419")</f>
        <v>0</v>
      </c>
      <c r="B395" s="2">
        <v>42678.6347800926</v>
      </c>
      <c r="C395">
        <v>5</v>
      </c>
      <c r="D395">
        <v>6</v>
      </c>
      <c r="E395" t="s">
        <v>384</v>
      </c>
    </row>
    <row r="396" spans="1:5">
      <c r="A396">
        <f>HYPERLINK("http://www.twitter.com/FDNY/status/794557511407960066", "794557511407960066")</f>
        <v>0</v>
      </c>
      <c r="B396" s="2">
        <v>42678.6324884259</v>
      </c>
      <c r="C396">
        <v>13</v>
      </c>
      <c r="D396">
        <v>3</v>
      </c>
      <c r="E396" t="s">
        <v>385</v>
      </c>
    </row>
    <row r="397" spans="1:5">
      <c r="A397">
        <f>HYPERLINK("http://www.twitter.com/FDNY/status/794557308118454272", "794557308118454272")</f>
        <v>0</v>
      </c>
      <c r="B397" s="2">
        <v>42678.6319328704</v>
      </c>
      <c r="C397">
        <v>10</v>
      </c>
      <c r="D397">
        <v>4</v>
      </c>
      <c r="E397" t="s">
        <v>386</v>
      </c>
    </row>
    <row r="398" spans="1:5">
      <c r="A398">
        <f>HYPERLINK("http://www.twitter.com/FDNY/status/794556340815400960", "794556340815400960")</f>
        <v>0</v>
      </c>
      <c r="B398" s="2">
        <v>42678.6292592593</v>
      </c>
      <c r="C398">
        <v>21</v>
      </c>
      <c r="D398">
        <v>3</v>
      </c>
      <c r="E398" t="s">
        <v>387</v>
      </c>
    </row>
    <row r="399" spans="1:5">
      <c r="A399">
        <f>HYPERLINK("http://www.twitter.com/FDNY/status/794551139022802945", "794551139022802945")</f>
        <v>0</v>
      </c>
      <c r="B399" s="2">
        <v>42678.6149074074</v>
      </c>
      <c r="C399">
        <v>3</v>
      </c>
      <c r="D399">
        <v>1</v>
      </c>
      <c r="E399" t="s">
        <v>388</v>
      </c>
    </row>
    <row r="400" spans="1:5">
      <c r="A400">
        <f>HYPERLINK("http://www.twitter.com/FDNY/status/794541062266175492", "794541062266175492")</f>
        <v>0</v>
      </c>
      <c r="B400" s="2">
        <v>42678.5870949074</v>
      </c>
      <c r="C400">
        <v>2</v>
      </c>
      <c r="D400">
        <v>4</v>
      </c>
      <c r="E400" t="s">
        <v>389</v>
      </c>
    </row>
    <row r="401" spans="1:5">
      <c r="A401">
        <f>HYPERLINK("http://www.twitter.com/FDNY/status/794533479845400576", "794533479845400576")</f>
        <v>0</v>
      </c>
      <c r="B401" s="2">
        <v>42678.5661689815</v>
      </c>
      <c r="C401">
        <v>1</v>
      </c>
      <c r="D401">
        <v>3</v>
      </c>
      <c r="E401" t="s">
        <v>390</v>
      </c>
    </row>
    <row r="402" spans="1:5">
      <c r="A402">
        <f>HYPERLINK("http://www.twitter.com/FDNY/status/794529106213957632", "794529106213957632")</f>
        <v>0</v>
      </c>
      <c r="B402" s="2">
        <v>42678.5541087963</v>
      </c>
      <c r="C402">
        <v>29</v>
      </c>
      <c r="D402">
        <v>6</v>
      </c>
      <c r="E402" t="s">
        <v>391</v>
      </c>
    </row>
    <row r="403" spans="1:5">
      <c r="A403">
        <f>HYPERLINK("http://www.twitter.com/FDNY/status/794523416342753280", "794523416342753280")</f>
        <v>0</v>
      </c>
      <c r="B403" s="2">
        <v>42678.5384027778</v>
      </c>
      <c r="C403">
        <v>8</v>
      </c>
      <c r="D403">
        <v>6</v>
      </c>
      <c r="E403" t="s">
        <v>392</v>
      </c>
    </row>
    <row r="404" spans="1:5">
      <c r="A404">
        <f>HYPERLINK("http://www.twitter.com/FDNY/status/794512112483762177", "794512112483762177")</f>
        <v>0</v>
      </c>
      <c r="B404" s="2">
        <v>42678.5072106481</v>
      </c>
      <c r="C404">
        <v>2</v>
      </c>
      <c r="D404">
        <v>2</v>
      </c>
      <c r="E404" t="s">
        <v>393</v>
      </c>
    </row>
    <row r="405" spans="1:5">
      <c r="A405">
        <f>HYPERLINK("http://www.twitter.com/FDNY/status/794361252269137920", "794361252269137920")</f>
        <v>0</v>
      </c>
      <c r="B405" s="2">
        <v>42678.0909143519</v>
      </c>
      <c r="C405">
        <v>0</v>
      </c>
      <c r="D405">
        <v>3</v>
      </c>
      <c r="E405" t="s">
        <v>394</v>
      </c>
    </row>
    <row r="406" spans="1:5">
      <c r="A406">
        <f>HYPERLINK("http://www.twitter.com/FDNY/status/794361243947646976", "794361243947646976")</f>
        <v>0</v>
      </c>
      <c r="B406" s="2">
        <v>42678.0908912037</v>
      </c>
      <c r="C406">
        <v>0</v>
      </c>
      <c r="D406">
        <v>3</v>
      </c>
      <c r="E406" t="s">
        <v>395</v>
      </c>
    </row>
    <row r="407" spans="1:5">
      <c r="A407">
        <f>HYPERLINK("http://www.twitter.com/FDNY/status/794360853697019904", "794360853697019904")</f>
        <v>0</v>
      </c>
      <c r="B407" s="2">
        <v>42678.0898148148</v>
      </c>
      <c r="C407">
        <v>24</v>
      </c>
      <c r="D407">
        <v>7</v>
      </c>
      <c r="E407" t="s">
        <v>396</v>
      </c>
    </row>
    <row r="408" spans="1:5">
      <c r="A408">
        <f>HYPERLINK("http://www.twitter.com/FDNY/status/794348262778093573", "794348262778093573")</f>
        <v>0</v>
      </c>
      <c r="B408" s="2">
        <v>42678.0550694444</v>
      </c>
      <c r="C408">
        <v>29</v>
      </c>
      <c r="D408">
        <v>8</v>
      </c>
      <c r="E408" t="s">
        <v>397</v>
      </c>
    </row>
    <row r="409" spans="1:5">
      <c r="A409">
        <f>HYPERLINK("http://www.twitter.com/FDNY/status/794348027439890435", "794348027439890435")</f>
        <v>0</v>
      </c>
      <c r="B409" s="2">
        <v>42678.0544212963</v>
      </c>
      <c r="C409">
        <v>42</v>
      </c>
      <c r="D409">
        <v>14</v>
      </c>
      <c r="E409" t="s">
        <v>398</v>
      </c>
    </row>
    <row r="410" spans="1:5">
      <c r="A410">
        <f>HYPERLINK("http://www.twitter.com/FDNY/status/794288904094568456", "794288904094568456")</f>
        <v>0</v>
      </c>
      <c r="B410" s="2">
        <v>42677.8912731481</v>
      </c>
      <c r="C410">
        <v>0</v>
      </c>
      <c r="D410">
        <v>18</v>
      </c>
      <c r="E410" t="s">
        <v>399</v>
      </c>
    </row>
    <row r="411" spans="1:5">
      <c r="A411">
        <f>HYPERLINK("http://www.twitter.com/FDNY/status/794268140951793664", "794268140951793664")</f>
        <v>0</v>
      </c>
      <c r="B411" s="2">
        <v>42677.8339814815</v>
      </c>
      <c r="C411">
        <v>28</v>
      </c>
      <c r="D411">
        <v>11</v>
      </c>
      <c r="E411" t="s">
        <v>400</v>
      </c>
    </row>
    <row r="412" spans="1:5">
      <c r="A412">
        <f>HYPERLINK("http://www.twitter.com/FDNY/status/794260729897615360", "794260729897615360")</f>
        <v>0</v>
      </c>
      <c r="B412" s="2">
        <v>42677.8135300926</v>
      </c>
      <c r="C412">
        <v>19</v>
      </c>
      <c r="D412">
        <v>7</v>
      </c>
      <c r="E412" t="s">
        <v>401</v>
      </c>
    </row>
    <row r="413" spans="1:5">
      <c r="A413">
        <f>HYPERLINK("http://www.twitter.com/FDNY/status/794250026390351872", "794250026390351872")</f>
        <v>0</v>
      </c>
      <c r="B413" s="2">
        <v>42677.7839930556</v>
      </c>
      <c r="C413">
        <v>27</v>
      </c>
      <c r="D413">
        <v>9</v>
      </c>
      <c r="E413" t="s">
        <v>402</v>
      </c>
    </row>
    <row r="414" spans="1:5">
      <c r="A414">
        <f>HYPERLINK("http://www.twitter.com/FDNY/status/794249032797483008", "794249032797483008")</f>
        <v>0</v>
      </c>
      <c r="B414" s="2">
        <v>42677.78125</v>
      </c>
      <c r="C414">
        <v>23</v>
      </c>
      <c r="D414">
        <v>10</v>
      </c>
      <c r="E414" t="s">
        <v>403</v>
      </c>
    </row>
    <row r="415" spans="1:5">
      <c r="A415">
        <f>HYPERLINK("http://www.twitter.com/FDNY/status/794247152809738241", "794247152809738241")</f>
        <v>0</v>
      </c>
      <c r="B415" s="2">
        <v>42677.7760648148</v>
      </c>
      <c r="C415">
        <v>20</v>
      </c>
      <c r="D415">
        <v>6</v>
      </c>
      <c r="E415" t="s">
        <v>404</v>
      </c>
    </row>
    <row r="416" spans="1:5">
      <c r="A416">
        <f>HYPERLINK("http://www.twitter.com/FDNY/status/794201896483508224", "794201896483508224")</f>
        <v>0</v>
      </c>
      <c r="B416" s="2">
        <v>42677.6511805556</v>
      </c>
      <c r="C416">
        <v>27</v>
      </c>
      <c r="D416">
        <v>6</v>
      </c>
      <c r="E416" t="s">
        <v>405</v>
      </c>
    </row>
    <row r="417" spans="1:5">
      <c r="A417">
        <f>HYPERLINK("http://www.twitter.com/FDNY/status/794201351756595202", "794201351756595202")</f>
        <v>0</v>
      </c>
      <c r="B417" s="2">
        <v>42677.6496759259</v>
      </c>
      <c r="C417">
        <v>10</v>
      </c>
      <c r="D417">
        <v>3</v>
      </c>
      <c r="E417" t="s">
        <v>406</v>
      </c>
    </row>
    <row r="418" spans="1:5">
      <c r="A418">
        <f>HYPERLINK("http://www.twitter.com/FDNY/status/794200195097497600", "794200195097497600")</f>
        <v>0</v>
      </c>
      <c r="B418" s="2">
        <v>42677.6464814815</v>
      </c>
      <c r="C418">
        <v>2</v>
      </c>
      <c r="D418">
        <v>5</v>
      </c>
      <c r="E418" t="s">
        <v>407</v>
      </c>
    </row>
    <row r="419" spans="1:5">
      <c r="A419">
        <f>HYPERLINK("http://www.twitter.com/FDNY/status/794197538480017408", "794197538480017408")</f>
        <v>0</v>
      </c>
      <c r="B419" s="2">
        <v>42677.6391550926</v>
      </c>
      <c r="C419">
        <v>20</v>
      </c>
      <c r="D419">
        <v>6</v>
      </c>
      <c r="E419" t="s">
        <v>408</v>
      </c>
    </row>
    <row r="420" spans="1:5">
      <c r="A420">
        <f>HYPERLINK("http://www.twitter.com/FDNY/status/794196940842008576", "794196940842008576")</f>
        <v>0</v>
      </c>
      <c r="B420" s="2">
        <v>42677.6375</v>
      </c>
      <c r="C420">
        <v>26</v>
      </c>
      <c r="D420">
        <v>7</v>
      </c>
      <c r="E420" t="s">
        <v>409</v>
      </c>
    </row>
    <row r="421" spans="1:5">
      <c r="A421">
        <f>HYPERLINK("http://www.twitter.com/FDNY/status/794196788383195140", "794196788383195140")</f>
        <v>0</v>
      </c>
      <c r="B421" s="2">
        <v>42677.6370833333</v>
      </c>
      <c r="C421">
        <v>18</v>
      </c>
      <c r="D421">
        <v>5</v>
      </c>
      <c r="E421" t="s">
        <v>410</v>
      </c>
    </row>
    <row r="422" spans="1:5">
      <c r="A422">
        <f>HYPERLINK("http://www.twitter.com/FDNY/status/794195031678681089", "794195031678681089")</f>
        <v>0</v>
      </c>
      <c r="B422" s="2">
        <v>42677.6322337963</v>
      </c>
      <c r="C422">
        <v>6</v>
      </c>
      <c r="D422">
        <v>3</v>
      </c>
      <c r="E422" t="s">
        <v>411</v>
      </c>
    </row>
    <row r="423" spans="1:5">
      <c r="A423">
        <f>HYPERLINK("http://www.twitter.com/FDNY/status/794190025198026752", "794190025198026752")</f>
        <v>0</v>
      </c>
      <c r="B423" s="2">
        <v>42677.6184259259</v>
      </c>
      <c r="C423">
        <v>7</v>
      </c>
      <c r="D423">
        <v>3</v>
      </c>
      <c r="E423" t="s">
        <v>412</v>
      </c>
    </row>
    <row r="424" spans="1:5">
      <c r="A424">
        <f>HYPERLINK("http://www.twitter.com/FDNY/status/794177633420509184", "794177633420509184")</f>
        <v>0</v>
      </c>
      <c r="B424" s="2">
        <v>42677.584224537</v>
      </c>
      <c r="C424">
        <v>22</v>
      </c>
      <c r="D424">
        <v>6</v>
      </c>
      <c r="E424" t="s">
        <v>413</v>
      </c>
    </row>
    <row r="425" spans="1:5">
      <c r="A425">
        <f>HYPERLINK("http://www.twitter.com/FDNY/status/794170546091081729", "794170546091081729")</f>
        <v>0</v>
      </c>
      <c r="B425" s="2">
        <v>42677.5646643518</v>
      </c>
      <c r="C425">
        <v>0</v>
      </c>
      <c r="D425">
        <v>7</v>
      </c>
      <c r="E425" t="s">
        <v>414</v>
      </c>
    </row>
    <row r="426" spans="1:5">
      <c r="A426">
        <f>HYPERLINK("http://www.twitter.com/FDNY/status/794167344167866368", "794167344167866368")</f>
        <v>0</v>
      </c>
      <c r="B426" s="2">
        <v>42677.5558333333</v>
      </c>
      <c r="C426">
        <v>7</v>
      </c>
      <c r="D426">
        <v>4</v>
      </c>
      <c r="E426" t="s">
        <v>415</v>
      </c>
    </row>
    <row r="427" spans="1:5">
      <c r="A427">
        <f>HYPERLINK("http://www.twitter.com/FDNY/status/794156000316190720", "794156000316190720")</f>
        <v>0</v>
      </c>
      <c r="B427" s="2">
        <v>42677.524525463</v>
      </c>
      <c r="C427">
        <v>10</v>
      </c>
      <c r="D427">
        <v>4</v>
      </c>
      <c r="E427" t="s">
        <v>416</v>
      </c>
    </row>
    <row r="428" spans="1:5">
      <c r="A428">
        <f>HYPERLINK("http://www.twitter.com/FDNY/status/793918921749319680", "793918921749319680")</f>
        <v>0</v>
      </c>
      <c r="B428" s="2">
        <v>42676.8703125</v>
      </c>
      <c r="C428">
        <v>35</v>
      </c>
      <c r="D428">
        <v>9</v>
      </c>
      <c r="E428" t="s">
        <v>417</v>
      </c>
    </row>
    <row r="429" spans="1:5">
      <c r="A429">
        <f>HYPERLINK("http://www.twitter.com/FDNY/status/793905724661391360", "793905724661391360")</f>
        <v>0</v>
      </c>
      <c r="B429" s="2">
        <v>42676.833900463</v>
      </c>
      <c r="C429">
        <v>8</v>
      </c>
      <c r="D429">
        <v>7</v>
      </c>
      <c r="E429" t="s">
        <v>418</v>
      </c>
    </row>
    <row r="430" spans="1:5">
      <c r="A430">
        <f>HYPERLINK("http://www.twitter.com/FDNY/status/793891496802025472", "793891496802025472")</f>
        <v>0</v>
      </c>
      <c r="B430" s="2">
        <v>42676.7946412037</v>
      </c>
      <c r="C430">
        <v>0</v>
      </c>
      <c r="D430">
        <v>9</v>
      </c>
      <c r="E430" t="s">
        <v>419</v>
      </c>
    </row>
    <row r="431" spans="1:5">
      <c r="A431">
        <f>HYPERLINK("http://www.twitter.com/FDNY/status/793883886640046080", "793883886640046080")</f>
        <v>0</v>
      </c>
      <c r="B431" s="2">
        <v>42676.7736342593</v>
      </c>
      <c r="C431">
        <v>0</v>
      </c>
      <c r="D431">
        <v>16</v>
      </c>
      <c r="E431" t="s">
        <v>420</v>
      </c>
    </row>
    <row r="432" spans="1:5">
      <c r="A432">
        <f>HYPERLINK("http://www.twitter.com/FDNY/status/793865390375985153", "793865390375985153")</f>
        <v>0</v>
      </c>
      <c r="B432" s="2">
        <v>42676.7226041667</v>
      </c>
      <c r="C432">
        <v>0</v>
      </c>
      <c r="D432">
        <v>12</v>
      </c>
      <c r="E432" t="s">
        <v>421</v>
      </c>
    </row>
    <row r="433" spans="1:5">
      <c r="A433">
        <f>HYPERLINK("http://www.twitter.com/FDNY/status/793858284377796614", "793858284377796614")</f>
        <v>0</v>
      </c>
      <c r="B433" s="2">
        <v>42676.7029861111</v>
      </c>
      <c r="C433">
        <v>287</v>
      </c>
      <c r="D433">
        <v>108</v>
      </c>
      <c r="E433" t="s">
        <v>422</v>
      </c>
    </row>
    <row r="434" spans="1:5">
      <c r="A434">
        <f>HYPERLINK("http://www.twitter.com/FDNY/status/793850249756434433", "793850249756434433")</f>
        <v>0</v>
      </c>
      <c r="B434" s="2">
        <v>42676.6808217593</v>
      </c>
      <c r="C434">
        <v>6</v>
      </c>
      <c r="D434">
        <v>7</v>
      </c>
      <c r="E434" t="s">
        <v>423</v>
      </c>
    </row>
    <row r="435" spans="1:5">
      <c r="A435">
        <f>HYPERLINK("http://www.twitter.com/FDNY/status/793846934071046145", "793846934071046145")</f>
        <v>0</v>
      </c>
      <c r="B435" s="2">
        <v>42676.6716666667</v>
      </c>
      <c r="C435">
        <v>0</v>
      </c>
      <c r="D435">
        <v>31</v>
      </c>
      <c r="E435" t="s">
        <v>424</v>
      </c>
    </row>
    <row r="436" spans="1:5">
      <c r="A436">
        <f>HYPERLINK("http://www.twitter.com/FDNY/status/793845077898657794", "793845077898657794")</f>
        <v>0</v>
      </c>
      <c r="B436" s="2">
        <v>42676.6665509259</v>
      </c>
      <c r="C436">
        <v>0</v>
      </c>
      <c r="D436">
        <v>3</v>
      </c>
      <c r="E436" t="s">
        <v>425</v>
      </c>
    </row>
    <row r="437" spans="1:5">
      <c r="A437">
        <f>HYPERLINK("http://www.twitter.com/FDNY/status/793845059418415104", "793845059418415104")</f>
        <v>0</v>
      </c>
      <c r="B437" s="2">
        <v>42676.6664930556</v>
      </c>
      <c r="C437">
        <v>0</v>
      </c>
      <c r="D437">
        <v>2</v>
      </c>
      <c r="E437" t="s">
        <v>426</v>
      </c>
    </row>
    <row r="438" spans="1:5">
      <c r="A438">
        <f>HYPERLINK("http://www.twitter.com/FDNY/status/793841788385722368", "793841788385722368")</f>
        <v>0</v>
      </c>
      <c r="B438" s="2">
        <v>42676.6574652778</v>
      </c>
      <c r="C438">
        <v>37</v>
      </c>
      <c r="D438">
        <v>19</v>
      </c>
      <c r="E438" t="s">
        <v>427</v>
      </c>
    </row>
    <row r="439" spans="1:5">
      <c r="A439">
        <f>HYPERLINK("http://www.twitter.com/FDNY/status/793840882902503424", "793840882902503424")</f>
        <v>0</v>
      </c>
      <c r="B439" s="2">
        <v>42676.6549652778</v>
      </c>
      <c r="C439">
        <v>16</v>
      </c>
      <c r="D439">
        <v>4</v>
      </c>
      <c r="E439" t="s">
        <v>428</v>
      </c>
    </row>
    <row r="440" spans="1:5">
      <c r="A440">
        <f>HYPERLINK("http://www.twitter.com/FDNY/status/793840845766139904", "793840845766139904")</f>
        <v>0</v>
      </c>
      <c r="B440" s="2">
        <v>42676.6548726852</v>
      </c>
      <c r="C440">
        <v>7</v>
      </c>
      <c r="D440">
        <v>4</v>
      </c>
      <c r="E440" t="s">
        <v>429</v>
      </c>
    </row>
    <row r="441" spans="1:5">
      <c r="A441">
        <f>HYPERLINK("http://www.twitter.com/FDNY/status/793838483613814784", "793838483613814784")</f>
        <v>0</v>
      </c>
      <c r="B441" s="2">
        <v>42676.6483449074</v>
      </c>
      <c r="C441">
        <v>0</v>
      </c>
      <c r="D441">
        <v>7</v>
      </c>
      <c r="E441" t="s">
        <v>430</v>
      </c>
    </row>
    <row r="442" spans="1:5">
      <c r="A442">
        <f>HYPERLINK("http://www.twitter.com/FDNY/status/793837535810256901", "793837535810256901")</f>
        <v>0</v>
      </c>
      <c r="B442" s="2">
        <v>42676.6457291667</v>
      </c>
      <c r="C442">
        <v>24</v>
      </c>
      <c r="D442">
        <v>7</v>
      </c>
      <c r="E442" t="s">
        <v>431</v>
      </c>
    </row>
    <row r="443" spans="1:5">
      <c r="A443">
        <f>HYPERLINK("http://www.twitter.com/FDNY/status/793837361515880449", "793837361515880449")</f>
        <v>0</v>
      </c>
      <c r="B443" s="2">
        <v>42676.6452546296</v>
      </c>
      <c r="C443">
        <v>12</v>
      </c>
      <c r="D443">
        <v>2</v>
      </c>
      <c r="E443" t="s">
        <v>432</v>
      </c>
    </row>
    <row r="444" spans="1:5">
      <c r="A444">
        <f>HYPERLINK("http://www.twitter.com/FDNY/status/793835333297274880", "793835333297274880")</f>
        <v>0</v>
      </c>
      <c r="B444" s="2">
        <v>42676.6396527778</v>
      </c>
      <c r="C444">
        <v>35</v>
      </c>
      <c r="D444">
        <v>13</v>
      </c>
      <c r="E444" t="s">
        <v>433</v>
      </c>
    </row>
    <row r="445" spans="1:5">
      <c r="A445">
        <f>HYPERLINK("http://www.twitter.com/FDNY/status/793831163454484480", "793831163454484480")</f>
        <v>0</v>
      </c>
      <c r="B445" s="2">
        <v>42676.6281481481</v>
      </c>
      <c r="C445">
        <v>45</v>
      </c>
      <c r="D445">
        <v>11</v>
      </c>
      <c r="E445" t="s">
        <v>434</v>
      </c>
    </row>
    <row r="446" spans="1:5">
      <c r="A446">
        <f>HYPERLINK("http://www.twitter.com/FDNY/status/793830561966133251", "793830561966133251")</f>
        <v>0</v>
      </c>
      <c r="B446" s="2">
        <v>42676.6264930556</v>
      </c>
      <c r="C446">
        <v>63</v>
      </c>
      <c r="D446">
        <v>21</v>
      </c>
      <c r="E446" t="s">
        <v>435</v>
      </c>
    </row>
    <row r="447" spans="1:5">
      <c r="A447">
        <f>HYPERLINK("http://www.twitter.com/FDNY/status/793830195631390720", "793830195631390720")</f>
        <v>0</v>
      </c>
      <c r="B447" s="2">
        <v>42676.625474537</v>
      </c>
      <c r="C447">
        <v>46</v>
      </c>
      <c r="D447">
        <v>21</v>
      </c>
      <c r="E447" t="s">
        <v>436</v>
      </c>
    </row>
    <row r="448" spans="1:5">
      <c r="A448">
        <f>HYPERLINK("http://www.twitter.com/FDNY/status/793829858472230913", "793829858472230913")</f>
        <v>0</v>
      </c>
      <c r="B448" s="2">
        <v>42676.6245486111</v>
      </c>
      <c r="C448">
        <v>24</v>
      </c>
      <c r="D448">
        <v>9</v>
      </c>
      <c r="E448" t="s">
        <v>437</v>
      </c>
    </row>
    <row r="449" spans="1:5">
      <c r="A449">
        <f>HYPERLINK("http://www.twitter.com/FDNY/status/793829043477082112", "793829043477082112")</f>
        <v>0</v>
      </c>
      <c r="B449" s="2">
        <v>42676.6223032407</v>
      </c>
      <c r="C449">
        <v>28</v>
      </c>
      <c r="D449">
        <v>7</v>
      </c>
      <c r="E449" t="s">
        <v>438</v>
      </c>
    </row>
    <row r="450" spans="1:5">
      <c r="A450">
        <f>HYPERLINK("http://www.twitter.com/FDNY/status/793827909517574144", "793827909517574144")</f>
        <v>0</v>
      </c>
      <c r="B450" s="2">
        <v>42676.6191666667</v>
      </c>
      <c r="C450">
        <v>13</v>
      </c>
      <c r="D450">
        <v>4</v>
      </c>
      <c r="E450" t="s">
        <v>439</v>
      </c>
    </row>
    <row r="451" spans="1:5">
      <c r="A451">
        <f>HYPERLINK("http://www.twitter.com/FDNY/status/793827573868400641", "793827573868400641")</f>
        <v>0</v>
      </c>
      <c r="B451" s="2">
        <v>42676.6182407407</v>
      </c>
      <c r="C451">
        <v>4</v>
      </c>
      <c r="D451">
        <v>6</v>
      </c>
      <c r="E451" t="s">
        <v>440</v>
      </c>
    </row>
    <row r="452" spans="1:5">
      <c r="A452">
        <f>HYPERLINK("http://www.twitter.com/FDNY/status/793817546587865088", "793817546587865088")</f>
        <v>0</v>
      </c>
      <c r="B452" s="2">
        <v>42676.5905787037</v>
      </c>
      <c r="C452">
        <v>0</v>
      </c>
      <c r="D452">
        <v>8</v>
      </c>
      <c r="E452" t="s">
        <v>441</v>
      </c>
    </row>
    <row r="453" spans="1:5">
      <c r="A453">
        <f>HYPERLINK("http://www.twitter.com/FDNY/status/793817425879900160", "793817425879900160")</f>
        <v>0</v>
      </c>
      <c r="B453" s="2">
        <v>42676.5902430556</v>
      </c>
      <c r="C453">
        <v>23</v>
      </c>
      <c r="D453">
        <v>10</v>
      </c>
      <c r="E453" t="s">
        <v>442</v>
      </c>
    </row>
    <row r="454" spans="1:5">
      <c r="A454">
        <f>HYPERLINK("http://www.twitter.com/FDNY/status/793801040424493057", "793801040424493057")</f>
        <v>0</v>
      </c>
      <c r="B454" s="2">
        <v>42676.5450231481</v>
      </c>
      <c r="C454">
        <v>0</v>
      </c>
      <c r="D454">
        <v>7</v>
      </c>
      <c r="E454" t="s">
        <v>443</v>
      </c>
    </row>
    <row r="455" spans="1:5">
      <c r="A455">
        <f>HYPERLINK("http://www.twitter.com/FDNY/status/793796246704119809", "793796246704119809")</f>
        <v>0</v>
      </c>
      <c r="B455" s="2">
        <v>42676.5317939815</v>
      </c>
      <c r="C455">
        <v>3</v>
      </c>
      <c r="D455">
        <v>4</v>
      </c>
      <c r="E455" t="s">
        <v>444</v>
      </c>
    </row>
    <row r="456" spans="1:5">
      <c r="A456">
        <f>HYPERLINK("http://www.twitter.com/FDNY/status/793789826051010564", "793789826051010564")</f>
        <v>0</v>
      </c>
      <c r="B456" s="2">
        <v>42676.5140856481</v>
      </c>
      <c r="C456">
        <v>10</v>
      </c>
      <c r="D456">
        <v>4</v>
      </c>
      <c r="E456" t="s">
        <v>445</v>
      </c>
    </row>
    <row r="457" spans="1:5">
      <c r="A457">
        <f>HYPERLINK("http://www.twitter.com/FDNY/status/793788304298737664", "793788304298737664")</f>
        <v>0</v>
      </c>
      <c r="B457" s="2">
        <v>42676.5098842593</v>
      </c>
      <c r="C457">
        <v>0</v>
      </c>
      <c r="D457">
        <v>5</v>
      </c>
      <c r="E457" t="s">
        <v>446</v>
      </c>
    </row>
    <row r="458" spans="1:5">
      <c r="A458">
        <f>HYPERLINK("http://www.twitter.com/FDNY/status/793780965617332225", "793780965617332225")</f>
        <v>0</v>
      </c>
      <c r="B458" s="2">
        <v>42676.4896296296</v>
      </c>
      <c r="C458">
        <v>14</v>
      </c>
      <c r="D458">
        <v>11</v>
      </c>
      <c r="E458" t="s">
        <v>447</v>
      </c>
    </row>
    <row r="459" spans="1:5">
      <c r="A459">
        <f>HYPERLINK("http://www.twitter.com/FDNY/status/793780905676595200", "793780905676595200")</f>
        <v>0</v>
      </c>
      <c r="B459" s="2">
        <v>42676.4894675926</v>
      </c>
      <c r="C459">
        <v>11</v>
      </c>
      <c r="D459">
        <v>4</v>
      </c>
      <c r="E459" t="s">
        <v>448</v>
      </c>
    </row>
    <row r="460" spans="1:5">
      <c r="A460">
        <f>HYPERLINK("http://www.twitter.com/FDNY/status/793658245479096320", "793658245479096320")</f>
        <v>0</v>
      </c>
      <c r="B460" s="2">
        <v>42676.1509837963</v>
      </c>
      <c r="C460">
        <v>0</v>
      </c>
      <c r="D460">
        <v>13</v>
      </c>
      <c r="E460" t="s">
        <v>449</v>
      </c>
    </row>
    <row r="461" spans="1:5">
      <c r="A461">
        <f>HYPERLINK("http://www.twitter.com/FDNY/status/793625700930551808", "793625700930551808")</f>
        <v>0</v>
      </c>
      <c r="B461" s="2">
        <v>42676.0611805556</v>
      </c>
      <c r="C461">
        <v>60</v>
      </c>
      <c r="D461">
        <v>49</v>
      </c>
      <c r="E461" t="s">
        <v>450</v>
      </c>
    </row>
    <row r="462" spans="1:5">
      <c r="A462">
        <f>HYPERLINK("http://www.twitter.com/FDNY/status/793624733342466048", "793624733342466048")</f>
        <v>0</v>
      </c>
      <c r="B462" s="2">
        <v>42676.0585069444</v>
      </c>
      <c r="C462">
        <v>0</v>
      </c>
      <c r="D462">
        <v>18</v>
      </c>
      <c r="E462" t="s">
        <v>451</v>
      </c>
    </row>
    <row r="463" spans="1:5">
      <c r="A463">
        <f>HYPERLINK("http://www.twitter.com/FDNY/status/793624695421726720", "793624695421726720")</f>
        <v>0</v>
      </c>
      <c r="B463" s="2">
        <v>42676.0584027778</v>
      </c>
      <c r="C463">
        <v>0</v>
      </c>
      <c r="D463">
        <v>14</v>
      </c>
      <c r="E463" t="s">
        <v>452</v>
      </c>
    </row>
    <row r="464" spans="1:5">
      <c r="A464">
        <f>HYPERLINK("http://www.twitter.com/FDNY/status/793623026650738689", "793623026650738689")</f>
        <v>0</v>
      </c>
      <c r="B464" s="2">
        <v>42676.0538078704</v>
      </c>
      <c r="C464">
        <v>111</v>
      </c>
      <c r="D464">
        <v>93</v>
      </c>
      <c r="E464" t="s">
        <v>453</v>
      </c>
    </row>
    <row r="465" spans="1:5">
      <c r="A465">
        <f>HYPERLINK("http://www.twitter.com/FDNY/status/793619211239075841", "793619211239075841")</f>
        <v>0</v>
      </c>
      <c r="B465" s="2">
        <v>42676.043275463</v>
      </c>
      <c r="C465">
        <v>0</v>
      </c>
      <c r="D465">
        <v>3</v>
      </c>
      <c r="E465" t="s">
        <v>454</v>
      </c>
    </row>
    <row r="466" spans="1:5">
      <c r="A466">
        <f>HYPERLINK("http://www.twitter.com/FDNY/status/793619169203802112", "793619169203802112")</f>
        <v>0</v>
      </c>
      <c r="B466" s="2">
        <v>42676.0431597222</v>
      </c>
      <c r="C466">
        <v>0</v>
      </c>
      <c r="D466">
        <v>14</v>
      </c>
      <c r="E466" t="s">
        <v>455</v>
      </c>
    </row>
    <row r="467" spans="1:5">
      <c r="A467">
        <f>HYPERLINK("http://www.twitter.com/FDNY/status/793567103517351940", "793567103517351940")</f>
        <v>0</v>
      </c>
      <c r="B467" s="2">
        <v>42675.8994791667</v>
      </c>
      <c r="C467">
        <v>12</v>
      </c>
      <c r="D467">
        <v>6</v>
      </c>
      <c r="E467" t="s">
        <v>456</v>
      </c>
    </row>
    <row r="468" spans="1:5">
      <c r="A468">
        <f>HYPERLINK("http://www.twitter.com/FDNY/status/793558598043496448", "793558598043496448")</f>
        <v>0</v>
      </c>
      <c r="B468" s="2">
        <v>42675.8760185185</v>
      </c>
      <c r="C468">
        <v>72</v>
      </c>
      <c r="D468">
        <v>16</v>
      </c>
      <c r="E468" t="s">
        <v>457</v>
      </c>
    </row>
    <row r="469" spans="1:5">
      <c r="A469">
        <f>HYPERLINK("http://www.twitter.com/FDNY/status/793554499721895936", "793554499721895936")</f>
        <v>0</v>
      </c>
      <c r="B469" s="2">
        <v>42675.8646990741</v>
      </c>
      <c r="C469">
        <v>7</v>
      </c>
      <c r="D469">
        <v>4</v>
      </c>
      <c r="E469" t="s">
        <v>458</v>
      </c>
    </row>
    <row r="470" spans="1:5">
      <c r="A470">
        <f>HYPERLINK("http://www.twitter.com/FDNY/status/793548200384798720", "793548200384798720")</f>
        <v>0</v>
      </c>
      <c r="B470" s="2">
        <v>42675.8473263889</v>
      </c>
      <c r="C470">
        <v>6</v>
      </c>
      <c r="D470">
        <v>2</v>
      </c>
      <c r="E470" t="s">
        <v>459</v>
      </c>
    </row>
    <row r="471" spans="1:5">
      <c r="A471">
        <f>HYPERLINK("http://www.twitter.com/FDNY/status/793540647806459904", "793540647806459904")</f>
        <v>0</v>
      </c>
      <c r="B471" s="2">
        <v>42675.8264814815</v>
      </c>
      <c r="C471">
        <v>11</v>
      </c>
      <c r="D471">
        <v>5</v>
      </c>
      <c r="E471" t="s">
        <v>460</v>
      </c>
    </row>
    <row r="472" spans="1:5">
      <c r="A472">
        <f>HYPERLINK("http://www.twitter.com/FDNY/status/793520466262626305", "793520466262626305")</f>
        <v>0</v>
      </c>
      <c r="B472" s="2">
        <v>42675.770787037</v>
      </c>
      <c r="C472">
        <v>0</v>
      </c>
      <c r="D472">
        <v>2</v>
      </c>
      <c r="E472" t="s">
        <v>461</v>
      </c>
    </row>
    <row r="473" spans="1:5">
      <c r="A473">
        <f>HYPERLINK("http://www.twitter.com/FDNY/status/793507628416663552", "793507628416663552")</f>
        <v>0</v>
      </c>
      <c r="B473" s="2">
        <v>42675.7353587963</v>
      </c>
      <c r="C473">
        <v>67</v>
      </c>
      <c r="D473">
        <v>20</v>
      </c>
      <c r="E473" t="s">
        <v>462</v>
      </c>
    </row>
    <row r="474" spans="1:5">
      <c r="A474">
        <f>HYPERLINK("http://www.twitter.com/FDNY/status/793484142562467840", "793484142562467840")</f>
        <v>0</v>
      </c>
      <c r="B474" s="2">
        <v>42675.6705555556</v>
      </c>
      <c r="C474">
        <v>17</v>
      </c>
      <c r="D474">
        <v>4</v>
      </c>
      <c r="E474" t="s">
        <v>463</v>
      </c>
    </row>
    <row r="475" spans="1:5">
      <c r="A475">
        <f>HYPERLINK("http://www.twitter.com/FDNY/status/793471845278285825", "793471845278285825")</f>
        <v>0</v>
      </c>
      <c r="B475" s="2">
        <v>42675.6366203704</v>
      </c>
      <c r="C475">
        <v>0</v>
      </c>
      <c r="D475">
        <v>7</v>
      </c>
      <c r="E475" t="s">
        <v>464</v>
      </c>
    </row>
    <row r="476" spans="1:5">
      <c r="A476">
        <f>HYPERLINK("http://www.twitter.com/FDNY/status/793466264408776704", "793466264408776704")</f>
        <v>0</v>
      </c>
      <c r="B476" s="2">
        <v>42675.6212152778</v>
      </c>
      <c r="C476">
        <v>22</v>
      </c>
      <c r="D476">
        <v>10</v>
      </c>
      <c r="E476" t="s">
        <v>465</v>
      </c>
    </row>
    <row r="477" spans="1:5">
      <c r="A477">
        <f>HYPERLINK("http://www.twitter.com/FDNY/status/793450506312122368", "793450506312122368")</f>
        <v>0</v>
      </c>
      <c r="B477" s="2">
        <v>42675.5777314815</v>
      </c>
      <c r="C477">
        <v>24</v>
      </c>
      <c r="D477">
        <v>5</v>
      </c>
      <c r="E477" t="s">
        <v>466</v>
      </c>
    </row>
    <row r="478" spans="1:5">
      <c r="A478">
        <f>HYPERLINK("http://www.twitter.com/FDNY/status/793449633901076480", "793449633901076480")</f>
        <v>0</v>
      </c>
      <c r="B478" s="2">
        <v>42675.5753240741</v>
      </c>
      <c r="C478">
        <v>8</v>
      </c>
      <c r="D478">
        <v>2</v>
      </c>
      <c r="E478" t="s">
        <v>467</v>
      </c>
    </row>
    <row r="479" spans="1:5">
      <c r="A479">
        <f>HYPERLINK("http://www.twitter.com/FDNY/status/793224758162776065", "793224758162776065")</f>
        <v>0</v>
      </c>
      <c r="B479" s="2">
        <v>42674.9547916667</v>
      </c>
      <c r="C479">
        <v>0</v>
      </c>
      <c r="D479">
        <v>10</v>
      </c>
      <c r="E479" t="s">
        <v>468</v>
      </c>
    </row>
    <row r="480" spans="1:5">
      <c r="A480">
        <f>HYPERLINK("http://www.twitter.com/FDNY/status/793190915045195776", "793190915045195776")</f>
        <v>0</v>
      </c>
      <c r="B480" s="2">
        <v>42674.861400463</v>
      </c>
      <c r="C480">
        <v>26</v>
      </c>
      <c r="D480">
        <v>9</v>
      </c>
      <c r="E480" t="s">
        <v>469</v>
      </c>
    </row>
    <row r="481" spans="1:5">
      <c r="A481">
        <f>HYPERLINK("http://www.twitter.com/FDNY/status/793170880750882816", "793170880750882816")</f>
        <v>0</v>
      </c>
      <c r="B481" s="2">
        <v>42674.8061226852</v>
      </c>
      <c r="C481">
        <v>29</v>
      </c>
      <c r="D481">
        <v>8</v>
      </c>
      <c r="E481" t="s">
        <v>470</v>
      </c>
    </row>
    <row r="482" spans="1:5">
      <c r="A482">
        <f>HYPERLINK("http://www.twitter.com/FDNY/status/793158343980449796", "793158343980449796")</f>
        <v>0</v>
      </c>
      <c r="B482" s="2">
        <v>42674.7715277778</v>
      </c>
      <c r="C482">
        <v>16</v>
      </c>
      <c r="D482">
        <v>11</v>
      </c>
      <c r="E482" t="s">
        <v>471</v>
      </c>
    </row>
    <row r="483" spans="1:5">
      <c r="A483">
        <f>HYPERLINK("http://www.twitter.com/FDNY/status/793134672456871936", "793134672456871936")</f>
        <v>0</v>
      </c>
      <c r="B483" s="2">
        <v>42674.7062037037</v>
      </c>
      <c r="C483">
        <v>2</v>
      </c>
      <c r="D483">
        <v>0</v>
      </c>
      <c r="E483" t="s">
        <v>472</v>
      </c>
    </row>
    <row r="484" spans="1:5">
      <c r="A484">
        <f>HYPERLINK("http://www.twitter.com/FDNY/status/793124343802949632", "793124343802949632")</f>
        <v>0</v>
      </c>
      <c r="B484" s="2">
        <v>42674.6776967593</v>
      </c>
      <c r="C484">
        <v>42</v>
      </c>
      <c r="D484">
        <v>19</v>
      </c>
      <c r="E484" t="s">
        <v>473</v>
      </c>
    </row>
    <row r="485" spans="1:5">
      <c r="A485">
        <f>HYPERLINK("http://www.twitter.com/FDNY/status/793121764003999744", "793121764003999744")</f>
        <v>0</v>
      </c>
      <c r="B485" s="2">
        <v>42674.6705787037</v>
      </c>
      <c r="C485">
        <v>80</v>
      </c>
      <c r="D485">
        <v>42</v>
      </c>
      <c r="E485" t="s">
        <v>474</v>
      </c>
    </row>
    <row r="486" spans="1:5">
      <c r="A486">
        <f>HYPERLINK("http://www.twitter.com/FDNY/status/793104381440917504", "793104381440917504")</f>
        <v>0</v>
      </c>
      <c r="B486" s="2">
        <v>42674.6226157407</v>
      </c>
      <c r="C486">
        <v>0</v>
      </c>
      <c r="D486">
        <v>13</v>
      </c>
      <c r="E486" t="s">
        <v>475</v>
      </c>
    </row>
    <row r="487" spans="1:5">
      <c r="A487">
        <f>HYPERLINK("http://www.twitter.com/FDNY/status/793104337169944576", "793104337169944576")</f>
        <v>0</v>
      </c>
      <c r="B487" s="2">
        <v>42674.6224884259</v>
      </c>
      <c r="C487">
        <v>0</v>
      </c>
      <c r="D487">
        <v>6</v>
      </c>
      <c r="E487" t="s">
        <v>476</v>
      </c>
    </row>
    <row r="488" spans="1:5">
      <c r="A488">
        <f>HYPERLINK("http://www.twitter.com/FDNY/status/793090573620113408", "793090573620113408")</f>
        <v>0</v>
      </c>
      <c r="B488" s="2">
        <v>42674.5845138889</v>
      </c>
      <c r="C488">
        <v>18</v>
      </c>
      <c r="D488">
        <v>11</v>
      </c>
      <c r="E488" t="s">
        <v>477</v>
      </c>
    </row>
    <row r="489" spans="1:5">
      <c r="A489">
        <f>HYPERLINK("http://www.twitter.com/FDNY/status/793089872819003393", "793089872819003393")</f>
        <v>0</v>
      </c>
      <c r="B489" s="2">
        <v>42674.5825810185</v>
      </c>
      <c r="C489">
        <v>0</v>
      </c>
      <c r="D489">
        <v>8</v>
      </c>
      <c r="E489" t="s">
        <v>478</v>
      </c>
    </row>
    <row r="490" spans="1:5">
      <c r="A490">
        <f>HYPERLINK("http://www.twitter.com/FDNY/status/792862838226157569", "792862838226157569")</f>
        <v>0</v>
      </c>
      <c r="B490" s="2">
        <v>42673.9560763889</v>
      </c>
      <c r="C490">
        <v>0</v>
      </c>
      <c r="D490">
        <v>18</v>
      </c>
      <c r="E490" t="s">
        <v>479</v>
      </c>
    </row>
    <row r="491" spans="1:5">
      <c r="A491">
        <f>HYPERLINK("http://www.twitter.com/FDNY/status/792804109145542657", "792804109145542657")</f>
        <v>0</v>
      </c>
      <c r="B491" s="2">
        <v>42673.7940162037</v>
      </c>
      <c r="C491">
        <v>2</v>
      </c>
      <c r="D491">
        <v>0</v>
      </c>
      <c r="E491" t="s">
        <v>480</v>
      </c>
    </row>
    <row r="492" spans="1:5">
      <c r="A492">
        <f>HYPERLINK("http://www.twitter.com/FDNY/status/792779753145176068", "792779753145176068")</f>
        <v>0</v>
      </c>
      <c r="B492" s="2">
        <v>42673.7268055556</v>
      </c>
      <c r="C492">
        <v>0</v>
      </c>
      <c r="D492">
        <v>15</v>
      </c>
      <c r="E492" t="s">
        <v>481</v>
      </c>
    </row>
    <row r="493" spans="1:5">
      <c r="A493">
        <f>HYPERLINK("http://www.twitter.com/FDNY/status/792779728298078208", "792779728298078208")</f>
        <v>0</v>
      </c>
      <c r="B493" s="2">
        <v>42673.7267476852</v>
      </c>
      <c r="C493">
        <v>0</v>
      </c>
      <c r="D493">
        <v>23</v>
      </c>
      <c r="E493" t="s">
        <v>482</v>
      </c>
    </row>
    <row r="494" spans="1:5">
      <c r="A494">
        <f>HYPERLINK("http://www.twitter.com/FDNY/status/792771929283461120", "792771929283461120")</f>
        <v>0</v>
      </c>
      <c r="B494" s="2">
        <v>42673.7052199074</v>
      </c>
      <c r="C494">
        <v>117</v>
      </c>
      <c r="D494">
        <v>74</v>
      </c>
      <c r="E494" t="s">
        <v>483</v>
      </c>
    </row>
    <row r="495" spans="1:5">
      <c r="A495">
        <f>HYPERLINK("http://www.twitter.com/FDNY/status/792753367403663360", "792753367403663360")</f>
        <v>0</v>
      </c>
      <c r="B495" s="2">
        <v>42673.6540046296</v>
      </c>
      <c r="C495">
        <v>227</v>
      </c>
      <c r="D495">
        <v>170</v>
      </c>
      <c r="E495" t="s">
        <v>484</v>
      </c>
    </row>
    <row r="496" spans="1:5">
      <c r="A496">
        <f>HYPERLINK("http://www.twitter.com/FDNY/status/792732875774894080", "792732875774894080")</f>
        <v>0</v>
      </c>
      <c r="B496" s="2">
        <v>42673.5974537037</v>
      </c>
      <c r="C496">
        <v>96</v>
      </c>
      <c r="D496">
        <v>23</v>
      </c>
      <c r="E496" t="s">
        <v>485</v>
      </c>
    </row>
    <row r="497" spans="1:5">
      <c r="A497">
        <f>HYPERLINK("http://www.twitter.com/FDNY/status/792729076477878272", "792729076477878272")</f>
        <v>0</v>
      </c>
      <c r="B497" s="2">
        <v>42673.5869675926</v>
      </c>
      <c r="C497">
        <v>13</v>
      </c>
      <c r="D497">
        <v>5</v>
      </c>
      <c r="E497" t="s">
        <v>486</v>
      </c>
    </row>
    <row r="498" spans="1:5">
      <c r="A498">
        <f>HYPERLINK("http://www.twitter.com/FDNY/status/792728381343301633", "792728381343301633")</f>
        <v>0</v>
      </c>
      <c r="B498" s="2">
        <v>42673.5850462963</v>
      </c>
      <c r="C498">
        <v>0</v>
      </c>
      <c r="D498">
        <v>15</v>
      </c>
      <c r="E498" t="s">
        <v>487</v>
      </c>
    </row>
    <row r="499" spans="1:5">
      <c r="A499">
        <f>HYPERLINK("http://www.twitter.com/FDNY/status/792565001944989696", "792565001944989696")</f>
        <v>0</v>
      </c>
      <c r="B499" s="2">
        <v>42673.134212963</v>
      </c>
      <c r="C499">
        <v>84</v>
      </c>
      <c r="D499">
        <v>20</v>
      </c>
      <c r="E499" t="s">
        <v>488</v>
      </c>
    </row>
    <row r="500" spans="1:5">
      <c r="A500">
        <f>HYPERLINK("http://www.twitter.com/FDNY/status/792542678760259585", "792542678760259585")</f>
        <v>0</v>
      </c>
      <c r="B500" s="2">
        <v>42673.0726157407</v>
      </c>
      <c r="C500">
        <v>0</v>
      </c>
      <c r="D500">
        <v>15</v>
      </c>
      <c r="E500" t="s">
        <v>489</v>
      </c>
    </row>
    <row r="501" spans="1:5">
      <c r="A501">
        <f>HYPERLINK("http://www.twitter.com/FDNY/status/792542656668852224", "792542656668852224")</f>
        <v>0</v>
      </c>
      <c r="B501" s="2">
        <v>42673.0725462963</v>
      </c>
      <c r="C501">
        <v>0</v>
      </c>
      <c r="D501">
        <v>13</v>
      </c>
      <c r="E501" t="s">
        <v>490</v>
      </c>
    </row>
    <row r="502" spans="1:5">
      <c r="A502">
        <f>HYPERLINK("http://www.twitter.com/FDNY/status/792467366491910146", "792467366491910146")</f>
        <v>0</v>
      </c>
      <c r="B502" s="2">
        <v>42672.8647916667</v>
      </c>
      <c r="C502">
        <v>125</v>
      </c>
      <c r="D502">
        <v>41</v>
      </c>
      <c r="E502" t="s">
        <v>491</v>
      </c>
    </row>
    <row r="503" spans="1:5">
      <c r="A503">
        <f>HYPERLINK("http://www.twitter.com/FDNY/status/792443468010360832", "792443468010360832")</f>
        <v>0</v>
      </c>
      <c r="B503" s="2">
        <v>42672.7988425926</v>
      </c>
      <c r="C503">
        <v>19</v>
      </c>
      <c r="D503">
        <v>15</v>
      </c>
      <c r="E503" t="s">
        <v>492</v>
      </c>
    </row>
    <row r="504" spans="1:5">
      <c r="A504">
        <f>HYPERLINK("http://www.twitter.com/FDNY/status/792437526992658432", "792437526992658432")</f>
        <v>0</v>
      </c>
      <c r="B504" s="2">
        <v>42672.7824421296</v>
      </c>
      <c r="C504">
        <v>0</v>
      </c>
      <c r="D504">
        <v>5</v>
      </c>
      <c r="E504" t="s">
        <v>493</v>
      </c>
    </row>
    <row r="505" spans="1:5">
      <c r="A505">
        <f>HYPERLINK("http://www.twitter.com/FDNY/status/792413835214852096", "792413835214852096")</f>
        <v>0</v>
      </c>
      <c r="B505" s="2">
        <v>42672.7170717593</v>
      </c>
      <c r="C505">
        <v>0</v>
      </c>
      <c r="D505">
        <v>5</v>
      </c>
      <c r="E505" t="s">
        <v>494</v>
      </c>
    </row>
    <row r="506" spans="1:5">
      <c r="A506">
        <f>HYPERLINK("http://www.twitter.com/FDNY/status/792385877863522304", "792385877863522304")</f>
        <v>0</v>
      </c>
      <c r="B506" s="2">
        <v>42672.6399189815</v>
      </c>
      <c r="C506">
        <v>0</v>
      </c>
      <c r="D506">
        <v>2</v>
      </c>
      <c r="E506" t="s">
        <v>495</v>
      </c>
    </row>
    <row r="507" spans="1:5">
      <c r="A507">
        <f>HYPERLINK("http://www.twitter.com/FDNY/status/792385868757667840", "792385868757667840")</f>
        <v>0</v>
      </c>
      <c r="B507" s="2">
        <v>42672.6398958333</v>
      </c>
      <c r="C507">
        <v>0</v>
      </c>
      <c r="D507">
        <v>4</v>
      </c>
      <c r="E507" t="s">
        <v>496</v>
      </c>
    </row>
    <row r="508" spans="1:5">
      <c r="A508">
        <f>HYPERLINK("http://www.twitter.com/FDNY/status/792385785005805568", "792385785005805568")</f>
        <v>0</v>
      </c>
      <c r="B508" s="2">
        <v>42672.6396643519</v>
      </c>
      <c r="C508">
        <v>26</v>
      </c>
      <c r="D508">
        <v>12</v>
      </c>
      <c r="E508" t="s">
        <v>497</v>
      </c>
    </row>
    <row r="509" spans="1:5">
      <c r="A509">
        <f>HYPERLINK("http://www.twitter.com/FDNY/status/792385380616134656", "792385380616134656")</f>
        <v>0</v>
      </c>
      <c r="B509" s="2">
        <v>42672.6385532407</v>
      </c>
      <c r="C509">
        <v>66</v>
      </c>
      <c r="D509">
        <v>27</v>
      </c>
      <c r="E509" t="s">
        <v>498</v>
      </c>
    </row>
    <row r="510" spans="1:5">
      <c r="A510">
        <f>HYPERLINK("http://www.twitter.com/FDNY/status/792385178102538240", "792385178102538240")</f>
        <v>0</v>
      </c>
      <c r="B510" s="2">
        <v>42672.6379861111</v>
      </c>
      <c r="C510">
        <v>55</v>
      </c>
      <c r="D510">
        <v>19</v>
      </c>
      <c r="E510" t="s">
        <v>499</v>
      </c>
    </row>
    <row r="511" spans="1:5">
      <c r="A511">
        <f>HYPERLINK("http://www.twitter.com/FDNY/status/792356601537650688", "792356601537650688")</f>
        <v>0</v>
      </c>
      <c r="B511" s="2">
        <v>42672.5591319444</v>
      </c>
      <c r="C511">
        <v>21</v>
      </c>
      <c r="D511">
        <v>7</v>
      </c>
      <c r="E511" t="s">
        <v>500</v>
      </c>
    </row>
    <row r="512" spans="1:5">
      <c r="A512">
        <f>HYPERLINK("http://www.twitter.com/FDNY/status/792129856905543681", "792129856905543681")</f>
        <v>0</v>
      </c>
      <c r="B512" s="2">
        <v>42671.9334375</v>
      </c>
      <c r="C512">
        <v>33</v>
      </c>
      <c r="D512">
        <v>19</v>
      </c>
      <c r="E512" t="s">
        <v>501</v>
      </c>
    </row>
    <row r="513" spans="1:5">
      <c r="A513">
        <f>HYPERLINK("http://www.twitter.com/FDNY/status/792121597452808192", "792121597452808192")</f>
        <v>0</v>
      </c>
      <c r="B513" s="2">
        <v>42671.9106481482</v>
      </c>
      <c r="C513">
        <v>24</v>
      </c>
      <c r="D513">
        <v>10</v>
      </c>
      <c r="E513" t="s">
        <v>502</v>
      </c>
    </row>
    <row r="514" spans="1:5">
      <c r="A514">
        <f>HYPERLINK("http://www.twitter.com/FDNY/status/792112521427771395", "792112521427771395")</f>
        <v>0</v>
      </c>
      <c r="B514" s="2">
        <v>42671.8856018518</v>
      </c>
      <c r="C514">
        <v>13</v>
      </c>
      <c r="D514">
        <v>11</v>
      </c>
      <c r="E514" t="s">
        <v>503</v>
      </c>
    </row>
    <row r="515" spans="1:5">
      <c r="A515">
        <f>HYPERLINK("http://www.twitter.com/FDNY/status/792104997135740928", "792104997135740928")</f>
        <v>0</v>
      </c>
      <c r="B515" s="2">
        <v>42671.864837963</v>
      </c>
      <c r="C515">
        <v>7</v>
      </c>
      <c r="D515">
        <v>5</v>
      </c>
      <c r="E515" t="s">
        <v>504</v>
      </c>
    </row>
    <row r="516" spans="1:5">
      <c r="A516">
        <f>HYPERLINK("http://www.twitter.com/FDNY/status/792075738417618949", "792075738417618949")</f>
        <v>0</v>
      </c>
      <c r="B516" s="2">
        <v>42671.7840972222</v>
      </c>
      <c r="C516">
        <v>18</v>
      </c>
      <c r="D516">
        <v>7</v>
      </c>
      <c r="E516" t="s">
        <v>505</v>
      </c>
    </row>
    <row r="517" spans="1:5">
      <c r="A517">
        <f>HYPERLINK("http://www.twitter.com/FDNY/status/792075229162078208", "792075229162078208")</f>
        <v>0</v>
      </c>
      <c r="B517" s="2">
        <v>42671.7826967593</v>
      </c>
      <c r="C517">
        <v>5</v>
      </c>
      <c r="D517">
        <v>4</v>
      </c>
      <c r="E517" t="s">
        <v>506</v>
      </c>
    </row>
    <row r="518" spans="1:5">
      <c r="A518">
        <f>HYPERLINK("http://www.twitter.com/FDNY/status/792074073262153728", "792074073262153728")</f>
        <v>0</v>
      </c>
      <c r="B518" s="2">
        <v>42671.7795023148</v>
      </c>
      <c r="C518">
        <v>0</v>
      </c>
      <c r="D518">
        <v>22</v>
      </c>
      <c r="E518" t="s">
        <v>507</v>
      </c>
    </row>
    <row r="519" spans="1:5">
      <c r="A519">
        <f>HYPERLINK("http://www.twitter.com/FDNY/status/792074040559144962", "792074040559144962")</f>
        <v>0</v>
      </c>
      <c r="B519" s="2">
        <v>42671.7794097222</v>
      </c>
      <c r="C519">
        <v>0</v>
      </c>
      <c r="D519">
        <v>2</v>
      </c>
      <c r="E519" t="s">
        <v>508</v>
      </c>
    </row>
    <row r="520" spans="1:5">
      <c r="A520">
        <f>HYPERLINK("http://www.twitter.com/FDNY/status/792074028974501888", "792074028974501888")</f>
        <v>0</v>
      </c>
      <c r="B520" s="2">
        <v>42671.7793865741</v>
      </c>
      <c r="C520">
        <v>0</v>
      </c>
      <c r="D520">
        <v>5</v>
      </c>
      <c r="E520" t="s">
        <v>509</v>
      </c>
    </row>
    <row r="521" spans="1:5">
      <c r="A521">
        <f>HYPERLINK("http://www.twitter.com/FDNY/status/792073236674646016", "792073236674646016")</f>
        <v>0</v>
      </c>
      <c r="B521" s="2">
        <v>42671.7771990741</v>
      </c>
      <c r="C521">
        <v>9</v>
      </c>
      <c r="D521">
        <v>3</v>
      </c>
      <c r="E521" t="s">
        <v>510</v>
      </c>
    </row>
    <row r="522" spans="1:5">
      <c r="A522">
        <f>HYPERLINK("http://www.twitter.com/FDNY/status/792073178055073792", "792073178055073792")</f>
        <v>0</v>
      </c>
      <c r="B522" s="2">
        <v>42671.777037037</v>
      </c>
      <c r="C522">
        <v>16</v>
      </c>
      <c r="D522">
        <v>3</v>
      </c>
      <c r="E522" t="s">
        <v>511</v>
      </c>
    </row>
    <row r="523" spans="1:5">
      <c r="A523">
        <f>HYPERLINK("http://www.twitter.com/FDNY/status/792073106156294145", "792073106156294145")</f>
        <v>0</v>
      </c>
      <c r="B523" s="2">
        <v>42671.7768402778</v>
      </c>
      <c r="C523">
        <v>15</v>
      </c>
      <c r="D523">
        <v>6</v>
      </c>
      <c r="E523" t="s">
        <v>512</v>
      </c>
    </row>
    <row r="524" spans="1:5">
      <c r="A524">
        <f>HYPERLINK("http://www.twitter.com/FDNY/status/792048334294937600", "792048334294937600")</f>
        <v>0</v>
      </c>
      <c r="B524" s="2">
        <v>42671.7084837963</v>
      </c>
      <c r="C524">
        <v>16</v>
      </c>
      <c r="D524">
        <v>1</v>
      </c>
      <c r="E524" t="s">
        <v>513</v>
      </c>
    </row>
    <row r="525" spans="1:5">
      <c r="A525">
        <f>HYPERLINK("http://www.twitter.com/FDNY/status/792044937697198080", "792044937697198080")</f>
        <v>0</v>
      </c>
      <c r="B525" s="2">
        <v>42671.6991087963</v>
      </c>
      <c r="C525">
        <v>16</v>
      </c>
      <c r="D525">
        <v>3</v>
      </c>
      <c r="E525" t="s">
        <v>514</v>
      </c>
    </row>
    <row r="526" spans="1:5">
      <c r="A526">
        <f>HYPERLINK("http://www.twitter.com/FDNY/status/792044774874382336", "792044774874382336")</f>
        <v>0</v>
      </c>
      <c r="B526" s="2">
        <v>42671.6986574074</v>
      </c>
      <c r="C526">
        <v>26</v>
      </c>
      <c r="D526">
        <v>8</v>
      </c>
      <c r="E526" t="s">
        <v>515</v>
      </c>
    </row>
    <row r="527" spans="1:5">
      <c r="A527">
        <f>HYPERLINK("http://www.twitter.com/FDNY/status/792042771699929088", "792042771699929088")</f>
        <v>0</v>
      </c>
      <c r="B527" s="2">
        <v>42671.693125</v>
      </c>
      <c r="C527">
        <v>42</v>
      </c>
      <c r="D527">
        <v>13</v>
      </c>
      <c r="E527" t="s">
        <v>516</v>
      </c>
    </row>
    <row r="528" spans="1:5">
      <c r="A528">
        <f>HYPERLINK("http://www.twitter.com/FDNY/status/792042208547463168", "792042208547463168")</f>
        <v>0</v>
      </c>
      <c r="B528" s="2">
        <v>42671.6915740741</v>
      </c>
      <c r="C528">
        <v>18</v>
      </c>
      <c r="D528">
        <v>7</v>
      </c>
      <c r="E528" t="s">
        <v>517</v>
      </c>
    </row>
    <row r="529" spans="1:5">
      <c r="A529">
        <f>HYPERLINK("http://www.twitter.com/FDNY/status/792038677572640776", "792038677572640776")</f>
        <v>0</v>
      </c>
      <c r="B529" s="2">
        <v>42671.6818287037</v>
      </c>
      <c r="C529">
        <v>14</v>
      </c>
      <c r="D529">
        <v>5</v>
      </c>
      <c r="E529" t="s">
        <v>518</v>
      </c>
    </row>
    <row r="530" spans="1:5">
      <c r="A530">
        <f>HYPERLINK("http://www.twitter.com/FDNY/status/792037708407377920", "792037708407377920")</f>
        <v>0</v>
      </c>
      <c r="B530" s="2">
        <v>42671.6791550926</v>
      </c>
      <c r="C530">
        <v>34</v>
      </c>
      <c r="D530">
        <v>13</v>
      </c>
      <c r="E530" t="s">
        <v>519</v>
      </c>
    </row>
    <row r="531" spans="1:5">
      <c r="A531">
        <f>HYPERLINK("http://www.twitter.com/FDNY/status/792030840473677824", "792030840473677824")</f>
        <v>0</v>
      </c>
      <c r="B531" s="2">
        <v>42671.6602083333</v>
      </c>
      <c r="C531">
        <v>62</v>
      </c>
      <c r="D531">
        <v>33</v>
      </c>
      <c r="E531" t="s">
        <v>520</v>
      </c>
    </row>
    <row r="532" spans="1:5">
      <c r="A532">
        <f>HYPERLINK("http://www.twitter.com/FDNY/status/792029062101426176", "792029062101426176")</f>
        <v>0</v>
      </c>
      <c r="B532" s="2">
        <v>42671.6553009259</v>
      </c>
      <c r="C532">
        <v>7</v>
      </c>
      <c r="D532">
        <v>6</v>
      </c>
      <c r="E532" t="s">
        <v>521</v>
      </c>
    </row>
    <row r="533" spans="1:5">
      <c r="A533">
        <f>HYPERLINK("http://www.twitter.com/FDNY/status/792003292624719872", "792003292624719872")</f>
        <v>0</v>
      </c>
      <c r="B533" s="2">
        <v>42671.5841898148</v>
      </c>
      <c r="C533">
        <v>20</v>
      </c>
      <c r="D533">
        <v>13</v>
      </c>
      <c r="E533" t="s">
        <v>522</v>
      </c>
    </row>
    <row r="534" spans="1:5">
      <c r="A534">
        <f>HYPERLINK("http://www.twitter.com/FDNY/status/791820656501547008", "791820656501547008")</f>
        <v>0</v>
      </c>
      <c r="B534" s="2">
        <v>42671.0802083333</v>
      </c>
      <c r="C534">
        <v>0</v>
      </c>
      <c r="D534">
        <v>6</v>
      </c>
      <c r="E534" t="s">
        <v>523</v>
      </c>
    </row>
    <row r="535" spans="1:5">
      <c r="A535">
        <f>HYPERLINK("http://www.twitter.com/FDNY/status/791802729089863680", "791802729089863680")</f>
        <v>0</v>
      </c>
      <c r="B535" s="2">
        <v>42671.0307407407</v>
      </c>
      <c r="C535">
        <v>0</v>
      </c>
      <c r="D535">
        <v>7</v>
      </c>
      <c r="E535" t="s">
        <v>524</v>
      </c>
    </row>
    <row r="536" spans="1:5">
      <c r="A536">
        <f>HYPERLINK("http://www.twitter.com/FDNY/status/791750369378439168", "791750369378439168")</f>
        <v>0</v>
      </c>
      <c r="B536" s="2">
        <v>42670.88625</v>
      </c>
      <c r="C536">
        <v>344</v>
      </c>
      <c r="D536">
        <v>248</v>
      </c>
      <c r="E536" t="s">
        <v>525</v>
      </c>
    </row>
    <row r="537" spans="1:5">
      <c r="A537">
        <f>HYPERLINK("http://www.twitter.com/FDNY/status/791746618655641602", "791746618655641602")</f>
        <v>0</v>
      </c>
      <c r="B537" s="2">
        <v>42670.8759027778</v>
      </c>
      <c r="C537">
        <v>41</v>
      </c>
      <c r="D537">
        <v>14</v>
      </c>
      <c r="E537" t="s">
        <v>526</v>
      </c>
    </row>
    <row r="538" spans="1:5">
      <c r="A538">
        <f>HYPERLINK("http://www.twitter.com/FDNY/status/791737924660396033", "791737924660396033")</f>
        <v>0</v>
      </c>
      <c r="B538" s="2">
        <v>42670.8519097222</v>
      </c>
      <c r="C538">
        <v>27</v>
      </c>
      <c r="D538">
        <v>13</v>
      </c>
      <c r="E538" t="s">
        <v>527</v>
      </c>
    </row>
    <row r="539" spans="1:5">
      <c r="A539">
        <f>HYPERLINK("http://www.twitter.com/FDNY/status/791737311298027524", "791737311298027524")</f>
        <v>0</v>
      </c>
      <c r="B539" s="2">
        <v>42670.8502199074</v>
      </c>
      <c r="C539">
        <v>11</v>
      </c>
      <c r="D539">
        <v>9</v>
      </c>
      <c r="E539" t="s">
        <v>528</v>
      </c>
    </row>
    <row r="540" spans="1:5">
      <c r="A540">
        <f>HYPERLINK("http://www.twitter.com/FDNY/status/791716530044203010", "791716530044203010")</f>
        <v>0</v>
      </c>
      <c r="B540" s="2">
        <v>42670.7928703704</v>
      </c>
      <c r="C540">
        <v>95</v>
      </c>
      <c r="D540">
        <v>54</v>
      </c>
      <c r="E540" t="s">
        <v>529</v>
      </c>
    </row>
    <row r="541" spans="1:5">
      <c r="A541">
        <f>HYPERLINK("http://www.twitter.com/FDNY/status/791705700074418179", "791705700074418179")</f>
        <v>0</v>
      </c>
      <c r="B541" s="2">
        <v>42670.7629861111</v>
      </c>
      <c r="C541">
        <v>0</v>
      </c>
      <c r="D541">
        <v>16</v>
      </c>
      <c r="E541" t="s">
        <v>530</v>
      </c>
    </row>
    <row r="542" spans="1:5">
      <c r="A542">
        <f>HYPERLINK("http://www.twitter.com/FDNY/status/791687393699061761", "791687393699061761")</f>
        <v>0</v>
      </c>
      <c r="B542" s="2">
        <v>42670.7124768519</v>
      </c>
      <c r="C542">
        <v>0</v>
      </c>
      <c r="D542">
        <v>4</v>
      </c>
      <c r="E542" t="s">
        <v>531</v>
      </c>
    </row>
    <row r="543" spans="1:5">
      <c r="A543">
        <f>HYPERLINK("http://www.twitter.com/FDNY/status/791684640327213058", "791684640327213058")</f>
        <v>0</v>
      </c>
      <c r="B543" s="2">
        <v>42670.7048726852</v>
      </c>
      <c r="C543">
        <v>0</v>
      </c>
      <c r="D543">
        <v>8</v>
      </c>
      <c r="E543" t="s">
        <v>532</v>
      </c>
    </row>
    <row r="544" spans="1:5">
      <c r="A544">
        <f>HYPERLINK("http://www.twitter.com/FDNY/status/791684624036626432", "791684624036626432")</f>
        <v>0</v>
      </c>
      <c r="B544" s="2">
        <v>42670.7048263889</v>
      </c>
      <c r="C544">
        <v>0</v>
      </c>
      <c r="D544">
        <v>6</v>
      </c>
      <c r="E544" t="s">
        <v>533</v>
      </c>
    </row>
    <row r="545" spans="1:5">
      <c r="A545">
        <f>HYPERLINK("http://www.twitter.com/FDNY/status/791684275242409984", "791684275242409984")</f>
        <v>0</v>
      </c>
      <c r="B545" s="2">
        <v>42670.7038657407</v>
      </c>
      <c r="C545">
        <v>8</v>
      </c>
      <c r="D545">
        <v>4</v>
      </c>
      <c r="E545" t="s">
        <v>534</v>
      </c>
    </row>
    <row r="546" spans="1:5">
      <c r="A546">
        <f>HYPERLINK("http://www.twitter.com/FDNY/status/791677885585170434", "791677885585170434")</f>
        <v>0</v>
      </c>
      <c r="B546" s="2">
        <v>42670.6862384259</v>
      </c>
      <c r="C546">
        <v>86</v>
      </c>
      <c r="D546">
        <v>28</v>
      </c>
      <c r="E546" t="s">
        <v>535</v>
      </c>
    </row>
    <row r="547" spans="1:5">
      <c r="A547">
        <f>HYPERLINK("http://www.twitter.com/FDNY/status/791674266005696513", "791674266005696513")</f>
        <v>0</v>
      </c>
      <c r="B547" s="2">
        <v>42670.67625</v>
      </c>
      <c r="C547">
        <v>12</v>
      </c>
      <c r="D547">
        <v>12</v>
      </c>
      <c r="E547" t="s">
        <v>536</v>
      </c>
    </row>
    <row r="548" spans="1:5">
      <c r="A548">
        <f>HYPERLINK("http://www.twitter.com/FDNY/status/791673322215972864", "791673322215972864")</f>
        <v>0</v>
      </c>
      <c r="B548" s="2">
        <v>42670.6736458333</v>
      </c>
      <c r="C548">
        <v>8</v>
      </c>
      <c r="D548">
        <v>8</v>
      </c>
      <c r="E548" t="s">
        <v>537</v>
      </c>
    </row>
    <row r="549" spans="1:5">
      <c r="A549">
        <f>HYPERLINK("http://www.twitter.com/FDNY/status/791673040232996864", "791673040232996864")</f>
        <v>0</v>
      </c>
      <c r="B549" s="2">
        <v>42670.6728703704</v>
      </c>
      <c r="C549">
        <v>12</v>
      </c>
      <c r="D549">
        <v>10</v>
      </c>
      <c r="E549" t="s">
        <v>538</v>
      </c>
    </row>
    <row r="550" spans="1:5">
      <c r="A550">
        <f>HYPERLINK("http://www.twitter.com/FDNY/status/791669309445697538", "791669309445697538")</f>
        <v>0</v>
      </c>
      <c r="B550" s="2">
        <v>42670.6625694444</v>
      </c>
      <c r="C550">
        <v>7</v>
      </c>
      <c r="D550">
        <v>4</v>
      </c>
      <c r="E550" t="s">
        <v>539</v>
      </c>
    </row>
    <row r="551" spans="1:5">
      <c r="A551">
        <f>HYPERLINK("http://www.twitter.com/FDNY/status/791665855977381888", "791665855977381888")</f>
        <v>0</v>
      </c>
      <c r="B551" s="2">
        <v>42670.6530439815</v>
      </c>
      <c r="C551">
        <v>18</v>
      </c>
      <c r="D551">
        <v>7</v>
      </c>
      <c r="E551" t="s">
        <v>540</v>
      </c>
    </row>
    <row r="552" spans="1:5">
      <c r="A552">
        <f>HYPERLINK("http://www.twitter.com/FDNY/status/791664777718267904", "791664777718267904")</f>
        <v>0</v>
      </c>
      <c r="B552" s="2">
        <v>42670.6500694444</v>
      </c>
      <c r="C552">
        <v>22</v>
      </c>
      <c r="D552">
        <v>9</v>
      </c>
      <c r="E552" t="s">
        <v>541</v>
      </c>
    </row>
    <row r="553" spans="1:5">
      <c r="A553">
        <f>HYPERLINK("http://www.twitter.com/FDNY/status/791663806095171584", "791663806095171584")</f>
        <v>0</v>
      </c>
      <c r="B553" s="2">
        <v>42670.6473842593</v>
      </c>
      <c r="C553">
        <v>17</v>
      </c>
      <c r="D553">
        <v>7</v>
      </c>
      <c r="E553" t="s">
        <v>542</v>
      </c>
    </row>
    <row r="554" spans="1:5">
      <c r="A554">
        <f>HYPERLINK("http://www.twitter.com/FDNY/status/791663731621171200", "791663731621171200")</f>
        <v>0</v>
      </c>
      <c r="B554" s="2">
        <v>42670.6471759259</v>
      </c>
      <c r="C554">
        <v>9</v>
      </c>
      <c r="D554">
        <v>8</v>
      </c>
      <c r="E554" t="s">
        <v>543</v>
      </c>
    </row>
    <row r="555" spans="1:5">
      <c r="A555">
        <f>HYPERLINK("http://www.twitter.com/FDNY/status/791662198519173121", "791662198519173121")</f>
        <v>0</v>
      </c>
      <c r="B555" s="2">
        <v>42670.6429513889</v>
      </c>
      <c r="C555">
        <v>13</v>
      </c>
      <c r="D555">
        <v>4</v>
      </c>
      <c r="E555" t="s">
        <v>544</v>
      </c>
    </row>
    <row r="556" spans="1:5">
      <c r="A556">
        <f>HYPERLINK("http://www.twitter.com/FDNY/status/791661323474132996", "791661323474132996")</f>
        <v>0</v>
      </c>
      <c r="B556" s="2">
        <v>42670.6405324074</v>
      </c>
      <c r="C556">
        <v>14</v>
      </c>
      <c r="D556">
        <v>7</v>
      </c>
      <c r="E556" t="s">
        <v>545</v>
      </c>
    </row>
    <row r="557" spans="1:5">
      <c r="A557">
        <f>HYPERLINK("http://www.twitter.com/FDNY/status/791660454229737472", "791660454229737472")</f>
        <v>0</v>
      </c>
      <c r="B557" s="2">
        <v>42670.6381365741</v>
      </c>
      <c r="C557">
        <v>42</v>
      </c>
      <c r="D557">
        <v>16</v>
      </c>
      <c r="E557" t="s">
        <v>546</v>
      </c>
    </row>
    <row r="558" spans="1:5">
      <c r="A558">
        <f>HYPERLINK("http://www.twitter.com/FDNY/status/791656081038667777", "791656081038667777")</f>
        <v>0</v>
      </c>
      <c r="B558" s="2">
        <v>42670.6260648148</v>
      </c>
      <c r="C558">
        <v>65</v>
      </c>
      <c r="D558">
        <v>28</v>
      </c>
      <c r="E558" t="s">
        <v>547</v>
      </c>
    </row>
    <row r="559" spans="1:5">
      <c r="A559">
        <f>HYPERLINK("http://www.twitter.com/FDNY/status/791638367947620356", "791638367947620356")</f>
        <v>0</v>
      </c>
      <c r="B559" s="2">
        <v>42670.5771875</v>
      </c>
      <c r="C559">
        <v>0</v>
      </c>
      <c r="D559">
        <v>70</v>
      </c>
      <c r="E559" t="s">
        <v>548</v>
      </c>
    </row>
    <row r="560" spans="1:5">
      <c r="A560">
        <f>HYPERLINK("http://www.twitter.com/FDNY/status/791618898609180672", "791618898609180672")</f>
        <v>0</v>
      </c>
      <c r="B560" s="2">
        <v>42670.5234606481</v>
      </c>
      <c r="C560">
        <v>30</v>
      </c>
      <c r="D560">
        <v>28</v>
      </c>
      <c r="E560" t="s">
        <v>549</v>
      </c>
    </row>
    <row r="561" spans="1:5">
      <c r="A561">
        <f>HYPERLINK("http://www.twitter.com/FDNY/status/791614910975311872", "791614910975311872")</f>
        <v>0</v>
      </c>
      <c r="B561" s="2">
        <v>42670.5124537037</v>
      </c>
      <c r="C561">
        <v>51</v>
      </c>
      <c r="D561">
        <v>27</v>
      </c>
      <c r="E561" t="s">
        <v>550</v>
      </c>
    </row>
    <row r="562" spans="1:5">
      <c r="A562">
        <f>HYPERLINK("http://www.twitter.com/FDNY/status/791614763361046528", "791614763361046528")</f>
        <v>0</v>
      </c>
      <c r="B562" s="2">
        <v>42670.5120486111</v>
      </c>
      <c r="C562">
        <v>67</v>
      </c>
      <c r="D562">
        <v>47</v>
      </c>
      <c r="E562" t="s">
        <v>551</v>
      </c>
    </row>
    <row r="563" spans="1:5">
      <c r="A563">
        <f>HYPERLINK("http://www.twitter.com/FDNY/status/791614628103069696", "791614628103069696")</f>
        <v>0</v>
      </c>
      <c r="B563" s="2">
        <v>42670.5116782407</v>
      </c>
      <c r="C563">
        <v>57</v>
      </c>
      <c r="D563">
        <v>34</v>
      </c>
      <c r="E563" t="s">
        <v>552</v>
      </c>
    </row>
    <row r="564" spans="1:5">
      <c r="A564">
        <f>HYPERLINK("http://www.twitter.com/FDNY/status/791614460683231232", "791614460683231232")</f>
        <v>0</v>
      </c>
      <c r="B564" s="2">
        <v>42670.5112152778</v>
      </c>
      <c r="C564">
        <v>99</v>
      </c>
      <c r="D564">
        <v>60</v>
      </c>
      <c r="E564" t="s">
        <v>553</v>
      </c>
    </row>
    <row r="565" spans="1:5">
      <c r="A565">
        <f>HYPERLINK("http://www.twitter.com/FDNY/status/791614345365098501", "791614345365098501")</f>
        <v>0</v>
      </c>
      <c r="B565" s="2">
        <v>42670.5109027778</v>
      </c>
      <c r="C565">
        <v>13</v>
      </c>
      <c r="D565">
        <v>13</v>
      </c>
      <c r="E565" t="s">
        <v>554</v>
      </c>
    </row>
    <row r="566" spans="1:5">
      <c r="A566">
        <f>HYPERLINK("http://www.twitter.com/FDNY/status/791613875397529601", "791613875397529601")</f>
        <v>0</v>
      </c>
      <c r="B566" s="2">
        <v>42670.5096064815</v>
      </c>
      <c r="C566">
        <v>38</v>
      </c>
      <c r="D566">
        <v>40</v>
      </c>
      <c r="E566" t="s">
        <v>555</v>
      </c>
    </row>
    <row r="567" spans="1:5">
      <c r="A567">
        <f>HYPERLINK("http://www.twitter.com/FDNY/status/791610270552563713", "791610270552563713")</f>
        <v>0</v>
      </c>
      <c r="B567" s="2">
        <v>42670.4996527778</v>
      </c>
      <c r="C567">
        <v>0</v>
      </c>
      <c r="D567">
        <v>25</v>
      </c>
      <c r="E567" t="s">
        <v>556</v>
      </c>
    </row>
    <row r="568" spans="1:5">
      <c r="A568">
        <f>HYPERLINK("http://www.twitter.com/FDNY/status/791448103870205952", "791448103870205952")</f>
        <v>0</v>
      </c>
      <c r="B568" s="2">
        <v>42670.0521643519</v>
      </c>
      <c r="C568">
        <v>0</v>
      </c>
      <c r="D568">
        <v>3</v>
      </c>
      <c r="E568" t="s">
        <v>557</v>
      </c>
    </row>
    <row r="569" spans="1:5">
      <c r="A569">
        <f>HYPERLINK("http://www.twitter.com/FDNY/status/791448086170177537", "791448086170177537")</f>
        <v>0</v>
      </c>
      <c r="B569" s="2">
        <v>42670.0521064815</v>
      </c>
      <c r="C569">
        <v>0</v>
      </c>
      <c r="D569">
        <v>7</v>
      </c>
      <c r="E569" t="s">
        <v>558</v>
      </c>
    </row>
    <row r="570" spans="1:5">
      <c r="A570">
        <f>HYPERLINK("http://www.twitter.com/FDNY/status/791405486952284160", "791405486952284160")</f>
        <v>0</v>
      </c>
      <c r="B570" s="2">
        <v>42669.9345601852</v>
      </c>
      <c r="C570">
        <v>65</v>
      </c>
      <c r="D570">
        <v>22</v>
      </c>
      <c r="E570" t="s">
        <v>559</v>
      </c>
    </row>
    <row r="571" spans="1:5">
      <c r="A571">
        <f>HYPERLINK("http://www.twitter.com/FDNY/status/791382512358555648", "791382512358555648")</f>
        <v>0</v>
      </c>
      <c r="B571" s="2">
        <v>42669.8711574074</v>
      </c>
      <c r="C571">
        <v>137</v>
      </c>
      <c r="D571">
        <v>39</v>
      </c>
      <c r="E571" t="s">
        <v>560</v>
      </c>
    </row>
    <row r="572" spans="1:5">
      <c r="A572">
        <f>HYPERLINK("http://www.twitter.com/FDNY/status/791378229819011072", "791378229819011072")</f>
        <v>0</v>
      </c>
      <c r="B572" s="2">
        <v>42669.8593402778</v>
      </c>
      <c r="C572">
        <v>12</v>
      </c>
      <c r="D572">
        <v>14</v>
      </c>
      <c r="E572" t="s">
        <v>561</v>
      </c>
    </row>
    <row r="573" spans="1:5">
      <c r="A573">
        <f>HYPERLINK("http://www.twitter.com/FDNY/status/791376004010893312", "791376004010893312")</f>
        <v>0</v>
      </c>
      <c r="B573" s="2">
        <v>42669.8532060185</v>
      </c>
      <c r="C573">
        <v>64</v>
      </c>
      <c r="D573">
        <v>20</v>
      </c>
      <c r="E573" t="s">
        <v>562</v>
      </c>
    </row>
    <row r="574" spans="1:5">
      <c r="A574">
        <f>HYPERLINK("http://www.twitter.com/FDNY/status/791364316570198016", "791364316570198016")</f>
        <v>0</v>
      </c>
      <c r="B574" s="2">
        <v>42669.8209490741</v>
      </c>
      <c r="C574">
        <v>14</v>
      </c>
      <c r="D574">
        <v>7</v>
      </c>
      <c r="E574" t="s">
        <v>563</v>
      </c>
    </row>
    <row r="575" spans="1:5">
      <c r="A575">
        <f>HYPERLINK("http://www.twitter.com/FDNY/status/791364033316261889", "791364033316261889")</f>
        <v>0</v>
      </c>
      <c r="B575" s="2">
        <v>42669.8201736111</v>
      </c>
      <c r="C575">
        <v>9</v>
      </c>
      <c r="D575">
        <v>6</v>
      </c>
      <c r="E575" t="s">
        <v>564</v>
      </c>
    </row>
    <row r="576" spans="1:5">
      <c r="A576">
        <f>HYPERLINK("http://www.twitter.com/FDNY/status/791356851032100864", "791356851032100864")</f>
        <v>0</v>
      </c>
      <c r="B576" s="2">
        <v>42669.8003472222</v>
      </c>
      <c r="C576">
        <v>21</v>
      </c>
      <c r="D576">
        <v>8</v>
      </c>
      <c r="E576" t="s">
        <v>565</v>
      </c>
    </row>
    <row r="577" spans="1:5">
      <c r="A577">
        <f>HYPERLINK("http://www.twitter.com/FDNY/status/791355455205498880", "791355455205498880")</f>
        <v>0</v>
      </c>
      <c r="B577" s="2">
        <v>42669.7964930556</v>
      </c>
      <c r="C577">
        <v>37</v>
      </c>
      <c r="D577">
        <v>12</v>
      </c>
      <c r="E577" t="s">
        <v>566</v>
      </c>
    </row>
    <row r="578" spans="1:5">
      <c r="A578">
        <f>HYPERLINK("http://www.twitter.com/FDNY/status/791328547826728960", "791328547826728960")</f>
        <v>0</v>
      </c>
      <c r="B578" s="2">
        <v>42669.7222453704</v>
      </c>
      <c r="C578">
        <v>0</v>
      </c>
      <c r="D578">
        <v>5</v>
      </c>
      <c r="E578" t="s">
        <v>567</v>
      </c>
    </row>
    <row r="579" spans="1:5">
      <c r="A579">
        <f>HYPERLINK("http://www.twitter.com/FDNY/status/791320886691434496", "791320886691434496")</f>
        <v>0</v>
      </c>
      <c r="B579" s="2">
        <v>42669.7011111111</v>
      </c>
      <c r="C579">
        <v>0</v>
      </c>
      <c r="D579">
        <v>3</v>
      </c>
      <c r="E579" t="s">
        <v>568</v>
      </c>
    </row>
    <row r="580" spans="1:5">
      <c r="A580">
        <f>HYPERLINK("http://www.twitter.com/FDNY/status/791316250110652417", "791316250110652417")</f>
        <v>0</v>
      </c>
      <c r="B580" s="2">
        <v>42669.6883101852</v>
      </c>
      <c r="C580">
        <v>0</v>
      </c>
      <c r="D580">
        <v>8</v>
      </c>
      <c r="E580" t="s">
        <v>569</v>
      </c>
    </row>
    <row r="581" spans="1:5">
      <c r="A581">
        <f>HYPERLINK("http://www.twitter.com/FDNY/status/791294539059359744", "791294539059359744")</f>
        <v>0</v>
      </c>
      <c r="B581" s="2">
        <v>42669.6284027778</v>
      </c>
      <c r="C581">
        <v>32</v>
      </c>
      <c r="D581">
        <v>12</v>
      </c>
      <c r="E581" t="s">
        <v>570</v>
      </c>
    </row>
    <row r="582" spans="1:5">
      <c r="A582">
        <f>HYPERLINK("http://www.twitter.com/FDNY/status/791277026284036096", "791277026284036096")</f>
        <v>0</v>
      </c>
      <c r="B582" s="2">
        <v>42669.5800694444</v>
      </c>
      <c r="C582">
        <v>65</v>
      </c>
      <c r="D582">
        <v>48</v>
      </c>
      <c r="E582" t="s">
        <v>571</v>
      </c>
    </row>
    <row r="583" spans="1:5">
      <c r="A583">
        <f>HYPERLINK("http://www.twitter.com/FDNY/status/791090095193481216", "791090095193481216")</f>
        <v>0</v>
      </c>
      <c r="B583" s="2">
        <v>42669.0642476852</v>
      </c>
      <c r="C583">
        <v>0</v>
      </c>
      <c r="D583">
        <v>10</v>
      </c>
      <c r="E583" t="s">
        <v>572</v>
      </c>
    </row>
    <row r="584" spans="1:5">
      <c r="A584">
        <f>HYPERLINK("http://www.twitter.com/FDNY/status/791089820999249920", "791089820999249920")</f>
        <v>0</v>
      </c>
      <c r="B584" s="2">
        <v>42669.0634837963</v>
      </c>
      <c r="C584">
        <v>18</v>
      </c>
      <c r="D584">
        <v>6</v>
      </c>
      <c r="E584" t="s">
        <v>573</v>
      </c>
    </row>
    <row r="585" spans="1:5">
      <c r="A585">
        <f>HYPERLINK("http://www.twitter.com/FDNY/status/791047791757799424", "791047791757799424")</f>
        <v>0</v>
      </c>
      <c r="B585" s="2">
        <v>42668.9475115741</v>
      </c>
      <c r="C585">
        <v>0</v>
      </c>
      <c r="D585">
        <v>5</v>
      </c>
      <c r="E585" t="s">
        <v>574</v>
      </c>
    </row>
    <row r="586" spans="1:5">
      <c r="A586">
        <f>HYPERLINK("http://www.twitter.com/FDNY/status/791047690364739586", "791047690364739586")</f>
        <v>0</v>
      </c>
      <c r="B586" s="2">
        <v>42668.9472222222</v>
      </c>
      <c r="C586">
        <v>0</v>
      </c>
      <c r="D586">
        <v>13</v>
      </c>
      <c r="E586" t="s">
        <v>575</v>
      </c>
    </row>
    <row r="587" spans="1:5">
      <c r="A587">
        <f>HYPERLINK("http://www.twitter.com/FDNY/status/791047553252937729", "791047553252937729")</f>
        <v>0</v>
      </c>
      <c r="B587" s="2">
        <v>42668.9468518519</v>
      </c>
      <c r="C587">
        <v>0</v>
      </c>
      <c r="D587">
        <v>4</v>
      </c>
      <c r="E587" t="s">
        <v>576</v>
      </c>
    </row>
    <row r="588" spans="1:5">
      <c r="A588">
        <f>HYPERLINK("http://www.twitter.com/FDNY/status/791034996609916928", "791034996609916928")</f>
        <v>0</v>
      </c>
      <c r="B588" s="2">
        <v>42668.9121990741</v>
      </c>
      <c r="C588">
        <v>8</v>
      </c>
      <c r="D588">
        <v>2</v>
      </c>
      <c r="E588" t="s">
        <v>577</v>
      </c>
    </row>
    <row r="589" spans="1:5">
      <c r="A589">
        <f>HYPERLINK("http://www.twitter.com/FDNY/status/791024098700828672", "791024098700828672")</f>
        <v>0</v>
      </c>
      <c r="B589" s="2">
        <v>42668.8821296296</v>
      </c>
      <c r="C589">
        <v>20</v>
      </c>
      <c r="D589">
        <v>19</v>
      </c>
      <c r="E589" t="s">
        <v>578</v>
      </c>
    </row>
    <row r="590" spans="1:5">
      <c r="A590">
        <f>HYPERLINK("http://www.twitter.com/FDNY/status/791016889581535232", "791016889581535232")</f>
        <v>0</v>
      </c>
      <c r="B590" s="2">
        <v>42668.8622337963</v>
      </c>
      <c r="C590">
        <v>0</v>
      </c>
      <c r="D590">
        <v>14</v>
      </c>
      <c r="E590" t="s">
        <v>579</v>
      </c>
    </row>
    <row r="591" spans="1:5">
      <c r="A591">
        <f>HYPERLINK("http://www.twitter.com/FDNY/status/790991163411005440", "790991163411005440")</f>
        <v>0</v>
      </c>
      <c r="B591" s="2">
        <v>42668.7912384259</v>
      </c>
      <c r="C591">
        <v>29</v>
      </c>
      <c r="D591">
        <v>13</v>
      </c>
      <c r="E591" t="s">
        <v>580</v>
      </c>
    </row>
    <row r="592" spans="1:5">
      <c r="A592">
        <f>HYPERLINK("http://www.twitter.com/FDNY/status/790978942849212416", "790978942849212416")</f>
        <v>0</v>
      </c>
      <c r="B592" s="2">
        <v>42668.7575231481</v>
      </c>
      <c r="C592">
        <v>25</v>
      </c>
      <c r="D592">
        <v>8</v>
      </c>
      <c r="E592" t="s">
        <v>581</v>
      </c>
    </row>
    <row r="593" spans="1:5">
      <c r="A593">
        <f>HYPERLINK("http://www.twitter.com/FDNY/status/790977186937339904", "790977186937339904")</f>
        <v>0</v>
      </c>
      <c r="B593" s="2">
        <v>42668.7526736111</v>
      </c>
      <c r="C593">
        <v>40</v>
      </c>
      <c r="D593">
        <v>25</v>
      </c>
      <c r="E593" t="s">
        <v>582</v>
      </c>
    </row>
    <row r="594" spans="1:5">
      <c r="A594">
        <f>HYPERLINK("http://www.twitter.com/FDNY/status/790953797061373952", "790953797061373952")</f>
        <v>0</v>
      </c>
      <c r="B594" s="2">
        <v>42668.6881365741</v>
      </c>
      <c r="C594">
        <v>0</v>
      </c>
      <c r="D594">
        <v>4</v>
      </c>
      <c r="E594" t="s">
        <v>583</v>
      </c>
    </row>
    <row r="595" spans="1:5">
      <c r="A595">
        <f>HYPERLINK("http://www.twitter.com/FDNY/status/790942758332661760", "790942758332661760")</f>
        <v>0</v>
      </c>
      <c r="B595" s="2">
        <v>42668.6576736111</v>
      </c>
      <c r="C595">
        <v>19</v>
      </c>
      <c r="D595">
        <v>14</v>
      </c>
      <c r="E595" t="s">
        <v>584</v>
      </c>
    </row>
    <row r="596" spans="1:5">
      <c r="A596">
        <f>HYPERLINK("http://www.twitter.com/FDNY/status/790678319503212545", "790678319503212545")</f>
        <v>0</v>
      </c>
      <c r="B596" s="2">
        <v>42667.927962963</v>
      </c>
      <c r="C596">
        <v>33</v>
      </c>
      <c r="D596">
        <v>13</v>
      </c>
      <c r="E596" t="s">
        <v>585</v>
      </c>
    </row>
    <row r="597" spans="1:5">
      <c r="A597">
        <f>HYPERLINK("http://www.twitter.com/FDNY/status/790677874546188288", "790677874546188288")</f>
        <v>0</v>
      </c>
      <c r="B597" s="2">
        <v>42667.9267361111</v>
      </c>
      <c r="C597">
        <v>58</v>
      </c>
      <c r="D597">
        <v>20</v>
      </c>
      <c r="E597" t="s">
        <v>586</v>
      </c>
    </row>
    <row r="598" spans="1:5">
      <c r="A598">
        <f>HYPERLINK("http://www.twitter.com/FDNY/status/790656992310333440", "790656992310333440")</f>
        <v>0</v>
      </c>
      <c r="B598" s="2">
        <v>42667.8691087963</v>
      </c>
      <c r="C598">
        <v>16</v>
      </c>
      <c r="D598">
        <v>14</v>
      </c>
      <c r="E598" t="s">
        <v>587</v>
      </c>
    </row>
    <row r="599" spans="1:5">
      <c r="A599">
        <f>HYPERLINK("http://www.twitter.com/FDNY/status/790611913025675264", "790611913025675264")</f>
        <v>0</v>
      </c>
      <c r="B599" s="2">
        <v>42667.7447106481</v>
      </c>
      <c r="C599">
        <v>0</v>
      </c>
      <c r="D599">
        <v>16</v>
      </c>
      <c r="E599" t="s">
        <v>588</v>
      </c>
    </row>
    <row r="600" spans="1:5">
      <c r="A600">
        <f>HYPERLINK("http://www.twitter.com/FDNY/status/790607129078009856", "790607129078009856")</f>
        <v>0</v>
      </c>
      <c r="B600" s="2">
        <v>42667.7315046296</v>
      </c>
      <c r="C600">
        <v>80</v>
      </c>
      <c r="D600">
        <v>19</v>
      </c>
      <c r="E600" t="s">
        <v>589</v>
      </c>
    </row>
    <row r="601" spans="1:5">
      <c r="A601">
        <f>HYPERLINK("http://www.twitter.com/FDNY/status/790602342009860096", "790602342009860096")</f>
        <v>0</v>
      </c>
      <c r="B601" s="2">
        <v>42667.7182986111</v>
      </c>
      <c r="C601">
        <v>14</v>
      </c>
      <c r="D601">
        <v>4</v>
      </c>
      <c r="E601" t="s">
        <v>590</v>
      </c>
    </row>
    <row r="602" spans="1:5">
      <c r="A602">
        <f>HYPERLINK("http://www.twitter.com/FDNY/status/790565714868445184", "790565714868445184")</f>
        <v>0</v>
      </c>
      <c r="B602" s="2">
        <v>42667.6172337963</v>
      </c>
      <c r="C602">
        <v>46</v>
      </c>
      <c r="D602">
        <v>21</v>
      </c>
      <c r="E602" t="s">
        <v>591</v>
      </c>
    </row>
    <row r="603" spans="1:5">
      <c r="A603">
        <f>HYPERLINK("http://www.twitter.com/FDNY/status/790387341340897280", "790387341340897280")</f>
        <v>0</v>
      </c>
      <c r="B603" s="2">
        <v>42667.1250115741</v>
      </c>
      <c r="C603">
        <v>0</v>
      </c>
      <c r="D603">
        <v>5</v>
      </c>
      <c r="E603" t="s">
        <v>592</v>
      </c>
    </row>
    <row r="604" spans="1:5">
      <c r="A604">
        <f>HYPERLINK("http://www.twitter.com/FDNY/status/790367111617052673", "790367111617052673")</f>
        <v>0</v>
      </c>
      <c r="B604" s="2">
        <v>42667.0691898148</v>
      </c>
      <c r="C604">
        <v>0</v>
      </c>
      <c r="D604">
        <v>23</v>
      </c>
      <c r="E604" t="s">
        <v>593</v>
      </c>
    </row>
    <row r="605" spans="1:5">
      <c r="A605">
        <f>HYPERLINK("http://www.twitter.com/FDNY/status/790362686701830146", "790362686701830146")</f>
        <v>0</v>
      </c>
      <c r="B605" s="2">
        <v>42667.0569791667</v>
      </c>
      <c r="C605">
        <v>24</v>
      </c>
      <c r="D605">
        <v>7</v>
      </c>
      <c r="E605" t="s">
        <v>594</v>
      </c>
    </row>
    <row r="606" spans="1:5">
      <c r="A606">
        <f>HYPERLINK("http://www.twitter.com/FDNY/status/790249296230834176", "790249296230834176")</f>
        <v>0</v>
      </c>
      <c r="B606" s="2">
        <v>42666.7440856481</v>
      </c>
      <c r="C606">
        <v>0</v>
      </c>
      <c r="D606">
        <v>4</v>
      </c>
      <c r="E606" t="s">
        <v>595</v>
      </c>
    </row>
    <row r="607" spans="1:5">
      <c r="A607">
        <f>HYPERLINK("http://www.twitter.com/FDNY/status/790007902543179777", "790007902543179777")</f>
        <v>0</v>
      </c>
      <c r="B607" s="2">
        <v>42666.077962963</v>
      </c>
      <c r="C607">
        <v>22</v>
      </c>
      <c r="D607">
        <v>10</v>
      </c>
      <c r="E607" t="s">
        <v>596</v>
      </c>
    </row>
    <row r="608" spans="1:5">
      <c r="A608">
        <f>HYPERLINK("http://www.twitter.com/FDNY/status/789948971347218432", "789948971347218432")</f>
        <v>0</v>
      </c>
      <c r="B608" s="2">
        <v>42665.9153356481</v>
      </c>
      <c r="C608">
        <v>0</v>
      </c>
      <c r="D608">
        <v>10</v>
      </c>
      <c r="E608" t="s">
        <v>597</v>
      </c>
    </row>
    <row r="609" spans="1:5">
      <c r="A609">
        <f>HYPERLINK("http://www.twitter.com/FDNY/status/789900032958947328", "789900032958947328")</f>
        <v>0</v>
      </c>
      <c r="B609" s="2">
        <v>42665.7803009259</v>
      </c>
      <c r="C609">
        <v>0</v>
      </c>
      <c r="D609">
        <v>10</v>
      </c>
      <c r="E609" t="s">
        <v>598</v>
      </c>
    </row>
    <row r="610" spans="1:5">
      <c r="A610">
        <f>HYPERLINK("http://www.twitter.com/FDNY/status/789899984955211776", "789899984955211776")</f>
        <v>0</v>
      </c>
      <c r="B610" s="2">
        <v>42665.780162037</v>
      </c>
      <c r="C610">
        <v>0</v>
      </c>
      <c r="D610">
        <v>3</v>
      </c>
      <c r="E610" t="s">
        <v>599</v>
      </c>
    </row>
    <row r="611" spans="1:5">
      <c r="A611">
        <f>HYPERLINK("http://www.twitter.com/FDNY/status/789868145477619712", "789868145477619712")</f>
        <v>0</v>
      </c>
      <c r="B611" s="2">
        <v>42665.6923032407</v>
      </c>
      <c r="C611">
        <v>0</v>
      </c>
      <c r="D611">
        <v>5</v>
      </c>
      <c r="E611" t="s">
        <v>600</v>
      </c>
    </row>
    <row r="612" spans="1:5">
      <c r="A612">
        <f>HYPERLINK("http://www.twitter.com/FDNY/status/789868091912097792", "789868091912097792")</f>
        <v>0</v>
      </c>
      <c r="B612" s="2">
        <v>42665.6921527778</v>
      </c>
      <c r="C612">
        <v>0</v>
      </c>
      <c r="D612">
        <v>5</v>
      </c>
      <c r="E612" t="s">
        <v>601</v>
      </c>
    </row>
    <row r="613" spans="1:5">
      <c r="A613">
        <f>HYPERLINK("http://www.twitter.com/FDNY/status/789860258080522240", "789860258080522240")</f>
        <v>0</v>
      </c>
      <c r="B613" s="2">
        <v>42665.6705439815</v>
      </c>
      <c r="C613">
        <v>0</v>
      </c>
      <c r="D613">
        <v>8</v>
      </c>
      <c r="E613" t="s">
        <v>602</v>
      </c>
    </row>
    <row r="614" spans="1:5">
      <c r="A614">
        <f>HYPERLINK("http://www.twitter.com/FDNY/status/789860202510188548", "789860202510188548")</f>
        <v>0</v>
      </c>
      <c r="B614" s="2">
        <v>42665.6703819444</v>
      </c>
      <c r="C614">
        <v>0</v>
      </c>
      <c r="D614">
        <v>13</v>
      </c>
      <c r="E614" t="s">
        <v>603</v>
      </c>
    </row>
    <row r="615" spans="1:5">
      <c r="A615">
        <f>HYPERLINK("http://www.twitter.com/FDNY/status/789581422646394880", "789581422646394880")</f>
        <v>0</v>
      </c>
      <c r="B615" s="2">
        <v>42664.901099537</v>
      </c>
      <c r="C615">
        <v>0</v>
      </c>
      <c r="D615">
        <v>40</v>
      </c>
      <c r="E615" t="s">
        <v>604</v>
      </c>
    </row>
    <row r="616" spans="1:5">
      <c r="A616">
        <f>HYPERLINK("http://www.twitter.com/FDNY/status/789580580828708864", "789580580828708864")</f>
        <v>0</v>
      </c>
      <c r="B616" s="2">
        <v>42664.8987731481</v>
      </c>
      <c r="C616">
        <v>98</v>
      </c>
      <c r="D616">
        <v>27</v>
      </c>
      <c r="E616" t="s">
        <v>605</v>
      </c>
    </row>
    <row r="617" spans="1:5">
      <c r="A617">
        <f>HYPERLINK("http://www.twitter.com/FDNY/status/789579689111216129", "789579689111216129")</f>
        <v>0</v>
      </c>
      <c r="B617" s="2">
        <v>42664.8963194444</v>
      </c>
      <c r="C617">
        <v>9</v>
      </c>
      <c r="D617">
        <v>12</v>
      </c>
      <c r="E617" t="s">
        <v>606</v>
      </c>
    </row>
    <row r="618" spans="1:5">
      <c r="A618">
        <f>HYPERLINK("http://www.twitter.com/FDNY/status/789521502307815424", "789521502307815424")</f>
        <v>0</v>
      </c>
      <c r="B618" s="2">
        <v>42664.7357523148</v>
      </c>
      <c r="C618">
        <v>27</v>
      </c>
      <c r="D618">
        <v>20</v>
      </c>
      <c r="E618" t="s">
        <v>607</v>
      </c>
    </row>
    <row r="619" spans="1:5">
      <c r="A619">
        <f>HYPERLINK("http://www.twitter.com/FDNY/status/789513259023896576", "789513259023896576")</f>
        <v>0</v>
      </c>
      <c r="B619" s="2">
        <v>42664.7130092593</v>
      </c>
      <c r="C619">
        <v>7</v>
      </c>
      <c r="D619">
        <v>5</v>
      </c>
      <c r="E619" t="s">
        <v>608</v>
      </c>
    </row>
    <row r="620" spans="1:5">
      <c r="A620">
        <f>HYPERLINK("http://www.twitter.com/FDNY/status/789486684610134016", "789486684610134016")</f>
        <v>0</v>
      </c>
      <c r="B620" s="2">
        <v>42664.6396759259</v>
      </c>
      <c r="C620">
        <v>0</v>
      </c>
      <c r="D620">
        <v>32</v>
      </c>
      <c r="E620" t="s">
        <v>609</v>
      </c>
    </row>
    <row r="621" spans="1:5">
      <c r="A621">
        <f>HYPERLINK("http://www.twitter.com/FDNY/status/789485664584732674", "789485664584732674")</f>
        <v>0</v>
      </c>
      <c r="B621" s="2">
        <v>42664.6368634259</v>
      </c>
      <c r="C621">
        <v>0</v>
      </c>
      <c r="D621">
        <v>10</v>
      </c>
      <c r="E621" t="s">
        <v>610</v>
      </c>
    </row>
    <row r="622" spans="1:5">
      <c r="A622">
        <f>HYPERLINK("http://www.twitter.com/FDNY/status/789485313475350529", "789485313475350529")</f>
        <v>0</v>
      </c>
      <c r="B622" s="2">
        <v>42664.6358912037</v>
      </c>
      <c r="C622">
        <v>0</v>
      </c>
      <c r="D622">
        <v>8</v>
      </c>
      <c r="E622" t="s">
        <v>611</v>
      </c>
    </row>
    <row r="623" spans="1:5">
      <c r="A623">
        <f>HYPERLINK("http://www.twitter.com/FDNY/status/789482355052470272", "789482355052470272")</f>
        <v>0</v>
      </c>
      <c r="B623" s="2">
        <v>42664.6277199074</v>
      </c>
      <c r="C623">
        <v>23</v>
      </c>
      <c r="D623">
        <v>4</v>
      </c>
      <c r="E623" t="s">
        <v>612</v>
      </c>
    </row>
    <row r="624" spans="1:5">
      <c r="A624">
        <f>HYPERLINK("http://www.twitter.com/FDNY/status/789482194423128064", "789482194423128064")</f>
        <v>0</v>
      </c>
      <c r="B624" s="2">
        <v>42664.6272800926</v>
      </c>
      <c r="C624">
        <v>18</v>
      </c>
      <c r="D624">
        <v>4</v>
      </c>
      <c r="E624" t="s">
        <v>613</v>
      </c>
    </row>
    <row r="625" spans="1:5">
      <c r="A625">
        <f>HYPERLINK("http://www.twitter.com/FDNY/status/789482118262972416", "789482118262972416")</f>
        <v>0</v>
      </c>
      <c r="B625" s="2">
        <v>42664.6270717593</v>
      </c>
      <c r="C625">
        <v>17</v>
      </c>
      <c r="D625">
        <v>7</v>
      </c>
      <c r="E625" t="s">
        <v>614</v>
      </c>
    </row>
    <row r="626" spans="1:5">
      <c r="A626">
        <f>HYPERLINK("http://www.twitter.com/FDNY/status/789482032904736768", "789482032904736768")</f>
        <v>0</v>
      </c>
      <c r="B626" s="2">
        <v>42664.6268402778</v>
      </c>
      <c r="C626">
        <v>24</v>
      </c>
      <c r="D626">
        <v>6</v>
      </c>
      <c r="E626" t="s">
        <v>615</v>
      </c>
    </row>
    <row r="627" spans="1:5">
      <c r="A627">
        <f>HYPERLINK("http://www.twitter.com/FDNY/status/789481863236714496", "789481863236714496")</f>
        <v>0</v>
      </c>
      <c r="B627" s="2">
        <v>42664.6263657407</v>
      </c>
      <c r="C627">
        <v>27</v>
      </c>
      <c r="D627">
        <v>13</v>
      </c>
      <c r="E627" t="s">
        <v>616</v>
      </c>
    </row>
    <row r="628" spans="1:5">
      <c r="A628">
        <f>HYPERLINK("http://www.twitter.com/FDNY/status/789464898879258624", "789464898879258624")</f>
        <v>0</v>
      </c>
      <c r="B628" s="2">
        <v>42664.5795601852</v>
      </c>
      <c r="C628">
        <v>122</v>
      </c>
      <c r="D628">
        <v>45</v>
      </c>
      <c r="E628" t="s">
        <v>617</v>
      </c>
    </row>
    <row r="629" spans="1:5">
      <c r="A629">
        <f>HYPERLINK("http://www.twitter.com/FDNY/status/789464821519507456", "789464821519507456")</f>
        <v>0</v>
      </c>
      <c r="B629" s="2">
        <v>42664.5793402778</v>
      </c>
      <c r="C629">
        <v>76</v>
      </c>
      <c r="D629">
        <v>31</v>
      </c>
      <c r="E629" t="s">
        <v>618</v>
      </c>
    </row>
    <row r="630" spans="1:5">
      <c r="A630">
        <f>HYPERLINK("http://www.twitter.com/FDNY/status/789460054516854789", "789460054516854789")</f>
        <v>0</v>
      </c>
      <c r="B630" s="2">
        <v>42664.5661921296</v>
      </c>
      <c r="C630">
        <v>48</v>
      </c>
      <c r="D630">
        <v>15</v>
      </c>
      <c r="E630" t="s">
        <v>619</v>
      </c>
    </row>
    <row r="631" spans="1:5">
      <c r="A631">
        <f>HYPERLINK("http://www.twitter.com/FDNY/status/789257097921826816", "789257097921826816")</f>
        <v>0</v>
      </c>
      <c r="B631" s="2">
        <v>42664.0061342593</v>
      </c>
      <c r="C631">
        <v>0</v>
      </c>
      <c r="D631">
        <v>3</v>
      </c>
      <c r="E631" t="s">
        <v>620</v>
      </c>
    </row>
    <row r="632" spans="1:5">
      <c r="A632">
        <f>HYPERLINK("http://www.twitter.com/FDNY/status/789257026178252800", "789257026178252800")</f>
        <v>0</v>
      </c>
      <c r="B632" s="2">
        <v>42664.0059375</v>
      </c>
      <c r="C632">
        <v>0</v>
      </c>
      <c r="D632">
        <v>10</v>
      </c>
      <c r="E632" t="s">
        <v>621</v>
      </c>
    </row>
    <row r="633" spans="1:5">
      <c r="A633">
        <f>HYPERLINK("http://www.twitter.com/FDNY/status/789215425204744193", "789215425204744193")</f>
        <v>0</v>
      </c>
      <c r="B633" s="2">
        <v>42663.8911342593</v>
      </c>
      <c r="C633">
        <v>0</v>
      </c>
      <c r="D633">
        <v>10</v>
      </c>
      <c r="E633" t="s">
        <v>622</v>
      </c>
    </row>
    <row r="634" spans="1:5">
      <c r="A634">
        <f>HYPERLINK("http://www.twitter.com/FDNY/status/789214108247855104", "789214108247855104")</f>
        <v>0</v>
      </c>
      <c r="B634" s="2">
        <v>42663.8875</v>
      </c>
      <c r="C634">
        <v>36</v>
      </c>
      <c r="D634">
        <v>18</v>
      </c>
      <c r="E634" t="s">
        <v>623</v>
      </c>
    </row>
    <row r="635" spans="1:5">
      <c r="A635">
        <f>HYPERLINK("http://www.twitter.com/FDNY/status/789194305604726784", "789194305604726784")</f>
        <v>0</v>
      </c>
      <c r="B635" s="2">
        <v>42663.8328587963</v>
      </c>
      <c r="C635">
        <v>0</v>
      </c>
      <c r="D635">
        <v>30</v>
      </c>
      <c r="E635" t="s">
        <v>624</v>
      </c>
    </row>
    <row r="636" spans="1:5">
      <c r="A636">
        <f>HYPERLINK("http://www.twitter.com/FDNY/status/789162592967221249", "789162592967221249")</f>
        <v>0</v>
      </c>
      <c r="B636" s="2">
        <v>42663.7453472222</v>
      </c>
      <c r="C636">
        <v>0</v>
      </c>
      <c r="D636">
        <v>12</v>
      </c>
      <c r="E636" t="s">
        <v>625</v>
      </c>
    </row>
    <row r="637" spans="1:5">
      <c r="A637">
        <f>HYPERLINK("http://www.twitter.com/FDNY/status/789104364740808704", "789104364740808704")</f>
        <v>0</v>
      </c>
      <c r="B637" s="2">
        <v>42663.5846759259</v>
      </c>
      <c r="C637">
        <v>41</v>
      </c>
      <c r="D637">
        <v>9</v>
      </c>
      <c r="E637" t="s">
        <v>626</v>
      </c>
    </row>
    <row r="638" spans="1:5">
      <c r="A638">
        <f>HYPERLINK("http://www.twitter.com/FDNY/status/788873707116646402", "788873707116646402")</f>
        <v>0</v>
      </c>
      <c r="B638" s="2">
        <v>42662.9481712963</v>
      </c>
      <c r="C638">
        <v>0</v>
      </c>
      <c r="D638">
        <v>7</v>
      </c>
      <c r="E638" t="s">
        <v>627</v>
      </c>
    </row>
    <row r="639" spans="1:5">
      <c r="A639">
        <f>HYPERLINK("http://www.twitter.com/FDNY/status/788872970781548548", "788872970781548548")</f>
        <v>0</v>
      </c>
      <c r="B639" s="2">
        <v>42662.9461458333</v>
      </c>
      <c r="C639">
        <v>0</v>
      </c>
      <c r="D639">
        <v>11</v>
      </c>
      <c r="E639" t="s">
        <v>628</v>
      </c>
    </row>
    <row r="640" spans="1:5">
      <c r="A640">
        <f>HYPERLINK("http://www.twitter.com/FDNY/status/788850361524166656", "788850361524166656")</f>
        <v>0</v>
      </c>
      <c r="B640" s="2">
        <v>42662.88375</v>
      </c>
      <c r="C640">
        <v>17</v>
      </c>
      <c r="D640">
        <v>8</v>
      </c>
      <c r="E640" t="s">
        <v>629</v>
      </c>
    </row>
    <row r="641" spans="1:5">
      <c r="A641">
        <f>HYPERLINK("http://www.twitter.com/FDNY/status/788850199456256000", "788850199456256000")</f>
        <v>0</v>
      </c>
      <c r="B641" s="2">
        <v>42662.8833101852</v>
      </c>
      <c r="C641">
        <v>0</v>
      </c>
      <c r="D641">
        <v>13</v>
      </c>
      <c r="E641" t="s">
        <v>630</v>
      </c>
    </row>
    <row r="642" spans="1:5">
      <c r="A642">
        <f>HYPERLINK("http://www.twitter.com/FDNY/status/788816701173407744", "788816701173407744")</f>
        <v>0</v>
      </c>
      <c r="B642" s="2">
        <v>42662.7908680556</v>
      </c>
      <c r="C642">
        <v>0</v>
      </c>
      <c r="D642">
        <v>5</v>
      </c>
      <c r="E642" t="s">
        <v>631</v>
      </c>
    </row>
    <row r="643" spans="1:5">
      <c r="A643">
        <f>HYPERLINK("http://www.twitter.com/FDNY/status/788816677018435584", "788816677018435584")</f>
        <v>0</v>
      </c>
      <c r="B643" s="2">
        <v>42662.7907986111</v>
      </c>
      <c r="C643">
        <v>0</v>
      </c>
      <c r="D643">
        <v>6</v>
      </c>
      <c r="E643" t="s">
        <v>632</v>
      </c>
    </row>
    <row r="644" spans="1:5">
      <c r="A644">
        <f>HYPERLINK("http://www.twitter.com/FDNY/status/788816658982985728", "788816658982985728")</f>
        <v>0</v>
      </c>
      <c r="B644" s="2">
        <v>42662.7907523148</v>
      </c>
      <c r="C644">
        <v>0</v>
      </c>
      <c r="D644">
        <v>5</v>
      </c>
      <c r="E644" t="s">
        <v>633</v>
      </c>
    </row>
    <row r="645" spans="1:5">
      <c r="A645">
        <f>HYPERLINK("http://www.twitter.com/FDNY/status/788562051601928192", "788562051601928192")</f>
        <v>0</v>
      </c>
      <c r="B645" s="2">
        <v>42662.0881712963</v>
      </c>
      <c r="C645">
        <v>0</v>
      </c>
      <c r="D645">
        <v>56</v>
      </c>
      <c r="E645" t="s">
        <v>634</v>
      </c>
    </row>
    <row r="646" spans="1:5">
      <c r="A646">
        <f>HYPERLINK("http://www.twitter.com/FDNY/status/788514545211932672", "788514545211932672")</f>
        <v>0</v>
      </c>
      <c r="B646" s="2">
        <v>42661.9570833333</v>
      </c>
      <c r="C646">
        <v>0</v>
      </c>
      <c r="D646">
        <v>8</v>
      </c>
      <c r="E646" t="s">
        <v>635</v>
      </c>
    </row>
    <row r="647" spans="1:5">
      <c r="A647">
        <f>HYPERLINK("http://www.twitter.com/FDNY/status/788482910122831877", "788482910122831877")</f>
        <v>0</v>
      </c>
      <c r="B647" s="2">
        <v>42661.8697800926</v>
      </c>
      <c r="C647">
        <v>65</v>
      </c>
      <c r="D647">
        <v>20</v>
      </c>
      <c r="E647" t="s">
        <v>636</v>
      </c>
    </row>
    <row r="648" spans="1:5">
      <c r="A648">
        <f>HYPERLINK("http://www.twitter.com/FDNY/status/788470701778997250", "788470701778997250")</f>
        <v>0</v>
      </c>
      <c r="B648" s="2">
        <v>42661.836099537</v>
      </c>
      <c r="C648">
        <v>0</v>
      </c>
      <c r="D648">
        <v>16</v>
      </c>
      <c r="E648" t="s">
        <v>637</v>
      </c>
    </row>
    <row r="649" spans="1:5">
      <c r="A649">
        <f>HYPERLINK("http://www.twitter.com/FDNY/status/788470687916777473", "788470687916777473")</f>
        <v>0</v>
      </c>
      <c r="B649" s="2">
        <v>42661.8360532407</v>
      </c>
      <c r="C649">
        <v>0</v>
      </c>
      <c r="D649">
        <v>15</v>
      </c>
      <c r="E649" t="s">
        <v>638</v>
      </c>
    </row>
    <row r="650" spans="1:5">
      <c r="A650">
        <f>HYPERLINK("http://www.twitter.com/FDNY/status/788416851613278208", "788416851613278208")</f>
        <v>0</v>
      </c>
      <c r="B650" s="2">
        <v>42661.6875</v>
      </c>
      <c r="C650">
        <v>0</v>
      </c>
      <c r="D650">
        <v>7</v>
      </c>
      <c r="E650" t="s">
        <v>639</v>
      </c>
    </row>
    <row r="651" spans="1:5">
      <c r="A651">
        <f>HYPERLINK("http://www.twitter.com/FDNY/status/788220886029574146", "788220886029574146")</f>
        <v>0</v>
      </c>
      <c r="B651" s="2">
        <v>42661.1467361111</v>
      </c>
      <c r="C651">
        <v>0</v>
      </c>
      <c r="D651">
        <v>10</v>
      </c>
      <c r="E651" t="s">
        <v>640</v>
      </c>
    </row>
    <row r="652" spans="1:5">
      <c r="A652">
        <f>HYPERLINK("http://www.twitter.com/FDNY/status/788220874642038784", "788220874642038784")</f>
        <v>0</v>
      </c>
      <c r="B652" s="2">
        <v>42661.1467013889</v>
      </c>
      <c r="C652">
        <v>0</v>
      </c>
      <c r="D652">
        <v>13</v>
      </c>
      <c r="E652" t="s">
        <v>641</v>
      </c>
    </row>
    <row r="653" spans="1:5">
      <c r="A653">
        <f>HYPERLINK("http://www.twitter.com/FDNY/status/788220862105264132", "788220862105264132")</f>
        <v>0</v>
      </c>
      <c r="B653" s="2">
        <v>42661.1466666667</v>
      </c>
      <c r="C653">
        <v>0</v>
      </c>
      <c r="D653">
        <v>7</v>
      </c>
      <c r="E653" t="s">
        <v>642</v>
      </c>
    </row>
    <row r="654" spans="1:5">
      <c r="A654">
        <f>HYPERLINK("http://www.twitter.com/FDNY/status/788220827309400064", "788220827309400064")</f>
        <v>0</v>
      </c>
      <c r="B654" s="2">
        <v>42661.1465740741</v>
      </c>
      <c r="C654">
        <v>0</v>
      </c>
      <c r="D654">
        <v>19</v>
      </c>
      <c r="E654" t="s">
        <v>643</v>
      </c>
    </row>
    <row r="655" spans="1:5">
      <c r="A655">
        <f>HYPERLINK("http://www.twitter.com/FDNY/status/788201833747648512", "788201833747648512")</f>
        <v>0</v>
      </c>
      <c r="B655" s="2">
        <v>42661.0941550926</v>
      </c>
      <c r="C655">
        <v>0</v>
      </c>
      <c r="D655">
        <v>21</v>
      </c>
      <c r="E655" t="s">
        <v>644</v>
      </c>
    </row>
    <row r="656" spans="1:5">
      <c r="A656">
        <f>HYPERLINK("http://www.twitter.com/FDNY/status/788179056869175296", "788179056869175296")</f>
        <v>0</v>
      </c>
      <c r="B656" s="2">
        <v>42661.0313078704</v>
      </c>
      <c r="C656">
        <v>0</v>
      </c>
      <c r="D656">
        <v>8</v>
      </c>
      <c r="E656" t="s">
        <v>645</v>
      </c>
    </row>
    <row r="657" spans="1:5">
      <c r="A657">
        <f>HYPERLINK("http://www.twitter.com/FDNY/status/788179038321905664", "788179038321905664")</f>
        <v>0</v>
      </c>
      <c r="B657" s="2">
        <v>42661.0312615741</v>
      </c>
      <c r="C657">
        <v>0</v>
      </c>
      <c r="D657">
        <v>5</v>
      </c>
      <c r="E657" t="s">
        <v>646</v>
      </c>
    </row>
    <row r="658" spans="1:5">
      <c r="A658">
        <f>HYPERLINK("http://www.twitter.com/FDNY/status/788123576897511424", "788123576897511424")</f>
        <v>0</v>
      </c>
      <c r="B658" s="2">
        <v>42660.8782175926</v>
      </c>
      <c r="C658">
        <v>33</v>
      </c>
      <c r="D658">
        <v>8</v>
      </c>
      <c r="E658" t="s">
        <v>647</v>
      </c>
    </row>
    <row r="659" spans="1:5">
      <c r="A659">
        <f>HYPERLINK("http://www.twitter.com/FDNY/status/788123169823584258", "788123169823584258")</f>
        <v>0</v>
      </c>
      <c r="B659" s="2">
        <v>42660.8770833333</v>
      </c>
      <c r="C659">
        <v>0</v>
      </c>
      <c r="D659">
        <v>8</v>
      </c>
      <c r="E659" t="s">
        <v>648</v>
      </c>
    </row>
    <row r="660" spans="1:5">
      <c r="A660">
        <f>HYPERLINK("http://www.twitter.com/FDNY/status/788123162227646464", "788123162227646464")</f>
        <v>0</v>
      </c>
      <c r="B660" s="2">
        <v>42660.8770717593</v>
      </c>
      <c r="C660">
        <v>0</v>
      </c>
      <c r="D660">
        <v>15</v>
      </c>
      <c r="E660" t="s">
        <v>649</v>
      </c>
    </row>
    <row r="661" spans="1:5">
      <c r="A661">
        <f>HYPERLINK("http://www.twitter.com/FDNY/status/788114426348068864", "788114426348068864")</f>
        <v>0</v>
      </c>
      <c r="B661" s="2">
        <v>42660.852962963</v>
      </c>
      <c r="C661">
        <v>22</v>
      </c>
      <c r="D661">
        <v>3</v>
      </c>
      <c r="E661" t="s">
        <v>650</v>
      </c>
    </row>
    <row r="662" spans="1:5">
      <c r="A662">
        <f>HYPERLINK("http://www.twitter.com/FDNY/status/788088883158417408", "788088883158417408")</f>
        <v>0</v>
      </c>
      <c r="B662" s="2">
        <v>42660.7824768519</v>
      </c>
      <c r="C662">
        <v>0</v>
      </c>
      <c r="D662">
        <v>55</v>
      </c>
      <c r="E662" t="s">
        <v>651</v>
      </c>
    </row>
    <row r="663" spans="1:5">
      <c r="A663">
        <f>HYPERLINK("http://www.twitter.com/FDNY/status/788058353209597952", "788058353209597952")</f>
        <v>0</v>
      </c>
      <c r="B663" s="2">
        <v>42660.6982291667</v>
      </c>
      <c r="C663">
        <v>64</v>
      </c>
      <c r="D663">
        <v>23</v>
      </c>
      <c r="E663" t="s">
        <v>652</v>
      </c>
    </row>
    <row r="664" spans="1:5">
      <c r="A664">
        <f>HYPERLINK("http://www.twitter.com/FDNY/status/788057007257296897", "788057007257296897")</f>
        <v>0</v>
      </c>
      <c r="B664" s="2">
        <v>42660.6945138889</v>
      </c>
      <c r="C664">
        <v>61</v>
      </c>
      <c r="D664">
        <v>30</v>
      </c>
      <c r="E664" t="s">
        <v>653</v>
      </c>
    </row>
    <row r="665" spans="1:5">
      <c r="A665">
        <f>HYPERLINK("http://www.twitter.com/FDNY/status/788053239971319808", "788053239971319808")</f>
        <v>0</v>
      </c>
      <c r="B665" s="2">
        <v>42660.6841203704</v>
      </c>
      <c r="C665">
        <v>39</v>
      </c>
      <c r="D665">
        <v>17</v>
      </c>
      <c r="E665" t="s">
        <v>654</v>
      </c>
    </row>
    <row r="666" spans="1:5">
      <c r="A666">
        <f>HYPERLINK("http://www.twitter.com/FDNY/status/788052694476976128", "788052694476976128")</f>
        <v>0</v>
      </c>
      <c r="B666" s="2">
        <v>42660.6826157407</v>
      </c>
      <c r="C666">
        <v>26</v>
      </c>
      <c r="D666">
        <v>8</v>
      </c>
      <c r="E666" t="s">
        <v>655</v>
      </c>
    </row>
    <row r="667" spans="1:5">
      <c r="A667">
        <f>HYPERLINK("http://www.twitter.com/FDNY/status/788051636048592898", "788051636048592898")</f>
        <v>0</v>
      </c>
      <c r="B667" s="2">
        <v>42660.6796875</v>
      </c>
      <c r="C667">
        <v>33</v>
      </c>
      <c r="D667">
        <v>11</v>
      </c>
      <c r="E667" t="s">
        <v>656</v>
      </c>
    </row>
    <row r="668" spans="1:5">
      <c r="A668">
        <f>HYPERLINK("http://www.twitter.com/FDNY/status/788051249774129152", "788051249774129152")</f>
        <v>0</v>
      </c>
      <c r="B668" s="2">
        <v>42660.6786226852</v>
      </c>
      <c r="C668">
        <v>25</v>
      </c>
      <c r="D668">
        <v>13</v>
      </c>
      <c r="E668" t="s">
        <v>657</v>
      </c>
    </row>
    <row r="669" spans="1:5">
      <c r="A669">
        <f>HYPERLINK("http://www.twitter.com/FDNY/status/788051051161194498", "788051051161194498")</f>
        <v>0</v>
      </c>
      <c r="B669" s="2">
        <v>42660.6780787037</v>
      </c>
      <c r="C669">
        <v>16</v>
      </c>
      <c r="D669">
        <v>9</v>
      </c>
      <c r="E669" t="s">
        <v>658</v>
      </c>
    </row>
    <row r="670" spans="1:5">
      <c r="A670">
        <f>HYPERLINK("http://www.twitter.com/FDNY/status/788049986709848065", "788049986709848065")</f>
        <v>0</v>
      </c>
      <c r="B670" s="2">
        <v>42660.6751388889</v>
      </c>
      <c r="C670">
        <v>22</v>
      </c>
      <c r="D670">
        <v>16</v>
      </c>
      <c r="E670" t="s">
        <v>659</v>
      </c>
    </row>
    <row r="671" spans="1:5">
      <c r="A671">
        <f>HYPERLINK("http://www.twitter.com/FDNY/status/788040915982118912", "788040915982118912")</f>
        <v>0</v>
      </c>
      <c r="B671" s="2">
        <v>42660.6501157407</v>
      </c>
      <c r="C671">
        <v>136</v>
      </c>
      <c r="D671">
        <v>66</v>
      </c>
      <c r="E671" t="s">
        <v>660</v>
      </c>
    </row>
    <row r="672" spans="1:5">
      <c r="A672">
        <f>HYPERLINK("http://www.twitter.com/FDNY/status/788025244590178304", "788025244590178304")</f>
        <v>0</v>
      </c>
      <c r="B672" s="2">
        <v>42660.6068634259</v>
      </c>
      <c r="C672">
        <v>62</v>
      </c>
      <c r="D672">
        <v>19</v>
      </c>
      <c r="E672" t="s">
        <v>661</v>
      </c>
    </row>
    <row r="673" spans="1:5">
      <c r="A673">
        <f>HYPERLINK("http://www.twitter.com/FDNY/status/788021049371885569", "788021049371885569")</f>
        <v>0</v>
      </c>
      <c r="B673" s="2">
        <v>42660.5952893519</v>
      </c>
      <c r="C673">
        <v>65</v>
      </c>
      <c r="D673">
        <v>33</v>
      </c>
      <c r="E673" t="s">
        <v>662</v>
      </c>
    </row>
    <row r="674" spans="1:5">
      <c r="A674">
        <f>HYPERLINK("http://www.twitter.com/FDNY/status/788010686794399752", "788010686794399752")</f>
        <v>0</v>
      </c>
      <c r="B674" s="2">
        <v>42660.5666898148</v>
      </c>
      <c r="C674">
        <v>0</v>
      </c>
      <c r="D674">
        <v>16</v>
      </c>
      <c r="E674" t="s">
        <v>663</v>
      </c>
    </row>
    <row r="675" spans="1:5">
      <c r="A675">
        <f>HYPERLINK("http://www.twitter.com/FDNY/status/788009010486128644", "788009010486128644")</f>
        <v>0</v>
      </c>
      <c r="B675" s="2">
        <v>42660.5620717593</v>
      </c>
      <c r="C675">
        <v>0</v>
      </c>
      <c r="D675">
        <v>19</v>
      </c>
      <c r="E675" t="s">
        <v>664</v>
      </c>
    </row>
    <row r="676" spans="1:5">
      <c r="A676">
        <f>HYPERLINK("http://www.twitter.com/FDNY/status/788006001337311232", "788006001337311232")</f>
        <v>0</v>
      </c>
      <c r="B676" s="2">
        <v>42660.5537615741</v>
      </c>
      <c r="C676">
        <v>26</v>
      </c>
      <c r="D676">
        <v>23</v>
      </c>
      <c r="E676" t="s">
        <v>665</v>
      </c>
    </row>
    <row r="677" spans="1:5">
      <c r="A677">
        <f>HYPERLINK("http://www.twitter.com/FDNY/status/788005536616808448", "788005536616808448")</f>
        <v>0</v>
      </c>
      <c r="B677" s="2">
        <v>42660.5524884259</v>
      </c>
      <c r="C677">
        <v>63</v>
      </c>
      <c r="D677">
        <v>35</v>
      </c>
      <c r="E677" t="s">
        <v>666</v>
      </c>
    </row>
    <row r="678" spans="1:5">
      <c r="A678">
        <f>HYPERLINK("http://www.twitter.com/FDNY/status/787761536114782208", "787761536114782208")</f>
        <v>0</v>
      </c>
      <c r="B678" s="2">
        <v>42659.8791666667</v>
      </c>
      <c r="C678">
        <v>19</v>
      </c>
      <c r="D678">
        <v>11</v>
      </c>
      <c r="E678" t="s">
        <v>667</v>
      </c>
    </row>
    <row r="679" spans="1:5">
      <c r="A679">
        <f>HYPERLINK("http://www.twitter.com/FDNY/status/787761379445014532", "787761379445014532")</f>
        <v>0</v>
      </c>
      <c r="B679" s="2">
        <v>42659.8787384259</v>
      </c>
      <c r="C679">
        <v>36</v>
      </c>
      <c r="D679">
        <v>12</v>
      </c>
      <c r="E679" t="s">
        <v>668</v>
      </c>
    </row>
    <row r="680" spans="1:5">
      <c r="A680">
        <f>HYPERLINK("http://www.twitter.com/FDNY/status/787668607924854785", "787668607924854785")</f>
        <v>0</v>
      </c>
      <c r="B680" s="2">
        <v>42659.6227314815</v>
      </c>
      <c r="C680">
        <v>0</v>
      </c>
      <c r="D680">
        <v>3</v>
      </c>
      <c r="E680" t="s">
        <v>669</v>
      </c>
    </row>
    <row r="681" spans="1:5">
      <c r="A681">
        <f>HYPERLINK("http://www.twitter.com/FDNY/status/787668364185468929", "787668364185468929")</f>
        <v>0</v>
      </c>
      <c r="B681" s="2">
        <v>42659.6220601852</v>
      </c>
      <c r="C681">
        <v>0</v>
      </c>
      <c r="D681">
        <v>2</v>
      </c>
      <c r="E681" t="s">
        <v>670</v>
      </c>
    </row>
    <row r="682" spans="1:5">
      <c r="A682">
        <f>HYPERLINK("http://www.twitter.com/FDNY/status/787300841854238720", "787300841854238720")</f>
        <v>0</v>
      </c>
      <c r="B682" s="2">
        <v>42658.6078935185</v>
      </c>
      <c r="C682">
        <v>16</v>
      </c>
      <c r="D682">
        <v>13</v>
      </c>
      <c r="E682" t="s">
        <v>671</v>
      </c>
    </row>
    <row r="683" spans="1:5">
      <c r="A683">
        <f>HYPERLINK("http://www.twitter.com/FDNY/status/787282876974989316", "787282876974989316")</f>
        <v>0</v>
      </c>
      <c r="B683" s="2">
        <v>42658.5583217593</v>
      </c>
      <c r="C683">
        <v>0</v>
      </c>
      <c r="D683">
        <v>85</v>
      </c>
      <c r="E683" t="s">
        <v>672</v>
      </c>
    </row>
    <row r="684" spans="1:5">
      <c r="A684">
        <f>HYPERLINK("http://www.twitter.com/FDNY/status/787282593205088256", "787282593205088256")</f>
        <v>0</v>
      </c>
      <c r="B684" s="2">
        <v>42658.5575347222</v>
      </c>
      <c r="C684">
        <v>9</v>
      </c>
      <c r="D684">
        <v>2</v>
      </c>
      <c r="E684" t="s">
        <v>673</v>
      </c>
    </row>
    <row r="685" spans="1:5">
      <c r="A685">
        <f>HYPERLINK("http://www.twitter.com/FDNY/status/787280398111870976", "787280398111870976")</f>
        <v>0</v>
      </c>
      <c r="B685" s="2">
        <v>42658.5514814815</v>
      </c>
      <c r="C685">
        <v>0</v>
      </c>
      <c r="D685">
        <v>10</v>
      </c>
      <c r="E685" t="s">
        <v>674</v>
      </c>
    </row>
    <row r="686" spans="1:5">
      <c r="A686">
        <f>HYPERLINK("http://www.twitter.com/FDNY/status/787128699422408704", "787128699422408704")</f>
        <v>0</v>
      </c>
      <c r="B686" s="2">
        <v>42658.1328703704</v>
      </c>
      <c r="C686">
        <v>0</v>
      </c>
      <c r="D686">
        <v>5</v>
      </c>
      <c r="E686" t="s">
        <v>675</v>
      </c>
    </row>
    <row r="687" spans="1:5">
      <c r="A687">
        <f>HYPERLINK("http://www.twitter.com/FDNY/status/787062630376615936", "787062630376615936")</f>
        <v>0</v>
      </c>
      <c r="B687" s="2">
        <v>42657.9505555556</v>
      </c>
      <c r="C687">
        <v>0</v>
      </c>
      <c r="D687">
        <v>9</v>
      </c>
      <c r="E687" t="s">
        <v>676</v>
      </c>
    </row>
    <row r="688" spans="1:5">
      <c r="A688">
        <f>HYPERLINK("http://www.twitter.com/FDNY/status/787037716760367104", "787037716760367104")</f>
        <v>0</v>
      </c>
      <c r="B688" s="2">
        <v>42657.8818055556</v>
      </c>
      <c r="C688">
        <v>0</v>
      </c>
      <c r="D688">
        <v>10</v>
      </c>
      <c r="E688" t="s">
        <v>677</v>
      </c>
    </row>
    <row r="689" spans="1:5">
      <c r="A689">
        <f>HYPERLINK("http://www.twitter.com/FDNY/status/787024062576992256", "787024062576992256")</f>
        <v>0</v>
      </c>
      <c r="B689" s="2">
        <v>42657.8441319444</v>
      </c>
      <c r="C689">
        <v>37</v>
      </c>
      <c r="D689">
        <v>37</v>
      </c>
      <c r="E689" t="s">
        <v>678</v>
      </c>
    </row>
    <row r="690" spans="1:5">
      <c r="A690">
        <f>HYPERLINK("http://www.twitter.com/FDNY/status/787011524472762368", "787011524472762368")</f>
        <v>0</v>
      </c>
      <c r="B690" s="2">
        <v>42657.809537037</v>
      </c>
      <c r="C690">
        <v>74</v>
      </c>
      <c r="D690">
        <v>22</v>
      </c>
      <c r="E690" t="s">
        <v>679</v>
      </c>
    </row>
    <row r="691" spans="1:5">
      <c r="A691">
        <f>HYPERLINK("http://www.twitter.com/FDNY/status/787006536858099717", "787006536858099717")</f>
        <v>0</v>
      </c>
      <c r="B691" s="2">
        <v>42657.7957638889</v>
      </c>
      <c r="C691">
        <v>31</v>
      </c>
      <c r="D691">
        <v>7</v>
      </c>
      <c r="E691" t="s">
        <v>680</v>
      </c>
    </row>
    <row r="692" spans="1:5">
      <c r="A692">
        <f>HYPERLINK("http://www.twitter.com/FDNY/status/787005825248325634", "787005825248325634")</f>
        <v>0</v>
      </c>
      <c r="B692" s="2">
        <v>42657.7938078704</v>
      </c>
      <c r="C692">
        <v>11</v>
      </c>
      <c r="D692">
        <v>6</v>
      </c>
      <c r="E692" t="s">
        <v>681</v>
      </c>
    </row>
    <row r="693" spans="1:5">
      <c r="A693">
        <f>HYPERLINK("http://www.twitter.com/FDNY/status/786985046733357056", "786985046733357056")</f>
        <v>0</v>
      </c>
      <c r="B693" s="2">
        <v>42657.7364699074</v>
      </c>
      <c r="C693">
        <v>0</v>
      </c>
      <c r="D693">
        <v>12</v>
      </c>
      <c r="E693" t="s">
        <v>682</v>
      </c>
    </row>
    <row r="694" spans="1:5">
      <c r="A694">
        <f>HYPERLINK("http://www.twitter.com/FDNY/status/786981987466809344", "786981987466809344")</f>
        <v>0</v>
      </c>
      <c r="B694" s="2">
        <v>42657.7280208333</v>
      </c>
      <c r="C694">
        <v>23</v>
      </c>
      <c r="D694">
        <v>2</v>
      </c>
      <c r="E694" t="s">
        <v>683</v>
      </c>
    </row>
    <row r="695" spans="1:5">
      <c r="A695">
        <f>HYPERLINK("http://www.twitter.com/FDNY/status/786979764481495040", "786979764481495040")</f>
        <v>0</v>
      </c>
      <c r="B695" s="2">
        <v>42657.7218865741</v>
      </c>
      <c r="C695">
        <v>76</v>
      </c>
      <c r="D695">
        <v>22</v>
      </c>
      <c r="E695" t="s">
        <v>684</v>
      </c>
    </row>
    <row r="696" spans="1:5">
      <c r="A696">
        <f>HYPERLINK("http://www.twitter.com/FDNY/status/786975112411148288", "786975112411148288")</f>
        <v>0</v>
      </c>
      <c r="B696" s="2">
        <v>42657.7090509259</v>
      </c>
      <c r="C696">
        <v>148</v>
      </c>
      <c r="D696">
        <v>85</v>
      </c>
      <c r="E696" t="s">
        <v>685</v>
      </c>
    </row>
    <row r="697" spans="1:5">
      <c r="A697">
        <f>HYPERLINK("http://www.twitter.com/FDNY/status/786966127687630848", "786966127687630848")</f>
        <v>0</v>
      </c>
      <c r="B697" s="2">
        <v>42657.6842592593</v>
      </c>
      <c r="C697">
        <v>17</v>
      </c>
      <c r="D697">
        <v>6</v>
      </c>
      <c r="E697" t="s">
        <v>686</v>
      </c>
    </row>
    <row r="698" spans="1:5">
      <c r="A698">
        <f>HYPERLINK("http://www.twitter.com/FDNY/status/786966024709083136", "786966024709083136")</f>
        <v>0</v>
      </c>
      <c r="B698" s="2">
        <v>42657.6839814815</v>
      </c>
      <c r="C698">
        <v>11</v>
      </c>
      <c r="D698">
        <v>5</v>
      </c>
      <c r="E698" t="s">
        <v>687</v>
      </c>
    </row>
    <row r="699" spans="1:5">
      <c r="A699">
        <f>HYPERLINK("http://www.twitter.com/FDNY/status/786965601457729536", "786965601457729536")</f>
        <v>0</v>
      </c>
      <c r="B699" s="2">
        <v>42657.6828125</v>
      </c>
      <c r="C699">
        <v>17</v>
      </c>
      <c r="D699">
        <v>8</v>
      </c>
      <c r="E699" t="s">
        <v>688</v>
      </c>
    </row>
    <row r="700" spans="1:5">
      <c r="A700">
        <f>HYPERLINK("http://www.twitter.com/FDNY/status/786964798516957184", "786964798516957184")</f>
        <v>0</v>
      </c>
      <c r="B700" s="2">
        <v>42657.6805902778</v>
      </c>
      <c r="C700">
        <v>20</v>
      </c>
      <c r="D700">
        <v>11</v>
      </c>
      <c r="E700" t="s">
        <v>689</v>
      </c>
    </row>
    <row r="701" spans="1:5">
      <c r="A701">
        <f>HYPERLINK("http://www.twitter.com/FDNY/status/786964634221805568", "786964634221805568")</f>
        <v>0</v>
      </c>
      <c r="B701" s="2">
        <v>42657.6801388889</v>
      </c>
      <c r="C701">
        <v>19</v>
      </c>
      <c r="D701">
        <v>6</v>
      </c>
      <c r="E701" t="s">
        <v>690</v>
      </c>
    </row>
    <row r="702" spans="1:5">
      <c r="A702">
        <f>HYPERLINK("http://www.twitter.com/FDNY/status/786964497307238400", "786964497307238400")</f>
        <v>0</v>
      </c>
      <c r="B702" s="2">
        <v>42657.6797569444</v>
      </c>
      <c r="C702">
        <v>16</v>
      </c>
      <c r="D702">
        <v>7</v>
      </c>
      <c r="E702" t="s">
        <v>691</v>
      </c>
    </row>
    <row r="703" spans="1:5">
      <c r="A703">
        <f>HYPERLINK("http://www.twitter.com/FDNY/status/786962891220119552", "786962891220119552")</f>
        <v>0</v>
      </c>
      <c r="B703" s="2">
        <v>42657.6753240741</v>
      </c>
      <c r="C703">
        <v>38</v>
      </c>
      <c r="D703">
        <v>16</v>
      </c>
      <c r="E703" t="s">
        <v>692</v>
      </c>
    </row>
    <row r="704" spans="1:5">
      <c r="A704">
        <f>HYPERLINK("http://www.twitter.com/FDNY/status/786948694239248384", "786948694239248384")</f>
        <v>0</v>
      </c>
      <c r="B704" s="2">
        <v>42657.6361574074</v>
      </c>
      <c r="C704">
        <v>12</v>
      </c>
      <c r="D704">
        <v>18</v>
      </c>
      <c r="E704" t="s">
        <v>693</v>
      </c>
    </row>
    <row r="705" spans="1:5">
      <c r="A705">
        <f>HYPERLINK("http://www.twitter.com/FDNY/status/786926292289654784", "786926292289654784")</f>
        <v>0</v>
      </c>
      <c r="B705" s="2">
        <v>42657.5743402778</v>
      </c>
      <c r="C705">
        <v>58</v>
      </c>
      <c r="D705">
        <v>40</v>
      </c>
      <c r="E705" t="s">
        <v>694</v>
      </c>
    </row>
    <row r="706" spans="1:5">
      <c r="A706">
        <f>HYPERLINK("http://www.twitter.com/FDNY/status/786906206472372224", "786906206472372224")</f>
        <v>0</v>
      </c>
      <c r="B706" s="2">
        <v>42657.518912037</v>
      </c>
      <c r="C706">
        <v>0</v>
      </c>
      <c r="D706">
        <v>9</v>
      </c>
      <c r="E706" t="s">
        <v>695</v>
      </c>
    </row>
    <row r="707" spans="1:5">
      <c r="A707">
        <f>HYPERLINK("http://www.twitter.com/FDNY/status/786702514477465617", "786702514477465617")</f>
        <v>0</v>
      </c>
      <c r="B707" s="2">
        <v>42656.9568287037</v>
      </c>
      <c r="C707">
        <v>0</v>
      </c>
      <c r="D707">
        <v>16</v>
      </c>
      <c r="E707" t="s">
        <v>696</v>
      </c>
    </row>
    <row r="708" spans="1:5">
      <c r="A708">
        <f>HYPERLINK("http://www.twitter.com/FDNY/status/786693928716234757", "786693928716234757")</f>
        <v>0</v>
      </c>
      <c r="B708" s="2">
        <v>42656.9331365741</v>
      </c>
      <c r="C708">
        <v>0</v>
      </c>
      <c r="D708">
        <v>30</v>
      </c>
      <c r="E708" t="s">
        <v>697</v>
      </c>
    </row>
    <row r="709" spans="1:5">
      <c r="A709">
        <f>HYPERLINK("http://www.twitter.com/FDNY/status/786690472320331778", "786690472320331778")</f>
        <v>0</v>
      </c>
      <c r="B709" s="2">
        <v>42656.923599537</v>
      </c>
      <c r="C709">
        <v>0</v>
      </c>
      <c r="D709">
        <v>7</v>
      </c>
      <c r="E709" t="s">
        <v>698</v>
      </c>
    </row>
    <row r="710" spans="1:5">
      <c r="A710">
        <f>HYPERLINK("http://www.twitter.com/FDNY/status/786687589059272704", "786687589059272704")</f>
        <v>0</v>
      </c>
      <c r="B710" s="2">
        <v>42656.9156365741</v>
      </c>
      <c r="C710">
        <v>0</v>
      </c>
      <c r="D710">
        <v>3</v>
      </c>
      <c r="E710" t="s">
        <v>699</v>
      </c>
    </row>
    <row r="711" spans="1:5">
      <c r="A711">
        <f>HYPERLINK("http://www.twitter.com/FDNY/status/786684521047584768", "786684521047584768")</f>
        <v>0</v>
      </c>
      <c r="B711" s="2">
        <v>42656.9071759259</v>
      </c>
      <c r="C711">
        <v>9</v>
      </c>
      <c r="D711">
        <v>6</v>
      </c>
      <c r="E711" t="s">
        <v>700</v>
      </c>
    </row>
    <row r="712" spans="1:5">
      <c r="A712">
        <f>HYPERLINK("http://www.twitter.com/FDNY/status/786671781188870144", "786671781188870144")</f>
        <v>0</v>
      </c>
      <c r="B712" s="2">
        <v>42656.8720138889</v>
      </c>
      <c r="C712">
        <v>10</v>
      </c>
      <c r="D712">
        <v>7</v>
      </c>
      <c r="E712" t="s">
        <v>701</v>
      </c>
    </row>
    <row r="713" spans="1:5">
      <c r="A713">
        <f>HYPERLINK("http://www.twitter.com/FDNY/status/786662975025377280", "786662975025377280")</f>
        <v>0</v>
      </c>
      <c r="B713" s="2">
        <v>42656.8477199074</v>
      </c>
      <c r="C713">
        <v>11</v>
      </c>
      <c r="D713">
        <v>12</v>
      </c>
      <c r="E713" t="s">
        <v>702</v>
      </c>
    </row>
    <row r="714" spans="1:5">
      <c r="A714">
        <f>HYPERLINK("http://www.twitter.com/FDNY/status/786659279239581696", "786659279239581696")</f>
        <v>0</v>
      </c>
      <c r="B714" s="2">
        <v>42656.8375231481</v>
      </c>
      <c r="C714">
        <v>25</v>
      </c>
      <c r="D714">
        <v>10</v>
      </c>
      <c r="E714" t="s">
        <v>703</v>
      </c>
    </row>
    <row r="715" spans="1:5">
      <c r="A715">
        <f>HYPERLINK("http://www.twitter.com/FDNY/status/786653519378079744", "786653519378079744")</f>
        <v>0</v>
      </c>
      <c r="B715" s="2">
        <v>42656.8216203704</v>
      </c>
      <c r="C715">
        <v>4</v>
      </c>
      <c r="D715">
        <v>4</v>
      </c>
      <c r="E715" t="s">
        <v>704</v>
      </c>
    </row>
    <row r="716" spans="1:5">
      <c r="A716">
        <f>HYPERLINK("http://www.twitter.com/FDNY/status/786652903889133568", "786652903889133568")</f>
        <v>0</v>
      </c>
      <c r="B716" s="2">
        <v>42656.8199305556</v>
      </c>
      <c r="C716">
        <v>18</v>
      </c>
      <c r="D716">
        <v>9</v>
      </c>
      <c r="E716" t="s">
        <v>705</v>
      </c>
    </row>
    <row r="717" spans="1:5">
      <c r="A717">
        <f>HYPERLINK("http://www.twitter.com/FDNY/status/786652743775772672", "786652743775772672")</f>
        <v>0</v>
      </c>
      <c r="B717" s="2">
        <v>42656.8194907407</v>
      </c>
      <c r="C717">
        <v>14</v>
      </c>
      <c r="D717">
        <v>7</v>
      </c>
      <c r="E717" t="s">
        <v>706</v>
      </c>
    </row>
    <row r="718" spans="1:5">
      <c r="A718">
        <f>HYPERLINK("http://www.twitter.com/FDNY/status/786651634441084929", "786651634441084929")</f>
        <v>0</v>
      </c>
      <c r="B718" s="2">
        <v>42656.8164236111</v>
      </c>
      <c r="C718">
        <v>10</v>
      </c>
      <c r="D718">
        <v>6</v>
      </c>
      <c r="E718" t="s">
        <v>707</v>
      </c>
    </row>
    <row r="719" spans="1:5">
      <c r="A719">
        <f>HYPERLINK("http://www.twitter.com/FDNY/status/786651200531947520", "786651200531947520")</f>
        <v>0</v>
      </c>
      <c r="B719" s="2">
        <v>42656.8152314815</v>
      </c>
      <c r="C719">
        <v>19</v>
      </c>
      <c r="D719">
        <v>9</v>
      </c>
      <c r="E719" t="s">
        <v>708</v>
      </c>
    </row>
    <row r="720" spans="1:5">
      <c r="A720">
        <f>HYPERLINK("http://www.twitter.com/FDNY/status/786651101571518465", "786651101571518465")</f>
        <v>0</v>
      </c>
      <c r="B720" s="2">
        <v>42656.8149537037</v>
      </c>
      <c r="C720">
        <v>6</v>
      </c>
      <c r="D720">
        <v>6</v>
      </c>
      <c r="E720" t="s">
        <v>709</v>
      </c>
    </row>
    <row r="721" spans="1:5">
      <c r="A721">
        <f>HYPERLINK("http://www.twitter.com/FDNY/status/786651036396167168", "786651036396167168")</f>
        <v>0</v>
      </c>
      <c r="B721" s="2">
        <v>42656.8147800926</v>
      </c>
      <c r="C721">
        <v>12</v>
      </c>
      <c r="D721">
        <v>12</v>
      </c>
      <c r="E721" t="s">
        <v>710</v>
      </c>
    </row>
    <row r="722" spans="1:5">
      <c r="A722">
        <f>HYPERLINK("http://www.twitter.com/FDNY/status/786635593346379776", "786635593346379776")</f>
        <v>0</v>
      </c>
      <c r="B722" s="2">
        <v>42656.7721643519</v>
      </c>
      <c r="C722">
        <v>15</v>
      </c>
      <c r="D722">
        <v>16</v>
      </c>
      <c r="E722" t="s">
        <v>711</v>
      </c>
    </row>
    <row r="723" spans="1:5">
      <c r="A723">
        <f>HYPERLINK("http://www.twitter.com/FDNY/status/786633704248520704", "786633704248520704")</f>
        <v>0</v>
      </c>
      <c r="B723" s="2">
        <v>42656.7669444444</v>
      </c>
      <c r="C723">
        <v>0</v>
      </c>
      <c r="D723">
        <v>9</v>
      </c>
      <c r="E723" t="s">
        <v>712</v>
      </c>
    </row>
    <row r="724" spans="1:5">
      <c r="A724">
        <f>HYPERLINK("http://www.twitter.com/FDNY/status/786625199252856832", "786625199252856832")</f>
        <v>0</v>
      </c>
      <c r="B724" s="2">
        <v>42656.7434722222</v>
      </c>
      <c r="C724">
        <v>13</v>
      </c>
      <c r="D724">
        <v>11</v>
      </c>
      <c r="E724" t="s">
        <v>713</v>
      </c>
    </row>
    <row r="725" spans="1:5">
      <c r="A725">
        <f>HYPERLINK("http://www.twitter.com/FDNY/status/786620952347938816", "786620952347938816")</f>
        <v>0</v>
      </c>
      <c r="B725" s="2">
        <v>42656.7317592593</v>
      </c>
      <c r="C725">
        <v>18</v>
      </c>
      <c r="D725">
        <v>11</v>
      </c>
      <c r="E725" t="s">
        <v>714</v>
      </c>
    </row>
    <row r="726" spans="1:5">
      <c r="A726">
        <f>HYPERLINK("http://www.twitter.com/FDNY/status/786617191290458112", "786617191290458112")</f>
        <v>0</v>
      </c>
      <c r="B726" s="2">
        <v>42656.7213773148</v>
      </c>
      <c r="C726">
        <v>13</v>
      </c>
      <c r="D726">
        <v>5</v>
      </c>
      <c r="E726" t="s">
        <v>715</v>
      </c>
    </row>
    <row r="727" spans="1:5">
      <c r="A727">
        <f>HYPERLINK("http://www.twitter.com/FDNY/status/786616739882598400", "786616739882598400")</f>
        <v>0</v>
      </c>
      <c r="B727" s="2">
        <v>42656.7201388889</v>
      </c>
      <c r="C727">
        <v>17</v>
      </c>
      <c r="D727">
        <v>8</v>
      </c>
      <c r="E727" t="s">
        <v>716</v>
      </c>
    </row>
    <row r="728" spans="1:5">
      <c r="A728">
        <f>HYPERLINK("http://www.twitter.com/FDNY/status/786606382883627008", "786606382883627008")</f>
        <v>0</v>
      </c>
      <c r="B728" s="2">
        <v>42656.6915509259</v>
      </c>
      <c r="C728">
        <v>0</v>
      </c>
      <c r="D728">
        <v>12</v>
      </c>
      <c r="E728" t="s">
        <v>717</v>
      </c>
    </row>
    <row r="729" spans="1:5">
      <c r="A729">
        <f>HYPERLINK("http://www.twitter.com/FDNY/status/786603350896803840", "786603350896803840")</f>
        <v>0</v>
      </c>
      <c r="B729" s="2">
        <v>42656.6831828704</v>
      </c>
      <c r="C729">
        <v>12</v>
      </c>
      <c r="D729">
        <v>6</v>
      </c>
      <c r="E729" t="s">
        <v>718</v>
      </c>
    </row>
    <row r="730" spans="1:5">
      <c r="A730">
        <f>HYPERLINK("http://www.twitter.com/FDNY/status/786598416067469312", "786598416067469312")</f>
        <v>0</v>
      </c>
      <c r="B730" s="2">
        <v>42656.6695717593</v>
      </c>
      <c r="C730">
        <v>5</v>
      </c>
      <c r="D730">
        <v>4</v>
      </c>
      <c r="E730" t="s">
        <v>719</v>
      </c>
    </row>
    <row r="731" spans="1:5">
      <c r="A731">
        <f>HYPERLINK("http://www.twitter.com/FDNY/status/786598246407811072", "786598246407811072")</f>
        <v>0</v>
      </c>
      <c r="B731" s="2">
        <v>42656.6690972222</v>
      </c>
      <c r="C731">
        <v>41</v>
      </c>
      <c r="D731">
        <v>10</v>
      </c>
      <c r="E731" t="s">
        <v>720</v>
      </c>
    </row>
    <row r="732" spans="1:5">
      <c r="A732">
        <f>HYPERLINK("http://www.twitter.com/FDNY/status/786587251627134980", "786587251627134980")</f>
        <v>0</v>
      </c>
      <c r="B732" s="2">
        <v>42656.6387615741</v>
      </c>
      <c r="C732">
        <v>8</v>
      </c>
      <c r="D732">
        <v>5</v>
      </c>
      <c r="E732" t="s">
        <v>721</v>
      </c>
    </row>
    <row r="733" spans="1:5">
      <c r="A733">
        <f>HYPERLINK("http://www.twitter.com/FDNY/status/786581122662666240", "786581122662666240")</f>
        <v>0</v>
      </c>
      <c r="B733" s="2">
        <v>42656.6218518519</v>
      </c>
      <c r="C733">
        <v>11</v>
      </c>
      <c r="D733">
        <v>6</v>
      </c>
      <c r="E733" t="s">
        <v>722</v>
      </c>
    </row>
    <row r="734" spans="1:5">
      <c r="A734">
        <f>HYPERLINK("http://www.twitter.com/FDNY/status/786573174930599936", "786573174930599936")</f>
        <v>0</v>
      </c>
      <c r="B734" s="2">
        <v>42656.5999189815</v>
      </c>
      <c r="C734">
        <v>15</v>
      </c>
      <c r="D734">
        <v>1</v>
      </c>
      <c r="E734" t="s">
        <v>723</v>
      </c>
    </row>
    <row r="735" spans="1:5">
      <c r="A735">
        <f>HYPERLINK("http://www.twitter.com/FDNY/status/786572738320330752", "786572738320330752")</f>
        <v>0</v>
      </c>
      <c r="B735" s="2">
        <v>42656.5987152778</v>
      </c>
      <c r="C735">
        <v>16</v>
      </c>
      <c r="D735">
        <v>2</v>
      </c>
      <c r="E735" t="s">
        <v>724</v>
      </c>
    </row>
    <row r="736" spans="1:5">
      <c r="A736">
        <f>HYPERLINK("http://www.twitter.com/FDNY/status/786572144230760448", "786572144230760448")</f>
        <v>0</v>
      </c>
      <c r="B736" s="2">
        <v>42656.5970717593</v>
      </c>
      <c r="C736">
        <v>12</v>
      </c>
      <c r="D736">
        <v>1</v>
      </c>
      <c r="E736" t="s">
        <v>725</v>
      </c>
    </row>
    <row r="737" spans="1:5">
      <c r="A737">
        <f>HYPERLINK("http://www.twitter.com/FDNY/status/786572086273769472", "786572086273769472")</f>
        <v>0</v>
      </c>
      <c r="B737" s="2">
        <v>42656.5969097222</v>
      </c>
      <c r="C737">
        <v>30</v>
      </c>
      <c r="D737">
        <v>7</v>
      </c>
      <c r="E737" t="s">
        <v>726</v>
      </c>
    </row>
    <row r="738" spans="1:5">
      <c r="A738">
        <f>HYPERLINK("http://www.twitter.com/FDNY/status/786571001295474688", "786571001295474688")</f>
        <v>0</v>
      </c>
      <c r="B738" s="2">
        <v>42656.5939236111</v>
      </c>
      <c r="C738">
        <v>18</v>
      </c>
      <c r="D738">
        <v>2</v>
      </c>
      <c r="E738" t="s">
        <v>727</v>
      </c>
    </row>
    <row r="739" spans="1:5">
      <c r="A739">
        <f>HYPERLINK("http://www.twitter.com/FDNY/status/786540145646374912", "786540145646374912")</f>
        <v>0</v>
      </c>
      <c r="B739" s="2">
        <v>42656.5087731481</v>
      </c>
      <c r="C739">
        <v>0</v>
      </c>
      <c r="D739">
        <v>7</v>
      </c>
      <c r="E739" t="s">
        <v>728</v>
      </c>
    </row>
    <row r="740" spans="1:5">
      <c r="A740">
        <f>HYPERLINK("http://www.twitter.com/FDNY/status/786324315851546624", "786324315851546624")</f>
        <v>0</v>
      </c>
      <c r="B740" s="2">
        <v>42655.9131944444</v>
      </c>
      <c r="C740">
        <v>0</v>
      </c>
      <c r="D740">
        <v>7</v>
      </c>
      <c r="E740" t="s">
        <v>729</v>
      </c>
    </row>
    <row r="741" spans="1:5">
      <c r="A741">
        <f>HYPERLINK("http://www.twitter.com/FDNY/status/786317892912422913", "786317892912422913")</f>
        <v>0</v>
      </c>
      <c r="B741" s="2">
        <v>42655.895474537</v>
      </c>
      <c r="C741">
        <v>47</v>
      </c>
      <c r="D741">
        <v>20</v>
      </c>
      <c r="E741" t="s">
        <v>730</v>
      </c>
    </row>
    <row r="742" spans="1:5">
      <c r="A742">
        <f>HYPERLINK("http://www.twitter.com/FDNY/status/786309309810536448", "786309309810536448")</f>
        <v>0</v>
      </c>
      <c r="B742" s="2">
        <v>42655.8717939815</v>
      </c>
      <c r="C742">
        <v>13</v>
      </c>
      <c r="D742">
        <v>13</v>
      </c>
      <c r="E742" t="s">
        <v>731</v>
      </c>
    </row>
    <row r="743" spans="1:5">
      <c r="A743">
        <f>HYPERLINK("http://www.twitter.com/FDNY/status/786297267271585792", "786297267271585792")</f>
        <v>0</v>
      </c>
      <c r="B743" s="2">
        <v>42655.8385532407</v>
      </c>
      <c r="C743">
        <v>0</v>
      </c>
      <c r="D743">
        <v>7</v>
      </c>
      <c r="E743" t="s">
        <v>732</v>
      </c>
    </row>
    <row r="744" spans="1:5">
      <c r="A744">
        <f>HYPERLINK("http://www.twitter.com/FDNY/status/786283230953476096", "786283230953476096")</f>
        <v>0</v>
      </c>
      <c r="B744" s="2">
        <v>42655.7998263889</v>
      </c>
      <c r="C744">
        <v>0</v>
      </c>
      <c r="D744">
        <v>91</v>
      </c>
      <c r="E744" t="s">
        <v>733</v>
      </c>
    </row>
    <row r="745" spans="1:5">
      <c r="A745">
        <f>HYPERLINK("http://www.twitter.com/FDNY/status/786250693162196993", "786250693162196993")</f>
        <v>0</v>
      </c>
      <c r="B745" s="2">
        <v>42655.7100347222</v>
      </c>
      <c r="C745">
        <v>0</v>
      </c>
      <c r="D745">
        <v>6</v>
      </c>
      <c r="E745" t="s">
        <v>734</v>
      </c>
    </row>
    <row r="746" spans="1:5">
      <c r="A746">
        <f>HYPERLINK("http://www.twitter.com/FDNY/status/786250686627536896", "786250686627536896")</f>
        <v>0</v>
      </c>
      <c r="B746" s="2">
        <v>42655.7100231481</v>
      </c>
      <c r="C746">
        <v>0</v>
      </c>
      <c r="D746">
        <v>7</v>
      </c>
      <c r="E746" t="s">
        <v>735</v>
      </c>
    </row>
    <row r="747" spans="1:5">
      <c r="A747">
        <f>HYPERLINK("http://www.twitter.com/FDNY/status/786250195235397636", "786250195235397636")</f>
        <v>0</v>
      </c>
      <c r="B747" s="2">
        <v>42655.7086689815</v>
      </c>
      <c r="C747">
        <v>39</v>
      </c>
      <c r="D747">
        <v>15</v>
      </c>
      <c r="E747" t="s">
        <v>736</v>
      </c>
    </row>
    <row r="748" spans="1:5">
      <c r="A748">
        <f>HYPERLINK("http://www.twitter.com/FDNY/status/786232665892646912", "786232665892646912")</f>
        <v>0</v>
      </c>
      <c r="B748" s="2">
        <v>42655.6602893519</v>
      </c>
      <c r="C748">
        <v>7</v>
      </c>
      <c r="D748">
        <v>7</v>
      </c>
      <c r="E748" t="s">
        <v>737</v>
      </c>
    </row>
    <row r="749" spans="1:5">
      <c r="A749">
        <f>HYPERLINK("http://www.twitter.com/FDNY/status/786228731710959616", "786228731710959616")</f>
        <v>0</v>
      </c>
      <c r="B749" s="2">
        <v>42655.6494328704</v>
      </c>
      <c r="C749">
        <v>136</v>
      </c>
      <c r="D749">
        <v>79</v>
      </c>
      <c r="E749" t="s">
        <v>738</v>
      </c>
    </row>
    <row r="750" spans="1:5">
      <c r="A750">
        <f>HYPERLINK("http://www.twitter.com/FDNY/status/786227988501323777", "786227988501323777")</f>
        <v>0</v>
      </c>
      <c r="B750" s="2">
        <v>42655.6473842593</v>
      </c>
      <c r="C750">
        <v>18</v>
      </c>
      <c r="D750">
        <v>4</v>
      </c>
      <c r="E750" t="s">
        <v>739</v>
      </c>
    </row>
    <row r="751" spans="1:5">
      <c r="A751">
        <f>HYPERLINK("http://www.twitter.com/FDNY/status/786227856359776256", "786227856359776256")</f>
        <v>0</v>
      </c>
      <c r="B751" s="2">
        <v>42655.647025463</v>
      </c>
      <c r="C751">
        <v>27</v>
      </c>
      <c r="D751">
        <v>7</v>
      </c>
      <c r="E751" t="s">
        <v>740</v>
      </c>
    </row>
    <row r="752" spans="1:5">
      <c r="A752">
        <f>HYPERLINK("http://www.twitter.com/FDNY/status/786226489889005568", "786226489889005568")</f>
        <v>0</v>
      </c>
      <c r="B752" s="2">
        <v>42655.6432523148</v>
      </c>
      <c r="C752">
        <v>48</v>
      </c>
      <c r="D752">
        <v>14</v>
      </c>
      <c r="E752" t="s">
        <v>741</v>
      </c>
    </row>
    <row r="753" spans="1:5">
      <c r="A753">
        <f>HYPERLINK("http://www.twitter.com/FDNY/status/786226447019085824", "786226447019085824")</f>
        <v>0</v>
      </c>
      <c r="B753" s="2">
        <v>42655.6431365741</v>
      </c>
      <c r="C753">
        <v>39</v>
      </c>
      <c r="D753">
        <v>8</v>
      </c>
      <c r="E753" t="s">
        <v>742</v>
      </c>
    </row>
    <row r="754" spans="1:5">
      <c r="A754">
        <f>HYPERLINK("http://www.twitter.com/FDNY/status/786225948001796097", "786225948001796097")</f>
        <v>0</v>
      </c>
      <c r="B754" s="2">
        <v>42655.6417592593</v>
      </c>
      <c r="C754">
        <v>43</v>
      </c>
      <c r="D754">
        <v>6</v>
      </c>
      <c r="E754" t="s">
        <v>743</v>
      </c>
    </row>
    <row r="755" spans="1:5">
      <c r="A755">
        <f>HYPERLINK("http://www.twitter.com/FDNY/status/786224572949463040", "786224572949463040")</f>
        <v>0</v>
      </c>
      <c r="B755" s="2">
        <v>42655.637962963</v>
      </c>
      <c r="C755">
        <v>17</v>
      </c>
      <c r="D755">
        <v>6</v>
      </c>
      <c r="E755" t="s">
        <v>744</v>
      </c>
    </row>
    <row r="756" spans="1:5">
      <c r="A756">
        <f>HYPERLINK("http://www.twitter.com/FDNY/status/786222803125174273", "786222803125174273")</f>
        <v>0</v>
      </c>
      <c r="B756" s="2">
        <v>42655.6330787037</v>
      </c>
      <c r="C756">
        <v>0</v>
      </c>
      <c r="D756">
        <v>3</v>
      </c>
      <c r="E756" t="s">
        <v>745</v>
      </c>
    </row>
    <row r="757" spans="1:5">
      <c r="A757">
        <f>HYPERLINK("http://www.twitter.com/FDNY/status/786221627151376384", "786221627151376384")</f>
        <v>0</v>
      </c>
      <c r="B757" s="2">
        <v>42655.6298263889</v>
      </c>
      <c r="C757">
        <v>39</v>
      </c>
      <c r="D757">
        <v>20</v>
      </c>
      <c r="E757" t="s">
        <v>746</v>
      </c>
    </row>
    <row r="758" spans="1:5">
      <c r="A758">
        <f>HYPERLINK("http://www.twitter.com/FDNY/status/786221432766357504", "786221432766357504")</f>
        <v>0</v>
      </c>
      <c r="B758" s="2">
        <v>42655.6292939815</v>
      </c>
      <c r="C758">
        <v>15</v>
      </c>
      <c r="D758">
        <v>10</v>
      </c>
      <c r="E758" t="s">
        <v>747</v>
      </c>
    </row>
    <row r="759" spans="1:5">
      <c r="A759">
        <f>HYPERLINK("http://www.twitter.com/FDNY/status/786202561422524416", "786202561422524416")</f>
        <v>0</v>
      </c>
      <c r="B759" s="2">
        <v>42655.5772222222</v>
      </c>
      <c r="C759">
        <v>0</v>
      </c>
      <c r="D759">
        <v>5</v>
      </c>
      <c r="E759" t="s">
        <v>748</v>
      </c>
    </row>
    <row r="760" spans="1:5">
      <c r="A760">
        <f>HYPERLINK("http://www.twitter.com/FDNY/status/786197605873291264", "786197605873291264")</f>
        <v>0</v>
      </c>
      <c r="B760" s="2">
        <v>42655.5635416667</v>
      </c>
      <c r="C760">
        <v>19</v>
      </c>
      <c r="D760">
        <v>9</v>
      </c>
      <c r="E760" t="s">
        <v>749</v>
      </c>
    </row>
    <row r="761" spans="1:5">
      <c r="A761">
        <f>HYPERLINK("http://www.twitter.com/FDNY/status/786179118761213952", "786179118761213952")</f>
        <v>0</v>
      </c>
      <c r="B761" s="2">
        <v>42655.5125347222</v>
      </c>
      <c r="C761">
        <v>0</v>
      </c>
      <c r="D761">
        <v>10</v>
      </c>
      <c r="E761" t="s">
        <v>750</v>
      </c>
    </row>
    <row r="762" spans="1:5">
      <c r="A762">
        <f>HYPERLINK("http://www.twitter.com/FDNY/status/786034801241456640", "786034801241456640")</f>
        <v>0</v>
      </c>
      <c r="B762" s="2">
        <v>42655.1142939815</v>
      </c>
      <c r="C762">
        <v>0</v>
      </c>
      <c r="D762">
        <v>8</v>
      </c>
      <c r="E762" t="s">
        <v>751</v>
      </c>
    </row>
    <row r="763" spans="1:5">
      <c r="A763">
        <f>HYPERLINK("http://www.twitter.com/FDNY/status/785983531411382272", "785983531411382272")</f>
        <v>0</v>
      </c>
      <c r="B763" s="2">
        <v>42654.9728125</v>
      </c>
      <c r="C763">
        <v>0</v>
      </c>
      <c r="D763">
        <v>8</v>
      </c>
      <c r="E763" t="s">
        <v>752</v>
      </c>
    </row>
    <row r="764" spans="1:5">
      <c r="A764">
        <f>HYPERLINK("http://www.twitter.com/FDNY/status/785983459097399296", "785983459097399296")</f>
        <v>0</v>
      </c>
      <c r="B764" s="2">
        <v>42654.9726157407</v>
      </c>
      <c r="C764">
        <v>0</v>
      </c>
      <c r="D764">
        <v>5</v>
      </c>
      <c r="E764" t="s">
        <v>753</v>
      </c>
    </row>
    <row r="765" spans="1:5">
      <c r="A765">
        <f>HYPERLINK("http://www.twitter.com/FDNY/status/785983441347092480", "785983441347092480")</f>
        <v>0</v>
      </c>
      <c r="B765" s="2">
        <v>42654.9725578704</v>
      </c>
      <c r="C765">
        <v>0</v>
      </c>
      <c r="D765">
        <v>13</v>
      </c>
      <c r="E765" t="s">
        <v>754</v>
      </c>
    </row>
    <row r="766" spans="1:5">
      <c r="A766">
        <f>HYPERLINK("http://www.twitter.com/FDNY/status/785979635943301120", "785979635943301120")</f>
        <v>0</v>
      </c>
      <c r="B766" s="2">
        <v>42654.9620601852</v>
      </c>
      <c r="C766">
        <v>44</v>
      </c>
      <c r="D766">
        <v>38</v>
      </c>
      <c r="E766" t="s">
        <v>755</v>
      </c>
    </row>
    <row r="767" spans="1:5">
      <c r="A767">
        <f>HYPERLINK("http://www.twitter.com/FDNY/status/785968040273846273", "785968040273846273")</f>
        <v>0</v>
      </c>
      <c r="B767" s="2">
        <v>42654.9300694444</v>
      </c>
      <c r="C767">
        <v>0</v>
      </c>
      <c r="D767">
        <v>10</v>
      </c>
      <c r="E767" t="s">
        <v>756</v>
      </c>
    </row>
    <row r="768" spans="1:5">
      <c r="A768">
        <f>HYPERLINK("http://www.twitter.com/FDNY/status/785943512378249216", "785943512378249216")</f>
        <v>0</v>
      </c>
      <c r="B768" s="2">
        <v>42654.8623842593</v>
      </c>
      <c r="C768">
        <v>34</v>
      </c>
      <c r="D768">
        <v>16</v>
      </c>
      <c r="E768" t="s">
        <v>757</v>
      </c>
    </row>
    <row r="769" spans="1:5">
      <c r="A769">
        <f>HYPERLINK("http://www.twitter.com/FDNY/status/785926409206296576", "785926409206296576")</f>
        <v>0</v>
      </c>
      <c r="B769" s="2">
        <v>42654.8151851852</v>
      </c>
      <c r="C769">
        <v>28</v>
      </c>
      <c r="D769">
        <v>15</v>
      </c>
      <c r="E769" t="s">
        <v>758</v>
      </c>
    </row>
    <row r="770" spans="1:5">
      <c r="A770">
        <f>HYPERLINK("http://www.twitter.com/FDNY/status/785913094446866432", "785913094446866432")</f>
        <v>0</v>
      </c>
      <c r="B770" s="2">
        <v>42654.7784375</v>
      </c>
      <c r="C770">
        <v>16</v>
      </c>
      <c r="D770">
        <v>8</v>
      </c>
      <c r="E770" t="s">
        <v>759</v>
      </c>
    </row>
    <row r="771" spans="1:5">
      <c r="A771">
        <f>HYPERLINK("http://www.twitter.com/FDNY/status/785910772937490434", "785910772937490434")</f>
        <v>0</v>
      </c>
      <c r="B771" s="2">
        <v>42654.772037037</v>
      </c>
      <c r="C771">
        <v>35</v>
      </c>
      <c r="D771">
        <v>15</v>
      </c>
      <c r="E771" t="s">
        <v>760</v>
      </c>
    </row>
    <row r="772" spans="1:5">
      <c r="A772">
        <f>HYPERLINK("http://www.twitter.com/FDNY/status/785910530401771520", "785910530401771520")</f>
        <v>0</v>
      </c>
      <c r="B772" s="2">
        <v>42654.7713657407</v>
      </c>
      <c r="C772">
        <v>19</v>
      </c>
      <c r="D772">
        <v>8</v>
      </c>
      <c r="E772" t="s">
        <v>761</v>
      </c>
    </row>
    <row r="773" spans="1:5">
      <c r="A773">
        <f>HYPERLINK("http://www.twitter.com/FDNY/status/785906597809618944", "785906597809618944")</f>
        <v>0</v>
      </c>
      <c r="B773" s="2">
        <v>42654.7605208333</v>
      </c>
      <c r="C773">
        <v>0</v>
      </c>
      <c r="D773">
        <v>17</v>
      </c>
      <c r="E773" t="s">
        <v>762</v>
      </c>
    </row>
    <row r="774" spans="1:5">
      <c r="A774">
        <f>HYPERLINK("http://www.twitter.com/FDNY/status/785899688331317248", "785899688331317248")</f>
        <v>0</v>
      </c>
      <c r="B774" s="2">
        <v>42654.7414467593</v>
      </c>
      <c r="C774">
        <v>0</v>
      </c>
      <c r="D774">
        <v>5</v>
      </c>
      <c r="E774" t="s">
        <v>763</v>
      </c>
    </row>
    <row r="775" spans="1:5">
      <c r="A775">
        <f>HYPERLINK("http://www.twitter.com/FDNY/status/785899672246169600", "785899672246169600")</f>
        <v>0</v>
      </c>
      <c r="B775" s="2">
        <v>42654.741400463</v>
      </c>
      <c r="C775">
        <v>0</v>
      </c>
      <c r="D775">
        <v>9</v>
      </c>
      <c r="E775" t="s">
        <v>764</v>
      </c>
    </row>
    <row r="776" spans="1:5">
      <c r="A776">
        <f>HYPERLINK("http://www.twitter.com/FDNY/status/785889226764288000", "785889226764288000")</f>
        <v>0</v>
      </c>
      <c r="B776" s="2">
        <v>42654.7125810185</v>
      </c>
      <c r="C776">
        <v>73</v>
      </c>
      <c r="D776">
        <v>31</v>
      </c>
      <c r="E776" t="s">
        <v>765</v>
      </c>
    </row>
    <row r="777" spans="1:5">
      <c r="A777">
        <f>HYPERLINK("http://www.twitter.com/FDNY/status/785886366819356672", "785886366819356672")</f>
        <v>0</v>
      </c>
      <c r="B777" s="2">
        <v>42654.7046875</v>
      </c>
      <c r="C777">
        <v>0</v>
      </c>
      <c r="D777">
        <v>23</v>
      </c>
      <c r="E777" t="s">
        <v>766</v>
      </c>
    </row>
    <row r="778" spans="1:5">
      <c r="A778">
        <f>HYPERLINK("http://www.twitter.com/FDNY/status/785883229303795712", "785883229303795712")</f>
        <v>0</v>
      </c>
      <c r="B778" s="2">
        <v>42654.6960300926</v>
      </c>
      <c r="C778">
        <v>0</v>
      </c>
      <c r="D778">
        <v>12</v>
      </c>
      <c r="E778" t="s">
        <v>767</v>
      </c>
    </row>
    <row r="779" spans="1:5">
      <c r="A779">
        <f>HYPERLINK("http://www.twitter.com/FDNY/status/785881244160503808", "785881244160503808")</f>
        <v>0</v>
      </c>
      <c r="B779" s="2">
        <v>42654.6905555556</v>
      </c>
      <c r="C779">
        <v>37</v>
      </c>
      <c r="D779">
        <v>29</v>
      </c>
      <c r="E779" t="s">
        <v>768</v>
      </c>
    </row>
    <row r="780" spans="1:5">
      <c r="A780">
        <f>HYPERLINK("http://www.twitter.com/FDNY/status/785880651631321088", "785880651631321088")</f>
        <v>0</v>
      </c>
      <c r="B780" s="2">
        <v>42654.688912037</v>
      </c>
      <c r="C780">
        <v>10</v>
      </c>
      <c r="D780">
        <v>5</v>
      </c>
      <c r="E780" t="s">
        <v>769</v>
      </c>
    </row>
    <row r="781" spans="1:5">
      <c r="A781">
        <f>HYPERLINK("http://www.twitter.com/FDNY/status/785880538448011264", "785880538448011264")</f>
        <v>0</v>
      </c>
      <c r="B781" s="2">
        <v>42654.688599537</v>
      </c>
      <c r="C781">
        <v>9</v>
      </c>
      <c r="D781">
        <v>5</v>
      </c>
      <c r="E781" t="s">
        <v>770</v>
      </c>
    </row>
    <row r="782" spans="1:5">
      <c r="A782">
        <f>HYPERLINK("http://www.twitter.com/FDNY/status/785880443782561793", "785880443782561793")</f>
        <v>0</v>
      </c>
      <c r="B782" s="2">
        <v>42654.6883449074</v>
      </c>
      <c r="C782">
        <v>12</v>
      </c>
      <c r="D782">
        <v>8</v>
      </c>
      <c r="E782" t="s">
        <v>771</v>
      </c>
    </row>
    <row r="783" spans="1:5">
      <c r="A783">
        <f>HYPERLINK("http://www.twitter.com/FDNY/status/785879973362016257", "785879973362016257")</f>
        <v>0</v>
      </c>
      <c r="B783" s="2">
        <v>42654.6870486111</v>
      </c>
      <c r="C783">
        <v>0</v>
      </c>
      <c r="D783">
        <v>47</v>
      </c>
      <c r="E783" t="s">
        <v>772</v>
      </c>
    </row>
    <row r="784" spans="1:5">
      <c r="A784">
        <f>HYPERLINK("http://www.twitter.com/FDNY/status/785873256343625728", "785873256343625728")</f>
        <v>0</v>
      </c>
      <c r="B784" s="2">
        <v>42654.6685069444</v>
      </c>
      <c r="C784">
        <v>22</v>
      </c>
      <c r="D784">
        <v>10</v>
      </c>
      <c r="E784" t="s">
        <v>773</v>
      </c>
    </row>
    <row r="785" spans="1:5">
      <c r="A785">
        <f>HYPERLINK("http://www.twitter.com/FDNY/status/785872716494675968", "785872716494675968")</f>
        <v>0</v>
      </c>
      <c r="B785" s="2">
        <v>42654.667025463</v>
      </c>
      <c r="C785">
        <v>0</v>
      </c>
      <c r="D785">
        <v>10</v>
      </c>
      <c r="E785" t="s">
        <v>774</v>
      </c>
    </row>
    <row r="786" spans="1:5">
      <c r="A786">
        <f>HYPERLINK("http://www.twitter.com/FDNY/status/785872708609409024", "785872708609409024")</f>
        <v>0</v>
      </c>
      <c r="B786" s="2">
        <v>42654.6670023148</v>
      </c>
      <c r="C786">
        <v>0</v>
      </c>
      <c r="D786">
        <v>12</v>
      </c>
      <c r="E786" t="s">
        <v>775</v>
      </c>
    </row>
    <row r="787" spans="1:5">
      <c r="A787">
        <f>HYPERLINK("http://www.twitter.com/FDNY/status/785872698425610240", "785872698425610240")</f>
        <v>0</v>
      </c>
      <c r="B787" s="2">
        <v>42654.6669675926</v>
      </c>
      <c r="C787">
        <v>0</v>
      </c>
      <c r="D787">
        <v>5</v>
      </c>
      <c r="E787" t="s">
        <v>776</v>
      </c>
    </row>
    <row r="788" spans="1:5">
      <c r="A788">
        <f>HYPERLINK("http://www.twitter.com/FDNY/status/785872684274024448", "785872684274024448")</f>
        <v>0</v>
      </c>
      <c r="B788" s="2">
        <v>42654.6669328704</v>
      </c>
      <c r="C788">
        <v>0</v>
      </c>
      <c r="D788">
        <v>40</v>
      </c>
      <c r="E788" t="s">
        <v>777</v>
      </c>
    </row>
    <row r="789" spans="1:5">
      <c r="A789">
        <f>HYPERLINK("http://www.twitter.com/FDNY/status/785872677739298816", "785872677739298816")</f>
        <v>0</v>
      </c>
      <c r="B789" s="2">
        <v>42654.6669097222</v>
      </c>
      <c r="C789">
        <v>0</v>
      </c>
      <c r="D789">
        <v>3</v>
      </c>
      <c r="E789" t="s">
        <v>778</v>
      </c>
    </row>
    <row r="790" spans="1:5">
      <c r="A790">
        <f>HYPERLINK("http://www.twitter.com/FDNY/status/785871543872135172", "785871543872135172")</f>
        <v>0</v>
      </c>
      <c r="B790" s="2">
        <v>42654.6637847222</v>
      </c>
      <c r="C790">
        <v>30</v>
      </c>
      <c r="D790">
        <v>4</v>
      </c>
      <c r="E790" t="s">
        <v>779</v>
      </c>
    </row>
    <row r="791" spans="1:5">
      <c r="A791">
        <f>HYPERLINK("http://www.twitter.com/FDNY/status/785852651388997632", "785852651388997632")</f>
        <v>0</v>
      </c>
      <c r="B791" s="2">
        <v>42654.6116550926</v>
      </c>
      <c r="C791">
        <v>15</v>
      </c>
      <c r="D791">
        <v>15</v>
      </c>
      <c r="E791" t="s">
        <v>780</v>
      </c>
    </row>
    <row r="792" spans="1:5">
      <c r="A792">
        <f>HYPERLINK("http://www.twitter.com/FDNY/status/785814950518415360", "785814950518415360")</f>
        <v>0</v>
      </c>
      <c r="B792" s="2">
        <v>42654.5076157407</v>
      </c>
      <c r="C792">
        <v>0</v>
      </c>
      <c r="D792">
        <v>12</v>
      </c>
      <c r="E792" t="s">
        <v>781</v>
      </c>
    </row>
    <row r="793" spans="1:5">
      <c r="A793">
        <f>HYPERLINK("http://www.twitter.com/FDNY/status/785685655363919872", "785685655363919872")</f>
        <v>0</v>
      </c>
      <c r="B793" s="2">
        <v>42654.1508333333</v>
      </c>
      <c r="C793">
        <v>0</v>
      </c>
      <c r="D793">
        <v>11</v>
      </c>
      <c r="E793" t="s">
        <v>782</v>
      </c>
    </row>
    <row r="794" spans="1:5">
      <c r="A794">
        <f>HYPERLINK("http://www.twitter.com/FDNY/status/785661834510598144", "785661834510598144")</f>
        <v>0</v>
      </c>
      <c r="B794" s="2">
        <v>42654.0850925926</v>
      </c>
      <c r="C794">
        <v>0</v>
      </c>
      <c r="D794">
        <v>55</v>
      </c>
      <c r="E794" t="s">
        <v>783</v>
      </c>
    </row>
    <row r="795" spans="1:5">
      <c r="A795">
        <f>HYPERLINK("http://www.twitter.com/FDNY/status/785608613519908864", "785608613519908864")</f>
        <v>0</v>
      </c>
      <c r="B795" s="2">
        <v>42653.9382407407</v>
      </c>
      <c r="C795">
        <v>51</v>
      </c>
      <c r="D795">
        <v>41</v>
      </c>
      <c r="E795" t="s">
        <v>784</v>
      </c>
    </row>
    <row r="796" spans="1:5">
      <c r="A796">
        <f>HYPERLINK("http://www.twitter.com/FDNY/status/785568416103038976", "785568416103038976")</f>
        <v>0</v>
      </c>
      <c r="B796" s="2">
        <v>42653.8273148148</v>
      </c>
      <c r="C796">
        <v>0</v>
      </c>
      <c r="D796">
        <v>19</v>
      </c>
      <c r="E796" t="s">
        <v>785</v>
      </c>
    </row>
    <row r="797" spans="1:5">
      <c r="A797">
        <f>HYPERLINK("http://www.twitter.com/FDNY/status/785555698830770176", "785555698830770176")</f>
        <v>0</v>
      </c>
      <c r="B797" s="2">
        <v>42653.7922222222</v>
      </c>
      <c r="C797">
        <v>0</v>
      </c>
      <c r="D797">
        <v>9</v>
      </c>
      <c r="E797" t="s">
        <v>786</v>
      </c>
    </row>
    <row r="798" spans="1:5">
      <c r="A798">
        <f>HYPERLINK("http://www.twitter.com/FDNY/status/785555629477855232", "785555629477855232")</f>
        <v>0</v>
      </c>
      <c r="B798" s="2">
        <v>42653.792025463</v>
      </c>
      <c r="C798">
        <v>0</v>
      </c>
      <c r="D798">
        <v>8</v>
      </c>
      <c r="E798" t="s">
        <v>787</v>
      </c>
    </row>
    <row r="799" spans="1:5">
      <c r="A799">
        <f>HYPERLINK("http://www.twitter.com/FDNY/status/785555402876416000", "785555402876416000")</f>
        <v>0</v>
      </c>
      <c r="B799" s="2">
        <v>42653.791400463</v>
      </c>
      <c r="C799">
        <v>68</v>
      </c>
      <c r="D799">
        <v>25</v>
      </c>
      <c r="E799" t="s">
        <v>788</v>
      </c>
    </row>
    <row r="800" spans="1:5">
      <c r="A800">
        <f>HYPERLINK("http://www.twitter.com/FDNY/status/785541898857480192", "785541898857480192")</f>
        <v>0</v>
      </c>
      <c r="B800" s="2">
        <v>42653.7541435185</v>
      </c>
      <c r="C800">
        <v>11</v>
      </c>
      <c r="D800">
        <v>7</v>
      </c>
      <c r="E800" t="s">
        <v>789</v>
      </c>
    </row>
    <row r="801" spans="1:5">
      <c r="A801">
        <f>HYPERLINK("http://www.twitter.com/FDNY/status/785511685322895361", "785511685322895361")</f>
        <v>0</v>
      </c>
      <c r="B801" s="2">
        <v>42653.6707638889</v>
      </c>
      <c r="C801">
        <v>18</v>
      </c>
      <c r="D801">
        <v>6</v>
      </c>
      <c r="E801" t="s">
        <v>790</v>
      </c>
    </row>
    <row r="802" spans="1:5">
      <c r="A802">
        <f>HYPERLINK("http://www.twitter.com/FDNY/status/785480148900515840", "785480148900515840")</f>
        <v>0</v>
      </c>
      <c r="B802" s="2">
        <v>42653.5837384259</v>
      </c>
      <c r="C802">
        <v>0</v>
      </c>
      <c r="D802">
        <v>18</v>
      </c>
      <c r="E802" t="s">
        <v>791</v>
      </c>
    </row>
    <row r="803" spans="1:5">
      <c r="A803">
        <f>HYPERLINK("http://www.twitter.com/FDNY/status/785478855188484096", "785478855188484096")</f>
        <v>0</v>
      </c>
      <c r="B803" s="2">
        <v>42653.5801736111</v>
      </c>
      <c r="C803">
        <v>36</v>
      </c>
      <c r="D803">
        <v>25</v>
      </c>
      <c r="E803" t="s">
        <v>792</v>
      </c>
    </row>
    <row r="804" spans="1:5">
      <c r="A804">
        <f>HYPERLINK("http://www.twitter.com/FDNY/status/785465637141377024", "785465637141377024")</f>
        <v>0</v>
      </c>
      <c r="B804" s="2">
        <v>42653.5436921296</v>
      </c>
      <c r="C804">
        <v>0</v>
      </c>
      <c r="D804">
        <v>6</v>
      </c>
      <c r="E804" t="s">
        <v>793</v>
      </c>
    </row>
    <row r="805" spans="1:5">
      <c r="A805">
        <f>HYPERLINK("http://www.twitter.com/FDNY/status/785247093514444800", "785247093514444800")</f>
        <v>0</v>
      </c>
      <c r="B805" s="2">
        <v>42652.940625</v>
      </c>
      <c r="C805">
        <v>0</v>
      </c>
      <c r="D805">
        <v>10</v>
      </c>
      <c r="E805" t="s">
        <v>794</v>
      </c>
    </row>
    <row r="806" spans="1:5">
      <c r="A806">
        <f>HYPERLINK("http://www.twitter.com/FDNY/status/785207886091788288", "785207886091788288")</f>
        <v>0</v>
      </c>
      <c r="B806" s="2">
        <v>42652.8324421296</v>
      </c>
      <c r="C806">
        <v>80</v>
      </c>
      <c r="D806">
        <v>27</v>
      </c>
      <c r="E806" t="s">
        <v>795</v>
      </c>
    </row>
    <row r="807" spans="1:5">
      <c r="A807">
        <f>HYPERLINK("http://www.twitter.com/FDNY/status/785207044324425728", "785207044324425728")</f>
        <v>0</v>
      </c>
      <c r="B807" s="2">
        <v>42652.8301157407</v>
      </c>
      <c r="C807">
        <v>27</v>
      </c>
      <c r="D807">
        <v>13</v>
      </c>
      <c r="E807" t="s">
        <v>796</v>
      </c>
    </row>
    <row r="808" spans="1:5">
      <c r="A808">
        <f>HYPERLINK("http://www.twitter.com/FDNY/status/785149196278099968", "785149196278099968")</f>
        <v>0</v>
      </c>
      <c r="B808" s="2">
        <v>42652.6704861111</v>
      </c>
      <c r="C808">
        <v>38</v>
      </c>
      <c r="D808">
        <v>29</v>
      </c>
      <c r="E808" t="s">
        <v>797</v>
      </c>
    </row>
    <row r="809" spans="1:5">
      <c r="A809">
        <f>HYPERLINK("http://www.twitter.com/FDNY/status/785134455103037441", "785134455103037441")</f>
        <v>0</v>
      </c>
      <c r="B809" s="2">
        <v>42652.6298032407</v>
      </c>
      <c r="C809">
        <v>91</v>
      </c>
      <c r="D809">
        <v>48</v>
      </c>
      <c r="E809" t="s">
        <v>798</v>
      </c>
    </row>
    <row r="810" spans="1:5">
      <c r="A810">
        <f>HYPERLINK("http://www.twitter.com/FDNY/status/785126490128146432", "785126490128146432")</f>
        <v>0</v>
      </c>
      <c r="B810" s="2">
        <v>42652.6078240741</v>
      </c>
      <c r="C810">
        <v>15</v>
      </c>
      <c r="D810">
        <v>10</v>
      </c>
      <c r="E810" t="s">
        <v>799</v>
      </c>
    </row>
    <row r="811" spans="1:5">
      <c r="A811">
        <f>HYPERLINK("http://www.twitter.com/FDNY/status/785121026501935108", "785121026501935108")</f>
        <v>0</v>
      </c>
      <c r="B811" s="2">
        <v>42652.5927546296</v>
      </c>
      <c r="C811">
        <v>0</v>
      </c>
      <c r="D811">
        <v>9</v>
      </c>
      <c r="E811" t="s">
        <v>800</v>
      </c>
    </row>
    <row r="812" spans="1:5">
      <c r="A812">
        <f>HYPERLINK("http://www.twitter.com/FDNY/status/785113938673410048", "785113938673410048")</f>
        <v>0</v>
      </c>
      <c r="B812" s="2">
        <v>42652.5731944444</v>
      </c>
      <c r="C812">
        <v>22</v>
      </c>
      <c r="D812">
        <v>13</v>
      </c>
      <c r="E812" t="s">
        <v>801</v>
      </c>
    </row>
    <row r="813" spans="1:5">
      <c r="A813">
        <f>HYPERLINK("http://www.twitter.com/FDNY/status/784964235113693184", "784964235113693184")</f>
        <v>0</v>
      </c>
      <c r="B813" s="2">
        <v>42652.1600925926</v>
      </c>
      <c r="C813">
        <v>0</v>
      </c>
      <c r="D813">
        <v>59</v>
      </c>
      <c r="E813" t="s">
        <v>802</v>
      </c>
    </row>
    <row r="814" spans="1:5">
      <c r="A814">
        <f>HYPERLINK("http://www.twitter.com/FDNY/status/784964181057540096", "784964181057540096")</f>
        <v>0</v>
      </c>
      <c r="B814" s="2">
        <v>42652.1599421296</v>
      </c>
      <c r="C814">
        <v>0</v>
      </c>
      <c r="D814">
        <v>53</v>
      </c>
      <c r="E814" t="s">
        <v>803</v>
      </c>
    </row>
    <row r="815" spans="1:5">
      <c r="A815">
        <f>HYPERLINK("http://www.twitter.com/FDNY/status/784961482878509057", "784961482878509057")</f>
        <v>0</v>
      </c>
      <c r="B815" s="2">
        <v>42652.1525</v>
      </c>
      <c r="C815">
        <v>56</v>
      </c>
      <c r="D815">
        <v>29</v>
      </c>
      <c r="E815" t="s">
        <v>804</v>
      </c>
    </row>
    <row r="816" spans="1:5">
      <c r="A816">
        <f>HYPERLINK("http://www.twitter.com/FDNY/status/784933169581744129", "784933169581744129")</f>
        <v>0</v>
      </c>
      <c r="B816" s="2">
        <v>42652.0743634259</v>
      </c>
      <c r="C816">
        <v>82</v>
      </c>
      <c r="D816">
        <v>65</v>
      </c>
      <c r="E816" t="s">
        <v>805</v>
      </c>
    </row>
    <row r="817" spans="1:5">
      <c r="A817">
        <f>HYPERLINK("http://www.twitter.com/FDNY/status/784887115163271169", "784887115163271169")</f>
        <v>0</v>
      </c>
      <c r="B817" s="2">
        <v>42651.9472800926</v>
      </c>
      <c r="C817">
        <v>0</v>
      </c>
      <c r="D817">
        <v>17</v>
      </c>
      <c r="E817" t="s">
        <v>806</v>
      </c>
    </row>
    <row r="818" spans="1:5">
      <c r="A818">
        <f>HYPERLINK("http://www.twitter.com/FDNY/status/784874838880051201", "784874838880051201")</f>
        <v>0</v>
      </c>
      <c r="B818" s="2">
        <v>42651.9134027778</v>
      </c>
      <c r="C818">
        <v>20</v>
      </c>
      <c r="D818">
        <v>20</v>
      </c>
      <c r="E818" t="s">
        <v>807</v>
      </c>
    </row>
    <row r="819" spans="1:5">
      <c r="A819">
        <f>HYPERLINK("http://www.twitter.com/FDNY/status/784858480326930432", "784858480326930432")</f>
        <v>0</v>
      </c>
      <c r="B819" s="2">
        <v>42651.8682638889</v>
      </c>
      <c r="C819">
        <v>17</v>
      </c>
      <c r="D819">
        <v>18</v>
      </c>
      <c r="E819" t="s">
        <v>808</v>
      </c>
    </row>
    <row r="820" spans="1:5">
      <c r="A820">
        <f>HYPERLINK("http://www.twitter.com/FDNY/status/784817807863275520", "784817807863275520")</f>
        <v>0</v>
      </c>
      <c r="B820" s="2">
        <v>42651.7560300926</v>
      </c>
      <c r="C820">
        <v>0</v>
      </c>
      <c r="D820">
        <v>37</v>
      </c>
      <c r="E820" t="s">
        <v>809</v>
      </c>
    </row>
    <row r="821" spans="1:5">
      <c r="A821">
        <f>HYPERLINK("http://www.twitter.com/FDNY/status/784776681651310592", "784776681651310592")</f>
        <v>0</v>
      </c>
      <c r="B821" s="2">
        <v>42651.6425462963</v>
      </c>
      <c r="C821">
        <v>228</v>
      </c>
      <c r="D821">
        <v>48</v>
      </c>
      <c r="E821" t="s">
        <v>810</v>
      </c>
    </row>
    <row r="822" spans="1:5">
      <c r="A822">
        <f>HYPERLINK("http://www.twitter.com/FDNY/status/784563623075127297", "784563623075127297")</f>
        <v>0</v>
      </c>
      <c r="B822" s="2">
        <v>42651.0546064815</v>
      </c>
      <c r="C822">
        <v>0</v>
      </c>
      <c r="D822">
        <v>73</v>
      </c>
      <c r="E822" t="s">
        <v>811</v>
      </c>
    </row>
    <row r="823" spans="1:5">
      <c r="A823">
        <f>HYPERLINK("http://www.twitter.com/FDNY/status/784563518305660928", "784563518305660928")</f>
        <v>0</v>
      </c>
      <c r="B823" s="2">
        <v>42651.0543171296</v>
      </c>
      <c r="C823">
        <v>0</v>
      </c>
      <c r="D823">
        <v>6</v>
      </c>
      <c r="E823" t="s">
        <v>812</v>
      </c>
    </row>
    <row r="824" spans="1:5">
      <c r="A824">
        <f>HYPERLINK("http://www.twitter.com/FDNY/status/784563455563010049", "784563455563010049")</f>
        <v>0</v>
      </c>
      <c r="B824" s="2">
        <v>42651.0541435185</v>
      </c>
      <c r="C824">
        <v>0</v>
      </c>
      <c r="D824">
        <v>85</v>
      </c>
      <c r="E824" t="s">
        <v>813</v>
      </c>
    </row>
    <row r="825" spans="1:5">
      <c r="A825">
        <f>HYPERLINK("http://www.twitter.com/FDNY/status/784510652530434049", "784510652530434049")</f>
        <v>0</v>
      </c>
      <c r="B825" s="2">
        <v>42650.9084375</v>
      </c>
      <c r="C825">
        <v>24</v>
      </c>
      <c r="D825">
        <v>7</v>
      </c>
      <c r="E825" t="s">
        <v>814</v>
      </c>
    </row>
    <row r="826" spans="1:5">
      <c r="A826">
        <f>HYPERLINK("http://www.twitter.com/FDNY/status/784466055578148865", "784466055578148865")</f>
        <v>0</v>
      </c>
      <c r="B826" s="2">
        <v>42650.7853703704</v>
      </c>
      <c r="C826">
        <v>52</v>
      </c>
      <c r="D826">
        <v>11</v>
      </c>
      <c r="E826" t="s">
        <v>815</v>
      </c>
    </row>
    <row r="827" spans="1:5">
      <c r="A827">
        <f>HYPERLINK("http://www.twitter.com/FDNY/status/784457617624227840", "784457617624227840")</f>
        <v>0</v>
      </c>
      <c r="B827" s="2">
        <v>42650.7620949074</v>
      </c>
      <c r="C827">
        <v>0</v>
      </c>
      <c r="D827">
        <v>10</v>
      </c>
      <c r="E827" t="s">
        <v>816</v>
      </c>
    </row>
    <row r="828" spans="1:5">
      <c r="A828">
        <f>HYPERLINK("http://www.twitter.com/FDNY/status/784455758721196032", "784455758721196032")</f>
        <v>0</v>
      </c>
      <c r="B828" s="2">
        <v>42650.7569675926</v>
      </c>
      <c r="C828">
        <v>34</v>
      </c>
      <c r="D828">
        <v>9</v>
      </c>
      <c r="E828" t="s">
        <v>817</v>
      </c>
    </row>
    <row r="829" spans="1:5">
      <c r="A829">
        <f>HYPERLINK("http://www.twitter.com/FDNY/status/784449860107923456", "784449860107923456")</f>
        <v>0</v>
      </c>
      <c r="B829" s="2">
        <v>42650.7406828704</v>
      </c>
      <c r="C829">
        <v>0</v>
      </c>
      <c r="D829">
        <v>8</v>
      </c>
      <c r="E829" t="s">
        <v>818</v>
      </c>
    </row>
    <row r="830" spans="1:5">
      <c r="A830">
        <f>HYPERLINK("http://www.twitter.com/FDNY/status/784409247673180162", "784409247673180162")</f>
        <v>0</v>
      </c>
      <c r="B830" s="2">
        <v>42650.6286111111</v>
      </c>
      <c r="C830">
        <v>20</v>
      </c>
      <c r="D830">
        <v>17</v>
      </c>
      <c r="E830" t="s">
        <v>819</v>
      </c>
    </row>
    <row r="831" spans="1:5">
      <c r="A831">
        <f>HYPERLINK("http://www.twitter.com/FDNY/status/784402173757194244", "784402173757194244")</f>
        <v>0</v>
      </c>
      <c r="B831" s="2">
        <v>42650.6090972222</v>
      </c>
      <c r="C831">
        <v>0</v>
      </c>
      <c r="D831">
        <v>81</v>
      </c>
      <c r="E831" t="s">
        <v>820</v>
      </c>
    </row>
    <row r="832" spans="1:5">
      <c r="A832">
        <f>HYPERLINK("http://www.twitter.com/FDNY/status/784402093520068608", "784402093520068608")</f>
        <v>0</v>
      </c>
      <c r="B832" s="2">
        <v>42650.6088773148</v>
      </c>
      <c r="C832">
        <v>0</v>
      </c>
      <c r="D832">
        <v>37</v>
      </c>
      <c r="E832" t="s">
        <v>821</v>
      </c>
    </row>
    <row r="833" spans="1:5">
      <c r="A833">
        <f>HYPERLINK("http://www.twitter.com/FDNY/status/784398849985114112", "784398849985114112")</f>
        <v>0</v>
      </c>
      <c r="B833" s="2">
        <v>42650.5999189815</v>
      </c>
      <c r="C833">
        <v>59</v>
      </c>
      <c r="D833">
        <v>20</v>
      </c>
      <c r="E833" t="s">
        <v>822</v>
      </c>
    </row>
    <row r="834" spans="1:5">
      <c r="A834">
        <f>HYPERLINK("http://www.twitter.com/FDNY/status/784373082907639809", "784373082907639809")</f>
        <v>0</v>
      </c>
      <c r="B834" s="2">
        <v>42650.5288194444</v>
      </c>
      <c r="C834">
        <v>0</v>
      </c>
      <c r="D834">
        <v>9</v>
      </c>
      <c r="E834" t="s">
        <v>823</v>
      </c>
    </row>
    <row r="835" spans="1:5">
      <c r="A835">
        <f>HYPERLINK("http://www.twitter.com/FDNY/status/784373071952146434", "784373071952146434")</f>
        <v>0</v>
      </c>
      <c r="B835" s="2">
        <v>42650.5287847222</v>
      </c>
      <c r="C835">
        <v>0</v>
      </c>
      <c r="D835">
        <v>7</v>
      </c>
      <c r="E835" t="s">
        <v>824</v>
      </c>
    </row>
    <row r="836" spans="1:5">
      <c r="A836">
        <f>HYPERLINK("http://www.twitter.com/FDNY/status/784241446417301504", "784241446417301504")</f>
        <v>0</v>
      </c>
      <c r="B836" s="2">
        <v>42650.1655671296</v>
      </c>
      <c r="C836">
        <v>50</v>
      </c>
      <c r="D836">
        <v>33</v>
      </c>
      <c r="E836" t="s">
        <v>825</v>
      </c>
    </row>
    <row r="837" spans="1:5">
      <c r="A837">
        <f>HYPERLINK("http://www.twitter.com/FDNY/status/784239236702699520", "784239236702699520")</f>
        <v>0</v>
      </c>
      <c r="B837" s="2">
        <v>42650.1594791667</v>
      </c>
      <c r="C837">
        <v>0</v>
      </c>
      <c r="D837">
        <v>45</v>
      </c>
      <c r="E837" t="s">
        <v>826</v>
      </c>
    </row>
    <row r="838" spans="1:5">
      <c r="A838">
        <f>HYPERLINK("http://www.twitter.com/FDNY/status/784217104866242560", "784217104866242560")</f>
        <v>0</v>
      </c>
      <c r="B838" s="2">
        <v>42650.0984027778</v>
      </c>
      <c r="C838">
        <v>95</v>
      </c>
      <c r="D838">
        <v>32</v>
      </c>
      <c r="E838" t="s">
        <v>827</v>
      </c>
    </row>
    <row r="839" spans="1:5">
      <c r="A839">
        <f>HYPERLINK("http://www.twitter.com/FDNY/status/784216904617582592", "784216904617582592")</f>
        <v>0</v>
      </c>
      <c r="B839" s="2">
        <v>42650.0978472222</v>
      </c>
      <c r="C839">
        <v>74</v>
      </c>
      <c r="D839">
        <v>47</v>
      </c>
      <c r="E839" t="s">
        <v>828</v>
      </c>
    </row>
    <row r="840" spans="1:5">
      <c r="A840">
        <f>HYPERLINK("http://www.twitter.com/FDNY/status/784212787815936000", "784212787815936000")</f>
        <v>0</v>
      </c>
      <c r="B840" s="2">
        <v>42650.0864930556</v>
      </c>
      <c r="C840">
        <v>0</v>
      </c>
      <c r="D840">
        <v>3</v>
      </c>
      <c r="E840" t="s">
        <v>829</v>
      </c>
    </row>
    <row r="841" spans="1:5">
      <c r="A841">
        <f>HYPERLINK("http://www.twitter.com/FDNY/status/784212745294151681", "784212745294151681")</f>
        <v>0</v>
      </c>
      <c r="B841" s="2">
        <v>42650.0863773148</v>
      </c>
      <c r="C841">
        <v>0</v>
      </c>
      <c r="D841">
        <v>5</v>
      </c>
      <c r="E841" t="s">
        <v>830</v>
      </c>
    </row>
    <row r="842" spans="1:5">
      <c r="A842">
        <f>HYPERLINK("http://www.twitter.com/FDNY/status/784123995587215360", "784123995587215360")</f>
        <v>0</v>
      </c>
      <c r="B842" s="2">
        <v>42649.8414699074</v>
      </c>
      <c r="C842">
        <v>0</v>
      </c>
      <c r="D842">
        <v>7</v>
      </c>
      <c r="E842" t="s">
        <v>831</v>
      </c>
    </row>
    <row r="843" spans="1:5">
      <c r="A843">
        <f>HYPERLINK("http://www.twitter.com/FDNY/status/784123239362596864", "784123239362596864")</f>
        <v>0</v>
      </c>
      <c r="B843" s="2">
        <v>42649.8393865741</v>
      </c>
      <c r="C843">
        <v>42</v>
      </c>
      <c r="D843">
        <v>16</v>
      </c>
      <c r="E843" t="s">
        <v>832</v>
      </c>
    </row>
    <row r="844" spans="1:5">
      <c r="A844">
        <f>HYPERLINK("http://www.twitter.com/FDNY/status/784114654427672576", "784114654427672576")</f>
        <v>0</v>
      </c>
      <c r="B844" s="2">
        <v>42649.8156944444</v>
      </c>
      <c r="C844">
        <v>0</v>
      </c>
      <c r="D844">
        <v>1115</v>
      </c>
      <c r="E844" t="s">
        <v>833</v>
      </c>
    </row>
    <row r="845" spans="1:5">
      <c r="A845">
        <f>HYPERLINK("http://www.twitter.com/FDNY/status/784101232541589504", "784101232541589504")</f>
        <v>0</v>
      </c>
      <c r="B845" s="2">
        <v>42649.7786574074</v>
      </c>
      <c r="C845">
        <v>41</v>
      </c>
      <c r="D845">
        <v>24</v>
      </c>
      <c r="E845" t="s">
        <v>834</v>
      </c>
    </row>
    <row r="846" spans="1:5">
      <c r="A846">
        <f>HYPERLINK("http://www.twitter.com/FDNY/status/784047833750044672", "784047833750044672")</f>
        <v>0</v>
      </c>
      <c r="B846" s="2">
        <v>42649.6313078704</v>
      </c>
      <c r="C846">
        <v>0</v>
      </c>
      <c r="D846">
        <v>31</v>
      </c>
      <c r="E846" t="s">
        <v>835</v>
      </c>
    </row>
    <row r="847" spans="1:5">
      <c r="A847">
        <f>HYPERLINK("http://www.twitter.com/FDNY/status/784028019023314944", "784028019023314944")</f>
        <v>0</v>
      </c>
      <c r="B847" s="2">
        <v>42649.5766203704</v>
      </c>
      <c r="C847">
        <v>17</v>
      </c>
      <c r="D847">
        <v>4</v>
      </c>
      <c r="E847" t="s">
        <v>836</v>
      </c>
    </row>
    <row r="848" spans="1:5">
      <c r="A848">
        <f>HYPERLINK("http://www.twitter.com/FDNY/status/784019527067701248", "784019527067701248")</f>
        <v>0</v>
      </c>
      <c r="B848" s="2">
        <v>42649.5531944444</v>
      </c>
      <c r="C848">
        <v>15</v>
      </c>
      <c r="D848">
        <v>4</v>
      </c>
      <c r="E848" t="s">
        <v>837</v>
      </c>
    </row>
    <row r="849" spans="1:5">
      <c r="A849">
        <f>HYPERLINK("http://www.twitter.com/FDNY/status/783871438109409280", "783871438109409280")</f>
        <v>0</v>
      </c>
      <c r="B849" s="2">
        <v>42649.1445486111</v>
      </c>
      <c r="C849">
        <v>0</v>
      </c>
      <c r="D849">
        <v>5</v>
      </c>
      <c r="E849" t="s">
        <v>838</v>
      </c>
    </row>
    <row r="850" spans="1:5">
      <c r="A850">
        <f>HYPERLINK("http://www.twitter.com/FDNY/status/783871424498991104", "783871424498991104")</f>
        <v>0</v>
      </c>
      <c r="B850" s="2">
        <v>42649.1445023148</v>
      </c>
      <c r="C850">
        <v>0</v>
      </c>
      <c r="D850">
        <v>9</v>
      </c>
      <c r="E850" t="s">
        <v>839</v>
      </c>
    </row>
    <row r="851" spans="1:5">
      <c r="A851">
        <f>HYPERLINK("http://www.twitter.com/FDNY/status/783871414742949888", "783871414742949888")</f>
        <v>0</v>
      </c>
      <c r="B851" s="2">
        <v>42649.1444791667</v>
      </c>
      <c r="C851">
        <v>0</v>
      </c>
      <c r="D851">
        <v>9</v>
      </c>
      <c r="E851" t="s">
        <v>840</v>
      </c>
    </row>
    <row r="852" spans="1:5">
      <c r="A852">
        <f>HYPERLINK("http://www.twitter.com/FDNY/status/783871407830728705", "783871407830728705")</f>
        <v>0</v>
      </c>
      <c r="B852" s="2">
        <v>42649.1444560185</v>
      </c>
      <c r="C852">
        <v>0</v>
      </c>
      <c r="D852">
        <v>5</v>
      </c>
      <c r="E852" t="s">
        <v>841</v>
      </c>
    </row>
    <row r="853" spans="1:5">
      <c r="A853">
        <f>HYPERLINK("http://www.twitter.com/FDNY/status/783846948445032448", "783846948445032448")</f>
        <v>0</v>
      </c>
      <c r="B853" s="2">
        <v>42649.0769675926</v>
      </c>
      <c r="C853">
        <v>11</v>
      </c>
      <c r="D853">
        <v>17</v>
      </c>
      <c r="E853" t="s">
        <v>842</v>
      </c>
    </row>
    <row r="854" spans="1:5">
      <c r="A854">
        <f>HYPERLINK("http://www.twitter.com/FDNY/status/783846748074680321", "783846748074680321")</f>
        <v>0</v>
      </c>
      <c r="B854" s="2">
        <v>42649.076412037</v>
      </c>
      <c r="C854">
        <v>14</v>
      </c>
      <c r="D854">
        <v>5</v>
      </c>
      <c r="E854" t="s">
        <v>843</v>
      </c>
    </row>
    <row r="855" spans="1:5">
      <c r="A855">
        <f>HYPERLINK("http://www.twitter.com/FDNY/status/783846039056949248", "783846039056949248")</f>
        <v>0</v>
      </c>
      <c r="B855" s="2">
        <v>42649.0744560185</v>
      </c>
      <c r="C855">
        <v>0</v>
      </c>
      <c r="D855">
        <v>9</v>
      </c>
      <c r="E855" t="s">
        <v>844</v>
      </c>
    </row>
    <row r="856" spans="1:5">
      <c r="A856">
        <f>HYPERLINK("http://www.twitter.com/FDNY/status/783838487967563776", "783838487967563776")</f>
        <v>0</v>
      </c>
      <c r="B856" s="2">
        <v>42649.0536226852</v>
      </c>
      <c r="C856">
        <v>0</v>
      </c>
      <c r="D856">
        <v>140</v>
      </c>
      <c r="E856" t="s">
        <v>845</v>
      </c>
    </row>
    <row r="857" spans="1:5">
      <c r="A857">
        <f>HYPERLINK("http://www.twitter.com/FDNY/status/783831608075886592", "783831608075886592")</f>
        <v>0</v>
      </c>
      <c r="B857" s="2">
        <v>42649.0346296296</v>
      </c>
      <c r="C857">
        <v>0</v>
      </c>
      <c r="D857">
        <v>32</v>
      </c>
      <c r="E857" t="s">
        <v>846</v>
      </c>
    </row>
    <row r="858" spans="1:5">
      <c r="A858">
        <f>HYPERLINK("http://www.twitter.com/FDNY/status/783822320288825345", "783822320288825345")</f>
        <v>0</v>
      </c>
      <c r="B858" s="2">
        <v>42649.0090046296</v>
      </c>
      <c r="C858">
        <v>825</v>
      </c>
      <c r="D858">
        <v>365</v>
      </c>
      <c r="E858" t="s">
        <v>847</v>
      </c>
    </row>
    <row r="859" spans="1:5">
      <c r="A859">
        <f>HYPERLINK("http://www.twitter.com/FDNY/status/783821021380050945", "783821021380050945")</f>
        <v>0</v>
      </c>
      <c r="B859" s="2">
        <v>42649.0054166667</v>
      </c>
      <c r="C859">
        <v>206</v>
      </c>
      <c r="D859">
        <v>72</v>
      </c>
      <c r="E859" t="s">
        <v>848</v>
      </c>
    </row>
    <row r="860" spans="1:5">
      <c r="A860">
        <f>HYPERLINK("http://www.twitter.com/FDNY/status/783820396109897728", "783820396109897728")</f>
        <v>0</v>
      </c>
      <c r="B860" s="2">
        <v>42649.0036921296</v>
      </c>
      <c r="C860">
        <v>371</v>
      </c>
      <c r="D860">
        <v>181</v>
      </c>
      <c r="E860" t="s">
        <v>849</v>
      </c>
    </row>
    <row r="861" spans="1:5">
      <c r="A861">
        <f>HYPERLINK("http://www.twitter.com/FDNY/status/783819619748421633", "783819619748421633")</f>
        <v>0</v>
      </c>
      <c r="B861" s="2">
        <v>42649.0015509259</v>
      </c>
      <c r="C861">
        <v>627</v>
      </c>
      <c r="D861">
        <v>295</v>
      </c>
      <c r="E861" t="s">
        <v>850</v>
      </c>
    </row>
    <row r="862" spans="1:5">
      <c r="A862">
        <f>HYPERLINK("http://www.twitter.com/FDNY/status/783786698111156225", "783786698111156225")</f>
        <v>0</v>
      </c>
      <c r="B862" s="2">
        <v>42648.9107060185</v>
      </c>
      <c r="C862">
        <v>0</v>
      </c>
      <c r="D862">
        <v>24</v>
      </c>
      <c r="E862" t="s">
        <v>851</v>
      </c>
    </row>
    <row r="863" spans="1:5">
      <c r="A863">
        <f>HYPERLINK("http://www.twitter.com/FDNY/status/783776103840219136", "783776103840219136")</f>
        <v>0</v>
      </c>
      <c r="B863" s="2">
        <v>42648.8814699074</v>
      </c>
      <c r="C863">
        <v>58</v>
      </c>
      <c r="D863">
        <v>25</v>
      </c>
      <c r="E863" t="s">
        <v>852</v>
      </c>
    </row>
    <row r="864" spans="1:5">
      <c r="A864">
        <f>HYPERLINK("http://www.twitter.com/FDNY/status/783740744804790272", "783740744804790272")</f>
        <v>0</v>
      </c>
      <c r="B864" s="2">
        <v>42648.783900463</v>
      </c>
      <c r="C864">
        <v>0</v>
      </c>
      <c r="D864">
        <v>39</v>
      </c>
      <c r="E864" t="s">
        <v>853</v>
      </c>
    </row>
    <row r="865" spans="1:5">
      <c r="A865">
        <f>HYPERLINK("http://www.twitter.com/FDNY/status/783686602354819072", "783686602354819072")</f>
        <v>0</v>
      </c>
      <c r="B865" s="2">
        <v>42648.6344907407</v>
      </c>
      <c r="C865">
        <v>0</v>
      </c>
      <c r="D865">
        <v>9</v>
      </c>
      <c r="E865" t="s">
        <v>854</v>
      </c>
    </row>
    <row r="866" spans="1:5">
      <c r="A866">
        <f>HYPERLINK("http://www.twitter.com/FDNY/status/783686589625098240", "783686589625098240")</f>
        <v>0</v>
      </c>
      <c r="B866" s="2">
        <v>42648.6344560185</v>
      </c>
      <c r="C866">
        <v>0</v>
      </c>
      <c r="D866">
        <v>8</v>
      </c>
      <c r="E866" t="s">
        <v>855</v>
      </c>
    </row>
    <row r="867" spans="1:5">
      <c r="A867">
        <f>HYPERLINK("http://www.twitter.com/FDNY/status/783672604737544192", "783672604737544192")</f>
        <v>0</v>
      </c>
      <c r="B867" s="2">
        <v>42648.5958680556</v>
      </c>
      <c r="C867">
        <v>0</v>
      </c>
      <c r="D867">
        <v>11</v>
      </c>
      <c r="E867" t="s">
        <v>856</v>
      </c>
    </row>
    <row r="868" spans="1:5">
      <c r="A868">
        <f>HYPERLINK("http://www.twitter.com/FDNY/status/783672582700752896", "783672582700752896")</f>
        <v>0</v>
      </c>
      <c r="B868" s="2">
        <v>42648.5958101852</v>
      </c>
      <c r="C868">
        <v>0</v>
      </c>
      <c r="D868">
        <v>11</v>
      </c>
      <c r="E868" t="s">
        <v>857</v>
      </c>
    </row>
    <row r="869" spans="1:5">
      <c r="A869">
        <f>HYPERLINK("http://www.twitter.com/FDNY/status/783672557241262093", "783672557241262093")</f>
        <v>0</v>
      </c>
      <c r="B869" s="2">
        <v>42648.5957407407</v>
      </c>
      <c r="C869">
        <v>0</v>
      </c>
      <c r="D869">
        <v>7</v>
      </c>
      <c r="E869" t="s">
        <v>858</v>
      </c>
    </row>
    <row r="870" spans="1:5">
      <c r="A870">
        <f>HYPERLINK("http://www.twitter.com/FDNY/status/783416188617515008", "783416188617515008")</f>
        <v>0</v>
      </c>
      <c r="B870" s="2">
        <v>42647.8882986111</v>
      </c>
      <c r="C870">
        <v>0</v>
      </c>
      <c r="D870">
        <v>11</v>
      </c>
      <c r="E870" t="s">
        <v>859</v>
      </c>
    </row>
    <row r="871" spans="1:5">
      <c r="A871">
        <f>HYPERLINK("http://www.twitter.com/FDNY/status/783364219400024064", "783364219400024064")</f>
        <v>0</v>
      </c>
      <c r="B871" s="2">
        <v>42647.7448842593</v>
      </c>
      <c r="C871">
        <v>24</v>
      </c>
      <c r="D871">
        <v>24</v>
      </c>
      <c r="E871" t="s">
        <v>860</v>
      </c>
    </row>
    <row r="872" spans="1:5">
      <c r="A872">
        <f>HYPERLINK("http://www.twitter.com/FDNY/status/783306598643011584", "783306598643011584")</f>
        <v>0</v>
      </c>
      <c r="B872" s="2">
        <v>42647.5858796296</v>
      </c>
      <c r="C872">
        <v>0</v>
      </c>
      <c r="D872">
        <v>5</v>
      </c>
      <c r="E872" t="s">
        <v>861</v>
      </c>
    </row>
    <row r="873" spans="1:5">
      <c r="A873">
        <f>HYPERLINK("http://www.twitter.com/FDNY/status/783306557824139264", "783306557824139264")</f>
        <v>0</v>
      </c>
      <c r="B873" s="2">
        <v>42647.585775463</v>
      </c>
      <c r="C873">
        <v>0</v>
      </c>
      <c r="D873">
        <v>11</v>
      </c>
      <c r="E873" t="s">
        <v>862</v>
      </c>
    </row>
    <row r="874" spans="1:5">
      <c r="A874">
        <f>HYPERLINK("http://www.twitter.com/FDNY/status/783306506427068416", "783306506427068416")</f>
        <v>0</v>
      </c>
      <c r="B874" s="2">
        <v>42647.585625</v>
      </c>
      <c r="C874">
        <v>0</v>
      </c>
      <c r="D874">
        <v>4</v>
      </c>
      <c r="E874" t="s">
        <v>863</v>
      </c>
    </row>
    <row r="875" spans="1:5">
      <c r="A875">
        <f>HYPERLINK("http://www.twitter.com/FDNY/status/783076797189619713", "783076797189619713")</f>
        <v>0</v>
      </c>
      <c r="B875" s="2">
        <v>42646.9517476852</v>
      </c>
      <c r="C875">
        <v>0</v>
      </c>
      <c r="D875">
        <v>3</v>
      </c>
      <c r="E875" t="s">
        <v>864</v>
      </c>
    </row>
    <row r="876" spans="1:5">
      <c r="A876">
        <f>HYPERLINK("http://www.twitter.com/FDNY/status/783076484445532164", "783076484445532164")</f>
        <v>0</v>
      </c>
      <c r="B876" s="2">
        <v>42646.9508912037</v>
      </c>
      <c r="C876">
        <v>42</v>
      </c>
      <c r="D876">
        <v>18</v>
      </c>
      <c r="E876" t="s">
        <v>865</v>
      </c>
    </row>
    <row r="877" spans="1:5">
      <c r="A877">
        <f>HYPERLINK("http://www.twitter.com/FDNY/status/783074665472397313", "783074665472397313")</f>
        <v>0</v>
      </c>
      <c r="B877" s="2">
        <v>42646.9458680556</v>
      </c>
      <c r="C877">
        <v>0</v>
      </c>
      <c r="D877">
        <v>11</v>
      </c>
      <c r="E877" t="s">
        <v>866</v>
      </c>
    </row>
    <row r="878" spans="1:5">
      <c r="A878">
        <f>HYPERLINK("http://www.twitter.com/FDNY/status/783057547980836869", "783057547980836869")</f>
        <v>0</v>
      </c>
      <c r="B878" s="2">
        <v>42646.8986342593</v>
      </c>
      <c r="C878">
        <v>0</v>
      </c>
      <c r="D878">
        <v>20</v>
      </c>
      <c r="E878" t="s">
        <v>867</v>
      </c>
    </row>
    <row r="879" spans="1:5">
      <c r="A879">
        <f>HYPERLINK("http://www.twitter.com/FDNY/status/783053305354285060", "783053305354285060")</f>
        <v>0</v>
      </c>
      <c r="B879" s="2">
        <v>42646.8869328704</v>
      </c>
      <c r="C879">
        <v>32</v>
      </c>
      <c r="D879">
        <v>12</v>
      </c>
      <c r="E879" t="s">
        <v>868</v>
      </c>
    </row>
    <row r="880" spans="1:5">
      <c r="A880">
        <f>HYPERLINK("http://www.twitter.com/FDNY/status/783043282213466112", "783043282213466112")</f>
        <v>0</v>
      </c>
      <c r="B880" s="2">
        <v>42646.8592708333</v>
      </c>
      <c r="C880">
        <v>0</v>
      </c>
      <c r="D880">
        <v>21</v>
      </c>
      <c r="E880" t="s">
        <v>869</v>
      </c>
    </row>
    <row r="881" spans="1:5">
      <c r="A881">
        <f>HYPERLINK("http://www.twitter.com/FDNY/status/783023171846930432", "783023171846930432")</f>
        <v>0</v>
      </c>
      <c r="B881" s="2">
        <v>42646.8037731481</v>
      </c>
      <c r="C881">
        <v>103</v>
      </c>
      <c r="D881">
        <v>46</v>
      </c>
      <c r="E881" t="s">
        <v>870</v>
      </c>
    </row>
    <row r="882" spans="1:5">
      <c r="A882">
        <f>HYPERLINK("http://www.twitter.com/FDNY/status/782997688459681793", "782997688459681793")</f>
        <v>0</v>
      </c>
      <c r="B882" s="2">
        <v>42646.7334490741</v>
      </c>
      <c r="C882">
        <v>27</v>
      </c>
      <c r="D882">
        <v>27</v>
      </c>
      <c r="E882" t="s">
        <v>871</v>
      </c>
    </row>
    <row r="883" spans="1:5">
      <c r="A883">
        <f>HYPERLINK("http://www.twitter.com/FDNY/status/782605333088862209", "782605333088862209")</f>
        <v>0</v>
      </c>
      <c r="B883" s="2">
        <v>42645.6507638889</v>
      </c>
      <c r="C883">
        <v>0</v>
      </c>
      <c r="D883">
        <v>48</v>
      </c>
      <c r="E883" t="s">
        <v>872</v>
      </c>
    </row>
    <row r="884" spans="1:5">
      <c r="A884">
        <f>HYPERLINK("http://www.twitter.com/FDNY/status/782393295150415872", "782393295150415872")</f>
        <v>0</v>
      </c>
      <c r="B884" s="2">
        <v>42645.0656481481</v>
      </c>
      <c r="C884">
        <v>14</v>
      </c>
      <c r="D884">
        <v>12</v>
      </c>
      <c r="E884" t="s">
        <v>873</v>
      </c>
    </row>
    <row r="885" spans="1:5">
      <c r="A885">
        <f>HYPERLINK("http://www.twitter.com/FDNY/status/782389743866744832", "782389743866744832")</f>
        <v>0</v>
      </c>
      <c r="B885" s="2">
        <v>42645.0558449074</v>
      </c>
      <c r="C885">
        <v>0</v>
      </c>
      <c r="D885">
        <v>20</v>
      </c>
      <c r="E885" t="s">
        <v>874</v>
      </c>
    </row>
    <row r="886" spans="1:5">
      <c r="A886">
        <f>HYPERLINK("http://www.twitter.com/FDNY/status/782389622663942144", "782389622663942144")</f>
        <v>0</v>
      </c>
      <c r="B886" s="2">
        <v>42645.0555092593</v>
      </c>
      <c r="C886">
        <v>0</v>
      </c>
      <c r="D886">
        <v>49</v>
      </c>
      <c r="E886" t="s">
        <v>875</v>
      </c>
    </row>
    <row r="887" spans="1:5">
      <c r="A887">
        <f>HYPERLINK("http://www.twitter.com/FDNY/status/782322588294979584", "782322588294979584")</f>
        <v>0</v>
      </c>
      <c r="B887" s="2">
        <v>42644.8705324074</v>
      </c>
      <c r="C887">
        <v>106</v>
      </c>
      <c r="D887">
        <v>77</v>
      </c>
      <c r="E887" t="s">
        <v>876</v>
      </c>
    </row>
    <row r="888" spans="1:5">
      <c r="A888">
        <f>HYPERLINK("http://www.twitter.com/FDNY/status/782322182907162626", "782322182907162626")</f>
        <v>0</v>
      </c>
      <c r="B888" s="2">
        <v>42644.8694097222</v>
      </c>
      <c r="C888">
        <v>422</v>
      </c>
      <c r="D888">
        <v>110</v>
      </c>
      <c r="E888" t="s">
        <v>877</v>
      </c>
    </row>
    <row r="889" spans="1:5">
      <c r="A889">
        <f>HYPERLINK("http://www.twitter.com/FDNY/status/782322077340663808", "782322077340663808")</f>
        <v>0</v>
      </c>
      <c r="B889" s="2">
        <v>42644.8691203704</v>
      </c>
      <c r="C889">
        <v>0</v>
      </c>
      <c r="D889">
        <v>34</v>
      </c>
      <c r="E889" t="s">
        <v>878</v>
      </c>
    </row>
    <row r="890" spans="1:5">
      <c r="A890">
        <f>HYPERLINK("http://www.twitter.com/FDNY/status/782321442138513410", "782321442138513410")</f>
        <v>0</v>
      </c>
      <c r="B890" s="2">
        <v>42644.8673726852</v>
      </c>
      <c r="C890">
        <v>87</v>
      </c>
      <c r="D890">
        <v>21</v>
      </c>
      <c r="E890" t="s">
        <v>879</v>
      </c>
    </row>
    <row r="891" spans="1:5">
      <c r="A891">
        <f>HYPERLINK("http://www.twitter.com/FDNY/status/782315095330291712", "782315095330291712")</f>
        <v>0</v>
      </c>
      <c r="B891" s="2">
        <v>42644.8498611111</v>
      </c>
      <c r="C891">
        <v>0</v>
      </c>
      <c r="D891">
        <v>122</v>
      </c>
      <c r="E891" t="s">
        <v>880</v>
      </c>
    </row>
    <row r="892" spans="1:5">
      <c r="A892">
        <f>HYPERLINK("http://www.twitter.com/FDNY/status/782270514773581824", "782270514773581824")</f>
        <v>0</v>
      </c>
      <c r="B892" s="2">
        <v>42644.7268402778</v>
      </c>
      <c r="C892">
        <v>124</v>
      </c>
      <c r="D892">
        <v>41</v>
      </c>
      <c r="E892" t="s">
        <v>881</v>
      </c>
    </row>
    <row r="893" spans="1:5">
      <c r="A893">
        <f>HYPERLINK("http://www.twitter.com/FDNY/status/782270358871236608", "782270358871236608")</f>
        <v>0</v>
      </c>
      <c r="B893" s="2">
        <v>42644.726412037</v>
      </c>
      <c r="C893">
        <v>194</v>
      </c>
      <c r="D893">
        <v>65</v>
      </c>
      <c r="E893" t="s">
        <v>882</v>
      </c>
    </row>
    <row r="894" spans="1:5">
      <c r="A894">
        <f>HYPERLINK("http://www.twitter.com/FDNY/status/782270072605798400", "782270072605798400")</f>
        <v>0</v>
      </c>
      <c r="B894" s="2">
        <v>42644.7256134259</v>
      </c>
      <c r="C894">
        <v>77</v>
      </c>
      <c r="D894">
        <v>31</v>
      </c>
      <c r="E894" t="s">
        <v>883</v>
      </c>
    </row>
    <row r="895" spans="1:5">
      <c r="A895">
        <f>HYPERLINK("http://www.twitter.com/FDNY/status/782267858298531840", "782267858298531840")</f>
        <v>0</v>
      </c>
      <c r="B895" s="2">
        <v>42644.7195023148</v>
      </c>
      <c r="C895">
        <v>60</v>
      </c>
      <c r="D895">
        <v>19</v>
      </c>
      <c r="E895" t="s">
        <v>884</v>
      </c>
    </row>
    <row r="896" spans="1:5">
      <c r="A896">
        <f>HYPERLINK("http://www.twitter.com/FDNY/status/782267523257495552", "782267523257495552")</f>
        <v>0</v>
      </c>
      <c r="B896" s="2">
        <v>42644.718587963</v>
      </c>
      <c r="C896">
        <v>34</v>
      </c>
      <c r="D896">
        <v>11</v>
      </c>
      <c r="E896" t="s">
        <v>885</v>
      </c>
    </row>
    <row r="897" spans="1:5">
      <c r="A897">
        <f>HYPERLINK("http://www.twitter.com/FDNY/status/782265461509648384", "782265461509648384")</f>
        <v>0</v>
      </c>
      <c r="B897" s="2">
        <v>42644.7128935185</v>
      </c>
      <c r="C897">
        <v>52</v>
      </c>
      <c r="D897">
        <v>13</v>
      </c>
      <c r="E897" t="s">
        <v>886</v>
      </c>
    </row>
    <row r="898" spans="1:5">
      <c r="A898">
        <f>HYPERLINK("http://www.twitter.com/FDNY/status/782265117123764224", "782265117123764224")</f>
        <v>0</v>
      </c>
      <c r="B898" s="2">
        <v>42644.7119444444</v>
      </c>
      <c r="C898">
        <v>55</v>
      </c>
      <c r="D898">
        <v>19</v>
      </c>
      <c r="E898" t="s">
        <v>887</v>
      </c>
    </row>
    <row r="899" spans="1:5">
      <c r="A899">
        <f>HYPERLINK("http://www.twitter.com/FDNY/status/782264600972722182", "782264600972722182")</f>
        <v>0</v>
      </c>
      <c r="B899" s="2">
        <v>42644.7105208333</v>
      </c>
      <c r="C899">
        <v>43</v>
      </c>
      <c r="D899">
        <v>15</v>
      </c>
      <c r="E899" t="s">
        <v>888</v>
      </c>
    </row>
    <row r="900" spans="1:5">
      <c r="A900">
        <f>HYPERLINK("http://www.twitter.com/FDNY/status/782264291386859521", "782264291386859521")</f>
        <v>0</v>
      </c>
      <c r="B900" s="2">
        <v>42644.7096643519</v>
      </c>
      <c r="C900">
        <v>19</v>
      </c>
      <c r="D900">
        <v>8</v>
      </c>
      <c r="E900" t="s">
        <v>889</v>
      </c>
    </row>
    <row r="901" spans="1:5">
      <c r="A901">
        <f>HYPERLINK("http://www.twitter.com/FDNY/status/782255776366813184", "782255776366813184")</f>
        <v>0</v>
      </c>
      <c r="B901" s="2">
        <v>42644.6861689815</v>
      </c>
      <c r="C901">
        <v>0</v>
      </c>
      <c r="D901">
        <v>4</v>
      </c>
      <c r="E901" t="s">
        <v>890</v>
      </c>
    </row>
    <row r="902" spans="1:5">
      <c r="A902">
        <f>HYPERLINK("http://www.twitter.com/FDNY/status/782251306501234688", "782251306501234688")</f>
        <v>0</v>
      </c>
      <c r="B902" s="2">
        <v>42644.6738310185</v>
      </c>
      <c r="C902">
        <v>100</v>
      </c>
      <c r="D902">
        <v>51</v>
      </c>
      <c r="E902" t="s">
        <v>891</v>
      </c>
    </row>
    <row r="903" spans="1:5">
      <c r="A903">
        <f>HYPERLINK("http://www.twitter.com/FDNY/status/782250537982959616", "782250537982959616")</f>
        <v>0</v>
      </c>
      <c r="B903" s="2">
        <v>42644.671712963</v>
      </c>
      <c r="C903">
        <v>535</v>
      </c>
      <c r="D903">
        <v>371</v>
      </c>
      <c r="E903" t="s">
        <v>892</v>
      </c>
    </row>
    <row r="904" spans="1:5">
      <c r="A904">
        <f>HYPERLINK("http://www.twitter.com/FDNY/status/782241211092504576", "782241211092504576")</f>
        <v>0</v>
      </c>
      <c r="B904" s="2">
        <v>42644.6459722222</v>
      </c>
      <c r="C904">
        <v>106</v>
      </c>
      <c r="D904">
        <v>60</v>
      </c>
      <c r="E904" t="s">
        <v>893</v>
      </c>
    </row>
    <row r="905" spans="1:5">
      <c r="A905">
        <f>HYPERLINK("http://www.twitter.com/FDNY/status/781955237749919744", "781955237749919744")</f>
        <v>0</v>
      </c>
      <c r="B905" s="2">
        <v>42643.8568402778</v>
      </c>
      <c r="C905">
        <v>163</v>
      </c>
      <c r="D905">
        <v>73</v>
      </c>
      <c r="E905" t="s">
        <v>894</v>
      </c>
    </row>
    <row r="906" spans="1:5">
      <c r="A906">
        <f>HYPERLINK("http://www.twitter.com/FDNY/status/781949940369072131", "781949940369072131")</f>
        <v>0</v>
      </c>
      <c r="B906" s="2">
        <v>42643.8422222222</v>
      </c>
      <c r="C906">
        <v>0</v>
      </c>
      <c r="D906">
        <v>10</v>
      </c>
      <c r="E906" t="s">
        <v>895</v>
      </c>
    </row>
    <row r="907" spans="1:5">
      <c r="A907">
        <f>HYPERLINK("http://www.twitter.com/FDNY/status/781929752374415360", "781929752374415360")</f>
        <v>0</v>
      </c>
      <c r="B907" s="2">
        <v>42643.7865162037</v>
      </c>
      <c r="C907">
        <v>22</v>
      </c>
      <c r="D907">
        <v>6</v>
      </c>
      <c r="E907" t="s">
        <v>896</v>
      </c>
    </row>
    <row r="908" spans="1:5">
      <c r="A908">
        <f>HYPERLINK("http://www.twitter.com/FDNY/status/781904495286554624", "781904495286554624")</f>
        <v>0</v>
      </c>
      <c r="B908" s="2">
        <v>42643.7168171296</v>
      </c>
      <c r="C908">
        <v>0</v>
      </c>
      <c r="D908">
        <v>13</v>
      </c>
      <c r="E908" t="s">
        <v>897</v>
      </c>
    </row>
    <row r="909" spans="1:5">
      <c r="A909">
        <f>HYPERLINK("http://www.twitter.com/FDNY/status/781889787372396544", "781889787372396544")</f>
        <v>0</v>
      </c>
      <c r="B909" s="2">
        <v>42643.6762268519</v>
      </c>
      <c r="C909">
        <v>0</v>
      </c>
      <c r="D909">
        <v>13</v>
      </c>
      <c r="E909" t="s">
        <v>898</v>
      </c>
    </row>
    <row r="910" spans="1:5">
      <c r="A910">
        <f>HYPERLINK("http://www.twitter.com/FDNY/status/781879087052750848", "781879087052750848")</f>
        <v>0</v>
      </c>
      <c r="B910" s="2">
        <v>42643.6467013889</v>
      </c>
      <c r="C910">
        <v>21</v>
      </c>
      <c r="D910">
        <v>14</v>
      </c>
      <c r="E910" t="s">
        <v>899</v>
      </c>
    </row>
    <row r="911" spans="1:5">
      <c r="A911">
        <f>HYPERLINK("http://www.twitter.com/FDNY/status/781865557108850688", "781865557108850688")</f>
        <v>0</v>
      </c>
      <c r="B911" s="2">
        <v>42643.6093634259</v>
      </c>
      <c r="C911">
        <v>0</v>
      </c>
      <c r="D911">
        <v>9</v>
      </c>
      <c r="E911" t="s">
        <v>900</v>
      </c>
    </row>
    <row r="912" spans="1:5">
      <c r="A912">
        <f>HYPERLINK("http://www.twitter.com/FDNY/status/781859252252119040", "781859252252119040")</f>
        <v>0</v>
      </c>
      <c r="B912" s="2">
        <v>42643.5919675926</v>
      </c>
      <c r="C912">
        <v>0</v>
      </c>
      <c r="D912">
        <v>10</v>
      </c>
      <c r="E912" t="s">
        <v>901</v>
      </c>
    </row>
    <row r="913" spans="1:5">
      <c r="A913">
        <f>HYPERLINK("http://www.twitter.com/FDNY/status/781852782311706625", "781852782311706625")</f>
        <v>0</v>
      </c>
      <c r="B913" s="2">
        <v>42643.5741203704</v>
      </c>
      <c r="C913">
        <v>0</v>
      </c>
      <c r="D913">
        <v>6</v>
      </c>
      <c r="E913" t="s">
        <v>902</v>
      </c>
    </row>
    <row r="914" spans="1:5">
      <c r="A914">
        <f>HYPERLINK("http://www.twitter.com/FDNY/status/781631953497763840", "781631953497763840")</f>
        <v>0</v>
      </c>
      <c r="B914" s="2">
        <v>42642.9647453704</v>
      </c>
      <c r="C914">
        <v>0</v>
      </c>
      <c r="D914">
        <v>19</v>
      </c>
      <c r="E914" t="s">
        <v>903</v>
      </c>
    </row>
    <row r="915" spans="1:5">
      <c r="A915">
        <f>HYPERLINK("http://www.twitter.com/FDNY/status/781620081705050112", "781620081705050112")</f>
        <v>0</v>
      </c>
      <c r="B915" s="2">
        <v>42642.9319791667</v>
      </c>
      <c r="C915">
        <v>0</v>
      </c>
      <c r="D915">
        <v>37</v>
      </c>
      <c r="E915" t="s">
        <v>904</v>
      </c>
    </row>
    <row r="916" spans="1:5">
      <c r="A916">
        <f>HYPERLINK("http://www.twitter.com/FDNY/status/781569382552104960", "781569382552104960")</f>
        <v>0</v>
      </c>
      <c r="B916" s="2">
        <v>42642.7920833333</v>
      </c>
      <c r="C916">
        <v>0</v>
      </c>
      <c r="D916">
        <v>14</v>
      </c>
      <c r="E916" t="s">
        <v>905</v>
      </c>
    </row>
    <row r="917" spans="1:5">
      <c r="A917">
        <f>HYPERLINK("http://www.twitter.com/FDNY/status/781569247042478080", "781569247042478080")</f>
        <v>0</v>
      </c>
      <c r="B917" s="2">
        <v>42642.791712963</v>
      </c>
      <c r="C917">
        <v>136</v>
      </c>
      <c r="D917">
        <v>58</v>
      </c>
      <c r="E917" t="s">
        <v>906</v>
      </c>
    </row>
    <row r="918" spans="1:5">
      <c r="A918">
        <f>HYPERLINK("http://www.twitter.com/FDNY/status/781566199872258052", "781566199872258052")</f>
        <v>0</v>
      </c>
      <c r="B918" s="2">
        <v>42642.7832986111</v>
      </c>
      <c r="C918">
        <v>209</v>
      </c>
      <c r="D918">
        <v>93</v>
      </c>
      <c r="E918" t="s">
        <v>907</v>
      </c>
    </row>
    <row r="919" spans="1:5">
      <c r="A919">
        <f>HYPERLINK("http://www.twitter.com/FDNY/status/781552747766218752", "781552747766218752")</f>
        <v>0</v>
      </c>
      <c r="B919" s="2">
        <v>42642.7461805556</v>
      </c>
      <c r="C919">
        <v>0</v>
      </c>
      <c r="D919">
        <v>119</v>
      </c>
      <c r="E919" t="s">
        <v>908</v>
      </c>
    </row>
    <row r="920" spans="1:5">
      <c r="A920">
        <f>HYPERLINK("http://www.twitter.com/FDNY/status/781539977624780800", "781539977624780800")</f>
        <v>0</v>
      </c>
      <c r="B920" s="2">
        <v>42642.7109375</v>
      </c>
      <c r="C920">
        <v>0</v>
      </c>
      <c r="D920">
        <v>21</v>
      </c>
      <c r="E920" t="s">
        <v>909</v>
      </c>
    </row>
    <row r="921" spans="1:5">
      <c r="A921">
        <f>HYPERLINK("http://www.twitter.com/FDNY/status/781523884428361729", "781523884428361729")</f>
        <v>0</v>
      </c>
      <c r="B921" s="2">
        <v>42642.6665277778</v>
      </c>
      <c r="C921">
        <v>0</v>
      </c>
      <c r="D921">
        <v>12</v>
      </c>
      <c r="E921" t="s">
        <v>910</v>
      </c>
    </row>
    <row r="922" spans="1:5">
      <c r="A922">
        <f>HYPERLINK("http://www.twitter.com/FDNY/status/781500563053809664", "781500563053809664")</f>
        <v>0</v>
      </c>
      <c r="B922" s="2">
        <v>42642.6021759259</v>
      </c>
      <c r="C922">
        <v>0</v>
      </c>
      <c r="D922">
        <v>221</v>
      </c>
      <c r="E922" t="s">
        <v>911</v>
      </c>
    </row>
    <row r="923" spans="1:5">
      <c r="A923">
        <f>HYPERLINK("http://www.twitter.com/FDNY/status/781499083932438529", "781499083932438529")</f>
        <v>0</v>
      </c>
      <c r="B923" s="2">
        <v>42642.5980902778</v>
      </c>
      <c r="C923">
        <v>214</v>
      </c>
      <c r="D923">
        <v>141</v>
      </c>
      <c r="E923" t="s">
        <v>912</v>
      </c>
    </row>
    <row r="924" spans="1:5">
      <c r="A924">
        <f>HYPERLINK("http://www.twitter.com/FDNY/status/781471303668731904", "781471303668731904")</f>
        <v>0</v>
      </c>
      <c r="B924" s="2">
        <v>42642.5214351852</v>
      </c>
      <c r="C924">
        <v>32</v>
      </c>
      <c r="D924">
        <v>12</v>
      </c>
      <c r="E924" t="s">
        <v>913</v>
      </c>
    </row>
    <row r="925" spans="1:5">
      <c r="A925">
        <f>HYPERLINK("http://www.twitter.com/FDNY/status/781300865382572032", "781300865382572032")</f>
        <v>0</v>
      </c>
      <c r="B925" s="2">
        <v>42642.0511111111</v>
      </c>
      <c r="C925">
        <v>0</v>
      </c>
      <c r="D925">
        <v>96</v>
      </c>
      <c r="E925" t="s">
        <v>914</v>
      </c>
    </row>
    <row r="926" spans="1:5">
      <c r="A926">
        <f>HYPERLINK("http://www.twitter.com/FDNY/status/781236869321334784", "781236869321334784")</f>
        <v>0</v>
      </c>
      <c r="B926" s="2">
        <v>42641.8745138889</v>
      </c>
      <c r="C926">
        <v>93</v>
      </c>
      <c r="D926">
        <v>79</v>
      </c>
      <c r="E926" t="s">
        <v>915</v>
      </c>
    </row>
    <row r="927" spans="1:5">
      <c r="A927">
        <f>HYPERLINK("http://www.twitter.com/FDNY/status/781223181663240192", "781223181663240192")</f>
        <v>0</v>
      </c>
      <c r="B927" s="2">
        <v>42641.8367476852</v>
      </c>
      <c r="C927">
        <v>183</v>
      </c>
      <c r="D927">
        <v>107</v>
      </c>
      <c r="E927" t="s">
        <v>916</v>
      </c>
    </row>
    <row r="928" spans="1:5">
      <c r="A928">
        <f>HYPERLINK("http://www.twitter.com/FDNY/status/781214117394866176", "781214117394866176")</f>
        <v>0</v>
      </c>
      <c r="B928" s="2">
        <v>42641.8117361111</v>
      </c>
      <c r="C928">
        <v>0</v>
      </c>
      <c r="D928">
        <v>10</v>
      </c>
      <c r="E928" t="s">
        <v>917</v>
      </c>
    </row>
    <row r="929" spans="1:5">
      <c r="A929">
        <f>HYPERLINK("http://www.twitter.com/FDNY/status/781207660834193408", "781207660834193408")</f>
        <v>0</v>
      </c>
      <c r="B929" s="2">
        <v>42641.7939236111</v>
      </c>
      <c r="C929">
        <v>51</v>
      </c>
      <c r="D929">
        <v>28</v>
      </c>
      <c r="E929" t="s">
        <v>918</v>
      </c>
    </row>
    <row r="930" spans="1:5">
      <c r="A930">
        <f>HYPERLINK("http://www.twitter.com/FDNY/status/781205202938494976", "781205202938494976")</f>
        <v>0</v>
      </c>
      <c r="B930" s="2">
        <v>42641.7871412037</v>
      </c>
      <c r="C930">
        <v>0</v>
      </c>
      <c r="D930">
        <v>123</v>
      </c>
      <c r="E930" t="s">
        <v>919</v>
      </c>
    </row>
    <row r="931" spans="1:5">
      <c r="A931">
        <f>HYPERLINK("http://www.twitter.com/FDNY/status/781204104597102592", "781204104597102592")</f>
        <v>0</v>
      </c>
      <c r="B931" s="2">
        <v>42641.7841087963</v>
      </c>
      <c r="C931">
        <v>86</v>
      </c>
      <c r="D931">
        <v>42</v>
      </c>
      <c r="E931" t="s">
        <v>920</v>
      </c>
    </row>
    <row r="932" spans="1:5">
      <c r="A932">
        <f>HYPERLINK("http://www.twitter.com/FDNY/status/781190605581889537", "781190605581889537")</f>
        <v>0</v>
      </c>
      <c r="B932" s="2">
        <v>42641.7468518519</v>
      </c>
      <c r="C932">
        <v>0</v>
      </c>
      <c r="D932">
        <v>21</v>
      </c>
      <c r="E932" t="s">
        <v>921</v>
      </c>
    </row>
    <row r="933" spans="1:5">
      <c r="A933">
        <f>HYPERLINK("http://www.twitter.com/FDNY/status/781186017449615360", "781186017449615360")</f>
        <v>0</v>
      </c>
      <c r="B933" s="2">
        <v>42641.7341898148</v>
      </c>
      <c r="C933">
        <v>171</v>
      </c>
      <c r="D933">
        <v>80</v>
      </c>
      <c r="E933" t="s">
        <v>922</v>
      </c>
    </row>
    <row r="934" spans="1:5">
      <c r="A934">
        <f>HYPERLINK("http://www.twitter.com/FDNY/status/781176418336182272", "781176418336182272")</f>
        <v>0</v>
      </c>
      <c r="B934" s="2">
        <v>42641.7077083333</v>
      </c>
      <c r="C934">
        <v>99</v>
      </c>
      <c r="D934">
        <v>45</v>
      </c>
      <c r="E934" t="s">
        <v>923</v>
      </c>
    </row>
    <row r="935" spans="1:5">
      <c r="A935">
        <f>HYPERLINK("http://www.twitter.com/FDNY/status/781173117616021504", "781173117616021504")</f>
        <v>0</v>
      </c>
      <c r="B935" s="2">
        <v>42641.698599537</v>
      </c>
      <c r="C935">
        <v>259</v>
      </c>
      <c r="D935">
        <v>101</v>
      </c>
      <c r="E935" t="s">
        <v>924</v>
      </c>
    </row>
    <row r="936" spans="1:5">
      <c r="A936">
        <f>HYPERLINK("http://www.twitter.com/FDNY/status/781163189291589632", "781163189291589632")</f>
        <v>0</v>
      </c>
      <c r="B936" s="2">
        <v>42641.6712037037</v>
      </c>
      <c r="C936">
        <v>327</v>
      </c>
      <c r="D936">
        <v>172</v>
      </c>
      <c r="E936" t="s">
        <v>925</v>
      </c>
    </row>
    <row r="937" spans="1:5">
      <c r="A937">
        <f>HYPERLINK("http://www.twitter.com/FDNY/status/781160436100194304", "781160436100194304")</f>
        <v>0</v>
      </c>
      <c r="B937" s="2">
        <v>42641.663599537</v>
      </c>
      <c r="C937">
        <v>57</v>
      </c>
      <c r="D937">
        <v>39</v>
      </c>
      <c r="E937" t="s">
        <v>926</v>
      </c>
    </row>
    <row r="938" spans="1:5">
      <c r="A938">
        <f>HYPERLINK("http://www.twitter.com/FDNY/status/781152977864327168", "781152977864327168")</f>
        <v>0</v>
      </c>
      <c r="B938" s="2">
        <v>42641.6430208333</v>
      </c>
      <c r="C938">
        <v>281</v>
      </c>
      <c r="D938">
        <v>101</v>
      </c>
      <c r="E938" t="s">
        <v>927</v>
      </c>
    </row>
    <row r="939" spans="1:5">
      <c r="A939">
        <f>HYPERLINK("http://www.twitter.com/FDNY/status/781134579574902788", "781134579574902788")</f>
        <v>0</v>
      </c>
      <c r="B939" s="2">
        <v>42641.5922569444</v>
      </c>
      <c r="C939">
        <v>242</v>
      </c>
      <c r="D939">
        <v>154</v>
      </c>
      <c r="E939" t="s">
        <v>928</v>
      </c>
    </row>
    <row r="940" spans="1:5">
      <c r="A940">
        <f>HYPERLINK("http://www.twitter.com/FDNY/status/780930597015449600", "780930597015449600")</f>
        <v>0</v>
      </c>
      <c r="B940" s="2">
        <v>42641.0293634259</v>
      </c>
      <c r="C940">
        <v>0</v>
      </c>
      <c r="D940">
        <v>145</v>
      </c>
      <c r="E940" t="s">
        <v>929</v>
      </c>
    </row>
    <row r="941" spans="1:5">
      <c r="A941">
        <f>HYPERLINK("http://www.twitter.com/FDNY/status/780902801299955712", "780902801299955712")</f>
        <v>0</v>
      </c>
      <c r="B941" s="2">
        <v>42640.952662037</v>
      </c>
      <c r="C941">
        <v>109</v>
      </c>
      <c r="D941">
        <v>99</v>
      </c>
      <c r="E941" t="s">
        <v>930</v>
      </c>
    </row>
    <row r="942" spans="1:5">
      <c r="A942">
        <f>HYPERLINK("http://www.twitter.com/FDNY/status/780807724862935040", "780807724862935040")</f>
        <v>0</v>
      </c>
      <c r="B942" s="2">
        <v>42640.6903009259</v>
      </c>
      <c r="C942">
        <v>0</v>
      </c>
      <c r="D942">
        <v>276</v>
      </c>
      <c r="E942" t="s">
        <v>931</v>
      </c>
    </row>
    <row r="943" spans="1:5">
      <c r="A943">
        <f>HYPERLINK("http://www.twitter.com/FDNY/status/780797007485145092", "780797007485145092")</f>
        <v>0</v>
      </c>
      <c r="B943" s="2">
        <v>42640.6607291667</v>
      </c>
      <c r="C943">
        <v>0</v>
      </c>
      <c r="D943">
        <v>244</v>
      </c>
      <c r="E943" t="s">
        <v>932</v>
      </c>
    </row>
    <row r="944" spans="1:5">
      <c r="A944">
        <f>HYPERLINK("http://www.twitter.com/FDNY/status/780789598049959936", "780789598049959936")</f>
        <v>0</v>
      </c>
      <c r="B944" s="2">
        <v>42640.6402893519</v>
      </c>
      <c r="C944">
        <v>1594</v>
      </c>
      <c r="D944">
        <v>1568</v>
      </c>
      <c r="E944" t="s">
        <v>933</v>
      </c>
    </row>
    <row r="945" spans="1:5">
      <c r="A945">
        <f>HYPERLINK("http://www.twitter.com/FDNY/status/780785017731547137", "780785017731547137")</f>
        <v>0</v>
      </c>
      <c r="B945" s="2">
        <v>42640.627650463</v>
      </c>
      <c r="C945">
        <v>0</v>
      </c>
      <c r="D945">
        <v>46</v>
      </c>
      <c r="E945" t="s">
        <v>934</v>
      </c>
    </row>
    <row r="946" spans="1:5">
      <c r="A946">
        <f>HYPERLINK("http://www.twitter.com/FDNY/status/780755825677795330", "780755825677795330")</f>
        <v>0</v>
      </c>
      <c r="B946" s="2">
        <v>42640.5470949074</v>
      </c>
      <c r="C946">
        <v>0</v>
      </c>
      <c r="D946">
        <v>260</v>
      </c>
      <c r="E946" t="s">
        <v>935</v>
      </c>
    </row>
    <row r="947" spans="1:5">
      <c r="A947">
        <f>HYPERLINK("http://www.twitter.com/FDNY/status/780740528501645313", "780740528501645313")</f>
        <v>0</v>
      </c>
      <c r="B947" s="2">
        <v>42640.5048842593</v>
      </c>
      <c r="C947">
        <v>0</v>
      </c>
      <c r="D947">
        <v>52</v>
      </c>
      <c r="E947" t="s">
        <v>936</v>
      </c>
    </row>
    <row r="948" spans="1:5">
      <c r="A948">
        <f>HYPERLINK("http://www.twitter.com/FDNY/status/780530841898344449", "780530841898344449")</f>
        <v>0</v>
      </c>
      <c r="B948" s="2">
        <v>42639.92625</v>
      </c>
      <c r="C948">
        <v>28</v>
      </c>
      <c r="D948">
        <v>27</v>
      </c>
      <c r="E948" t="s">
        <v>937</v>
      </c>
    </row>
    <row r="949" spans="1:5">
      <c r="A949">
        <f>HYPERLINK("http://www.twitter.com/FDNY/status/780488245457121280", "780488245457121280")</f>
        <v>0</v>
      </c>
      <c r="B949" s="2">
        <v>42639.8087152778</v>
      </c>
      <c r="C949">
        <v>0</v>
      </c>
      <c r="D949">
        <v>10</v>
      </c>
      <c r="E949" t="s">
        <v>938</v>
      </c>
    </row>
    <row r="950" spans="1:5">
      <c r="A950">
        <f>HYPERLINK("http://www.twitter.com/FDNY/status/780487242305441793", "780487242305441793")</f>
        <v>0</v>
      </c>
      <c r="B950" s="2">
        <v>42639.8059375</v>
      </c>
      <c r="C950">
        <v>19</v>
      </c>
      <c r="D950">
        <v>12</v>
      </c>
      <c r="E950" t="s">
        <v>939</v>
      </c>
    </row>
    <row r="951" spans="1:5">
      <c r="A951">
        <f>HYPERLINK("http://www.twitter.com/FDNY/status/780469762711293952", "780469762711293952")</f>
        <v>0</v>
      </c>
      <c r="B951" s="2">
        <v>42639.7577083333</v>
      </c>
      <c r="C951">
        <v>54</v>
      </c>
      <c r="D951">
        <v>38</v>
      </c>
      <c r="E951" t="s">
        <v>940</v>
      </c>
    </row>
    <row r="952" spans="1:5">
      <c r="A952">
        <f>HYPERLINK("http://www.twitter.com/FDNY/status/780443812225245184", "780443812225245184")</f>
        <v>0</v>
      </c>
      <c r="B952" s="2">
        <v>42639.686099537</v>
      </c>
      <c r="C952">
        <v>39</v>
      </c>
      <c r="D952">
        <v>31</v>
      </c>
      <c r="E952" t="s">
        <v>941</v>
      </c>
    </row>
    <row r="953" spans="1:5">
      <c r="A953">
        <f>HYPERLINK("http://www.twitter.com/FDNY/status/780419271520358400", "780419271520358400")</f>
        <v>0</v>
      </c>
      <c r="B953" s="2">
        <v>42639.6183796296</v>
      </c>
      <c r="C953">
        <v>0</v>
      </c>
      <c r="D953">
        <v>11</v>
      </c>
      <c r="E953" t="s">
        <v>942</v>
      </c>
    </row>
    <row r="954" spans="1:5">
      <c r="A954">
        <f>HYPERLINK("http://www.twitter.com/FDNY/status/780418363226980352", "780418363226980352")</f>
        <v>0</v>
      </c>
      <c r="B954" s="2">
        <v>42639.6158680556</v>
      </c>
      <c r="C954">
        <v>54</v>
      </c>
      <c r="D954">
        <v>32</v>
      </c>
      <c r="E954" t="s">
        <v>943</v>
      </c>
    </row>
    <row r="955" spans="1:5">
      <c r="A955">
        <f>HYPERLINK("http://www.twitter.com/FDNY/status/780410081200537600", "780410081200537600")</f>
        <v>0</v>
      </c>
      <c r="B955" s="2">
        <v>42639.5930208333</v>
      </c>
      <c r="C955">
        <v>49</v>
      </c>
      <c r="D955">
        <v>33</v>
      </c>
      <c r="E955" t="s">
        <v>944</v>
      </c>
    </row>
    <row r="956" spans="1:5">
      <c r="A956">
        <f>HYPERLINK("http://www.twitter.com/FDNY/status/780404377655898112", "780404377655898112")</f>
        <v>0</v>
      </c>
      <c r="B956" s="2">
        <v>42639.5772800926</v>
      </c>
      <c r="C956">
        <v>20</v>
      </c>
      <c r="D956">
        <v>26</v>
      </c>
      <c r="E956" t="s">
        <v>945</v>
      </c>
    </row>
    <row r="957" spans="1:5">
      <c r="A957">
        <f>HYPERLINK("http://www.twitter.com/FDNY/status/780186425417408512", "780186425417408512")</f>
        <v>0</v>
      </c>
      <c r="B957" s="2">
        <v>42638.9758449074</v>
      </c>
      <c r="C957">
        <v>33</v>
      </c>
      <c r="D957">
        <v>30</v>
      </c>
      <c r="E957" t="s">
        <v>946</v>
      </c>
    </row>
    <row r="958" spans="1:5">
      <c r="A958">
        <f>HYPERLINK("http://www.twitter.com/FDNY/status/780103153127751680", "780103153127751680")</f>
        <v>0</v>
      </c>
      <c r="B958" s="2">
        <v>42638.7460532407</v>
      </c>
      <c r="C958">
        <v>112</v>
      </c>
      <c r="D958">
        <v>56</v>
      </c>
      <c r="E958" t="s">
        <v>947</v>
      </c>
    </row>
    <row r="959" spans="1:5">
      <c r="A959">
        <f>HYPERLINK("http://www.twitter.com/FDNY/status/780096369419845632", "780096369419845632")</f>
        <v>0</v>
      </c>
      <c r="B959" s="2">
        <v>42638.727337963</v>
      </c>
      <c r="C959">
        <v>0</v>
      </c>
      <c r="D959">
        <v>51</v>
      </c>
      <c r="E959" t="s">
        <v>948</v>
      </c>
    </row>
    <row r="960" spans="1:5">
      <c r="A960">
        <f>HYPERLINK("http://www.twitter.com/FDNY/status/779819009701183489", "779819009701183489")</f>
        <v>0</v>
      </c>
      <c r="B960" s="2">
        <v>42637.9619675926</v>
      </c>
      <c r="C960">
        <v>19</v>
      </c>
      <c r="D960">
        <v>13</v>
      </c>
      <c r="E960" t="s">
        <v>949</v>
      </c>
    </row>
    <row r="961" spans="1:5">
      <c r="A961">
        <f>HYPERLINK("http://www.twitter.com/FDNY/status/779811891334045697", "779811891334045697")</f>
        <v>0</v>
      </c>
      <c r="B961" s="2">
        <v>42637.9423263889</v>
      </c>
      <c r="C961">
        <v>650</v>
      </c>
      <c r="D961">
        <v>233</v>
      </c>
      <c r="E961" t="s">
        <v>950</v>
      </c>
    </row>
    <row r="962" spans="1:5">
      <c r="A962">
        <f>HYPERLINK("http://www.twitter.com/FDNY/status/779701609416781824", "779701609416781824")</f>
        <v>0</v>
      </c>
      <c r="B962" s="2">
        <v>42637.6380092593</v>
      </c>
      <c r="C962">
        <v>0</v>
      </c>
      <c r="D962">
        <v>13</v>
      </c>
      <c r="E962" t="s">
        <v>951</v>
      </c>
    </row>
    <row r="963" spans="1:5">
      <c r="A963">
        <f>HYPERLINK("http://www.twitter.com/FDNY/status/779701568849453056", "779701568849453056")</f>
        <v>0</v>
      </c>
      <c r="B963" s="2">
        <v>42637.6378935185</v>
      </c>
      <c r="C963">
        <v>0</v>
      </c>
      <c r="D963">
        <v>38</v>
      </c>
      <c r="E963" t="s">
        <v>952</v>
      </c>
    </row>
    <row r="964" spans="1:5">
      <c r="A964">
        <f>HYPERLINK("http://www.twitter.com/FDNY/status/779690498520940544", "779690498520940544")</f>
        <v>0</v>
      </c>
      <c r="B964" s="2">
        <v>42637.607349537</v>
      </c>
      <c r="C964">
        <v>0</v>
      </c>
      <c r="D964">
        <v>9</v>
      </c>
      <c r="E964" t="s">
        <v>953</v>
      </c>
    </row>
    <row r="965" spans="1:5">
      <c r="A965">
        <f>HYPERLINK("http://www.twitter.com/FDNY/status/779454975160254464", "779454975160254464")</f>
        <v>0</v>
      </c>
      <c r="B965" s="2">
        <v>42636.9574305556</v>
      </c>
      <c r="C965">
        <v>0</v>
      </c>
      <c r="D965">
        <v>6</v>
      </c>
      <c r="E965" t="s">
        <v>954</v>
      </c>
    </row>
    <row r="966" spans="1:5">
      <c r="A966">
        <f>HYPERLINK("http://www.twitter.com/FDNY/status/779448692952723456", "779448692952723456")</f>
        <v>0</v>
      </c>
      <c r="B966" s="2">
        <v>42636.9400925926</v>
      </c>
      <c r="C966">
        <v>0</v>
      </c>
      <c r="D966">
        <v>12</v>
      </c>
      <c r="E966" t="s">
        <v>955</v>
      </c>
    </row>
    <row r="967" spans="1:5">
      <c r="A967">
        <f>HYPERLINK("http://www.twitter.com/FDNY/status/779446718676992000", "779446718676992000")</f>
        <v>0</v>
      </c>
      <c r="B967" s="2">
        <v>42636.9346412037</v>
      </c>
      <c r="C967">
        <v>84</v>
      </c>
      <c r="D967">
        <v>29</v>
      </c>
      <c r="E967" t="s">
        <v>956</v>
      </c>
    </row>
    <row r="968" spans="1:5">
      <c r="A968">
        <f>HYPERLINK("http://www.twitter.com/FDNY/status/779443874175541248", "779443874175541248")</f>
        <v>0</v>
      </c>
      <c r="B968" s="2">
        <v>42636.9267939815</v>
      </c>
      <c r="C968">
        <v>0</v>
      </c>
      <c r="D968">
        <v>18</v>
      </c>
      <c r="E968" t="s">
        <v>957</v>
      </c>
    </row>
    <row r="969" spans="1:5">
      <c r="A969">
        <f>HYPERLINK("http://www.twitter.com/FDNY/status/779417398180978688", "779417398180978688")</f>
        <v>0</v>
      </c>
      <c r="B969" s="2">
        <v>42636.8537384259</v>
      </c>
      <c r="C969">
        <v>40</v>
      </c>
      <c r="D969">
        <v>25</v>
      </c>
      <c r="E969" t="s">
        <v>958</v>
      </c>
    </row>
    <row r="970" spans="1:5">
      <c r="A970">
        <f>HYPERLINK("http://www.twitter.com/FDNY/status/779411075695607808", "779411075695607808")</f>
        <v>0</v>
      </c>
      <c r="B970" s="2">
        <v>42636.8362847222</v>
      </c>
      <c r="C970">
        <v>10</v>
      </c>
      <c r="D970">
        <v>8</v>
      </c>
      <c r="E970" t="s">
        <v>959</v>
      </c>
    </row>
    <row r="971" spans="1:5">
      <c r="A971">
        <f>HYPERLINK("http://www.twitter.com/FDNY/status/779406374447026176", "779406374447026176")</f>
        <v>0</v>
      </c>
      <c r="B971" s="2">
        <v>42636.8233101852</v>
      </c>
      <c r="C971">
        <v>44</v>
      </c>
      <c r="D971">
        <v>21</v>
      </c>
      <c r="E971" t="s">
        <v>960</v>
      </c>
    </row>
    <row r="972" spans="1:5">
      <c r="A972">
        <f>HYPERLINK("http://www.twitter.com/FDNY/status/779367487477542913", "779367487477542913")</f>
        <v>0</v>
      </c>
      <c r="B972" s="2">
        <v>42636.7160069444</v>
      </c>
      <c r="C972">
        <v>12</v>
      </c>
      <c r="D972">
        <v>5</v>
      </c>
      <c r="E972" t="s">
        <v>961</v>
      </c>
    </row>
    <row r="973" spans="1:5">
      <c r="A973">
        <f>HYPERLINK("http://www.twitter.com/FDNY/status/779366761196126208", "779366761196126208")</f>
        <v>0</v>
      </c>
      <c r="B973" s="2">
        <v>42636.7140046296</v>
      </c>
      <c r="C973">
        <v>26</v>
      </c>
      <c r="D973">
        <v>13</v>
      </c>
      <c r="E973" t="s">
        <v>962</v>
      </c>
    </row>
    <row r="974" spans="1:5">
      <c r="A974">
        <f>HYPERLINK("http://www.twitter.com/FDNY/status/779348451763126272", "779348451763126272")</f>
        <v>0</v>
      </c>
      <c r="B974" s="2">
        <v>42636.6634837963</v>
      </c>
      <c r="C974">
        <v>8</v>
      </c>
      <c r="D974">
        <v>6</v>
      </c>
      <c r="E974" t="s">
        <v>963</v>
      </c>
    </row>
    <row r="975" spans="1:5">
      <c r="A975">
        <f>HYPERLINK("http://www.twitter.com/FDNY/status/779321023439245312", "779321023439245312")</f>
        <v>0</v>
      </c>
      <c r="B975" s="2">
        <v>42636.5877893519</v>
      </c>
      <c r="C975">
        <v>19</v>
      </c>
      <c r="D975">
        <v>11</v>
      </c>
      <c r="E975" t="s">
        <v>964</v>
      </c>
    </row>
    <row r="976" spans="1:5">
      <c r="A976">
        <f>HYPERLINK("http://www.twitter.com/FDNY/status/779318405136543744", "779318405136543744")</f>
        <v>0</v>
      </c>
      <c r="B976" s="2">
        <v>42636.5805671296</v>
      </c>
      <c r="C976">
        <v>0</v>
      </c>
      <c r="D976">
        <v>12</v>
      </c>
      <c r="E976" t="s">
        <v>965</v>
      </c>
    </row>
    <row r="977" spans="1:5">
      <c r="A977">
        <f>HYPERLINK("http://www.twitter.com/FDNY/status/779078554155909120", "779078554155909120")</f>
        <v>0</v>
      </c>
      <c r="B977" s="2">
        <v>42635.9187037037</v>
      </c>
      <c r="C977">
        <v>0</v>
      </c>
      <c r="D977">
        <v>13</v>
      </c>
      <c r="E977" t="s">
        <v>966</v>
      </c>
    </row>
    <row r="978" spans="1:5">
      <c r="A978">
        <f>HYPERLINK("http://www.twitter.com/FDNY/status/779056519593783297", "779056519593783297")</f>
        <v>0</v>
      </c>
      <c r="B978" s="2">
        <v>42635.8579050926</v>
      </c>
      <c r="C978">
        <v>18</v>
      </c>
      <c r="D978">
        <v>12</v>
      </c>
      <c r="E978" t="s">
        <v>967</v>
      </c>
    </row>
    <row r="979" spans="1:5">
      <c r="A979">
        <f>HYPERLINK("http://www.twitter.com/FDNY/status/779055702543302656", "779055702543302656")</f>
        <v>0</v>
      </c>
      <c r="B979" s="2">
        <v>42635.8556481482</v>
      </c>
      <c r="C979">
        <v>6</v>
      </c>
      <c r="D979">
        <v>6</v>
      </c>
      <c r="E979" t="s">
        <v>968</v>
      </c>
    </row>
    <row r="980" spans="1:5">
      <c r="A980">
        <f>HYPERLINK("http://www.twitter.com/FDNY/status/779033972475043840", "779033972475043840")</f>
        <v>0</v>
      </c>
      <c r="B980" s="2">
        <v>42635.7956828704</v>
      </c>
      <c r="C980">
        <v>46</v>
      </c>
      <c r="D980">
        <v>10</v>
      </c>
      <c r="E980" t="s">
        <v>969</v>
      </c>
    </row>
    <row r="981" spans="1:5">
      <c r="A981">
        <f>HYPERLINK("http://www.twitter.com/FDNY/status/779022616476651521", "779022616476651521")</f>
        <v>0</v>
      </c>
      <c r="B981" s="2">
        <v>42635.7643402778</v>
      </c>
      <c r="C981">
        <v>0</v>
      </c>
      <c r="D981">
        <v>68</v>
      </c>
      <c r="E981" t="s">
        <v>970</v>
      </c>
    </row>
    <row r="982" spans="1:5">
      <c r="A982">
        <f>HYPERLINK("http://www.twitter.com/FDNY/status/778992816026509312", "778992816026509312")</f>
        <v>0</v>
      </c>
      <c r="B982" s="2">
        <v>42635.6821064815</v>
      </c>
      <c r="C982">
        <v>0</v>
      </c>
      <c r="D982">
        <v>10</v>
      </c>
      <c r="E982" t="s">
        <v>971</v>
      </c>
    </row>
    <row r="983" spans="1:5">
      <c r="A983">
        <f>HYPERLINK("http://www.twitter.com/FDNY/status/778963981201469440", "778963981201469440")</f>
        <v>0</v>
      </c>
      <c r="B983" s="2">
        <v>42635.6025462963</v>
      </c>
      <c r="C983">
        <v>0</v>
      </c>
      <c r="D983">
        <v>8</v>
      </c>
      <c r="E983" t="s">
        <v>972</v>
      </c>
    </row>
    <row r="984" spans="1:5">
      <c r="A984">
        <f>HYPERLINK("http://www.twitter.com/FDNY/status/778957531427311616", "778957531427311616")</f>
        <v>0</v>
      </c>
      <c r="B984" s="2">
        <v>42635.5847453704</v>
      </c>
      <c r="C984">
        <v>37</v>
      </c>
      <c r="D984">
        <v>9</v>
      </c>
      <c r="E984" t="s">
        <v>973</v>
      </c>
    </row>
    <row r="985" spans="1:5">
      <c r="A985">
        <f>HYPERLINK("http://www.twitter.com/FDNY/status/778734153181212673", "778734153181212673")</f>
        <v>0</v>
      </c>
      <c r="B985" s="2">
        <v>42634.9683333333</v>
      </c>
      <c r="C985">
        <v>0</v>
      </c>
      <c r="D985">
        <v>9</v>
      </c>
      <c r="E985" t="s">
        <v>974</v>
      </c>
    </row>
    <row r="986" spans="1:5">
      <c r="A986">
        <f>HYPERLINK("http://www.twitter.com/FDNY/status/778689150467747840", "778689150467747840")</f>
        <v>0</v>
      </c>
      <c r="B986" s="2">
        <v>42634.8441550926</v>
      </c>
      <c r="C986">
        <v>59</v>
      </c>
      <c r="D986">
        <v>24</v>
      </c>
      <c r="E986" t="s">
        <v>975</v>
      </c>
    </row>
    <row r="987" spans="1:5">
      <c r="A987">
        <f>HYPERLINK("http://www.twitter.com/FDNY/status/778685058680954880", "778685058680954880")</f>
        <v>0</v>
      </c>
      <c r="B987" s="2">
        <v>42634.8328587963</v>
      </c>
      <c r="C987">
        <v>10</v>
      </c>
      <c r="D987">
        <v>4</v>
      </c>
      <c r="E987" t="s">
        <v>976</v>
      </c>
    </row>
    <row r="988" spans="1:5">
      <c r="A988">
        <f>HYPERLINK("http://www.twitter.com/FDNY/status/778679755306434560", "778679755306434560")</f>
        <v>0</v>
      </c>
      <c r="B988" s="2">
        <v>42634.8182291667</v>
      </c>
      <c r="C988">
        <v>0</v>
      </c>
      <c r="D988">
        <v>23</v>
      </c>
      <c r="E988" t="s">
        <v>977</v>
      </c>
    </row>
    <row r="989" spans="1:5">
      <c r="A989">
        <f>HYPERLINK("http://www.twitter.com/FDNY/status/778679446203043840", "778679446203043840")</f>
        <v>0</v>
      </c>
      <c r="B989" s="2">
        <v>42634.8173726852</v>
      </c>
      <c r="C989">
        <v>0</v>
      </c>
      <c r="D989">
        <v>12</v>
      </c>
      <c r="E989" t="s">
        <v>978</v>
      </c>
    </row>
    <row r="990" spans="1:5">
      <c r="A990">
        <f>HYPERLINK("http://www.twitter.com/FDNY/status/778668756180602880", "778668756180602880")</f>
        <v>0</v>
      </c>
      <c r="B990" s="2">
        <v>42634.7878819444</v>
      </c>
      <c r="C990">
        <v>0</v>
      </c>
      <c r="D990">
        <v>214</v>
      </c>
      <c r="E990" t="s">
        <v>979</v>
      </c>
    </row>
    <row r="991" spans="1:5">
      <c r="A991">
        <f>HYPERLINK("http://www.twitter.com/FDNY/status/778640967830306816", "778640967830306816")</f>
        <v>0</v>
      </c>
      <c r="B991" s="2">
        <v>42634.7111921296</v>
      </c>
      <c r="C991">
        <v>43</v>
      </c>
      <c r="D991">
        <v>14</v>
      </c>
      <c r="E991" t="s">
        <v>980</v>
      </c>
    </row>
    <row r="992" spans="1:5">
      <c r="A992">
        <f>HYPERLINK("http://www.twitter.com/FDNY/status/778612897115205632", "778612897115205632")</f>
        <v>0</v>
      </c>
      <c r="B992" s="2">
        <v>42634.6337384259</v>
      </c>
      <c r="C992">
        <v>0</v>
      </c>
      <c r="D992">
        <v>8</v>
      </c>
      <c r="E992" t="s">
        <v>981</v>
      </c>
    </row>
    <row r="993" spans="1:5">
      <c r="A993">
        <f>HYPERLINK("http://www.twitter.com/FDNY/status/778597269750878208", "778597269750878208")</f>
        <v>0</v>
      </c>
      <c r="B993" s="2">
        <v>42634.5906134259</v>
      </c>
      <c r="C993">
        <v>19</v>
      </c>
      <c r="D993">
        <v>8</v>
      </c>
      <c r="E993" t="s">
        <v>982</v>
      </c>
    </row>
    <row r="994" spans="1:5">
      <c r="A994">
        <f>HYPERLINK("http://www.twitter.com/FDNY/status/778384935195447296", "778384935195447296")</f>
        <v>0</v>
      </c>
      <c r="B994" s="2">
        <v>42634.0046759259</v>
      </c>
      <c r="C994">
        <v>0</v>
      </c>
      <c r="D994">
        <v>695</v>
      </c>
      <c r="E994" t="s">
        <v>983</v>
      </c>
    </row>
    <row r="995" spans="1:5">
      <c r="A995">
        <f>HYPERLINK("http://www.twitter.com/FDNY/status/778351780510007296", "778351780510007296")</f>
        <v>0</v>
      </c>
      <c r="B995" s="2">
        <v>42633.9131944444</v>
      </c>
      <c r="C995">
        <v>0</v>
      </c>
      <c r="D995">
        <v>9</v>
      </c>
      <c r="E995" t="s">
        <v>984</v>
      </c>
    </row>
    <row r="996" spans="1:5">
      <c r="A996">
        <f>HYPERLINK("http://www.twitter.com/FDNY/status/778305367260430336", "778305367260430336")</f>
        <v>0</v>
      </c>
      <c r="B996" s="2">
        <v>42633.7851157407</v>
      </c>
      <c r="C996">
        <v>28</v>
      </c>
      <c r="D996">
        <v>14</v>
      </c>
      <c r="E996" t="s">
        <v>985</v>
      </c>
    </row>
    <row r="997" spans="1:5">
      <c r="A997">
        <f>HYPERLINK("http://www.twitter.com/FDNY/status/778284578700230658", "778284578700230658")</f>
        <v>0</v>
      </c>
      <c r="B997" s="2">
        <v>42633.7277546296</v>
      </c>
      <c r="C997">
        <v>24</v>
      </c>
      <c r="D997">
        <v>7</v>
      </c>
      <c r="E997" t="s">
        <v>986</v>
      </c>
    </row>
    <row r="998" spans="1:5">
      <c r="A998">
        <f>HYPERLINK("http://www.twitter.com/FDNY/status/778278403032088582", "778278403032088582")</f>
        <v>0</v>
      </c>
      <c r="B998" s="2">
        <v>42633.7107060185</v>
      </c>
      <c r="C998">
        <v>49</v>
      </c>
      <c r="D998">
        <v>21</v>
      </c>
      <c r="E998" t="s">
        <v>987</v>
      </c>
    </row>
    <row r="999" spans="1:5">
      <c r="A999">
        <f>HYPERLINK("http://www.twitter.com/FDNY/status/778253092693352448", "778253092693352448")</f>
        <v>0</v>
      </c>
      <c r="B999" s="2">
        <v>42633.6408680556</v>
      </c>
      <c r="C999">
        <v>31</v>
      </c>
      <c r="D999">
        <v>7</v>
      </c>
      <c r="E999" t="s">
        <v>988</v>
      </c>
    </row>
    <row r="1000" spans="1:5">
      <c r="A1000">
        <f>HYPERLINK("http://www.twitter.com/FDNY/status/778252340335902721", "778252340335902721")</f>
        <v>0</v>
      </c>
      <c r="B1000" s="2">
        <v>42633.6387847222</v>
      </c>
      <c r="C1000">
        <v>18</v>
      </c>
      <c r="D1000">
        <v>5</v>
      </c>
      <c r="E1000" t="s">
        <v>989</v>
      </c>
    </row>
    <row r="1001" spans="1:5">
      <c r="A1001">
        <f>HYPERLINK("http://www.twitter.com/FDNY/status/778252043978960896", "778252043978960896")</f>
        <v>0</v>
      </c>
      <c r="B1001" s="2">
        <v>42633.637974537</v>
      </c>
      <c r="C1001">
        <v>28</v>
      </c>
      <c r="D1001">
        <v>10</v>
      </c>
      <c r="E1001" t="s">
        <v>990</v>
      </c>
    </row>
    <row r="1002" spans="1:5">
      <c r="A1002">
        <f>HYPERLINK("http://www.twitter.com/FDNY/status/778251512439078916", "778251512439078916")</f>
        <v>0</v>
      </c>
      <c r="B1002" s="2">
        <v>42633.6365046296</v>
      </c>
      <c r="C1002">
        <v>23</v>
      </c>
      <c r="D1002">
        <v>8</v>
      </c>
      <c r="E1002" t="s">
        <v>991</v>
      </c>
    </row>
    <row r="1003" spans="1:5">
      <c r="A1003">
        <f>HYPERLINK("http://www.twitter.com/FDNY/status/778251141704482817", "778251141704482817")</f>
        <v>0</v>
      </c>
      <c r="B1003" s="2">
        <v>42633.6354861111</v>
      </c>
      <c r="C1003">
        <v>27</v>
      </c>
      <c r="D1003">
        <v>11</v>
      </c>
      <c r="E1003" t="s">
        <v>992</v>
      </c>
    </row>
    <row r="1004" spans="1:5">
      <c r="A1004">
        <f>HYPERLINK("http://www.twitter.com/FDNY/status/778251029796294662", "778251029796294662")</f>
        <v>0</v>
      </c>
      <c r="B1004" s="2">
        <v>42633.6351736111</v>
      </c>
      <c r="C1004">
        <v>27</v>
      </c>
      <c r="D1004">
        <v>23</v>
      </c>
      <c r="E1004" t="s">
        <v>993</v>
      </c>
    </row>
    <row r="1005" spans="1:5">
      <c r="A1005">
        <f>HYPERLINK("http://www.twitter.com/FDNY/status/778250716225925121", "778250716225925121")</f>
        <v>0</v>
      </c>
      <c r="B1005" s="2">
        <v>42633.6343055556</v>
      </c>
      <c r="C1005">
        <v>54</v>
      </c>
      <c r="D1005">
        <v>18</v>
      </c>
      <c r="E1005" t="s">
        <v>994</v>
      </c>
    </row>
    <row r="1006" spans="1:5">
      <c r="A1006">
        <f>HYPERLINK("http://www.twitter.com/FDNY/status/778245326775934976", "778245326775934976")</f>
        <v>0</v>
      </c>
      <c r="B1006" s="2">
        <v>42633.6194328704</v>
      </c>
      <c r="C1006">
        <v>0</v>
      </c>
      <c r="D1006">
        <v>13</v>
      </c>
      <c r="E1006" t="s">
        <v>995</v>
      </c>
    </row>
    <row r="1007" spans="1:5">
      <c r="A1007">
        <f>HYPERLINK("http://www.twitter.com/FDNY/status/778231406791098369", "778231406791098369")</f>
        <v>0</v>
      </c>
      <c r="B1007" s="2">
        <v>42633.5810185185</v>
      </c>
      <c r="C1007">
        <v>0</v>
      </c>
      <c r="D1007">
        <v>489</v>
      </c>
      <c r="E1007" t="s">
        <v>996</v>
      </c>
    </row>
    <row r="1008" spans="1:5">
      <c r="A1008">
        <f>HYPERLINK("http://www.twitter.com/FDNY/status/777956770249605122", "777956770249605122")</f>
        <v>0</v>
      </c>
      <c r="B1008" s="2">
        <v>42632.8231712963</v>
      </c>
      <c r="C1008">
        <v>0</v>
      </c>
      <c r="D1008">
        <v>179</v>
      </c>
      <c r="E1008" t="s">
        <v>997</v>
      </c>
    </row>
    <row r="1009" spans="1:5">
      <c r="A1009">
        <f>HYPERLINK("http://www.twitter.com/FDNY/status/777954752172847104", "777954752172847104")</f>
        <v>0</v>
      </c>
      <c r="B1009" s="2">
        <v>42632.8176041667</v>
      </c>
      <c r="C1009">
        <v>63</v>
      </c>
      <c r="D1009">
        <v>31</v>
      </c>
      <c r="E1009" t="s">
        <v>998</v>
      </c>
    </row>
    <row r="1010" spans="1:5">
      <c r="A1010">
        <f>HYPERLINK("http://www.twitter.com/FDNY/status/777924467012009984", "777924467012009984")</f>
        <v>0</v>
      </c>
      <c r="B1010" s="2">
        <v>42632.7340277778</v>
      </c>
      <c r="C1010">
        <v>0</v>
      </c>
      <c r="D1010">
        <v>54</v>
      </c>
      <c r="E1010" t="s">
        <v>999</v>
      </c>
    </row>
    <row r="1011" spans="1:5">
      <c r="A1011">
        <f>HYPERLINK("http://www.twitter.com/FDNY/status/777901663541682179", "777901663541682179")</f>
        <v>0</v>
      </c>
      <c r="B1011" s="2">
        <v>42632.671099537</v>
      </c>
      <c r="C1011">
        <v>0</v>
      </c>
      <c r="D1011">
        <v>38</v>
      </c>
      <c r="E1011" t="s">
        <v>1000</v>
      </c>
    </row>
    <row r="1012" spans="1:5">
      <c r="A1012">
        <f>HYPERLINK("http://www.twitter.com/FDNY/status/777887211861774336", "777887211861774336")</f>
        <v>0</v>
      </c>
      <c r="B1012" s="2">
        <v>42632.6312268519</v>
      </c>
      <c r="C1012">
        <v>0</v>
      </c>
      <c r="D1012">
        <v>61</v>
      </c>
      <c r="E1012" t="s">
        <v>1001</v>
      </c>
    </row>
    <row r="1013" spans="1:5">
      <c r="A1013">
        <f>HYPERLINK("http://www.twitter.com/FDNY/status/777871487567032320", "777871487567032320")</f>
        <v>0</v>
      </c>
      <c r="B1013" s="2">
        <v>42632.5878356481</v>
      </c>
      <c r="C1013">
        <v>0</v>
      </c>
      <c r="D1013">
        <v>1208</v>
      </c>
      <c r="E1013" t="s">
        <v>1002</v>
      </c>
    </row>
    <row r="1014" spans="1:5">
      <c r="A1014">
        <f>HYPERLINK("http://www.twitter.com/FDNY/status/777871466675200000", "777871466675200000")</f>
        <v>0</v>
      </c>
      <c r="B1014" s="2">
        <v>42632.5877777778</v>
      </c>
      <c r="C1014">
        <v>0</v>
      </c>
      <c r="D1014">
        <v>325</v>
      </c>
      <c r="E1014" t="s">
        <v>1003</v>
      </c>
    </row>
    <row r="1015" spans="1:5">
      <c r="A1015">
        <f>HYPERLINK("http://www.twitter.com/FDNY/status/777867295989391360", "777867295989391360")</f>
        <v>0</v>
      </c>
      <c r="B1015" s="2">
        <v>42632.5762731481</v>
      </c>
      <c r="C1015">
        <v>0</v>
      </c>
      <c r="D1015">
        <v>78</v>
      </c>
      <c r="E1015" t="s">
        <v>1004</v>
      </c>
    </row>
    <row r="1016" spans="1:5">
      <c r="A1016">
        <f>HYPERLINK("http://www.twitter.com/FDNY/status/777862183115948032", "777862183115948032")</f>
        <v>0</v>
      </c>
      <c r="B1016" s="2">
        <v>42632.5621643519</v>
      </c>
      <c r="C1016">
        <v>0</v>
      </c>
      <c r="D1016">
        <v>390</v>
      </c>
      <c r="E1016" t="s">
        <v>1005</v>
      </c>
    </row>
    <row r="1017" spans="1:5">
      <c r="A1017">
        <f>HYPERLINK("http://www.twitter.com/FDNY/status/777862065675526144", "777862065675526144")</f>
        <v>0</v>
      </c>
      <c r="B1017" s="2">
        <v>42632.5618402778</v>
      </c>
      <c r="C1017">
        <v>0</v>
      </c>
      <c r="D1017">
        <v>182</v>
      </c>
      <c r="E1017" t="s">
        <v>1006</v>
      </c>
    </row>
    <row r="1018" spans="1:5">
      <c r="A1018">
        <f>HYPERLINK("http://www.twitter.com/FDNY/status/777851003911671809", "777851003911671809")</f>
        <v>0</v>
      </c>
      <c r="B1018" s="2">
        <v>42632.5313078704</v>
      </c>
      <c r="C1018">
        <v>0</v>
      </c>
      <c r="D1018">
        <v>1053</v>
      </c>
      <c r="E1018" t="s">
        <v>1007</v>
      </c>
    </row>
    <row r="1019" spans="1:5">
      <c r="A1019">
        <f>HYPERLINK("http://www.twitter.com/FDNY/status/777838074046849024", "777838074046849024")</f>
        <v>0</v>
      </c>
      <c r="B1019" s="2">
        <v>42632.4956365741</v>
      </c>
      <c r="C1019">
        <v>0</v>
      </c>
      <c r="D1019">
        <v>1156</v>
      </c>
      <c r="E1019" t="s">
        <v>1008</v>
      </c>
    </row>
    <row r="1020" spans="1:5">
      <c r="A1020">
        <f>HYPERLINK("http://www.twitter.com/FDNY/status/777837562547335168", "777837562547335168")</f>
        <v>0</v>
      </c>
      <c r="B1020" s="2">
        <v>42632.494224537</v>
      </c>
      <c r="C1020">
        <v>0</v>
      </c>
      <c r="D1020">
        <v>2597</v>
      </c>
      <c r="E1020" t="s">
        <v>1009</v>
      </c>
    </row>
    <row r="1021" spans="1:5">
      <c r="A1021">
        <f>HYPERLINK("http://www.twitter.com/FDNY/status/777643873694781441", "777643873694781441")</f>
        <v>0</v>
      </c>
      <c r="B1021" s="2">
        <v>42631.9597453704</v>
      </c>
      <c r="C1021">
        <v>113</v>
      </c>
      <c r="D1021">
        <v>48</v>
      </c>
      <c r="E1021" t="s">
        <v>1010</v>
      </c>
    </row>
    <row r="1022" spans="1:5">
      <c r="A1022">
        <f>HYPERLINK("http://www.twitter.com/FDNY/status/777609905968705536", "777609905968705536")</f>
        <v>0</v>
      </c>
      <c r="B1022" s="2">
        <v>42631.8660069444</v>
      </c>
      <c r="C1022">
        <v>0</v>
      </c>
      <c r="D1022">
        <v>42</v>
      </c>
      <c r="E1022" t="s">
        <v>1011</v>
      </c>
    </row>
    <row r="1023" spans="1:5">
      <c r="A1023">
        <f>HYPERLINK("http://www.twitter.com/FDNY/status/777591894218014721", "777591894218014721")</f>
        <v>0</v>
      </c>
      <c r="B1023" s="2">
        <v>42631.8163078704</v>
      </c>
      <c r="C1023">
        <v>0</v>
      </c>
      <c r="D1023">
        <v>60</v>
      </c>
      <c r="E1023" t="s">
        <v>1012</v>
      </c>
    </row>
    <row r="1024" spans="1:5">
      <c r="A1024">
        <f>HYPERLINK("http://www.twitter.com/FDNY/status/777570055420862464", "777570055420862464")</f>
        <v>0</v>
      </c>
      <c r="B1024" s="2">
        <v>42631.7560416667</v>
      </c>
      <c r="C1024">
        <v>0</v>
      </c>
      <c r="D1024">
        <v>538</v>
      </c>
      <c r="E1024" t="s">
        <v>1013</v>
      </c>
    </row>
    <row r="1025" spans="1:5">
      <c r="A1025">
        <f>HYPERLINK("http://www.twitter.com/FDNY/status/777570038983364609", "777570038983364609")</f>
        <v>0</v>
      </c>
      <c r="B1025" s="2">
        <v>42631.7559953704</v>
      </c>
      <c r="C1025">
        <v>0</v>
      </c>
      <c r="D1025">
        <v>271</v>
      </c>
      <c r="E1025" t="s">
        <v>1014</v>
      </c>
    </row>
    <row r="1026" spans="1:5">
      <c r="A1026">
        <f>HYPERLINK("http://www.twitter.com/FDNY/status/777569988546789376", "777569988546789376")</f>
        <v>0</v>
      </c>
      <c r="B1026" s="2">
        <v>42631.7558564815</v>
      </c>
      <c r="C1026">
        <v>0</v>
      </c>
      <c r="D1026">
        <v>187</v>
      </c>
      <c r="E1026" t="s">
        <v>1015</v>
      </c>
    </row>
    <row r="1027" spans="1:5">
      <c r="A1027">
        <f>HYPERLINK("http://www.twitter.com/FDNY/status/777567836097085440", "777567836097085440")</f>
        <v>0</v>
      </c>
      <c r="B1027" s="2">
        <v>42631.7499189815</v>
      </c>
      <c r="C1027">
        <v>45</v>
      </c>
      <c r="D1027">
        <v>14</v>
      </c>
      <c r="E1027" t="s">
        <v>1016</v>
      </c>
    </row>
    <row r="1028" spans="1:5">
      <c r="A1028">
        <f>HYPERLINK("http://www.twitter.com/FDNY/status/777567688046567425", "777567688046567425")</f>
        <v>0</v>
      </c>
      <c r="B1028" s="2">
        <v>42631.7495023148</v>
      </c>
      <c r="C1028">
        <v>63</v>
      </c>
      <c r="D1028">
        <v>25</v>
      </c>
      <c r="E1028" t="s">
        <v>1017</v>
      </c>
    </row>
    <row r="1029" spans="1:5">
      <c r="A1029">
        <f>HYPERLINK("http://www.twitter.com/FDNY/status/777550532118474752", "777550532118474752")</f>
        <v>0</v>
      </c>
      <c r="B1029" s="2">
        <v>42631.7021643519</v>
      </c>
      <c r="C1029">
        <v>0</v>
      </c>
      <c r="D1029">
        <v>41</v>
      </c>
      <c r="E1029" t="s">
        <v>1018</v>
      </c>
    </row>
    <row r="1030" spans="1:5">
      <c r="A1030">
        <f>HYPERLINK("http://www.twitter.com/FDNY/status/777546398627721216", "777546398627721216")</f>
        <v>0</v>
      </c>
      <c r="B1030" s="2">
        <v>42631.6907638889</v>
      </c>
      <c r="C1030">
        <v>0</v>
      </c>
      <c r="D1030">
        <v>58</v>
      </c>
      <c r="E1030" t="s">
        <v>1019</v>
      </c>
    </row>
    <row r="1031" spans="1:5">
      <c r="A1031">
        <f>HYPERLINK("http://www.twitter.com/FDNY/status/777545401788403712", "777545401788403712")</f>
        <v>0</v>
      </c>
      <c r="B1031" s="2">
        <v>42631.6880092593</v>
      </c>
      <c r="C1031">
        <v>105</v>
      </c>
      <c r="D1031">
        <v>58</v>
      </c>
      <c r="E1031" t="s">
        <v>1020</v>
      </c>
    </row>
    <row r="1032" spans="1:5">
      <c r="A1032">
        <f>HYPERLINK("http://www.twitter.com/FDNY/status/777544767135703040", "777544767135703040")</f>
        <v>0</v>
      </c>
      <c r="B1032" s="2">
        <v>42631.6862615741</v>
      </c>
      <c r="C1032">
        <v>106</v>
      </c>
      <c r="D1032">
        <v>38</v>
      </c>
      <c r="E1032" t="s">
        <v>1021</v>
      </c>
    </row>
    <row r="1033" spans="1:5">
      <c r="A1033">
        <f>HYPERLINK("http://www.twitter.com/FDNY/status/777543708417941504", "777543708417941504")</f>
        <v>0</v>
      </c>
      <c r="B1033" s="2">
        <v>42631.6833333333</v>
      </c>
      <c r="C1033">
        <v>0</v>
      </c>
      <c r="D1033">
        <v>91</v>
      </c>
      <c r="E1033" t="s">
        <v>1022</v>
      </c>
    </row>
    <row r="1034" spans="1:5">
      <c r="A1034">
        <f>HYPERLINK("http://www.twitter.com/FDNY/status/777543027812368385", "777543027812368385")</f>
        <v>0</v>
      </c>
      <c r="B1034" s="2">
        <v>42631.6814583333</v>
      </c>
      <c r="C1034">
        <v>44</v>
      </c>
      <c r="D1034">
        <v>19</v>
      </c>
      <c r="E1034" t="s">
        <v>1023</v>
      </c>
    </row>
    <row r="1035" spans="1:5">
      <c r="A1035">
        <f>HYPERLINK("http://www.twitter.com/FDNY/status/777542809700139008", "777542809700139008")</f>
        <v>0</v>
      </c>
      <c r="B1035" s="2">
        <v>42631.6808564815</v>
      </c>
      <c r="C1035">
        <v>0</v>
      </c>
      <c r="D1035">
        <v>127</v>
      </c>
      <c r="E1035" t="s">
        <v>1024</v>
      </c>
    </row>
    <row r="1036" spans="1:5">
      <c r="A1036">
        <f>HYPERLINK("http://www.twitter.com/FDNY/status/777541608044695552", "777541608044695552")</f>
        <v>0</v>
      </c>
      <c r="B1036" s="2">
        <v>42631.6775462963</v>
      </c>
      <c r="C1036">
        <v>0</v>
      </c>
      <c r="D1036">
        <v>25</v>
      </c>
      <c r="E1036" t="s">
        <v>1025</v>
      </c>
    </row>
    <row r="1037" spans="1:5">
      <c r="A1037">
        <f>HYPERLINK("http://www.twitter.com/FDNY/status/777538479886598144", "777538479886598144")</f>
        <v>0</v>
      </c>
      <c r="B1037" s="2">
        <v>42631.668912037</v>
      </c>
      <c r="C1037">
        <v>0</v>
      </c>
      <c r="D1037">
        <v>6</v>
      </c>
      <c r="E1037" t="s">
        <v>1026</v>
      </c>
    </row>
    <row r="1038" spans="1:5">
      <c r="A1038">
        <f>HYPERLINK("http://www.twitter.com/FDNY/status/777522956570419201", "777522956570419201")</f>
        <v>0</v>
      </c>
      <c r="B1038" s="2">
        <v>42631.6260763889</v>
      </c>
      <c r="C1038">
        <v>0</v>
      </c>
      <c r="D1038">
        <v>73</v>
      </c>
      <c r="E1038" t="s">
        <v>1027</v>
      </c>
    </row>
    <row r="1039" spans="1:5">
      <c r="A1039">
        <f>HYPERLINK("http://www.twitter.com/FDNY/status/777500109454147585", "777500109454147585")</f>
        <v>0</v>
      </c>
      <c r="B1039" s="2">
        <v>42631.5630324074</v>
      </c>
      <c r="C1039">
        <v>0</v>
      </c>
      <c r="D1039">
        <v>537</v>
      </c>
      <c r="E1039" t="s">
        <v>1028</v>
      </c>
    </row>
    <row r="1040" spans="1:5">
      <c r="A1040">
        <f>HYPERLINK("http://www.twitter.com/FDNY/status/777392729986895872", "777392729986895872")</f>
        <v>0</v>
      </c>
      <c r="B1040" s="2">
        <v>42631.266712963</v>
      </c>
      <c r="C1040">
        <v>0</v>
      </c>
      <c r="D1040">
        <v>400</v>
      </c>
      <c r="E1040" t="s">
        <v>1029</v>
      </c>
    </row>
    <row r="1041" spans="1:5">
      <c r="A1041">
        <f>HYPERLINK("http://www.twitter.com/FDNY/status/777369109575106561", "777369109575106561")</f>
        <v>0</v>
      </c>
      <c r="B1041" s="2">
        <v>42631.2015393519</v>
      </c>
      <c r="C1041">
        <v>0</v>
      </c>
      <c r="D1041">
        <v>1792</v>
      </c>
      <c r="E1041" t="s">
        <v>1030</v>
      </c>
    </row>
    <row r="1042" spans="1:5">
      <c r="A1042">
        <f>HYPERLINK("http://www.twitter.com/FDNY/status/777368489686339584", "777368489686339584")</f>
        <v>0</v>
      </c>
      <c r="B1042" s="2">
        <v>42631.1998263889</v>
      </c>
      <c r="C1042">
        <v>0</v>
      </c>
      <c r="D1042">
        <v>221</v>
      </c>
      <c r="E1042" t="s">
        <v>1031</v>
      </c>
    </row>
    <row r="1043" spans="1:5">
      <c r="A1043">
        <f>HYPERLINK("http://www.twitter.com/FDNY/status/777363992696254464", "777363992696254464")</f>
        <v>0</v>
      </c>
      <c r="B1043" s="2">
        <v>42631.1874189815</v>
      </c>
      <c r="C1043">
        <v>0</v>
      </c>
      <c r="D1043">
        <v>192</v>
      </c>
      <c r="E1043" t="s">
        <v>1032</v>
      </c>
    </row>
    <row r="1044" spans="1:5">
      <c r="A1044">
        <f>HYPERLINK("http://www.twitter.com/FDNY/status/777361339576639492", "777361339576639492")</f>
        <v>0</v>
      </c>
      <c r="B1044" s="2">
        <v>42631.1800925926</v>
      </c>
      <c r="C1044">
        <v>0</v>
      </c>
      <c r="D1044">
        <v>1287</v>
      </c>
      <c r="E1044" t="s">
        <v>1033</v>
      </c>
    </row>
    <row r="1045" spans="1:5">
      <c r="A1045">
        <f>HYPERLINK("http://www.twitter.com/FDNY/status/777355299212627968", "777355299212627968")</f>
        <v>0</v>
      </c>
      <c r="B1045" s="2">
        <v>42631.1634259259</v>
      </c>
      <c r="C1045">
        <v>0</v>
      </c>
      <c r="D1045">
        <v>842</v>
      </c>
      <c r="E1045" t="s">
        <v>1034</v>
      </c>
    </row>
    <row r="1046" spans="1:5">
      <c r="A1046">
        <f>HYPERLINK("http://www.twitter.com/FDNY/status/777354713109069824", "777354713109069824")</f>
        <v>0</v>
      </c>
      <c r="B1046" s="2">
        <v>42631.1618055556</v>
      </c>
      <c r="C1046">
        <v>0</v>
      </c>
      <c r="D1046">
        <v>398</v>
      </c>
      <c r="E1046" t="s">
        <v>1035</v>
      </c>
    </row>
    <row r="1047" spans="1:5">
      <c r="A1047">
        <f>HYPERLINK("http://www.twitter.com/FDNY/status/777354690388525056", "777354690388525056")</f>
        <v>0</v>
      </c>
      <c r="B1047" s="2">
        <v>42631.1617476852</v>
      </c>
      <c r="C1047">
        <v>0</v>
      </c>
      <c r="D1047">
        <v>146</v>
      </c>
      <c r="E1047" t="s">
        <v>1036</v>
      </c>
    </row>
    <row r="1048" spans="1:5">
      <c r="A1048">
        <f>HYPERLINK("http://www.twitter.com/FDNY/status/777348360491700224", "777348360491700224")</f>
        <v>0</v>
      </c>
      <c r="B1048" s="2">
        <v>42631.1442824074</v>
      </c>
      <c r="C1048">
        <v>96</v>
      </c>
      <c r="D1048">
        <v>228</v>
      </c>
      <c r="E1048" t="s">
        <v>1037</v>
      </c>
    </row>
    <row r="1049" spans="1:5">
      <c r="A1049">
        <f>HYPERLINK("http://www.twitter.com/FDNY/status/777347016108146688", "777347016108146688")</f>
        <v>0</v>
      </c>
      <c r="B1049" s="2">
        <v>42631.1405671296</v>
      </c>
      <c r="C1049">
        <v>22</v>
      </c>
      <c r="D1049">
        <v>29</v>
      </c>
      <c r="E1049" t="s">
        <v>1038</v>
      </c>
    </row>
    <row r="1050" spans="1:5">
      <c r="A1050">
        <f>HYPERLINK("http://www.twitter.com/FDNY/status/777344807710711809", "777344807710711809")</f>
        <v>0</v>
      </c>
      <c r="B1050" s="2">
        <v>42631.1344791667</v>
      </c>
      <c r="C1050">
        <v>0</v>
      </c>
      <c r="D1050">
        <v>204</v>
      </c>
      <c r="E1050" t="s">
        <v>1039</v>
      </c>
    </row>
    <row r="1051" spans="1:5">
      <c r="A1051">
        <f>HYPERLINK("http://www.twitter.com/FDNY/status/777339455136997376", "777339455136997376")</f>
        <v>0</v>
      </c>
      <c r="B1051" s="2">
        <v>42631.1197106481</v>
      </c>
      <c r="C1051">
        <v>0</v>
      </c>
      <c r="D1051">
        <v>262</v>
      </c>
      <c r="E1051" t="s">
        <v>1040</v>
      </c>
    </row>
    <row r="1052" spans="1:5">
      <c r="A1052">
        <f>HYPERLINK("http://www.twitter.com/FDNY/status/777331384738283520", "777331384738283520")</f>
        <v>0</v>
      </c>
      <c r="B1052" s="2">
        <v>42631.0974305556</v>
      </c>
      <c r="C1052">
        <v>0</v>
      </c>
      <c r="D1052">
        <v>118</v>
      </c>
      <c r="E1052" t="s">
        <v>1041</v>
      </c>
    </row>
    <row r="1053" spans="1:5">
      <c r="A1053">
        <f>HYPERLINK("http://www.twitter.com/FDNY/status/777331109696864257", "777331109696864257")</f>
        <v>0</v>
      </c>
      <c r="B1053" s="2">
        <v>42631.0966782407</v>
      </c>
      <c r="C1053">
        <v>0</v>
      </c>
      <c r="D1053">
        <v>32</v>
      </c>
      <c r="E1053" t="s">
        <v>1042</v>
      </c>
    </row>
    <row r="1054" spans="1:5">
      <c r="A1054">
        <f>HYPERLINK("http://www.twitter.com/FDNY/status/777330134579904516", "777330134579904516")</f>
        <v>0</v>
      </c>
      <c r="B1054" s="2">
        <v>42631.0939814815</v>
      </c>
      <c r="C1054">
        <v>0</v>
      </c>
      <c r="D1054">
        <v>184</v>
      </c>
      <c r="E1054" t="s">
        <v>1043</v>
      </c>
    </row>
    <row r="1055" spans="1:5">
      <c r="A1055">
        <f>HYPERLINK("http://www.twitter.com/FDNY/status/777328739223035904", "777328739223035904")</f>
        <v>0</v>
      </c>
      <c r="B1055" s="2">
        <v>42631.0901388889</v>
      </c>
      <c r="C1055">
        <v>0</v>
      </c>
      <c r="D1055">
        <v>739</v>
      </c>
      <c r="E1055" t="s">
        <v>1044</v>
      </c>
    </row>
    <row r="1056" spans="1:5">
      <c r="A1056">
        <f>HYPERLINK("http://www.twitter.com/FDNY/status/777325086634303489", "777325086634303489")</f>
        <v>0</v>
      </c>
      <c r="B1056" s="2">
        <v>42631.0800578704</v>
      </c>
      <c r="C1056">
        <v>2386</v>
      </c>
      <c r="D1056">
        <v>4357</v>
      </c>
      <c r="E1056" t="s">
        <v>1045</v>
      </c>
    </row>
    <row r="1057" spans="1:5">
      <c r="A1057">
        <f>HYPERLINK("http://www.twitter.com/FDNY/status/777324172284485632", "777324172284485632")</f>
        <v>0</v>
      </c>
      <c r="B1057" s="2">
        <v>42631.0775347222</v>
      </c>
      <c r="C1057">
        <v>0</v>
      </c>
      <c r="D1057">
        <v>262</v>
      </c>
      <c r="E1057" t="s">
        <v>1046</v>
      </c>
    </row>
    <row r="1058" spans="1:5">
      <c r="A1058">
        <f>HYPERLINK("http://www.twitter.com/FDNY/status/777309066569904128", "777309066569904128")</f>
        <v>0</v>
      </c>
      <c r="B1058" s="2">
        <v>42631.0358449074</v>
      </c>
      <c r="C1058">
        <v>18</v>
      </c>
      <c r="D1058">
        <v>8</v>
      </c>
      <c r="E1058" t="s">
        <v>1047</v>
      </c>
    </row>
    <row r="1059" spans="1:5">
      <c r="A1059">
        <f>HYPERLINK("http://www.twitter.com/FDNY/status/777300122455699456", "777300122455699456")</f>
        <v>0</v>
      </c>
      <c r="B1059" s="2">
        <v>42631.0111689815</v>
      </c>
      <c r="C1059">
        <v>47</v>
      </c>
      <c r="D1059">
        <v>16</v>
      </c>
      <c r="E1059" t="s">
        <v>1048</v>
      </c>
    </row>
    <row r="1060" spans="1:5">
      <c r="A1060">
        <f>HYPERLINK("http://www.twitter.com/FDNY/status/777286515202396160", "777286515202396160")</f>
        <v>0</v>
      </c>
      <c r="B1060" s="2">
        <v>42630.9736226852</v>
      </c>
      <c r="C1060">
        <v>74</v>
      </c>
      <c r="D1060">
        <v>22</v>
      </c>
      <c r="E1060" t="s">
        <v>1049</v>
      </c>
    </row>
    <row r="1061" spans="1:5">
      <c r="A1061">
        <f>HYPERLINK("http://www.twitter.com/FDNY/status/777277407971643392", "777277407971643392")</f>
        <v>0</v>
      </c>
      <c r="B1061" s="2">
        <v>42630.9484837963</v>
      </c>
      <c r="C1061">
        <v>64</v>
      </c>
      <c r="D1061">
        <v>27</v>
      </c>
      <c r="E1061" t="s">
        <v>1050</v>
      </c>
    </row>
    <row r="1062" spans="1:5">
      <c r="A1062">
        <f>HYPERLINK("http://www.twitter.com/FDNY/status/777257122119708673", "777257122119708673")</f>
        <v>0</v>
      </c>
      <c r="B1062" s="2">
        <v>42630.8925115741</v>
      </c>
      <c r="C1062">
        <v>15</v>
      </c>
      <c r="D1062">
        <v>11</v>
      </c>
      <c r="E1062" t="s">
        <v>1051</v>
      </c>
    </row>
    <row r="1063" spans="1:5">
      <c r="A1063">
        <f>HYPERLINK("http://www.twitter.com/FDNY/status/777229842194595840", "777229842194595840")</f>
        <v>0</v>
      </c>
      <c r="B1063" s="2">
        <v>42630.8172337963</v>
      </c>
      <c r="C1063">
        <v>0</v>
      </c>
      <c r="D1063">
        <v>8</v>
      </c>
      <c r="E1063" t="s">
        <v>1052</v>
      </c>
    </row>
    <row r="1064" spans="1:5">
      <c r="A1064">
        <f>HYPERLINK("http://www.twitter.com/FDNY/status/777208165125459972", "777208165125459972")</f>
        <v>0</v>
      </c>
      <c r="B1064" s="2">
        <v>42630.7574189815</v>
      </c>
      <c r="C1064">
        <v>0</v>
      </c>
      <c r="D1064">
        <v>8</v>
      </c>
      <c r="E1064" t="s">
        <v>1053</v>
      </c>
    </row>
    <row r="1065" spans="1:5">
      <c r="A1065">
        <f>HYPERLINK("http://www.twitter.com/FDNY/status/777208133018083329", "777208133018083329")</f>
        <v>0</v>
      </c>
      <c r="B1065" s="2">
        <v>42630.7573263889</v>
      </c>
      <c r="C1065">
        <v>0</v>
      </c>
      <c r="D1065">
        <v>11</v>
      </c>
      <c r="E1065" t="s">
        <v>1054</v>
      </c>
    </row>
    <row r="1066" spans="1:5">
      <c r="A1066">
        <f>HYPERLINK("http://www.twitter.com/FDNY/status/777180503350870016", "777180503350870016")</f>
        <v>0</v>
      </c>
      <c r="B1066" s="2">
        <v>42630.6810763889</v>
      </c>
      <c r="C1066">
        <v>51</v>
      </c>
      <c r="D1066">
        <v>23</v>
      </c>
      <c r="E1066" t="s">
        <v>1055</v>
      </c>
    </row>
    <row r="1067" spans="1:5">
      <c r="A1067">
        <f>HYPERLINK("http://www.twitter.com/FDNY/status/777146419408932864", "777146419408932864")</f>
        <v>0</v>
      </c>
      <c r="B1067" s="2">
        <v>42630.587025463</v>
      </c>
      <c r="C1067">
        <v>19</v>
      </c>
      <c r="D1067">
        <v>11</v>
      </c>
      <c r="E1067" t="s">
        <v>1056</v>
      </c>
    </row>
    <row r="1068" spans="1:5">
      <c r="A1068">
        <f>HYPERLINK("http://www.twitter.com/FDNY/status/776898127370616832", "776898127370616832")</f>
        <v>0</v>
      </c>
      <c r="B1068" s="2">
        <v>42629.901875</v>
      </c>
      <c r="C1068">
        <v>0</v>
      </c>
      <c r="D1068">
        <v>76</v>
      </c>
      <c r="E1068" t="s">
        <v>1057</v>
      </c>
    </row>
    <row r="1069" spans="1:5">
      <c r="A1069">
        <f>HYPERLINK("http://www.twitter.com/FDNY/status/776870136716333057", "776870136716333057")</f>
        <v>0</v>
      </c>
      <c r="B1069" s="2">
        <v>42629.8246296296</v>
      </c>
      <c r="C1069">
        <v>0</v>
      </c>
      <c r="D1069">
        <v>220</v>
      </c>
      <c r="E1069" t="s">
        <v>1058</v>
      </c>
    </row>
    <row r="1070" spans="1:5">
      <c r="A1070">
        <f>HYPERLINK("http://www.twitter.com/FDNY/status/776859762105389056", "776859762105389056")</f>
        <v>0</v>
      </c>
      <c r="B1070" s="2">
        <v>42629.7960069444</v>
      </c>
      <c r="C1070">
        <v>0</v>
      </c>
      <c r="D1070">
        <v>41</v>
      </c>
      <c r="E1070" t="s">
        <v>1059</v>
      </c>
    </row>
    <row r="1071" spans="1:5">
      <c r="A1071">
        <f>HYPERLINK("http://www.twitter.com/FDNY/status/776857630241333248", "776857630241333248")</f>
        <v>0</v>
      </c>
      <c r="B1071" s="2">
        <v>42629.7901273148</v>
      </c>
      <c r="C1071">
        <v>111</v>
      </c>
      <c r="D1071">
        <v>35</v>
      </c>
      <c r="E1071" t="s">
        <v>1060</v>
      </c>
    </row>
    <row r="1072" spans="1:5">
      <c r="A1072">
        <f>HYPERLINK("http://www.twitter.com/FDNY/status/776854645176238080", "776854645176238080")</f>
        <v>0</v>
      </c>
      <c r="B1072" s="2">
        <v>42629.7818865741</v>
      </c>
      <c r="C1072">
        <v>0</v>
      </c>
      <c r="D1072">
        <v>8</v>
      </c>
      <c r="E1072" t="s">
        <v>1061</v>
      </c>
    </row>
    <row r="1073" spans="1:5">
      <c r="A1073">
        <f>HYPERLINK("http://www.twitter.com/FDNY/status/776846461338345477", "776846461338345477")</f>
        <v>0</v>
      </c>
      <c r="B1073" s="2">
        <v>42629.7593055556</v>
      </c>
      <c r="C1073">
        <v>0</v>
      </c>
      <c r="D1073">
        <v>5</v>
      </c>
      <c r="E1073" t="s">
        <v>1062</v>
      </c>
    </row>
    <row r="1074" spans="1:5">
      <c r="A1074">
        <f>HYPERLINK("http://www.twitter.com/FDNY/status/776846439796314112", "776846439796314112")</f>
        <v>0</v>
      </c>
      <c r="B1074" s="2">
        <v>42629.7592476852</v>
      </c>
      <c r="C1074">
        <v>0</v>
      </c>
      <c r="D1074">
        <v>14</v>
      </c>
      <c r="E1074" t="s">
        <v>1063</v>
      </c>
    </row>
    <row r="1075" spans="1:5">
      <c r="A1075">
        <f>HYPERLINK("http://www.twitter.com/FDNY/status/776809095026343936", "776809095026343936")</f>
        <v>0</v>
      </c>
      <c r="B1075" s="2">
        <v>42629.6561921296</v>
      </c>
      <c r="C1075">
        <v>34</v>
      </c>
      <c r="D1075">
        <v>14</v>
      </c>
      <c r="E1075" t="s">
        <v>1064</v>
      </c>
    </row>
    <row r="1076" spans="1:5">
      <c r="A1076">
        <f>HYPERLINK("http://www.twitter.com/FDNY/status/776796215220502532", "776796215220502532")</f>
        <v>0</v>
      </c>
      <c r="B1076" s="2">
        <v>42629.6206481481</v>
      </c>
      <c r="C1076">
        <v>21</v>
      </c>
      <c r="D1076">
        <v>11</v>
      </c>
      <c r="E1076" t="s">
        <v>1065</v>
      </c>
    </row>
    <row r="1077" spans="1:5">
      <c r="A1077">
        <f>HYPERLINK("http://www.twitter.com/FDNY/status/776598215881854976", "776598215881854976")</f>
        <v>0</v>
      </c>
      <c r="B1077" s="2">
        <v>42629.0742708333</v>
      </c>
      <c r="C1077">
        <v>0</v>
      </c>
      <c r="D1077">
        <v>6</v>
      </c>
      <c r="E1077" t="s">
        <v>1066</v>
      </c>
    </row>
    <row r="1078" spans="1:5">
      <c r="A1078">
        <f>HYPERLINK("http://www.twitter.com/FDNY/status/776521651102027777", "776521651102027777")</f>
        <v>0</v>
      </c>
      <c r="B1078" s="2">
        <v>42628.8629976852</v>
      </c>
      <c r="C1078">
        <v>0</v>
      </c>
      <c r="D1078">
        <v>5</v>
      </c>
      <c r="E1078" t="s">
        <v>1067</v>
      </c>
    </row>
    <row r="1079" spans="1:5">
      <c r="A1079">
        <f>HYPERLINK("http://www.twitter.com/FDNY/status/776521645339078656", "776521645339078656")</f>
        <v>0</v>
      </c>
      <c r="B1079" s="2">
        <v>42628.862974537</v>
      </c>
      <c r="C1079">
        <v>0</v>
      </c>
      <c r="D1079">
        <v>7</v>
      </c>
      <c r="E1079" t="s">
        <v>1068</v>
      </c>
    </row>
    <row r="1080" spans="1:5">
      <c r="A1080">
        <f>HYPERLINK("http://www.twitter.com/FDNY/status/776509974210019328", "776509974210019328")</f>
        <v>0</v>
      </c>
      <c r="B1080" s="2">
        <v>42628.830775463</v>
      </c>
      <c r="C1080">
        <v>30</v>
      </c>
      <c r="D1080">
        <v>15</v>
      </c>
      <c r="E1080" t="s">
        <v>1069</v>
      </c>
    </row>
    <row r="1081" spans="1:5">
      <c r="A1081">
        <f>HYPERLINK("http://www.twitter.com/FDNY/status/776505354058342400", "776505354058342400")</f>
        <v>0</v>
      </c>
      <c r="B1081" s="2">
        <v>42628.8180208333</v>
      </c>
      <c r="C1081">
        <v>19</v>
      </c>
      <c r="D1081">
        <v>6</v>
      </c>
      <c r="E1081" t="s">
        <v>1070</v>
      </c>
    </row>
    <row r="1082" spans="1:5">
      <c r="A1082">
        <f>HYPERLINK("http://www.twitter.com/FDNY/status/776502901531348992", "776502901531348992")</f>
        <v>0</v>
      </c>
      <c r="B1082" s="2">
        <v>42628.8112615741</v>
      </c>
      <c r="C1082">
        <v>0</v>
      </c>
      <c r="D1082">
        <v>3</v>
      </c>
      <c r="E1082" t="s">
        <v>1071</v>
      </c>
    </row>
    <row r="1083" spans="1:5">
      <c r="A1083">
        <f>HYPERLINK("http://www.twitter.com/FDNY/status/776502871177175041", "776502871177175041")</f>
        <v>0</v>
      </c>
      <c r="B1083" s="2">
        <v>42628.8111689815</v>
      </c>
      <c r="C1083">
        <v>0</v>
      </c>
      <c r="D1083">
        <v>11</v>
      </c>
      <c r="E1083" t="s">
        <v>1072</v>
      </c>
    </row>
    <row r="1084" spans="1:5">
      <c r="A1084">
        <f>HYPERLINK("http://www.twitter.com/FDNY/status/776487764598685696", "776487764598685696")</f>
        <v>0</v>
      </c>
      <c r="B1084" s="2">
        <v>42628.7694907407</v>
      </c>
      <c r="C1084">
        <v>0</v>
      </c>
      <c r="D1084">
        <v>6</v>
      </c>
      <c r="E1084" t="s">
        <v>1073</v>
      </c>
    </row>
    <row r="1085" spans="1:5">
      <c r="A1085">
        <f>HYPERLINK("http://www.twitter.com/FDNY/status/776487749033615361", "776487749033615361")</f>
        <v>0</v>
      </c>
      <c r="B1085" s="2">
        <v>42628.7694444444</v>
      </c>
      <c r="C1085">
        <v>0</v>
      </c>
      <c r="D1085">
        <v>13</v>
      </c>
      <c r="E1085" t="s">
        <v>1074</v>
      </c>
    </row>
    <row r="1086" spans="1:5">
      <c r="A1086">
        <f>HYPERLINK("http://www.twitter.com/FDNY/status/776456523010732033", "776456523010732033")</f>
        <v>0</v>
      </c>
      <c r="B1086" s="2">
        <v>42628.683275463</v>
      </c>
      <c r="C1086">
        <v>80</v>
      </c>
      <c r="D1086">
        <v>26</v>
      </c>
      <c r="E1086" t="s">
        <v>1075</v>
      </c>
    </row>
    <row r="1087" spans="1:5">
      <c r="A1087">
        <f>HYPERLINK("http://www.twitter.com/FDNY/status/776454097457340416", "776454097457340416")</f>
        <v>0</v>
      </c>
      <c r="B1087" s="2">
        <v>42628.6765856482</v>
      </c>
      <c r="C1087">
        <v>54</v>
      </c>
      <c r="D1087">
        <v>14</v>
      </c>
      <c r="E1087" t="s">
        <v>1076</v>
      </c>
    </row>
    <row r="1088" spans="1:5">
      <c r="A1088">
        <f>HYPERLINK("http://www.twitter.com/FDNY/status/776442834513723394", "776442834513723394")</f>
        <v>0</v>
      </c>
      <c r="B1088" s="2">
        <v>42628.6455092593</v>
      </c>
      <c r="C1088">
        <v>7</v>
      </c>
      <c r="D1088">
        <v>4</v>
      </c>
      <c r="E1088" t="s">
        <v>1077</v>
      </c>
    </row>
    <row r="1089" spans="1:5">
      <c r="A1089">
        <f>HYPERLINK("http://www.twitter.com/FDNY/status/776442732554379265", "776442732554379265")</f>
        <v>0</v>
      </c>
      <c r="B1089" s="2">
        <v>42628.6452199074</v>
      </c>
      <c r="C1089">
        <v>28</v>
      </c>
      <c r="D1089">
        <v>10</v>
      </c>
      <c r="E1089" t="s">
        <v>1078</v>
      </c>
    </row>
    <row r="1090" spans="1:5">
      <c r="A1090">
        <f>HYPERLINK("http://www.twitter.com/FDNY/status/776442682017189888", "776442682017189888")</f>
        <v>0</v>
      </c>
      <c r="B1090" s="2">
        <v>42628.6450810185</v>
      </c>
      <c r="C1090">
        <v>10</v>
      </c>
      <c r="D1090">
        <v>4</v>
      </c>
      <c r="E1090" t="s">
        <v>1079</v>
      </c>
    </row>
    <row r="1091" spans="1:5">
      <c r="A1091">
        <f>HYPERLINK("http://www.twitter.com/FDNY/status/776440440707018752", "776440440707018752")</f>
        <v>0</v>
      </c>
      <c r="B1091" s="2">
        <v>42628.638900463</v>
      </c>
      <c r="C1091">
        <v>12</v>
      </c>
      <c r="D1091">
        <v>7</v>
      </c>
      <c r="E1091" t="s">
        <v>1080</v>
      </c>
    </row>
    <row r="1092" spans="1:5">
      <c r="A1092">
        <f>HYPERLINK("http://www.twitter.com/FDNY/status/776440394255040512", "776440394255040512")</f>
        <v>0</v>
      </c>
      <c r="B1092" s="2">
        <v>42628.6387731481</v>
      </c>
      <c r="C1092">
        <v>23</v>
      </c>
      <c r="D1092">
        <v>10</v>
      </c>
      <c r="E1092" t="s">
        <v>1081</v>
      </c>
    </row>
    <row r="1093" spans="1:5">
      <c r="A1093">
        <f>HYPERLINK("http://www.twitter.com/FDNY/status/776439951206518784", "776439951206518784")</f>
        <v>0</v>
      </c>
      <c r="B1093" s="2">
        <v>42628.6375462963</v>
      </c>
      <c r="C1093">
        <v>9</v>
      </c>
      <c r="D1093">
        <v>4</v>
      </c>
      <c r="E1093" t="s">
        <v>1082</v>
      </c>
    </row>
    <row r="1094" spans="1:5">
      <c r="A1094">
        <f>HYPERLINK("http://www.twitter.com/FDNY/status/776439391199854593", "776439391199854593")</f>
        <v>0</v>
      </c>
      <c r="B1094" s="2">
        <v>42628.6360069444</v>
      </c>
      <c r="C1094">
        <v>16</v>
      </c>
      <c r="D1094">
        <v>9</v>
      </c>
      <c r="E1094" t="s">
        <v>1083</v>
      </c>
    </row>
    <row r="1095" spans="1:5">
      <c r="A1095">
        <f>HYPERLINK("http://www.twitter.com/FDNY/status/776439301697597440", "776439301697597440")</f>
        <v>0</v>
      </c>
      <c r="B1095" s="2">
        <v>42628.6357523148</v>
      </c>
      <c r="C1095">
        <v>24</v>
      </c>
      <c r="D1095">
        <v>11</v>
      </c>
      <c r="E1095" t="s">
        <v>1084</v>
      </c>
    </row>
    <row r="1096" spans="1:5">
      <c r="A1096">
        <f>HYPERLINK("http://www.twitter.com/FDNY/status/776271337841168384", "776271337841168384")</f>
        <v>0</v>
      </c>
      <c r="B1096" s="2">
        <v>42628.1722685185</v>
      </c>
      <c r="C1096">
        <v>0</v>
      </c>
      <c r="D1096">
        <v>6</v>
      </c>
      <c r="E1096" t="s">
        <v>1085</v>
      </c>
    </row>
    <row r="1097" spans="1:5">
      <c r="A1097">
        <f>HYPERLINK("http://www.twitter.com/FDNY/status/776187787976507393", "776187787976507393")</f>
        <v>0</v>
      </c>
      <c r="B1097" s="2">
        <v>42627.941712963</v>
      </c>
      <c r="C1097">
        <v>0</v>
      </c>
      <c r="D1097">
        <v>4</v>
      </c>
      <c r="E1097" t="s">
        <v>1086</v>
      </c>
    </row>
    <row r="1098" spans="1:5">
      <c r="A1098">
        <f>HYPERLINK("http://www.twitter.com/FDNY/status/776163671517069312", "776163671517069312")</f>
        <v>0</v>
      </c>
      <c r="B1098" s="2">
        <v>42627.875162037</v>
      </c>
      <c r="C1098">
        <v>0</v>
      </c>
      <c r="D1098">
        <v>3</v>
      </c>
      <c r="E1098" t="s">
        <v>1087</v>
      </c>
    </row>
    <row r="1099" spans="1:5">
      <c r="A1099">
        <f>HYPERLINK("http://www.twitter.com/FDNY/status/776163616529711104", "776163616529711104")</f>
        <v>0</v>
      </c>
      <c r="B1099" s="2">
        <v>42627.8750115741</v>
      </c>
      <c r="C1099">
        <v>0</v>
      </c>
      <c r="D1099">
        <v>7</v>
      </c>
      <c r="E1099" t="s">
        <v>1088</v>
      </c>
    </row>
    <row r="1100" spans="1:5">
      <c r="A1100">
        <f>HYPERLINK("http://www.twitter.com/FDNY/status/776160444985802752", "776160444985802752")</f>
        <v>0</v>
      </c>
      <c r="B1100" s="2">
        <v>42627.8662615741</v>
      </c>
      <c r="C1100">
        <v>0</v>
      </c>
      <c r="D1100">
        <v>13</v>
      </c>
      <c r="E1100" t="s">
        <v>1089</v>
      </c>
    </row>
    <row r="1101" spans="1:5">
      <c r="A1101">
        <f>HYPERLINK("http://www.twitter.com/FDNY/status/776160427982061569", "776160427982061569")</f>
        <v>0</v>
      </c>
      <c r="B1101" s="2">
        <v>42627.8662152778</v>
      </c>
      <c r="C1101">
        <v>0</v>
      </c>
      <c r="D1101">
        <v>8</v>
      </c>
      <c r="E1101" t="s">
        <v>1090</v>
      </c>
    </row>
    <row r="1102" spans="1:5">
      <c r="A1102">
        <f>HYPERLINK("http://www.twitter.com/FDNY/status/776159700144488448", "776159700144488448")</f>
        <v>0</v>
      </c>
      <c r="B1102" s="2">
        <v>42627.8642013889</v>
      </c>
      <c r="C1102">
        <v>0</v>
      </c>
      <c r="D1102">
        <v>9</v>
      </c>
      <c r="E1102" t="s">
        <v>1091</v>
      </c>
    </row>
    <row r="1103" spans="1:5">
      <c r="A1103">
        <f>HYPERLINK("http://www.twitter.com/FDNY/status/776158658677841920", "776158658677841920")</f>
        <v>0</v>
      </c>
      <c r="B1103" s="2">
        <v>42627.8613310185</v>
      </c>
      <c r="C1103">
        <v>51</v>
      </c>
      <c r="D1103">
        <v>20</v>
      </c>
      <c r="E1103" t="s">
        <v>1092</v>
      </c>
    </row>
    <row r="1104" spans="1:5">
      <c r="A1104">
        <f>HYPERLINK("http://www.twitter.com/FDNY/status/776157532662427648", "776157532662427648")</f>
        <v>0</v>
      </c>
      <c r="B1104" s="2">
        <v>42627.8582175926</v>
      </c>
      <c r="C1104">
        <v>0</v>
      </c>
      <c r="D1104">
        <v>10</v>
      </c>
      <c r="E1104" t="s">
        <v>1093</v>
      </c>
    </row>
    <row r="1105" spans="1:5">
      <c r="A1105">
        <f>HYPERLINK("http://www.twitter.com/FDNY/status/776150728855486464", "776150728855486464")</f>
        <v>0</v>
      </c>
      <c r="B1105" s="2">
        <v>42627.8394444444</v>
      </c>
      <c r="C1105">
        <v>0</v>
      </c>
      <c r="D1105">
        <v>8</v>
      </c>
      <c r="E1105" t="s">
        <v>1094</v>
      </c>
    </row>
    <row r="1106" spans="1:5">
      <c r="A1106">
        <f>HYPERLINK("http://www.twitter.com/FDNY/status/776146164672528384", "776146164672528384")</f>
        <v>0</v>
      </c>
      <c r="B1106" s="2">
        <v>42627.8268518519</v>
      </c>
      <c r="C1106">
        <v>0</v>
      </c>
      <c r="D1106">
        <v>12</v>
      </c>
      <c r="E1106" t="s">
        <v>1095</v>
      </c>
    </row>
    <row r="1107" spans="1:5">
      <c r="A1107">
        <f>HYPERLINK("http://www.twitter.com/FDNY/status/776146027816550400", "776146027816550400")</f>
        <v>0</v>
      </c>
      <c r="B1107" s="2">
        <v>42627.8264699074</v>
      </c>
      <c r="C1107">
        <v>0</v>
      </c>
      <c r="D1107">
        <v>4</v>
      </c>
      <c r="E1107" t="s">
        <v>1096</v>
      </c>
    </row>
    <row r="1108" spans="1:5">
      <c r="A1108">
        <f>HYPERLINK("http://www.twitter.com/FDNY/status/776141329567014913", "776141329567014913")</f>
        <v>0</v>
      </c>
      <c r="B1108" s="2">
        <v>42627.8135069444</v>
      </c>
      <c r="C1108">
        <v>0</v>
      </c>
      <c r="D1108">
        <v>6</v>
      </c>
      <c r="E1108" t="s">
        <v>1097</v>
      </c>
    </row>
    <row r="1109" spans="1:5">
      <c r="A1109">
        <f>HYPERLINK("http://www.twitter.com/FDNY/status/776124713512861697", "776124713512861697")</f>
        <v>0</v>
      </c>
      <c r="B1109" s="2">
        <v>42627.767662037</v>
      </c>
      <c r="C1109">
        <v>20</v>
      </c>
      <c r="D1109">
        <v>21</v>
      </c>
      <c r="E1109" t="s">
        <v>1098</v>
      </c>
    </row>
    <row r="1110" spans="1:5">
      <c r="A1110">
        <f>HYPERLINK("http://www.twitter.com/FDNY/status/776110895692914688", "776110895692914688")</f>
        <v>0</v>
      </c>
      <c r="B1110" s="2">
        <v>42627.729525463</v>
      </c>
      <c r="C1110">
        <v>35</v>
      </c>
      <c r="D1110">
        <v>15</v>
      </c>
      <c r="E1110" t="s">
        <v>1099</v>
      </c>
    </row>
    <row r="1111" spans="1:5">
      <c r="A1111">
        <f>HYPERLINK("http://www.twitter.com/FDNY/status/776091319831760897", "776091319831760897")</f>
        <v>0</v>
      </c>
      <c r="B1111" s="2">
        <v>42627.6755092593</v>
      </c>
      <c r="C1111">
        <v>0</v>
      </c>
      <c r="D1111">
        <v>5</v>
      </c>
      <c r="E1111" t="s">
        <v>1100</v>
      </c>
    </row>
    <row r="1112" spans="1:5">
      <c r="A1112">
        <f>HYPERLINK("http://www.twitter.com/FDNY/status/776081713608921088", "776081713608921088")</f>
        <v>0</v>
      </c>
      <c r="B1112" s="2">
        <v>42627.6490046296</v>
      </c>
      <c r="C1112">
        <v>0</v>
      </c>
      <c r="D1112">
        <v>3</v>
      </c>
      <c r="E1112" t="s">
        <v>1101</v>
      </c>
    </row>
    <row r="1113" spans="1:5">
      <c r="A1113">
        <f>HYPERLINK("http://www.twitter.com/FDNY/status/776070609541402624", "776070609541402624")</f>
        <v>0</v>
      </c>
      <c r="B1113" s="2">
        <v>42627.6183564815</v>
      </c>
      <c r="C1113">
        <v>15</v>
      </c>
      <c r="D1113">
        <v>16</v>
      </c>
      <c r="E1113" t="s">
        <v>1102</v>
      </c>
    </row>
    <row r="1114" spans="1:5">
      <c r="A1114">
        <f>HYPERLINK("http://www.twitter.com/FDNY/status/776065694706364416", "776065694706364416")</f>
        <v>0</v>
      </c>
      <c r="B1114" s="2">
        <v>42627.6047916667</v>
      </c>
      <c r="C1114">
        <v>0</v>
      </c>
      <c r="D1114">
        <v>4</v>
      </c>
      <c r="E1114" t="s">
        <v>1103</v>
      </c>
    </row>
    <row r="1115" spans="1:5">
      <c r="A1115">
        <f>HYPERLINK("http://www.twitter.com/FDNY/status/776065541668732928", "776065541668732928")</f>
        <v>0</v>
      </c>
      <c r="B1115" s="2">
        <v>42627.604375</v>
      </c>
      <c r="C1115">
        <v>0</v>
      </c>
      <c r="D1115">
        <v>17</v>
      </c>
      <c r="E1115" t="s">
        <v>1104</v>
      </c>
    </row>
    <row r="1116" spans="1:5">
      <c r="A1116">
        <f>HYPERLINK("http://www.twitter.com/FDNY/status/776065523863945216", "776065523863945216")</f>
        <v>0</v>
      </c>
      <c r="B1116" s="2">
        <v>42627.6043287037</v>
      </c>
      <c r="C1116">
        <v>0</v>
      </c>
      <c r="D1116">
        <v>3</v>
      </c>
      <c r="E1116" t="s">
        <v>1105</v>
      </c>
    </row>
    <row r="1117" spans="1:5">
      <c r="A1117">
        <f>HYPERLINK("http://www.twitter.com/FDNY/status/776065512346361856", "776065512346361856")</f>
        <v>0</v>
      </c>
      <c r="B1117" s="2">
        <v>42627.6042939815</v>
      </c>
      <c r="C1117">
        <v>0</v>
      </c>
      <c r="D1117">
        <v>4</v>
      </c>
      <c r="E1117" t="s">
        <v>1106</v>
      </c>
    </row>
    <row r="1118" spans="1:5">
      <c r="A1118">
        <f>HYPERLINK("http://www.twitter.com/FDNY/status/776064969309843457", "776064969309843457")</f>
        <v>0</v>
      </c>
      <c r="B1118" s="2">
        <v>42627.6027893519</v>
      </c>
      <c r="C1118">
        <v>30</v>
      </c>
      <c r="D1118">
        <v>12</v>
      </c>
      <c r="E1118" t="s">
        <v>1107</v>
      </c>
    </row>
    <row r="1119" spans="1:5">
      <c r="A1119">
        <f>HYPERLINK("http://www.twitter.com/FDNY/status/776057818076028928", "776057818076028928")</f>
        <v>0</v>
      </c>
      <c r="B1119" s="2">
        <v>42627.5830555556</v>
      </c>
      <c r="C1119">
        <v>0</v>
      </c>
      <c r="D1119">
        <v>9</v>
      </c>
      <c r="E1119" t="s">
        <v>1108</v>
      </c>
    </row>
    <row r="1120" spans="1:5">
      <c r="A1120">
        <f>HYPERLINK("http://www.twitter.com/FDNY/status/776057804503257088", "776057804503257088")</f>
        <v>0</v>
      </c>
      <c r="B1120" s="2">
        <v>42627.5830208333</v>
      </c>
      <c r="C1120">
        <v>0</v>
      </c>
      <c r="D1120">
        <v>5</v>
      </c>
      <c r="E1120" t="s">
        <v>1109</v>
      </c>
    </row>
    <row r="1121" spans="1:5">
      <c r="A1121">
        <f>HYPERLINK("http://www.twitter.com/FDNY/status/776057790435561472", "776057790435561472")</f>
        <v>0</v>
      </c>
      <c r="B1121" s="2">
        <v>42627.5829861111</v>
      </c>
      <c r="C1121">
        <v>0</v>
      </c>
      <c r="D1121">
        <v>10</v>
      </c>
      <c r="E1121" t="s">
        <v>1110</v>
      </c>
    </row>
    <row r="1122" spans="1:5">
      <c r="A1122">
        <f>HYPERLINK("http://www.twitter.com/FDNY/status/776057775231238144", "776057775231238144")</f>
        <v>0</v>
      </c>
      <c r="B1122" s="2">
        <v>42627.5829398148</v>
      </c>
      <c r="C1122">
        <v>0</v>
      </c>
      <c r="D1122">
        <v>5</v>
      </c>
      <c r="E1122" t="s">
        <v>1111</v>
      </c>
    </row>
    <row r="1123" spans="1:5">
      <c r="A1123">
        <f>HYPERLINK("http://www.twitter.com/FDNY/status/776057761054486528", "776057761054486528")</f>
        <v>0</v>
      </c>
      <c r="B1123" s="2">
        <v>42627.5829050926</v>
      </c>
      <c r="C1123">
        <v>0</v>
      </c>
      <c r="D1123">
        <v>6</v>
      </c>
      <c r="E1123" t="s">
        <v>1112</v>
      </c>
    </row>
    <row r="1124" spans="1:5">
      <c r="A1124">
        <f>HYPERLINK("http://www.twitter.com/FDNY/status/776044326824579072", "776044326824579072")</f>
        <v>0</v>
      </c>
      <c r="B1124" s="2">
        <v>42627.5458333333</v>
      </c>
      <c r="C1124">
        <v>0</v>
      </c>
      <c r="D1124">
        <v>7</v>
      </c>
      <c r="E1124" t="s">
        <v>1113</v>
      </c>
    </row>
    <row r="1125" spans="1:5">
      <c r="A1125">
        <f>HYPERLINK("http://www.twitter.com/FDNY/status/775867802121072640", "775867802121072640")</f>
        <v>0</v>
      </c>
      <c r="B1125" s="2">
        <v>42627.0587152778</v>
      </c>
      <c r="C1125">
        <v>52</v>
      </c>
      <c r="D1125">
        <v>18</v>
      </c>
      <c r="E1125" t="s">
        <v>1114</v>
      </c>
    </row>
    <row r="1126" spans="1:5">
      <c r="A1126">
        <f>HYPERLINK("http://www.twitter.com/FDNY/status/775866258797584384", "775866258797584384")</f>
        <v>0</v>
      </c>
      <c r="B1126" s="2">
        <v>42627.0544560185</v>
      </c>
      <c r="C1126">
        <v>0</v>
      </c>
      <c r="D1126">
        <v>115</v>
      </c>
      <c r="E1126" t="s">
        <v>1115</v>
      </c>
    </row>
    <row r="1127" spans="1:5">
      <c r="A1127">
        <f>HYPERLINK("http://www.twitter.com/FDNY/status/775866216963461121", "775866216963461121")</f>
        <v>0</v>
      </c>
      <c r="B1127" s="2">
        <v>42627.0543402778</v>
      </c>
      <c r="C1127">
        <v>0</v>
      </c>
      <c r="D1127">
        <v>42</v>
      </c>
      <c r="E1127" t="s">
        <v>1116</v>
      </c>
    </row>
    <row r="1128" spans="1:5">
      <c r="A1128">
        <f>HYPERLINK("http://www.twitter.com/FDNY/status/775839846518624257", "775839846518624257")</f>
        <v>0</v>
      </c>
      <c r="B1128" s="2">
        <v>42626.9815740741</v>
      </c>
      <c r="C1128">
        <v>0</v>
      </c>
      <c r="D1128">
        <v>91</v>
      </c>
      <c r="E1128" t="s">
        <v>1117</v>
      </c>
    </row>
    <row r="1129" spans="1:5">
      <c r="A1129">
        <f>HYPERLINK("http://www.twitter.com/FDNY/status/775828134209945600", "775828134209945600")</f>
        <v>0</v>
      </c>
      <c r="B1129" s="2">
        <v>42626.9492592593</v>
      </c>
      <c r="C1129">
        <v>90</v>
      </c>
      <c r="D1129">
        <v>36</v>
      </c>
      <c r="E1129" t="s">
        <v>1118</v>
      </c>
    </row>
    <row r="1130" spans="1:5">
      <c r="A1130">
        <f>HYPERLINK("http://www.twitter.com/FDNY/status/775781993242066944", "775781993242066944")</f>
        <v>0</v>
      </c>
      <c r="B1130" s="2">
        <v>42626.8219328704</v>
      </c>
      <c r="C1130">
        <v>28</v>
      </c>
      <c r="D1130">
        <v>14</v>
      </c>
      <c r="E1130" t="s">
        <v>1119</v>
      </c>
    </row>
    <row r="1131" spans="1:5">
      <c r="A1131">
        <f>HYPERLINK("http://www.twitter.com/FDNY/status/775733712839438336", "775733712839438336")</f>
        <v>0</v>
      </c>
      <c r="B1131" s="2">
        <v>42626.6887037037</v>
      </c>
      <c r="C1131">
        <v>0</v>
      </c>
      <c r="D1131">
        <v>23</v>
      </c>
      <c r="E1131" t="s">
        <v>1120</v>
      </c>
    </row>
    <row r="1132" spans="1:5">
      <c r="A1132">
        <f>HYPERLINK("http://www.twitter.com/FDNY/status/775695829063626753", "775695829063626753")</f>
        <v>0</v>
      </c>
      <c r="B1132" s="2">
        <v>42626.5841666667</v>
      </c>
      <c r="C1132">
        <v>0</v>
      </c>
      <c r="D1132">
        <v>5</v>
      </c>
      <c r="E1132" t="s">
        <v>1121</v>
      </c>
    </row>
    <row r="1133" spans="1:5">
      <c r="A1133">
        <f>HYPERLINK("http://www.twitter.com/FDNY/status/775692833713975296", "775692833713975296")</f>
        <v>0</v>
      </c>
      <c r="B1133" s="2">
        <v>42626.5758912037</v>
      </c>
      <c r="C1133">
        <v>0</v>
      </c>
      <c r="D1133">
        <v>23</v>
      </c>
      <c r="E1133" t="s">
        <v>1122</v>
      </c>
    </row>
    <row r="1134" spans="1:5">
      <c r="A1134">
        <f>HYPERLINK("http://www.twitter.com/FDNY/status/775516841057873920", "775516841057873920")</f>
        <v>0</v>
      </c>
      <c r="B1134" s="2">
        <v>42626.0902430556</v>
      </c>
      <c r="C1134">
        <v>0</v>
      </c>
      <c r="D1134">
        <v>44</v>
      </c>
      <c r="E1134" t="s">
        <v>1123</v>
      </c>
    </row>
    <row r="1135" spans="1:5">
      <c r="A1135">
        <f>HYPERLINK("http://www.twitter.com/FDNY/status/775492808727756800", "775492808727756800")</f>
        <v>0</v>
      </c>
      <c r="B1135" s="2">
        <v>42626.0239351852</v>
      </c>
      <c r="C1135">
        <v>0</v>
      </c>
      <c r="D1135">
        <v>6</v>
      </c>
      <c r="E1135" t="s">
        <v>1124</v>
      </c>
    </row>
    <row r="1136" spans="1:5">
      <c r="A1136">
        <f>HYPERLINK("http://www.twitter.com/FDNY/status/775454759486644227", "775454759486644227")</f>
        <v>0</v>
      </c>
      <c r="B1136" s="2">
        <v>42625.9189351852</v>
      </c>
      <c r="C1136">
        <v>69</v>
      </c>
      <c r="D1136">
        <v>28</v>
      </c>
      <c r="E1136" t="s">
        <v>1125</v>
      </c>
    </row>
    <row r="1137" spans="1:5">
      <c r="A1137">
        <f>HYPERLINK("http://www.twitter.com/FDNY/status/775429378121621505", "775429378121621505")</f>
        <v>0</v>
      </c>
      <c r="B1137" s="2">
        <v>42625.848900463</v>
      </c>
      <c r="C1137">
        <v>0</v>
      </c>
      <c r="D1137">
        <v>7</v>
      </c>
      <c r="E1137" t="s">
        <v>1126</v>
      </c>
    </row>
    <row r="1138" spans="1:5">
      <c r="A1138">
        <f>HYPERLINK("http://www.twitter.com/FDNY/status/775429364439781377", "775429364439781377")</f>
        <v>0</v>
      </c>
      <c r="B1138" s="2">
        <v>42625.8488541667</v>
      </c>
      <c r="C1138">
        <v>0</v>
      </c>
      <c r="D1138">
        <v>5</v>
      </c>
      <c r="E1138" t="s">
        <v>1127</v>
      </c>
    </row>
    <row r="1139" spans="1:5">
      <c r="A1139">
        <f>HYPERLINK("http://www.twitter.com/FDNY/status/775429345003397120", "775429345003397120")</f>
        <v>0</v>
      </c>
      <c r="B1139" s="2">
        <v>42625.8488078704</v>
      </c>
      <c r="C1139">
        <v>0</v>
      </c>
      <c r="D1139">
        <v>16</v>
      </c>
      <c r="E1139" t="s">
        <v>1128</v>
      </c>
    </row>
    <row r="1140" spans="1:5">
      <c r="A1140">
        <f>HYPERLINK("http://www.twitter.com/FDNY/status/775421311275401217", "775421311275401217")</f>
        <v>0</v>
      </c>
      <c r="B1140" s="2">
        <v>42625.8266319444</v>
      </c>
      <c r="C1140">
        <v>11</v>
      </c>
      <c r="D1140">
        <v>5</v>
      </c>
      <c r="E1140" t="s">
        <v>1129</v>
      </c>
    </row>
    <row r="1141" spans="1:5">
      <c r="A1141">
        <f>HYPERLINK("http://www.twitter.com/FDNY/status/775421190815055872", "775421190815055872")</f>
        <v>0</v>
      </c>
      <c r="B1141" s="2">
        <v>42625.8263078704</v>
      </c>
      <c r="C1141">
        <v>38</v>
      </c>
      <c r="D1141">
        <v>14</v>
      </c>
      <c r="E1141" t="s">
        <v>1130</v>
      </c>
    </row>
    <row r="1142" spans="1:5">
      <c r="A1142">
        <f>HYPERLINK("http://www.twitter.com/FDNY/status/775421033713111045", "775421033713111045")</f>
        <v>0</v>
      </c>
      <c r="B1142" s="2">
        <v>42625.8258680556</v>
      </c>
      <c r="C1142">
        <v>23</v>
      </c>
      <c r="D1142">
        <v>7</v>
      </c>
      <c r="E1142" t="s">
        <v>1131</v>
      </c>
    </row>
    <row r="1143" spans="1:5">
      <c r="A1143">
        <f>HYPERLINK("http://www.twitter.com/FDNY/status/775420963777286145", "775420963777286145")</f>
        <v>0</v>
      </c>
      <c r="B1143" s="2">
        <v>42625.8256828704</v>
      </c>
      <c r="C1143">
        <v>31</v>
      </c>
      <c r="D1143">
        <v>7</v>
      </c>
      <c r="E1143" t="s">
        <v>1132</v>
      </c>
    </row>
    <row r="1144" spans="1:5">
      <c r="A1144">
        <f>HYPERLINK("http://www.twitter.com/FDNY/status/775420741542182912", "775420741542182912")</f>
        <v>0</v>
      </c>
      <c r="B1144" s="2">
        <v>42625.8250694444</v>
      </c>
      <c r="C1144">
        <v>24</v>
      </c>
      <c r="D1144">
        <v>16</v>
      </c>
      <c r="E1144" t="s">
        <v>1133</v>
      </c>
    </row>
    <row r="1145" spans="1:5">
      <c r="A1145">
        <f>HYPERLINK("http://www.twitter.com/FDNY/status/775413627184619521", "775413627184619521")</f>
        <v>0</v>
      </c>
      <c r="B1145" s="2">
        <v>42625.8054282407</v>
      </c>
      <c r="C1145">
        <v>0</v>
      </c>
      <c r="D1145">
        <v>9</v>
      </c>
      <c r="E1145" t="s">
        <v>1134</v>
      </c>
    </row>
    <row r="1146" spans="1:5">
      <c r="A1146">
        <f>HYPERLINK("http://www.twitter.com/FDNY/status/775407233312100352", "775407233312100352")</f>
        <v>0</v>
      </c>
      <c r="B1146" s="2">
        <v>42625.7877893519</v>
      </c>
      <c r="C1146">
        <v>0</v>
      </c>
      <c r="D1146">
        <v>6</v>
      </c>
      <c r="E1146" t="s">
        <v>1135</v>
      </c>
    </row>
    <row r="1147" spans="1:5">
      <c r="A1147">
        <f>HYPERLINK("http://www.twitter.com/FDNY/status/775395811215695872", "775395811215695872")</f>
        <v>0</v>
      </c>
      <c r="B1147" s="2">
        <v>42625.7562731481</v>
      </c>
      <c r="C1147">
        <v>0</v>
      </c>
      <c r="D1147">
        <v>3</v>
      </c>
      <c r="E1147" t="s">
        <v>1136</v>
      </c>
    </row>
    <row r="1148" spans="1:5">
      <c r="A1148">
        <f>HYPERLINK("http://www.twitter.com/FDNY/status/775390043963813888", "775390043963813888")</f>
        <v>0</v>
      </c>
      <c r="B1148" s="2">
        <v>42625.7403587963</v>
      </c>
      <c r="C1148">
        <v>18</v>
      </c>
      <c r="D1148">
        <v>9</v>
      </c>
      <c r="E1148" t="s">
        <v>1137</v>
      </c>
    </row>
    <row r="1149" spans="1:5">
      <c r="A1149">
        <f>HYPERLINK("http://www.twitter.com/FDNY/status/775387432200114176", "775387432200114176")</f>
        <v>0</v>
      </c>
      <c r="B1149" s="2">
        <v>42625.7331481481</v>
      </c>
      <c r="C1149">
        <v>14</v>
      </c>
      <c r="D1149">
        <v>7</v>
      </c>
      <c r="E1149" t="s">
        <v>1138</v>
      </c>
    </row>
    <row r="1150" spans="1:5">
      <c r="A1150">
        <f>HYPERLINK("http://www.twitter.com/FDNY/status/775375673955348481", "775375673955348481")</f>
        <v>0</v>
      </c>
      <c r="B1150" s="2">
        <v>42625.7007060185</v>
      </c>
      <c r="C1150">
        <v>54</v>
      </c>
      <c r="D1150">
        <v>8</v>
      </c>
      <c r="E1150" t="s">
        <v>1139</v>
      </c>
    </row>
    <row r="1151" spans="1:5">
      <c r="A1151">
        <f>HYPERLINK("http://www.twitter.com/FDNY/status/775374647856603136", "775374647856603136")</f>
        <v>0</v>
      </c>
      <c r="B1151" s="2">
        <v>42625.6978703704</v>
      </c>
      <c r="C1151">
        <v>8</v>
      </c>
      <c r="D1151">
        <v>9</v>
      </c>
      <c r="E1151" t="s">
        <v>1140</v>
      </c>
    </row>
    <row r="1152" spans="1:5">
      <c r="A1152">
        <f>HYPERLINK("http://www.twitter.com/FDNY/status/775328254869790720", "775328254869790720")</f>
        <v>0</v>
      </c>
      <c r="B1152" s="2">
        <v>42625.569849537</v>
      </c>
      <c r="C1152">
        <v>45</v>
      </c>
      <c r="D1152">
        <v>41</v>
      </c>
      <c r="E1152" t="s">
        <v>1141</v>
      </c>
    </row>
    <row r="1153" spans="1:5">
      <c r="A1153">
        <f>HYPERLINK("http://www.twitter.com/FDNY/status/775134471796424705", "775134471796424705")</f>
        <v>0</v>
      </c>
      <c r="B1153" s="2">
        <v>42625.0351157407</v>
      </c>
      <c r="C1153">
        <v>192</v>
      </c>
      <c r="D1153">
        <v>100</v>
      </c>
      <c r="E1153" t="s">
        <v>1142</v>
      </c>
    </row>
    <row r="1154" spans="1:5">
      <c r="A1154">
        <f>HYPERLINK("http://www.twitter.com/FDNY/status/775126496830693376", "775126496830693376")</f>
        <v>0</v>
      </c>
      <c r="B1154" s="2">
        <v>42625.0131018519</v>
      </c>
      <c r="C1154">
        <v>1668</v>
      </c>
      <c r="D1154">
        <v>1175</v>
      </c>
      <c r="E1154" t="s">
        <v>1143</v>
      </c>
    </row>
    <row r="1155" spans="1:5">
      <c r="A1155">
        <f>HYPERLINK("http://www.twitter.com/FDNY/status/775120839436079104", "775120839436079104")</f>
        <v>0</v>
      </c>
      <c r="B1155" s="2">
        <v>42624.9974884259</v>
      </c>
      <c r="C1155">
        <v>194</v>
      </c>
      <c r="D1155">
        <v>98</v>
      </c>
      <c r="E1155" t="s">
        <v>1144</v>
      </c>
    </row>
    <row r="1156" spans="1:5">
      <c r="A1156">
        <f>HYPERLINK("http://www.twitter.com/FDNY/status/775119350634348544", "775119350634348544")</f>
        <v>0</v>
      </c>
      <c r="B1156" s="2">
        <v>42624.9933796296</v>
      </c>
      <c r="C1156">
        <v>441</v>
      </c>
      <c r="D1156">
        <v>293</v>
      </c>
      <c r="E1156" t="s">
        <v>1145</v>
      </c>
    </row>
    <row r="1157" spans="1:5">
      <c r="A1157">
        <f>HYPERLINK("http://www.twitter.com/FDNY/status/775118455691481088", "775118455691481088")</f>
        <v>0</v>
      </c>
      <c r="B1157" s="2">
        <v>42624.9909143519</v>
      </c>
      <c r="C1157">
        <v>200</v>
      </c>
      <c r="D1157">
        <v>136</v>
      </c>
      <c r="E1157" t="s">
        <v>1146</v>
      </c>
    </row>
    <row r="1158" spans="1:5">
      <c r="A1158">
        <f>HYPERLINK("http://www.twitter.com/FDNY/status/775115368159383552", "775115368159383552")</f>
        <v>0</v>
      </c>
      <c r="B1158" s="2">
        <v>42624.9823958333</v>
      </c>
      <c r="C1158">
        <v>214</v>
      </c>
      <c r="D1158">
        <v>153</v>
      </c>
      <c r="E1158" t="s">
        <v>1147</v>
      </c>
    </row>
    <row r="1159" spans="1:5">
      <c r="A1159">
        <f>HYPERLINK("http://www.twitter.com/FDNY/status/775103373234282496", "775103373234282496")</f>
        <v>0</v>
      </c>
      <c r="B1159" s="2">
        <v>42624.9492939815</v>
      </c>
      <c r="C1159">
        <v>0</v>
      </c>
      <c r="D1159">
        <v>306</v>
      </c>
      <c r="E1159" t="s">
        <v>1148</v>
      </c>
    </row>
    <row r="1160" spans="1:5">
      <c r="A1160">
        <f>HYPERLINK("http://www.twitter.com/FDNY/status/775102728917876736", "775102728917876736")</f>
        <v>0</v>
      </c>
      <c r="B1160" s="2">
        <v>42624.9475115741</v>
      </c>
      <c r="C1160">
        <v>0</v>
      </c>
      <c r="D1160">
        <v>18</v>
      </c>
      <c r="E1160" t="s">
        <v>1149</v>
      </c>
    </row>
    <row r="1161" spans="1:5">
      <c r="A1161">
        <f>HYPERLINK("http://www.twitter.com/FDNY/status/775070328599023617", "775070328599023617")</f>
        <v>0</v>
      </c>
      <c r="B1161" s="2">
        <v>42624.8581134259</v>
      </c>
      <c r="C1161">
        <v>85</v>
      </c>
      <c r="D1161">
        <v>21</v>
      </c>
      <c r="E1161" t="s">
        <v>1150</v>
      </c>
    </row>
    <row r="1162" spans="1:5">
      <c r="A1162">
        <f>HYPERLINK("http://www.twitter.com/FDNY/status/775053785156706311", "775053785156706311")</f>
        <v>0</v>
      </c>
      <c r="B1162" s="2">
        <v>42624.8124537037</v>
      </c>
      <c r="C1162">
        <v>506</v>
      </c>
      <c r="D1162">
        <v>260</v>
      </c>
      <c r="E1162" t="s">
        <v>1151</v>
      </c>
    </row>
    <row r="1163" spans="1:5">
      <c r="A1163">
        <f>HYPERLINK("http://www.twitter.com/FDNY/status/775045226071228416", "775045226071228416")</f>
        <v>0</v>
      </c>
      <c r="B1163" s="2">
        <v>42624.7888425926</v>
      </c>
      <c r="C1163">
        <v>152</v>
      </c>
      <c r="D1163">
        <v>56</v>
      </c>
      <c r="E1163" t="s">
        <v>1152</v>
      </c>
    </row>
    <row r="1164" spans="1:5">
      <c r="A1164">
        <f>HYPERLINK("http://www.twitter.com/FDNY/status/775035546385125376", "775035546385125376")</f>
        <v>0</v>
      </c>
      <c r="B1164" s="2">
        <v>42624.7621296296</v>
      </c>
      <c r="C1164">
        <v>133</v>
      </c>
      <c r="D1164">
        <v>52</v>
      </c>
      <c r="E1164" t="s">
        <v>1153</v>
      </c>
    </row>
    <row r="1165" spans="1:5">
      <c r="A1165">
        <f>HYPERLINK("http://www.twitter.com/FDNY/status/775034783923593216", "775034783923593216")</f>
        <v>0</v>
      </c>
      <c r="B1165" s="2">
        <v>42624.7600231481</v>
      </c>
      <c r="C1165">
        <v>85</v>
      </c>
      <c r="D1165">
        <v>36</v>
      </c>
      <c r="E1165" t="s">
        <v>1154</v>
      </c>
    </row>
    <row r="1166" spans="1:5">
      <c r="A1166">
        <f>HYPERLINK("http://www.twitter.com/FDNY/status/775034498333437952", "775034498333437952")</f>
        <v>0</v>
      </c>
      <c r="B1166" s="2">
        <v>42624.7592361111</v>
      </c>
      <c r="C1166">
        <v>66</v>
      </c>
      <c r="D1166">
        <v>34</v>
      </c>
      <c r="E1166" t="s">
        <v>1155</v>
      </c>
    </row>
    <row r="1167" spans="1:5">
      <c r="A1167">
        <f>HYPERLINK("http://www.twitter.com/FDNY/status/775033894836068352", "775033894836068352")</f>
        <v>0</v>
      </c>
      <c r="B1167" s="2">
        <v>42624.7575694444</v>
      </c>
      <c r="C1167">
        <v>59</v>
      </c>
      <c r="D1167">
        <v>17</v>
      </c>
      <c r="E1167" t="s">
        <v>1156</v>
      </c>
    </row>
    <row r="1168" spans="1:5">
      <c r="A1168">
        <f>HYPERLINK("http://www.twitter.com/FDNY/status/775033553994256384", "775033553994256384")</f>
        <v>0</v>
      </c>
      <c r="B1168" s="2">
        <v>42624.7566319444</v>
      </c>
      <c r="C1168">
        <v>186</v>
      </c>
      <c r="D1168">
        <v>116</v>
      </c>
      <c r="E1168" t="s">
        <v>1157</v>
      </c>
    </row>
    <row r="1169" spans="1:5">
      <c r="A1169">
        <f>HYPERLINK("http://www.twitter.com/FDNY/status/775033220995907584", "775033220995907584")</f>
        <v>0</v>
      </c>
      <c r="B1169" s="2">
        <v>42624.7557060185</v>
      </c>
      <c r="C1169">
        <v>72</v>
      </c>
      <c r="D1169">
        <v>29</v>
      </c>
      <c r="E1169" t="s">
        <v>1158</v>
      </c>
    </row>
    <row r="1170" spans="1:5">
      <c r="A1170">
        <f>HYPERLINK("http://www.twitter.com/FDNY/status/775030993673719809", "775030993673719809")</f>
        <v>0</v>
      </c>
      <c r="B1170" s="2">
        <v>42624.7495601852</v>
      </c>
      <c r="C1170">
        <v>675</v>
      </c>
      <c r="D1170">
        <v>381</v>
      </c>
      <c r="E1170" t="s">
        <v>1159</v>
      </c>
    </row>
    <row r="1171" spans="1:5">
      <c r="A1171">
        <f>HYPERLINK("http://www.twitter.com/FDNY/status/775026669878857728", "775026669878857728")</f>
        <v>0</v>
      </c>
      <c r="B1171" s="2">
        <v>42624.7376388889</v>
      </c>
      <c r="C1171">
        <v>253</v>
      </c>
      <c r="D1171">
        <v>165</v>
      </c>
      <c r="E1171" t="s">
        <v>1160</v>
      </c>
    </row>
    <row r="1172" spans="1:5">
      <c r="A1172">
        <f>HYPERLINK("http://www.twitter.com/FDNY/status/775021383621414913", "775021383621414913")</f>
        <v>0</v>
      </c>
      <c r="B1172" s="2">
        <v>42624.7230439815</v>
      </c>
      <c r="C1172">
        <v>130</v>
      </c>
      <c r="D1172">
        <v>48</v>
      </c>
      <c r="E1172" t="s">
        <v>1161</v>
      </c>
    </row>
    <row r="1173" spans="1:5">
      <c r="A1173">
        <f>HYPERLINK("http://www.twitter.com/FDNY/status/775018106771083264", "775018106771083264")</f>
        <v>0</v>
      </c>
      <c r="B1173" s="2">
        <v>42624.7140046296</v>
      </c>
      <c r="C1173">
        <v>182</v>
      </c>
      <c r="D1173">
        <v>81</v>
      </c>
      <c r="E1173" t="s">
        <v>1162</v>
      </c>
    </row>
    <row r="1174" spans="1:5">
      <c r="A1174">
        <f>HYPERLINK("http://www.twitter.com/FDNY/status/775011605981589504", "775011605981589504")</f>
        <v>0</v>
      </c>
      <c r="B1174" s="2">
        <v>42624.6960648148</v>
      </c>
      <c r="C1174">
        <v>0</v>
      </c>
      <c r="D1174">
        <v>36</v>
      </c>
      <c r="E1174" t="s">
        <v>1163</v>
      </c>
    </row>
    <row r="1175" spans="1:5">
      <c r="A1175">
        <f>HYPERLINK("http://www.twitter.com/FDNY/status/775010348462137348", "775010348462137348")</f>
        <v>0</v>
      </c>
      <c r="B1175" s="2">
        <v>42624.6925925926</v>
      </c>
      <c r="C1175">
        <v>369</v>
      </c>
      <c r="D1175">
        <v>247</v>
      </c>
      <c r="E1175" t="s">
        <v>1164</v>
      </c>
    </row>
    <row r="1176" spans="1:5">
      <c r="A1176">
        <f>HYPERLINK("http://www.twitter.com/FDNY/status/775008604319612932", "775008604319612932")</f>
        <v>0</v>
      </c>
      <c r="B1176" s="2">
        <v>42624.6877777778</v>
      </c>
      <c r="C1176">
        <v>155</v>
      </c>
      <c r="D1176">
        <v>71</v>
      </c>
      <c r="E1176" t="s">
        <v>1165</v>
      </c>
    </row>
    <row r="1177" spans="1:5">
      <c r="A1177">
        <f>HYPERLINK("http://www.twitter.com/FDNY/status/775000918903357440", "775000918903357440")</f>
        <v>0</v>
      </c>
      <c r="B1177" s="2">
        <v>42624.6665740741</v>
      </c>
      <c r="C1177">
        <v>141</v>
      </c>
      <c r="D1177">
        <v>84</v>
      </c>
      <c r="E1177" t="s">
        <v>1166</v>
      </c>
    </row>
    <row r="1178" spans="1:5">
      <c r="A1178">
        <f>HYPERLINK("http://www.twitter.com/FDNY/status/774996498396418048", "774996498396418048")</f>
        <v>0</v>
      </c>
      <c r="B1178" s="2">
        <v>42624.654375</v>
      </c>
      <c r="C1178">
        <v>0</v>
      </c>
      <c r="D1178">
        <v>54</v>
      </c>
      <c r="E1178" t="s">
        <v>1167</v>
      </c>
    </row>
    <row r="1179" spans="1:5">
      <c r="A1179">
        <f>HYPERLINK("http://www.twitter.com/FDNY/status/774993729711181825", "774993729711181825")</f>
        <v>0</v>
      </c>
      <c r="B1179" s="2">
        <v>42624.6467361111</v>
      </c>
      <c r="C1179">
        <v>286</v>
      </c>
      <c r="D1179">
        <v>185</v>
      </c>
      <c r="E1179" t="s">
        <v>1168</v>
      </c>
    </row>
    <row r="1180" spans="1:5">
      <c r="A1180">
        <f>HYPERLINK("http://www.twitter.com/FDNY/status/774989755641659392", "774989755641659392")</f>
        <v>0</v>
      </c>
      <c r="B1180" s="2">
        <v>42624.635775463</v>
      </c>
      <c r="C1180">
        <v>131</v>
      </c>
      <c r="D1180">
        <v>58</v>
      </c>
      <c r="E1180" t="s">
        <v>1169</v>
      </c>
    </row>
    <row r="1181" spans="1:5">
      <c r="A1181">
        <f>HYPERLINK("http://www.twitter.com/FDNY/status/774987145404682240", "774987145404682240")</f>
        <v>0</v>
      </c>
      <c r="B1181" s="2">
        <v>42624.6285648148</v>
      </c>
      <c r="C1181">
        <v>164</v>
      </c>
      <c r="D1181">
        <v>74</v>
      </c>
      <c r="E1181" t="s">
        <v>1170</v>
      </c>
    </row>
    <row r="1182" spans="1:5">
      <c r="A1182">
        <f>HYPERLINK("http://www.twitter.com/FDNY/status/774985076060852224", "774985076060852224")</f>
        <v>0</v>
      </c>
      <c r="B1182" s="2">
        <v>42624.6228587963</v>
      </c>
      <c r="C1182">
        <v>438</v>
      </c>
      <c r="D1182">
        <v>255</v>
      </c>
      <c r="E1182" t="s">
        <v>1171</v>
      </c>
    </row>
    <row r="1183" spans="1:5">
      <c r="A1183">
        <f>HYPERLINK("http://www.twitter.com/FDNY/status/774983290176544772", "774983290176544772")</f>
        <v>0</v>
      </c>
      <c r="B1183" s="2">
        <v>42624.6179282407</v>
      </c>
      <c r="C1183">
        <v>259</v>
      </c>
      <c r="D1183">
        <v>130</v>
      </c>
      <c r="E1183" t="s">
        <v>1172</v>
      </c>
    </row>
    <row r="1184" spans="1:5">
      <c r="A1184">
        <f>HYPERLINK("http://www.twitter.com/FDNY/status/774979179427266560", "774979179427266560")</f>
        <v>0</v>
      </c>
      <c r="B1184" s="2">
        <v>42624.6065856482</v>
      </c>
      <c r="C1184">
        <v>778</v>
      </c>
      <c r="D1184">
        <v>493</v>
      </c>
      <c r="E1184" t="s">
        <v>1173</v>
      </c>
    </row>
    <row r="1185" spans="1:5">
      <c r="A1185">
        <f>HYPERLINK("http://www.twitter.com/FDNY/status/774977842283249664", "774977842283249664")</f>
        <v>0</v>
      </c>
      <c r="B1185" s="2">
        <v>42624.6028935185</v>
      </c>
      <c r="C1185">
        <v>328</v>
      </c>
      <c r="D1185">
        <v>246</v>
      </c>
      <c r="E1185" t="s">
        <v>1174</v>
      </c>
    </row>
    <row r="1186" spans="1:5">
      <c r="A1186">
        <f>HYPERLINK("http://www.twitter.com/FDNY/status/774971562109861889", "774971562109861889")</f>
        <v>0</v>
      </c>
      <c r="B1186" s="2">
        <v>42624.5855671296</v>
      </c>
      <c r="C1186">
        <v>304</v>
      </c>
      <c r="D1186">
        <v>188</v>
      </c>
      <c r="E1186" t="s">
        <v>1175</v>
      </c>
    </row>
    <row r="1187" spans="1:5">
      <c r="A1187">
        <f>HYPERLINK("http://www.twitter.com/FDNY/status/774970599726780418", "774970599726780418")</f>
        <v>0</v>
      </c>
      <c r="B1187" s="2">
        <v>42624.5829050926</v>
      </c>
      <c r="C1187">
        <v>570</v>
      </c>
      <c r="D1187">
        <v>426</v>
      </c>
      <c r="E1187" t="s">
        <v>1176</v>
      </c>
    </row>
    <row r="1188" spans="1:5">
      <c r="A1188">
        <f>HYPERLINK("http://www.twitter.com/FDNY/status/774967783411085312", "774967783411085312")</f>
        <v>0</v>
      </c>
      <c r="B1188" s="2">
        <v>42624.5751388889</v>
      </c>
      <c r="C1188">
        <v>199</v>
      </c>
      <c r="D1188">
        <v>93</v>
      </c>
      <c r="E1188" t="s">
        <v>1177</v>
      </c>
    </row>
    <row r="1189" spans="1:5">
      <c r="A1189">
        <f>HYPERLINK("http://www.twitter.com/FDNY/status/774965006265876480", "774965006265876480")</f>
        <v>0</v>
      </c>
      <c r="B1189" s="2">
        <v>42624.5674768519</v>
      </c>
      <c r="C1189">
        <v>240</v>
      </c>
      <c r="D1189">
        <v>168</v>
      </c>
      <c r="E1189" t="s">
        <v>1178</v>
      </c>
    </row>
    <row r="1190" spans="1:5">
      <c r="A1190">
        <f>HYPERLINK("http://www.twitter.com/FDNY/status/774961941735411712", "774961941735411712")</f>
        <v>0</v>
      </c>
      <c r="B1190" s="2">
        <v>42624.5590162037</v>
      </c>
      <c r="C1190">
        <v>180</v>
      </c>
      <c r="D1190">
        <v>78</v>
      </c>
      <c r="E1190" t="s">
        <v>1179</v>
      </c>
    </row>
    <row r="1191" spans="1:5">
      <c r="A1191">
        <f>HYPERLINK("http://www.twitter.com/FDNY/status/774957467713298432", "774957467713298432")</f>
        <v>0</v>
      </c>
      <c r="B1191" s="2">
        <v>42624.5466666667</v>
      </c>
      <c r="C1191">
        <v>627</v>
      </c>
      <c r="D1191">
        <v>465</v>
      </c>
      <c r="E1191" t="s">
        <v>1180</v>
      </c>
    </row>
    <row r="1192" spans="1:5">
      <c r="A1192">
        <f>HYPERLINK("http://www.twitter.com/FDNY/status/774956477048029184", "774956477048029184")</f>
        <v>0</v>
      </c>
      <c r="B1192" s="2">
        <v>42624.5439351852</v>
      </c>
      <c r="C1192">
        <v>1211</v>
      </c>
      <c r="D1192">
        <v>711</v>
      </c>
      <c r="E1192" t="s">
        <v>1181</v>
      </c>
    </row>
    <row r="1193" spans="1:5">
      <c r="A1193">
        <f>HYPERLINK("http://www.twitter.com/FDNY/status/774956019499827201", "774956019499827201")</f>
        <v>0</v>
      </c>
      <c r="B1193" s="2">
        <v>42624.5426736111</v>
      </c>
      <c r="C1193">
        <v>0</v>
      </c>
      <c r="D1193">
        <v>4705</v>
      </c>
      <c r="E1193" t="s">
        <v>1182</v>
      </c>
    </row>
    <row r="1194" spans="1:5">
      <c r="A1194">
        <f>HYPERLINK("http://www.twitter.com/FDNY/status/774955836720513024", "774955836720513024")</f>
        <v>0</v>
      </c>
      <c r="B1194" s="2">
        <v>42624.5421759259</v>
      </c>
      <c r="C1194">
        <v>0</v>
      </c>
      <c r="D1194">
        <v>618</v>
      </c>
      <c r="E1194" t="s">
        <v>1183</v>
      </c>
    </row>
    <row r="1195" spans="1:5">
      <c r="A1195">
        <f>HYPERLINK("http://www.twitter.com/FDNY/status/774954674646573056", "774954674646573056")</f>
        <v>0</v>
      </c>
      <c r="B1195" s="2">
        <v>42624.5389699074</v>
      </c>
      <c r="C1195">
        <v>1463</v>
      </c>
      <c r="D1195">
        <v>801</v>
      </c>
      <c r="E1195" t="s">
        <v>1184</v>
      </c>
    </row>
    <row r="1196" spans="1:5">
      <c r="A1196">
        <f>HYPERLINK("http://www.twitter.com/FDNY/status/774952536767860736", "774952536767860736")</f>
        <v>0</v>
      </c>
      <c r="B1196" s="2">
        <v>42624.5330671296</v>
      </c>
      <c r="C1196">
        <v>1825</v>
      </c>
      <c r="D1196">
        <v>1078</v>
      </c>
      <c r="E1196" t="s">
        <v>1185</v>
      </c>
    </row>
    <row r="1197" spans="1:5">
      <c r="A1197">
        <f>HYPERLINK("http://www.twitter.com/FDNY/status/774950202700595200", "774950202700595200")</f>
        <v>0</v>
      </c>
      <c r="B1197" s="2">
        <v>42624.5266203704</v>
      </c>
      <c r="C1197">
        <v>0</v>
      </c>
      <c r="D1197">
        <v>128</v>
      </c>
      <c r="E1197" t="s">
        <v>1186</v>
      </c>
    </row>
    <row r="1198" spans="1:5">
      <c r="A1198">
        <f>HYPERLINK("http://www.twitter.com/FDNY/status/774949995199987712", "774949995199987712")</f>
        <v>0</v>
      </c>
      <c r="B1198" s="2">
        <v>42624.5260532407</v>
      </c>
      <c r="C1198">
        <v>0</v>
      </c>
      <c r="D1198">
        <v>491</v>
      </c>
      <c r="E1198" t="s">
        <v>1187</v>
      </c>
    </row>
    <row r="1199" spans="1:5">
      <c r="A1199">
        <f>HYPERLINK("http://www.twitter.com/FDNY/status/774945658411311104", "774945658411311104")</f>
        <v>0</v>
      </c>
      <c r="B1199" s="2">
        <v>42624.5140856481</v>
      </c>
      <c r="C1199">
        <v>0</v>
      </c>
      <c r="D1199">
        <v>32</v>
      </c>
      <c r="E1199" t="s">
        <v>1188</v>
      </c>
    </row>
    <row r="1200" spans="1:5">
      <c r="A1200">
        <f>HYPERLINK("http://www.twitter.com/FDNY/status/774940142930915329", "774940142930915329")</f>
        <v>0</v>
      </c>
      <c r="B1200" s="2">
        <v>42624.4988657407</v>
      </c>
      <c r="C1200">
        <v>238</v>
      </c>
      <c r="D1200">
        <v>146</v>
      </c>
      <c r="E1200" t="s">
        <v>1189</v>
      </c>
    </row>
    <row r="1201" spans="1:5">
      <c r="A1201">
        <f>HYPERLINK("http://www.twitter.com/FDNY/status/774933207276019712", "774933207276019712")</f>
        <v>0</v>
      </c>
      <c r="B1201" s="2">
        <v>42624.4797222222</v>
      </c>
      <c r="C1201">
        <v>0</v>
      </c>
      <c r="D1201">
        <v>19</v>
      </c>
      <c r="E1201" t="s">
        <v>1190</v>
      </c>
    </row>
    <row r="1202" spans="1:5">
      <c r="A1202">
        <f>HYPERLINK("http://www.twitter.com/FDNY/status/774930870520147968", "774930870520147968")</f>
        <v>0</v>
      </c>
      <c r="B1202" s="2">
        <v>42624.473275463</v>
      </c>
      <c r="C1202">
        <v>0</v>
      </c>
      <c r="D1202">
        <v>657</v>
      </c>
      <c r="E1202" t="s">
        <v>1191</v>
      </c>
    </row>
    <row r="1203" spans="1:5">
      <c r="A1203">
        <f>HYPERLINK("http://www.twitter.com/FDNY/status/774925268066693120", "774925268066693120")</f>
        <v>0</v>
      </c>
      <c r="B1203" s="2">
        <v>42624.4578125</v>
      </c>
      <c r="C1203">
        <v>0</v>
      </c>
      <c r="D1203">
        <v>479</v>
      </c>
      <c r="E1203" t="s">
        <v>1192</v>
      </c>
    </row>
    <row r="1204" spans="1:5">
      <c r="A1204">
        <f>HYPERLINK("http://www.twitter.com/FDNY/status/774793235361329152", "774793235361329152")</f>
        <v>0</v>
      </c>
      <c r="B1204" s="2">
        <v>42624.0934722222</v>
      </c>
      <c r="C1204">
        <v>266</v>
      </c>
      <c r="D1204">
        <v>206</v>
      </c>
      <c r="E1204" t="s">
        <v>1193</v>
      </c>
    </row>
    <row r="1205" spans="1:5">
      <c r="A1205">
        <f>HYPERLINK("http://www.twitter.com/FDNY/status/774718605430751232", "774718605430751232")</f>
        <v>0</v>
      </c>
      <c r="B1205" s="2">
        <v>42623.8875347222</v>
      </c>
      <c r="C1205">
        <v>612</v>
      </c>
      <c r="D1205">
        <v>462</v>
      </c>
      <c r="E1205" t="s">
        <v>1194</v>
      </c>
    </row>
    <row r="1206" spans="1:5">
      <c r="A1206">
        <f>HYPERLINK("http://www.twitter.com/FDNY/status/774708503680282624", "774708503680282624")</f>
        <v>0</v>
      </c>
      <c r="B1206" s="2">
        <v>42623.8596643519</v>
      </c>
      <c r="C1206">
        <v>108</v>
      </c>
      <c r="D1206">
        <v>59</v>
      </c>
      <c r="E1206" t="s">
        <v>1195</v>
      </c>
    </row>
    <row r="1207" spans="1:5">
      <c r="A1207">
        <f>HYPERLINK("http://www.twitter.com/FDNY/status/774703536609296386", "774703536609296386")</f>
        <v>0</v>
      </c>
      <c r="B1207" s="2">
        <v>42623.8459606481</v>
      </c>
      <c r="C1207">
        <v>56</v>
      </c>
      <c r="D1207">
        <v>27</v>
      </c>
      <c r="E1207" t="s">
        <v>1196</v>
      </c>
    </row>
    <row r="1208" spans="1:5">
      <c r="A1208">
        <f>HYPERLINK("http://www.twitter.com/FDNY/status/774698160048467968", "774698160048467968")</f>
        <v>0</v>
      </c>
      <c r="B1208" s="2">
        <v>42623.8311226852</v>
      </c>
      <c r="C1208">
        <v>61</v>
      </c>
      <c r="D1208">
        <v>46</v>
      </c>
      <c r="E1208" t="s">
        <v>1197</v>
      </c>
    </row>
    <row r="1209" spans="1:5">
      <c r="A1209">
        <f>HYPERLINK("http://www.twitter.com/FDNY/status/774697571189129216", "774697571189129216")</f>
        <v>0</v>
      </c>
      <c r="B1209" s="2">
        <v>42623.8294907407</v>
      </c>
      <c r="C1209">
        <v>100</v>
      </c>
      <c r="D1209">
        <v>49</v>
      </c>
      <c r="E1209" t="s">
        <v>1198</v>
      </c>
    </row>
    <row r="1210" spans="1:5">
      <c r="A1210">
        <f>HYPERLINK("http://www.twitter.com/FDNY/status/774696931314499584", "774696931314499584")</f>
        <v>0</v>
      </c>
      <c r="B1210" s="2">
        <v>42623.8277314815</v>
      </c>
      <c r="C1210">
        <v>67</v>
      </c>
      <c r="D1210">
        <v>49</v>
      </c>
      <c r="E1210" t="s">
        <v>1199</v>
      </c>
    </row>
    <row r="1211" spans="1:5">
      <c r="A1211">
        <f>HYPERLINK("http://www.twitter.com/FDNY/status/774696573481648128", "774696573481648128")</f>
        <v>0</v>
      </c>
      <c r="B1211" s="2">
        <v>42623.8267361111</v>
      </c>
      <c r="C1211">
        <v>1167</v>
      </c>
      <c r="D1211">
        <v>543</v>
      </c>
      <c r="E1211" t="s">
        <v>1200</v>
      </c>
    </row>
    <row r="1212" spans="1:5">
      <c r="A1212">
        <f>HYPERLINK("http://www.twitter.com/FDNY/status/774694954161496064", "774694954161496064")</f>
        <v>0</v>
      </c>
      <c r="B1212" s="2">
        <v>42623.8222685185</v>
      </c>
      <c r="C1212">
        <v>832</v>
      </c>
      <c r="D1212">
        <v>178</v>
      </c>
      <c r="E1212" t="s">
        <v>1201</v>
      </c>
    </row>
    <row r="1213" spans="1:5">
      <c r="A1213">
        <f>HYPERLINK("http://www.twitter.com/FDNY/status/774694065069707264", "774694065069707264")</f>
        <v>0</v>
      </c>
      <c r="B1213" s="2">
        <v>42623.8198148148</v>
      </c>
      <c r="C1213">
        <v>108</v>
      </c>
      <c r="D1213">
        <v>74</v>
      </c>
      <c r="E1213" t="s">
        <v>1202</v>
      </c>
    </row>
    <row r="1214" spans="1:5">
      <c r="A1214">
        <f>HYPERLINK("http://www.twitter.com/FDNY/status/774692654873391104", "774692654873391104")</f>
        <v>0</v>
      </c>
      <c r="B1214" s="2">
        <v>42623.8159259259</v>
      </c>
      <c r="C1214">
        <v>88</v>
      </c>
      <c r="D1214">
        <v>56</v>
      </c>
      <c r="E1214" t="s">
        <v>1203</v>
      </c>
    </row>
    <row r="1215" spans="1:5">
      <c r="A1215">
        <f>HYPERLINK("http://www.twitter.com/FDNY/status/774692115968208896", "774692115968208896")</f>
        <v>0</v>
      </c>
      <c r="B1215" s="2">
        <v>42623.8144444444</v>
      </c>
      <c r="C1215">
        <v>90</v>
      </c>
      <c r="D1215">
        <v>69</v>
      </c>
      <c r="E1215" t="s">
        <v>1204</v>
      </c>
    </row>
    <row r="1216" spans="1:5">
      <c r="A1216">
        <f>HYPERLINK("http://www.twitter.com/FDNY/status/774690674104872960", "774690674104872960")</f>
        <v>0</v>
      </c>
      <c r="B1216" s="2">
        <v>42623.810462963</v>
      </c>
      <c r="C1216">
        <v>97</v>
      </c>
      <c r="D1216">
        <v>62</v>
      </c>
      <c r="E1216" t="s">
        <v>1205</v>
      </c>
    </row>
    <row r="1217" spans="1:5">
      <c r="A1217">
        <f>HYPERLINK("http://www.twitter.com/FDNY/status/774690226790731776", "774690226790731776")</f>
        <v>0</v>
      </c>
      <c r="B1217" s="2">
        <v>42623.809224537</v>
      </c>
      <c r="C1217">
        <v>43</v>
      </c>
      <c r="D1217">
        <v>25</v>
      </c>
      <c r="E1217" t="s">
        <v>1206</v>
      </c>
    </row>
    <row r="1218" spans="1:5">
      <c r="A1218">
        <f>HYPERLINK("http://www.twitter.com/FDNY/status/774689598274277376", "774689598274277376")</f>
        <v>0</v>
      </c>
      <c r="B1218" s="2">
        <v>42623.8074884259</v>
      </c>
      <c r="C1218">
        <v>38</v>
      </c>
      <c r="D1218">
        <v>16</v>
      </c>
      <c r="E1218" t="s">
        <v>1207</v>
      </c>
    </row>
    <row r="1219" spans="1:5">
      <c r="A1219">
        <f>HYPERLINK("http://www.twitter.com/FDNY/status/774689200410988544", "774689200410988544")</f>
        <v>0</v>
      </c>
      <c r="B1219" s="2">
        <v>42623.806400463</v>
      </c>
      <c r="C1219">
        <v>29</v>
      </c>
      <c r="D1219">
        <v>14</v>
      </c>
      <c r="E1219" t="s">
        <v>1208</v>
      </c>
    </row>
    <row r="1220" spans="1:5">
      <c r="A1220">
        <f>HYPERLINK("http://www.twitter.com/FDNY/status/774686619970437121", "774686619970437121")</f>
        <v>0</v>
      </c>
      <c r="B1220" s="2">
        <v>42623.7992708333</v>
      </c>
      <c r="C1220">
        <v>152</v>
      </c>
      <c r="D1220">
        <v>140</v>
      </c>
      <c r="E1220" t="s">
        <v>1209</v>
      </c>
    </row>
    <row r="1221" spans="1:5">
      <c r="A1221">
        <f>HYPERLINK("http://www.twitter.com/FDNY/status/774685486405279745", "774685486405279745")</f>
        <v>0</v>
      </c>
      <c r="B1221" s="2">
        <v>42623.7961458333</v>
      </c>
      <c r="C1221">
        <v>67</v>
      </c>
      <c r="D1221">
        <v>40</v>
      </c>
      <c r="E1221" t="s">
        <v>1210</v>
      </c>
    </row>
    <row r="1222" spans="1:5">
      <c r="A1222">
        <f>HYPERLINK("http://www.twitter.com/FDNY/status/774681495776718848", "774681495776718848")</f>
        <v>0</v>
      </c>
      <c r="B1222" s="2">
        <v>42623.7851388889</v>
      </c>
      <c r="C1222">
        <v>0</v>
      </c>
      <c r="D1222">
        <v>6</v>
      </c>
      <c r="E1222" t="s">
        <v>1211</v>
      </c>
    </row>
    <row r="1223" spans="1:5">
      <c r="A1223">
        <f>HYPERLINK("http://www.twitter.com/FDNY/status/774663347593682944", "774663347593682944")</f>
        <v>0</v>
      </c>
      <c r="B1223" s="2">
        <v>42623.7350578704</v>
      </c>
      <c r="C1223">
        <v>0</v>
      </c>
      <c r="D1223">
        <v>1</v>
      </c>
      <c r="E1223" t="s">
        <v>1212</v>
      </c>
    </row>
    <row r="1224" spans="1:5">
      <c r="A1224">
        <f>HYPERLINK("http://www.twitter.com/FDNY/status/774663321823940608", "774663321823940608")</f>
        <v>0</v>
      </c>
      <c r="B1224" s="2">
        <v>42623.7349884259</v>
      </c>
      <c r="C1224">
        <v>0</v>
      </c>
      <c r="D1224">
        <v>10</v>
      </c>
      <c r="E1224" t="s">
        <v>1213</v>
      </c>
    </row>
    <row r="1225" spans="1:5">
      <c r="A1225">
        <f>HYPERLINK("http://www.twitter.com/FDNY/status/774643721434492928", "774643721434492928")</f>
        <v>0</v>
      </c>
      <c r="B1225" s="2">
        <v>42623.6809027778</v>
      </c>
      <c r="C1225">
        <v>49</v>
      </c>
      <c r="D1225">
        <v>46</v>
      </c>
      <c r="E1225" t="s">
        <v>1214</v>
      </c>
    </row>
    <row r="1226" spans="1:5">
      <c r="A1226">
        <f>HYPERLINK("http://www.twitter.com/FDNY/status/774627352886345728", "774627352886345728")</f>
        <v>0</v>
      </c>
      <c r="B1226" s="2">
        <v>42623.6357291667</v>
      </c>
      <c r="C1226">
        <v>24</v>
      </c>
      <c r="D1226">
        <v>11</v>
      </c>
      <c r="E1226" t="s">
        <v>1215</v>
      </c>
    </row>
    <row r="1227" spans="1:5">
      <c r="A1227">
        <f>HYPERLINK("http://www.twitter.com/FDNY/status/774625369198563328", "774625369198563328")</f>
        <v>0</v>
      </c>
      <c r="B1227" s="2">
        <v>42623.6302546296</v>
      </c>
      <c r="C1227">
        <v>81</v>
      </c>
      <c r="D1227">
        <v>50</v>
      </c>
      <c r="E1227" t="s">
        <v>1216</v>
      </c>
    </row>
    <row r="1228" spans="1:5">
      <c r="A1228">
        <f>HYPERLINK("http://www.twitter.com/FDNY/status/774624350213406720", "774624350213406720")</f>
        <v>0</v>
      </c>
      <c r="B1228" s="2">
        <v>42623.6274421296</v>
      </c>
      <c r="C1228">
        <v>18</v>
      </c>
      <c r="D1228">
        <v>9</v>
      </c>
      <c r="E1228" t="s">
        <v>1217</v>
      </c>
    </row>
    <row r="1229" spans="1:5">
      <c r="A1229">
        <f>HYPERLINK("http://www.twitter.com/FDNY/status/774595906599542784", "774595906599542784")</f>
        <v>0</v>
      </c>
      <c r="B1229" s="2">
        <v>42623.5489583333</v>
      </c>
      <c r="C1229">
        <v>17</v>
      </c>
      <c r="D1229">
        <v>9</v>
      </c>
      <c r="E1229" t="s">
        <v>1218</v>
      </c>
    </row>
    <row r="1230" spans="1:5">
      <c r="A1230">
        <f>HYPERLINK("http://www.twitter.com/FDNY/status/774398946345115648", "774398946345115648")</f>
        <v>0</v>
      </c>
      <c r="B1230" s="2">
        <v>42623.0054513889</v>
      </c>
      <c r="C1230">
        <v>0</v>
      </c>
      <c r="D1230">
        <v>75</v>
      </c>
      <c r="E1230" t="s">
        <v>1219</v>
      </c>
    </row>
    <row r="1231" spans="1:5">
      <c r="A1231">
        <f>HYPERLINK("http://www.twitter.com/FDNY/status/774396673003061248", "774396673003061248")</f>
        <v>0</v>
      </c>
      <c r="B1231" s="2">
        <v>42622.9991782407</v>
      </c>
      <c r="C1231">
        <v>28</v>
      </c>
      <c r="D1231">
        <v>7</v>
      </c>
      <c r="E1231" t="s">
        <v>1220</v>
      </c>
    </row>
    <row r="1232" spans="1:5">
      <c r="A1232">
        <f>HYPERLINK("http://www.twitter.com/FDNY/status/774380400743505920", "774380400743505920")</f>
        <v>0</v>
      </c>
      <c r="B1232" s="2">
        <v>42622.9542708333</v>
      </c>
      <c r="C1232">
        <v>144</v>
      </c>
      <c r="D1232">
        <v>96</v>
      </c>
      <c r="E1232" t="s">
        <v>1221</v>
      </c>
    </row>
    <row r="1233" spans="1:5">
      <c r="A1233">
        <f>HYPERLINK("http://www.twitter.com/FDNY/status/774378564980441090", "774378564980441090")</f>
        <v>0</v>
      </c>
      <c r="B1233" s="2">
        <v>42622.9492013889</v>
      </c>
      <c r="C1233">
        <v>4</v>
      </c>
      <c r="D1233">
        <v>2</v>
      </c>
      <c r="E1233" t="s">
        <v>1222</v>
      </c>
    </row>
    <row r="1234" spans="1:5">
      <c r="A1234">
        <f>HYPERLINK("http://www.twitter.com/FDNY/status/774378410789470208", "774378410789470208")</f>
        <v>0</v>
      </c>
      <c r="B1234" s="2">
        <v>42622.9487847222</v>
      </c>
      <c r="C1234">
        <v>15</v>
      </c>
      <c r="D1234">
        <v>6</v>
      </c>
      <c r="E1234" t="s">
        <v>1223</v>
      </c>
    </row>
    <row r="1235" spans="1:5">
      <c r="A1235">
        <f>HYPERLINK("http://www.twitter.com/FDNY/status/774371513696911360", "774371513696911360")</f>
        <v>0</v>
      </c>
      <c r="B1235" s="2">
        <v>42622.9297453704</v>
      </c>
      <c r="C1235">
        <v>34</v>
      </c>
      <c r="D1235">
        <v>21</v>
      </c>
      <c r="E1235" t="s">
        <v>1224</v>
      </c>
    </row>
    <row r="1236" spans="1:5">
      <c r="A1236">
        <f>HYPERLINK("http://www.twitter.com/FDNY/status/774369248810500096", "774369248810500096")</f>
        <v>0</v>
      </c>
      <c r="B1236" s="2">
        <v>42622.9234953704</v>
      </c>
      <c r="C1236">
        <v>0</v>
      </c>
      <c r="D1236">
        <v>60</v>
      </c>
      <c r="E1236" t="s">
        <v>1225</v>
      </c>
    </row>
    <row r="1237" spans="1:5">
      <c r="A1237">
        <f>HYPERLINK("http://www.twitter.com/FDNY/status/774355582094639104", "774355582094639104")</f>
        <v>0</v>
      </c>
      <c r="B1237" s="2">
        <v>42622.885787037</v>
      </c>
      <c r="C1237">
        <v>21</v>
      </c>
      <c r="D1237">
        <v>13</v>
      </c>
      <c r="E1237" t="s">
        <v>1226</v>
      </c>
    </row>
    <row r="1238" spans="1:5">
      <c r="A1238">
        <f>HYPERLINK("http://www.twitter.com/FDNY/status/774346058365300736", "774346058365300736")</f>
        <v>0</v>
      </c>
      <c r="B1238" s="2">
        <v>42622.8595023148</v>
      </c>
      <c r="C1238">
        <v>51</v>
      </c>
      <c r="D1238">
        <v>30</v>
      </c>
      <c r="E1238" t="s">
        <v>1227</v>
      </c>
    </row>
    <row r="1239" spans="1:5">
      <c r="A1239">
        <f>HYPERLINK("http://www.twitter.com/FDNY/status/774266997894971392", "774266997894971392")</f>
        <v>0</v>
      </c>
      <c r="B1239" s="2">
        <v>42622.6413425926</v>
      </c>
      <c r="C1239">
        <v>39</v>
      </c>
      <c r="D1239">
        <v>19</v>
      </c>
      <c r="E1239" t="s">
        <v>1228</v>
      </c>
    </row>
    <row r="1240" spans="1:5">
      <c r="A1240">
        <f>HYPERLINK("http://www.twitter.com/FDNY/status/774266615177281537", "774266615177281537")</f>
        <v>0</v>
      </c>
      <c r="B1240" s="2">
        <v>42622.6402777778</v>
      </c>
      <c r="C1240">
        <v>28</v>
      </c>
      <c r="D1240">
        <v>13</v>
      </c>
      <c r="E1240" t="s">
        <v>1229</v>
      </c>
    </row>
    <row r="1241" spans="1:5">
      <c r="A1241">
        <f>HYPERLINK("http://www.twitter.com/FDNY/status/774266538123751424", "774266538123751424")</f>
        <v>0</v>
      </c>
      <c r="B1241" s="2">
        <v>42622.6400694444</v>
      </c>
      <c r="C1241">
        <v>65</v>
      </c>
      <c r="D1241">
        <v>45</v>
      </c>
      <c r="E1241" t="s">
        <v>1230</v>
      </c>
    </row>
    <row r="1242" spans="1:5">
      <c r="A1242">
        <f>HYPERLINK("http://www.twitter.com/FDNY/status/774265427828543489", "774265427828543489")</f>
        <v>0</v>
      </c>
      <c r="B1242" s="2">
        <v>42622.6370023148</v>
      </c>
      <c r="C1242">
        <v>37</v>
      </c>
      <c r="D1242">
        <v>19</v>
      </c>
      <c r="E1242" t="s">
        <v>1231</v>
      </c>
    </row>
    <row r="1243" spans="1:5">
      <c r="A1243">
        <f>HYPERLINK("http://www.twitter.com/FDNY/status/774265346442362880", "774265346442362880")</f>
        <v>0</v>
      </c>
      <c r="B1243" s="2">
        <v>42622.6367824074</v>
      </c>
      <c r="C1243">
        <v>25</v>
      </c>
      <c r="D1243">
        <v>7</v>
      </c>
      <c r="E1243" t="s">
        <v>1232</v>
      </c>
    </row>
    <row r="1244" spans="1:5">
      <c r="A1244">
        <f>HYPERLINK("http://www.twitter.com/FDNY/status/774265266914070528", "774265266914070528")</f>
        <v>0</v>
      </c>
      <c r="B1244" s="2">
        <v>42622.6365625</v>
      </c>
      <c r="C1244">
        <v>24</v>
      </c>
      <c r="D1244">
        <v>9</v>
      </c>
      <c r="E1244" t="s">
        <v>1233</v>
      </c>
    </row>
    <row r="1245" spans="1:5">
      <c r="A1245">
        <f>HYPERLINK("http://www.twitter.com/FDNY/status/774258513535180801", "774258513535180801")</f>
        <v>0</v>
      </c>
      <c r="B1245" s="2">
        <v>42622.6179282407</v>
      </c>
      <c r="C1245">
        <v>200</v>
      </c>
      <c r="D1245">
        <v>94</v>
      </c>
      <c r="E1245" t="s">
        <v>1234</v>
      </c>
    </row>
    <row r="1246" spans="1:5">
      <c r="A1246">
        <f>HYPERLINK("http://www.twitter.com/FDNY/status/774254791832772608", "774254791832772608")</f>
        <v>0</v>
      </c>
      <c r="B1246" s="2">
        <v>42622.607650463</v>
      </c>
      <c r="C1246">
        <v>0</v>
      </c>
      <c r="D1246">
        <v>29</v>
      </c>
      <c r="E1246" t="s">
        <v>1235</v>
      </c>
    </row>
    <row r="1247" spans="1:5">
      <c r="A1247">
        <f>HYPERLINK("http://www.twitter.com/FDNY/status/774250940127928320", "774250940127928320")</f>
        <v>0</v>
      </c>
      <c r="B1247" s="2">
        <v>42622.597025463</v>
      </c>
      <c r="C1247">
        <v>49</v>
      </c>
      <c r="D1247">
        <v>20</v>
      </c>
      <c r="E1247" t="s">
        <v>1236</v>
      </c>
    </row>
    <row r="1248" spans="1:5">
      <c r="A1248">
        <f>HYPERLINK("http://www.twitter.com/FDNY/status/774230268550979584", "774230268550979584")</f>
        <v>0</v>
      </c>
      <c r="B1248" s="2">
        <v>42622.5399884259</v>
      </c>
      <c r="C1248">
        <v>0</v>
      </c>
      <c r="D1248">
        <v>7</v>
      </c>
      <c r="E1248" t="s">
        <v>1237</v>
      </c>
    </row>
    <row r="1249" spans="1:5">
      <c r="A1249">
        <f>HYPERLINK("http://www.twitter.com/FDNY/status/774222267479912448", "774222267479912448")</f>
        <v>0</v>
      </c>
      <c r="B1249" s="2">
        <v>42622.5179050926</v>
      </c>
      <c r="C1249">
        <v>0</v>
      </c>
      <c r="D1249">
        <v>1282</v>
      </c>
      <c r="E1249" t="s">
        <v>1238</v>
      </c>
    </row>
    <row r="1250" spans="1:5">
      <c r="A1250">
        <f>HYPERLINK("http://www.twitter.com/FDNY/status/774044793680691200", "774044793680691200")</f>
        <v>0</v>
      </c>
      <c r="B1250" s="2">
        <v>42622.0281712963</v>
      </c>
      <c r="C1250">
        <v>0</v>
      </c>
      <c r="D1250">
        <v>4</v>
      </c>
      <c r="E1250" t="s">
        <v>1239</v>
      </c>
    </row>
    <row r="1251" spans="1:5">
      <c r="A1251">
        <f>HYPERLINK("http://www.twitter.com/FDNY/status/774000391453302784", "774000391453302784")</f>
        <v>0</v>
      </c>
      <c r="B1251" s="2">
        <v>42621.9056481481</v>
      </c>
      <c r="C1251">
        <v>0</v>
      </c>
      <c r="D1251">
        <v>61</v>
      </c>
      <c r="E1251" t="s">
        <v>1240</v>
      </c>
    </row>
    <row r="1252" spans="1:5">
      <c r="A1252">
        <f>HYPERLINK("http://www.twitter.com/FDNY/status/773937537261957120", "773937537261957120")</f>
        <v>0</v>
      </c>
      <c r="B1252" s="2">
        <v>42621.7321990741</v>
      </c>
      <c r="C1252">
        <v>102</v>
      </c>
      <c r="D1252">
        <v>75</v>
      </c>
      <c r="E1252" t="s">
        <v>1241</v>
      </c>
    </row>
    <row r="1253" spans="1:5">
      <c r="A1253">
        <f>HYPERLINK("http://www.twitter.com/FDNY/status/773936208703397891", "773936208703397891")</f>
        <v>0</v>
      </c>
      <c r="B1253" s="2">
        <v>42621.7285300926</v>
      </c>
      <c r="C1253">
        <v>0</v>
      </c>
      <c r="D1253">
        <v>0</v>
      </c>
      <c r="E1253" t="s">
        <v>1242</v>
      </c>
    </row>
    <row r="1254" spans="1:5">
      <c r="A1254">
        <f>HYPERLINK("http://www.twitter.com/FDNY/status/773936086439567360", "773936086439567360")</f>
        <v>0</v>
      </c>
      <c r="B1254" s="2">
        <v>42621.7281944444</v>
      </c>
      <c r="C1254">
        <v>22</v>
      </c>
      <c r="D1254">
        <v>9</v>
      </c>
      <c r="E1254" t="s">
        <v>1243</v>
      </c>
    </row>
    <row r="1255" spans="1:5">
      <c r="A1255">
        <f>HYPERLINK("http://www.twitter.com/FDNY/status/773928650815266816", "773928650815266816")</f>
        <v>0</v>
      </c>
      <c r="B1255" s="2">
        <v>42621.7076736111</v>
      </c>
      <c r="C1255">
        <v>0</v>
      </c>
      <c r="D1255">
        <v>8</v>
      </c>
      <c r="E1255" t="s">
        <v>1244</v>
      </c>
    </row>
    <row r="1256" spans="1:5">
      <c r="A1256">
        <f>HYPERLINK("http://www.twitter.com/FDNY/status/773917408721510400", "773917408721510400")</f>
        <v>0</v>
      </c>
      <c r="B1256" s="2">
        <v>42621.6766550926</v>
      </c>
      <c r="C1256">
        <v>0</v>
      </c>
      <c r="D1256">
        <v>7</v>
      </c>
      <c r="E1256" t="s">
        <v>1245</v>
      </c>
    </row>
    <row r="1257" spans="1:5">
      <c r="A1257">
        <f>HYPERLINK("http://www.twitter.com/FDNY/status/773907077156761600", "773907077156761600")</f>
        <v>0</v>
      </c>
      <c r="B1257" s="2">
        <v>42621.6481481481</v>
      </c>
      <c r="C1257">
        <v>53</v>
      </c>
      <c r="D1257">
        <v>20</v>
      </c>
      <c r="E1257" t="s">
        <v>1246</v>
      </c>
    </row>
    <row r="1258" spans="1:5">
      <c r="A1258">
        <f>HYPERLINK("http://www.twitter.com/FDNY/status/773906237687734272", "773906237687734272")</f>
        <v>0</v>
      </c>
      <c r="B1258" s="2">
        <v>42621.6458333333</v>
      </c>
      <c r="C1258">
        <v>6</v>
      </c>
      <c r="D1258">
        <v>7</v>
      </c>
      <c r="E1258" t="s">
        <v>1247</v>
      </c>
    </row>
    <row r="1259" spans="1:5">
      <c r="A1259">
        <f>HYPERLINK("http://www.twitter.com/FDNY/status/773905682823278593", "773905682823278593")</f>
        <v>0</v>
      </c>
      <c r="B1259" s="2">
        <v>42621.6442939815</v>
      </c>
      <c r="C1259">
        <v>0</v>
      </c>
      <c r="D1259">
        <v>20</v>
      </c>
      <c r="E1259" t="s">
        <v>1248</v>
      </c>
    </row>
    <row r="1260" spans="1:5">
      <c r="A1260">
        <f>HYPERLINK("http://www.twitter.com/FDNY/status/773894016807174144", "773894016807174144")</f>
        <v>0</v>
      </c>
      <c r="B1260" s="2">
        <v>42621.6121064815</v>
      </c>
      <c r="C1260">
        <v>4</v>
      </c>
      <c r="D1260">
        <v>6</v>
      </c>
      <c r="E1260" t="s">
        <v>1249</v>
      </c>
    </row>
    <row r="1261" spans="1:5">
      <c r="A1261">
        <f>HYPERLINK("http://www.twitter.com/FDNY/status/773884125937893376", "773884125937893376")</f>
        <v>0</v>
      </c>
      <c r="B1261" s="2">
        <v>42621.5848148148</v>
      </c>
      <c r="C1261">
        <v>35</v>
      </c>
      <c r="D1261">
        <v>15</v>
      </c>
      <c r="E1261" t="s">
        <v>1250</v>
      </c>
    </row>
    <row r="1262" spans="1:5">
      <c r="A1262">
        <f>HYPERLINK("http://www.twitter.com/FDNY/status/773863746884268032", "773863746884268032")</f>
        <v>0</v>
      </c>
      <c r="B1262" s="2">
        <v>42621.5285763889</v>
      </c>
      <c r="C1262">
        <v>0</v>
      </c>
      <c r="D1262">
        <v>3</v>
      </c>
      <c r="E1262" t="s">
        <v>1251</v>
      </c>
    </row>
    <row r="1263" spans="1:5">
      <c r="A1263">
        <f>HYPERLINK("http://www.twitter.com/FDNY/status/773662067710648320", "773662067710648320")</f>
        <v>0</v>
      </c>
      <c r="B1263" s="2">
        <v>42620.9720486111</v>
      </c>
      <c r="C1263">
        <v>0</v>
      </c>
      <c r="D1263">
        <v>27</v>
      </c>
      <c r="E1263" t="s">
        <v>1252</v>
      </c>
    </row>
    <row r="1264" spans="1:5">
      <c r="A1264">
        <f>HYPERLINK("http://www.twitter.com/FDNY/status/773616120234409984", "773616120234409984")</f>
        <v>0</v>
      </c>
      <c r="B1264" s="2">
        <v>42620.8452546296</v>
      </c>
      <c r="C1264">
        <v>33</v>
      </c>
      <c r="D1264">
        <v>14</v>
      </c>
      <c r="E1264" t="s">
        <v>1253</v>
      </c>
    </row>
    <row r="1265" spans="1:5">
      <c r="A1265">
        <f>HYPERLINK("http://www.twitter.com/FDNY/status/773608861441949696", "773608861441949696")</f>
        <v>0</v>
      </c>
      <c r="B1265" s="2">
        <v>42620.8252314815</v>
      </c>
      <c r="C1265">
        <v>0</v>
      </c>
      <c r="D1265">
        <v>44</v>
      </c>
      <c r="E1265" t="s">
        <v>1254</v>
      </c>
    </row>
    <row r="1266" spans="1:5">
      <c r="A1266">
        <f>HYPERLINK("http://www.twitter.com/FDNY/status/773587044836737024", "773587044836737024")</f>
        <v>0</v>
      </c>
      <c r="B1266" s="2">
        <v>42620.7650231481</v>
      </c>
      <c r="C1266">
        <v>48</v>
      </c>
      <c r="D1266">
        <v>18</v>
      </c>
      <c r="E1266" t="s">
        <v>1255</v>
      </c>
    </row>
    <row r="1267" spans="1:5">
      <c r="A1267">
        <f>HYPERLINK("http://www.twitter.com/FDNY/status/773583224278749184", "773583224278749184")</f>
        <v>0</v>
      </c>
      <c r="B1267" s="2">
        <v>42620.7544791667</v>
      </c>
      <c r="C1267">
        <v>5</v>
      </c>
      <c r="D1267">
        <v>2</v>
      </c>
      <c r="E1267" t="s">
        <v>1256</v>
      </c>
    </row>
    <row r="1268" spans="1:5">
      <c r="A1268">
        <f>HYPERLINK("http://www.twitter.com/FDNY/status/773583029407186946", "773583029407186946")</f>
        <v>0</v>
      </c>
      <c r="B1268" s="2">
        <v>42620.7539467593</v>
      </c>
      <c r="C1268">
        <v>67</v>
      </c>
      <c r="D1268">
        <v>40</v>
      </c>
      <c r="E1268" t="s">
        <v>1257</v>
      </c>
    </row>
    <row r="1269" spans="1:5">
      <c r="A1269">
        <f>HYPERLINK("http://www.twitter.com/FDNY/status/773573466901676037", "773573466901676037")</f>
        <v>0</v>
      </c>
      <c r="B1269" s="2">
        <v>42620.7275578704</v>
      </c>
      <c r="C1269">
        <v>32</v>
      </c>
      <c r="D1269">
        <v>8</v>
      </c>
      <c r="E1269" t="s">
        <v>1258</v>
      </c>
    </row>
    <row r="1270" spans="1:5">
      <c r="A1270">
        <f>HYPERLINK("http://www.twitter.com/FDNY/status/773541504354844673", "773541504354844673")</f>
        <v>0</v>
      </c>
      <c r="B1270" s="2">
        <v>42620.6393634259</v>
      </c>
      <c r="C1270">
        <v>12</v>
      </c>
      <c r="D1270">
        <v>7</v>
      </c>
      <c r="E1270" t="s">
        <v>1259</v>
      </c>
    </row>
    <row r="1271" spans="1:5">
      <c r="A1271">
        <f>HYPERLINK("http://www.twitter.com/FDNY/status/773512953828143104", "773512953828143104")</f>
        <v>0</v>
      </c>
      <c r="B1271" s="2">
        <v>42620.5605787037</v>
      </c>
      <c r="C1271">
        <v>54</v>
      </c>
      <c r="D1271">
        <v>27</v>
      </c>
      <c r="E1271" t="s">
        <v>1260</v>
      </c>
    </row>
    <row r="1272" spans="1:5">
      <c r="A1272">
        <f>HYPERLINK("http://www.twitter.com/FDNY/status/773498681286881282", "773498681286881282")</f>
        <v>0</v>
      </c>
      <c r="B1272" s="2">
        <v>42620.5211921296</v>
      </c>
      <c r="C1272">
        <v>0</v>
      </c>
      <c r="D1272">
        <v>17</v>
      </c>
      <c r="E1272" t="s">
        <v>1261</v>
      </c>
    </row>
    <row r="1273" spans="1:5">
      <c r="A1273">
        <f>HYPERLINK("http://www.twitter.com/FDNY/status/773292442154070016", "773292442154070016")</f>
        <v>0</v>
      </c>
      <c r="B1273" s="2">
        <v>42619.9520717593</v>
      </c>
      <c r="C1273">
        <v>0</v>
      </c>
      <c r="D1273">
        <v>8</v>
      </c>
      <c r="E1273" t="s">
        <v>1262</v>
      </c>
    </row>
    <row r="1274" spans="1:5">
      <c r="A1274">
        <f>HYPERLINK("http://www.twitter.com/FDNY/status/773280590644772864", "773280590644772864")</f>
        <v>0</v>
      </c>
      <c r="B1274" s="2">
        <v>42619.919375</v>
      </c>
      <c r="C1274">
        <v>31</v>
      </c>
      <c r="D1274">
        <v>12</v>
      </c>
      <c r="E1274" t="s">
        <v>1263</v>
      </c>
    </row>
    <row r="1275" spans="1:5">
      <c r="A1275">
        <f>HYPERLINK("http://www.twitter.com/FDNY/status/773279821090652160", "773279821090652160")</f>
        <v>0</v>
      </c>
      <c r="B1275" s="2">
        <v>42619.9172453704</v>
      </c>
      <c r="C1275">
        <v>26</v>
      </c>
      <c r="D1275">
        <v>16</v>
      </c>
      <c r="E1275" t="s">
        <v>1264</v>
      </c>
    </row>
    <row r="1276" spans="1:5">
      <c r="A1276">
        <f>HYPERLINK("http://www.twitter.com/FDNY/status/773255288245944321", "773255288245944321")</f>
        <v>0</v>
      </c>
      <c r="B1276" s="2">
        <v>42619.8495486111</v>
      </c>
      <c r="C1276">
        <v>24</v>
      </c>
      <c r="D1276">
        <v>5</v>
      </c>
      <c r="E1276" t="s">
        <v>1265</v>
      </c>
    </row>
    <row r="1277" spans="1:5">
      <c r="A1277">
        <f>HYPERLINK("http://www.twitter.com/FDNY/status/773255188505395204", "773255188505395204")</f>
        <v>0</v>
      </c>
      <c r="B1277" s="2">
        <v>42619.8492708333</v>
      </c>
      <c r="C1277">
        <v>25</v>
      </c>
      <c r="D1277">
        <v>7</v>
      </c>
      <c r="E1277" t="s">
        <v>1266</v>
      </c>
    </row>
    <row r="1278" spans="1:5">
      <c r="A1278">
        <f>HYPERLINK("http://www.twitter.com/FDNY/status/773253469822148614", "773253469822148614")</f>
        <v>0</v>
      </c>
      <c r="B1278" s="2">
        <v>42619.844537037</v>
      </c>
      <c r="C1278">
        <v>31</v>
      </c>
      <c r="D1278">
        <v>8</v>
      </c>
      <c r="E1278" t="s">
        <v>1267</v>
      </c>
    </row>
    <row r="1279" spans="1:5">
      <c r="A1279">
        <f>HYPERLINK("http://www.twitter.com/FDNY/status/773253407373156352", "773253407373156352")</f>
        <v>0</v>
      </c>
      <c r="B1279" s="2">
        <v>42619.8443634259</v>
      </c>
      <c r="C1279">
        <v>24</v>
      </c>
      <c r="D1279">
        <v>15</v>
      </c>
      <c r="E1279" t="s">
        <v>1268</v>
      </c>
    </row>
    <row r="1280" spans="1:5">
      <c r="A1280">
        <f>HYPERLINK("http://www.twitter.com/FDNY/status/773253270353670144", "773253270353670144")</f>
        <v>0</v>
      </c>
      <c r="B1280" s="2">
        <v>42619.8439814815</v>
      </c>
      <c r="C1280">
        <v>66</v>
      </c>
      <c r="D1280">
        <v>45</v>
      </c>
      <c r="E1280" t="s">
        <v>1269</v>
      </c>
    </row>
    <row r="1281" spans="1:5">
      <c r="A1281">
        <f>HYPERLINK("http://www.twitter.com/FDNY/status/773250565816119296", "773250565816119296")</f>
        <v>0</v>
      </c>
      <c r="B1281" s="2">
        <v>42619.8365162037</v>
      </c>
      <c r="C1281">
        <v>45</v>
      </c>
      <c r="D1281">
        <v>24</v>
      </c>
      <c r="E1281" t="s">
        <v>1270</v>
      </c>
    </row>
    <row r="1282" spans="1:5">
      <c r="A1282">
        <f>HYPERLINK("http://www.twitter.com/FDNY/status/773250422605803520", "773250422605803520")</f>
        <v>0</v>
      </c>
      <c r="B1282" s="2">
        <v>42619.8361226852</v>
      </c>
      <c r="C1282">
        <v>37</v>
      </c>
      <c r="D1282">
        <v>28</v>
      </c>
      <c r="E1282" t="s">
        <v>1271</v>
      </c>
    </row>
    <row r="1283" spans="1:5">
      <c r="A1283">
        <f>HYPERLINK("http://www.twitter.com/FDNY/status/773234433579253760", "773234433579253760")</f>
        <v>0</v>
      </c>
      <c r="B1283" s="2">
        <v>42619.7920023148</v>
      </c>
      <c r="C1283">
        <v>39</v>
      </c>
      <c r="D1283">
        <v>18</v>
      </c>
      <c r="E1283" t="s">
        <v>1272</v>
      </c>
    </row>
    <row r="1284" spans="1:5">
      <c r="A1284">
        <f>HYPERLINK("http://www.twitter.com/FDNY/status/773209222649643009", "773209222649643009")</f>
        <v>0</v>
      </c>
      <c r="B1284" s="2">
        <v>42619.7224305556</v>
      </c>
      <c r="C1284">
        <v>59</v>
      </c>
      <c r="D1284">
        <v>32</v>
      </c>
      <c r="E1284" t="s">
        <v>1273</v>
      </c>
    </row>
    <row r="1285" spans="1:5">
      <c r="A1285">
        <f>HYPERLINK("http://www.twitter.com/FDNY/status/773169367324495873", "773169367324495873")</f>
        <v>0</v>
      </c>
      <c r="B1285" s="2">
        <v>42619.6124537037</v>
      </c>
      <c r="C1285">
        <v>0</v>
      </c>
      <c r="D1285">
        <v>9</v>
      </c>
      <c r="E1285" t="s">
        <v>1274</v>
      </c>
    </row>
    <row r="1286" spans="1:5">
      <c r="A1286">
        <f>HYPERLINK("http://www.twitter.com/FDNY/status/773166413662093312", "773166413662093312")</f>
        <v>0</v>
      </c>
      <c r="B1286" s="2">
        <v>42619.6043055556</v>
      </c>
      <c r="C1286">
        <v>0</v>
      </c>
      <c r="D1286">
        <v>7</v>
      </c>
      <c r="E1286" t="s">
        <v>1275</v>
      </c>
    </row>
    <row r="1287" spans="1:5">
      <c r="A1287">
        <f>HYPERLINK("http://www.twitter.com/FDNY/status/773157992791437312", "773157992791437312")</f>
        <v>0</v>
      </c>
      <c r="B1287" s="2">
        <v>42619.5810648148</v>
      </c>
      <c r="C1287">
        <v>10</v>
      </c>
      <c r="D1287">
        <v>8</v>
      </c>
      <c r="E1287" t="s">
        <v>1276</v>
      </c>
    </row>
    <row r="1288" spans="1:5">
      <c r="A1288">
        <f>HYPERLINK("http://www.twitter.com/FDNY/status/773132800673320960", "773132800673320960")</f>
        <v>0</v>
      </c>
      <c r="B1288" s="2">
        <v>42619.5115509259</v>
      </c>
      <c r="C1288">
        <v>0</v>
      </c>
      <c r="D1288">
        <v>9</v>
      </c>
      <c r="E1288" t="s">
        <v>1277</v>
      </c>
    </row>
    <row r="1289" spans="1:5">
      <c r="A1289">
        <f>HYPERLINK("http://www.twitter.com/FDNY/status/772889845752528897", "772889845752528897")</f>
        <v>0</v>
      </c>
      <c r="B1289" s="2">
        <v>42618.8411226852</v>
      </c>
      <c r="C1289">
        <v>37</v>
      </c>
      <c r="D1289">
        <v>16</v>
      </c>
      <c r="E1289" t="s">
        <v>1278</v>
      </c>
    </row>
    <row r="1290" spans="1:5">
      <c r="A1290">
        <f>HYPERLINK("http://www.twitter.com/FDNY/status/772588465426952197", "772588465426952197")</f>
        <v>0</v>
      </c>
      <c r="B1290" s="2">
        <v>42618.0094675926</v>
      </c>
      <c r="C1290">
        <v>40</v>
      </c>
      <c r="D1290">
        <v>11</v>
      </c>
      <c r="E1290" t="s">
        <v>1279</v>
      </c>
    </row>
    <row r="1291" spans="1:5">
      <c r="A1291">
        <f>HYPERLINK("http://www.twitter.com/FDNY/status/772588006163247108", "772588006163247108")</f>
        <v>0</v>
      </c>
      <c r="B1291" s="2">
        <v>42618.0082060185</v>
      </c>
      <c r="C1291">
        <v>0</v>
      </c>
      <c r="D1291">
        <v>7</v>
      </c>
      <c r="E1291" t="s">
        <v>1280</v>
      </c>
    </row>
    <row r="1292" spans="1:5">
      <c r="A1292">
        <f>HYPERLINK("http://www.twitter.com/FDNY/status/772576588378599425", "772576588378599425")</f>
        <v>0</v>
      </c>
      <c r="B1292" s="2">
        <v>42617.9767013889</v>
      </c>
      <c r="C1292">
        <v>70</v>
      </c>
      <c r="D1292">
        <v>29</v>
      </c>
      <c r="E1292" t="s">
        <v>1281</v>
      </c>
    </row>
    <row r="1293" spans="1:5">
      <c r="A1293">
        <f>HYPERLINK("http://www.twitter.com/FDNY/status/772573950018715648", "772573950018715648")</f>
        <v>0</v>
      </c>
      <c r="B1293" s="2">
        <v>42617.9694212963</v>
      </c>
      <c r="C1293">
        <v>0</v>
      </c>
      <c r="D1293">
        <v>47</v>
      </c>
      <c r="E1293" t="s">
        <v>1282</v>
      </c>
    </row>
    <row r="1294" spans="1:5">
      <c r="A1294">
        <f>HYPERLINK("http://www.twitter.com/FDNY/status/772546753472192512", "772546753472192512")</f>
        <v>0</v>
      </c>
      <c r="B1294" s="2">
        <v>42617.8943634259</v>
      </c>
      <c r="C1294">
        <v>118</v>
      </c>
      <c r="D1294">
        <v>60</v>
      </c>
      <c r="E1294" t="s">
        <v>1283</v>
      </c>
    </row>
    <row r="1295" spans="1:5">
      <c r="A1295">
        <f>HYPERLINK("http://www.twitter.com/FDNY/status/772538582519218177", "772538582519218177")</f>
        <v>0</v>
      </c>
      <c r="B1295" s="2">
        <v>42617.8718171296</v>
      </c>
      <c r="C1295">
        <v>0</v>
      </c>
      <c r="D1295">
        <v>27</v>
      </c>
      <c r="E1295" t="s">
        <v>1284</v>
      </c>
    </row>
    <row r="1296" spans="1:5">
      <c r="A1296">
        <f>HYPERLINK("http://www.twitter.com/FDNY/status/772501093444091905", "772501093444091905")</f>
        <v>0</v>
      </c>
      <c r="B1296" s="2">
        <v>42617.7683680556</v>
      </c>
      <c r="C1296">
        <v>0</v>
      </c>
      <c r="D1296">
        <v>67</v>
      </c>
      <c r="E1296" t="s">
        <v>1285</v>
      </c>
    </row>
    <row r="1297" spans="1:5">
      <c r="A1297">
        <f>HYPERLINK("http://www.twitter.com/FDNY/status/772231912857436160", "772231912857436160")</f>
        <v>0</v>
      </c>
      <c r="B1297" s="2">
        <v>42617.0255787037</v>
      </c>
      <c r="C1297">
        <v>0</v>
      </c>
      <c r="D1297">
        <v>116</v>
      </c>
      <c r="E1297" t="s">
        <v>1286</v>
      </c>
    </row>
    <row r="1298" spans="1:5">
      <c r="A1298">
        <f>HYPERLINK("http://www.twitter.com/FDNY/status/772228543313022976", "772228543313022976")</f>
        <v>0</v>
      </c>
      <c r="B1298" s="2">
        <v>42617.0162731481</v>
      </c>
      <c r="C1298">
        <v>0</v>
      </c>
      <c r="D1298">
        <v>82</v>
      </c>
      <c r="E1298" t="s">
        <v>1287</v>
      </c>
    </row>
    <row r="1299" spans="1:5">
      <c r="A1299">
        <f>HYPERLINK("http://www.twitter.com/FDNY/status/772199020483735552", "772199020483735552")</f>
        <v>0</v>
      </c>
      <c r="B1299" s="2">
        <v>42616.9348032407</v>
      </c>
      <c r="C1299">
        <v>0</v>
      </c>
      <c r="D1299">
        <v>11</v>
      </c>
      <c r="E1299" t="s">
        <v>1288</v>
      </c>
    </row>
    <row r="1300" spans="1:5">
      <c r="A1300">
        <f>HYPERLINK("http://www.twitter.com/FDNY/status/772142233248210944", "772142233248210944")</f>
        <v>0</v>
      </c>
      <c r="B1300" s="2">
        <v>42616.7781018519</v>
      </c>
      <c r="C1300">
        <v>14</v>
      </c>
      <c r="D1300">
        <v>12</v>
      </c>
      <c r="E1300" t="s">
        <v>1289</v>
      </c>
    </row>
    <row r="1301" spans="1:5">
      <c r="A1301">
        <f>HYPERLINK("http://www.twitter.com/FDNY/status/772098129160208384", "772098129160208384")</f>
        <v>0</v>
      </c>
      <c r="B1301" s="2">
        <v>42616.656400463</v>
      </c>
      <c r="C1301">
        <v>0</v>
      </c>
      <c r="D1301">
        <v>16</v>
      </c>
      <c r="E1301" t="s">
        <v>1290</v>
      </c>
    </row>
    <row r="1302" spans="1:5">
      <c r="A1302">
        <f>HYPERLINK("http://www.twitter.com/FDNY/status/772098075611529216", "772098075611529216")</f>
        <v>0</v>
      </c>
      <c r="B1302" s="2">
        <v>42616.65625</v>
      </c>
      <c r="C1302">
        <v>0</v>
      </c>
      <c r="D1302">
        <v>105</v>
      </c>
      <c r="E1302" t="s">
        <v>1291</v>
      </c>
    </row>
    <row r="1303" spans="1:5">
      <c r="A1303">
        <f>HYPERLINK("http://www.twitter.com/FDNY/status/772076808560898048", "772076808560898048")</f>
        <v>0</v>
      </c>
      <c r="B1303" s="2">
        <v>42616.5975694444</v>
      </c>
      <c r="C1303">
        <v>18</v>
      </c>
      <c r="D1303">
        <v>10</v>
      </c>
      <c r="E1303" t="s">
        <v>629</v>
      </c>
    </row>
    <row r="1304" spans="1:5">
      <c r="A1304">
        <f>HYPERLINK("http://www.twitter.com/FDNY/status/771871563914309632", "771871563914309632")</f>
        <v>0</v>
      </c>
      <c r="B1304" s="2">
        <v>42616.0312037037</v>
      </c>
      <c r="C1304">
        <v>0</v>
      </c>
      <c r="D1304">
        <v>133</v>
      </c>
      <c r="E1304" t="s">
        <v>1292</v>
      </c>
    </row>
    <row r="1305" spans="1:5">
      <c r="A1305">
        <f>HYPERLINK("http://www.twitter.com/FDNY/status/771795889413390337", "771795889413390337")</f>
        <v>0</v>
      </c>
      <c r="B1305" s="2">
        <v>42615.8223726852</v>
      </c>
      <c r="C1305">
        <v>0</v>
      </c>
      <c r="D1305">
        <v>193</v>
      </c>
      <c r="E1305" t="s">
        <v>1293</v>
      </c>
    </row>
    <row r="1306" spans="1:5">
      <c r="A1306">
        <f>HYPERLINK("http://www.twitter.com/FDNY/status/771795848258871296", "771795848258871296")</f>
        <v>0</v>
      </c>
      <c r="B1306" s="2">
        <v>42615.8222685185</v>
      </c>
      <c r="C1306">
        <v>0</v>
      </c>
      <c r="D1306">
        <v>81</v>
      </c>
      <c r="E1306" t="s">
        <v>1294</v>
      </c>
    </row>
    <row r="1307" spans="1:5">
      <c r="A1307">
        <f>HYPERLINK("http://www.twitter.com/FDNY/status/771792428139421697", "771792428139421697")</f>
        <v>0</v>
      </c>
      <c r="B1307" s="2">
        <v>42615.8128240741</v>
      </c>
      <c r="C1307">
        <v>22</v>
      </c>
      <c r="D1307">
        <v>14</v>
      </c>
      <c r="E1307" t="s">
        <v>1295</v>
      </c>
    </row>
    <row r="1308" spans="1:5">
      <c r="A1308">
        <f>HYPERLINK("http://www.twitter.com/FDNY/status/771791956661895168", "771791956661895168")</f>
        <v>0</v>
      </c>
      <c r="B1308" s="2">
        <v>42615.8115277778</v>
      </c>
      <c r="C1308">
        <v>37</v>
      </c>
      <c r="D1308">
        <v>17</v>
      </c>
      <c r="E1308" t="s">
        <v>1296</v>
      </c>
    </row>
    <row r="1309" spans="1:5">
      <c r="A1309">
        <f>HYPERLINK("http://www.twitter.com/FDNY/status/771790949294956544", "771790949294956544")</f>
        <v>0</v>
      </c>
      <c r="B1309" s="2">
        <v>42615.80875</v>
      </c>
      <c r="C1309">
        <v>84</v>
      </c>
      <c r="D1309">
        <v>33</v>
      </c>
      <c r="E1309" t="s">
        <v>1297</v>
      </c>
    </row>
    <row r="1310" spans="1:5">
      <c r="A1310">
        <f>HYPERLINK("http://www.twitter.com/FDNY/status/771786247270461440", "771786247270461440")</f>
        <v>0</v>
      </c>
      <c r="B1310" s="2">
        <v>42615.795775463</v>
      </c>
      <c r="C1310">
        <v>85</v>
      </c>
      <c r="D1310">
        <v>33</v>
      </c>
      <c r="E1310" t="s">
        <v>1298</v>
      </c>
    </row>
    <row r="1311" spans="1:5">
      <c r="A1311">
        <f>HYPERLINK("http://www.twitter.com/FDNY/status/771735108848091136", "771735108848091136")</f>
        <v>0</v>
      </c>
      <c r="B1311" s="2">
        <v>42615.6546527778</v>
      </c>
      <c r="C1311">
        <v>0</v>
      </c>
      <c r="D1311">
        <v>16</v>
      </c>
      <c r="E1311" t="s">
        <v>1299</v>
      </c>
    </row>
    <row r="1312" spans="1:5">
      <c r="A1312">
        <f>HYPERLINK("http://www.twitter.com/FDNY/status/771735070503759873", "771735070503759873")</f>
        <v>0</v>
      </c>
      <c r="B1312" s="2">
        <v>42615.6545486111</v>
      </c>
      <c r="C1312">
        <v>0</v>
      </c>
      <c r="D1312">
        <v>6</v>
      </c>
      <c r="E1312" t="s">
        <v>1300</v>
      </c>
    </row>
    <row r="1313" spans="1:5">
      <c r="A1313">
        <f>HYPERLINK("http://www.twitter.com/FDNY/status/771735063964819456", "771735063964819456")</f>
        <v>0</v>
      </c>
      <c r="B1313" s="2">
        <v>42615.654537037</v>
      </c>
      <c r="C1313">
        <v>0</v>
      </c>
      <c r="D1313">
        <v>6</v>
      </c>
      <c r="E1313" t="s">
        <v>1301</v>
      </c>
    </row>
    <row r="1314" spans="1:5">
      <c r="A1314">
        <f>HYPERLINK("http://www.twitter.com/FDNY/status/771735054024343552", "771735054024343552")</f>
        <v>0</v>
      </c>
      <c r="B1314" s="2">
        <v>42615.6545023148</v>
      </c>
      <c r="C1314">
        <v>0</v>
      </c>
      <c r="D1314">
        <v>21</v>
      </c>
      <c r="E1314" t="s">
        <v>1302</v>
      </c>
    </row>
    <row r="1315" spans="1:5">
      <c r="A1315">
        <f>HYPERLINK("http://www.twitter.com/FDNY/status/771735048517222400", "771735048517222400")</f>
        <v>0</v>
      </c>
      <c r="B1315" s="2">
        <v>42615.6544907407</v>
      </c>
      <c r="C1315">
        <v>0</v>
      </c>
      <c r="D1315">
        <v>9</v>
      </c>
      <c r="E1315" t="s">
        <v>1303</v>
      </c>
    </row>
    <row r="1316" spans="1:5">
      <c r="A1316">
        <f>HYPERLINK("http://www.twitter.com/FDNY/status/771735038073405440", "771735038073405440")</f>
        <v>0</v>
      </c>
      <c r="B1316" s="2">
        <v>42615.6544560185</v>
      </c>
      <c r="C1316">
        <v>0</v>
      </c>
      <c r="D1316">
        <v>8</v>
      </c>
      <c r="E1316" t="s">
        <v>1304</v>
      </c>
    </row>
    <row r="1317" spans="1:5">
      <c r="A1317">
        <f>HYPERLINK("http://www.twitter.com/FDNY/status/771735032784424960", "771735032784424960")</f>
        <v>0</v>
      </c>
      <c r="B1317" s="2">
        <v>42615.6544444444</v>
      </c>
      <c r="C1317">
        <v>0</v>
      </c>
      <c r="D1317">
        <v>13</v>
      </c>
      <c r="E1317" t="s">
        <v>1305</v>
      </c>
    </row>
    <row r="1318" spans="1:5">
      <c r="A1318">
        <f>HYPERLINK("http://www.twitter.com/FDNY/status/771735023020015616", "771735023020015616")</f>
        <v>0</v>
      </c>
      <c r="B1318" s="2">
        <v>42615.6544212963</v>
      </c>
      <c r="C1318">
        <v>0</v>
      </c>
      <c r="D1318">
        <v>6</v>
      </c>
      <c r="E1318" t="s">
        <v>1306</v>
      </c>
    </row>
    <row r="1319" spans="1:5">
      <c r="A1319">
        <f>HYPERLINK("http://www.twitter.com/FDNY/status/771734926341337088", "771734926341337088")</f>
        <v>0</v>
      </c>
      <c r="B1319" s="2">
        <v>42615.6541550926</v>
      </c>
      <c r="C1319">
        <v>0</v>
      </c>
      <c r="D1319">
        <v>14</v>
      </c>
      <c r="E1319" t="s">
        <v>1307</v>
      </c>
    </row>
    <row r="1320" spans="1:5">
      <c r="A1320">
        <f>HYPERLINK("http://www.twitter.com/FDNY/status/771734924521078784", "771734924521078784")</f>
        <v>0</v>
      </c>
      <c r="B1320" s="2">
        <v>42615.6541435185</v>
      </c>
      <c r="C1320">
        <v>0</v>
      </c>
      <c r="D1320">
        <v>7</v>
      </c>
      <c r="E1320" t="s">
        <v>1308</v>
      </c>
    </row>
    <row r="1321" spans="1:5">
      <c r="A1321">
        <f>HYPERLINK("http://www.twitter.com/FDNY/status/771725397079785473", "771725397079785473")</f>
        <v>0</v>
      </c>
      <c r="B1321" s="2">
        <v>42615.6278587963</v>
      </c>
      <c r="C1321">
        <v>0</v>
      </c>
      <c r="D1321">
        <v>8</v>
      </c>
      <c r="E1321" t="s">
        <v>1309</v>
      </c>
    </row>
    <row r="1322" spans="1:5">
      <c r="A1322">
        <f>HYPERLINK("http://www.twitter.com/FDNY/status/771711250728386560", "771711250728386560")</f>
        <v>0</v>
      </c>
      <c r="B1322" s="2">
        <v>42615.5888194444</v>
      </c>
      <c r="C1322">
        <v>34</v>
      </c>
      <c r="D1322">
        <v>17</v>
      </c>
      <c r="E1322" t="s">
        <v>1310</v>
      </c>
    </row>
    <row r="1323" spans="1:5">
      <c r="A1323">
        <f>HYPERLINK("http://www.twitter.com/FDNY/status/771697478815059968", "771697478815059968")</f>
        <v>0</v>
      </c>
      <c r="B1323" s="2">
        <v>42615.5508217593</v>
      </c>
      <c r="C1323">
        <v>0</v>
      </c>
      <c r="D1323">
        <v>14</v>
      </c>
      <c r="E1323" t="s">
        <v>1311</v>
      </c>
    </row>
    <row r="1324" spans="1:5">
      <c r="A1324">
        <f>HYPERLINK("http://www.twitter.com/FDNY/status/771444265037815808", "771444265037815808")</f>
        <v>0</v>
      </c>
      <c r="B1324" s="2">
        <v>42614.8520833333</v>
      </c>
      <c r="C1324">
        <v>0</v>
      </c>
      <c r="D1324">
        <v>7</v>
      </c>
      <c r="E1324" t="s">
        <v>1312</v>
      </c>
    </row>
    <row r="1325" spans="1:5">
      <c r="A1325">
        <f>HYPERLINK("http://www.twitter.com/FDNY/status/771438659774078976", "771438659774078976")</f>
        <v>0</v>
      </c>
      <c r="B1325" s="2">
        <v>42614.8366087963</v>
      </c>
      <c r="C1325">
        <v>75</v>
      </c>
      <c r="D1325">
        <v>40</v>
      </c>
      <c r="E1325" t="s">
        <v>1313</v>
      </c>
    </row>
    <row r="1326" spans="1:5">
      <c r="A1326">
        <f>HYPERLINK("http://www.twitter.com/FDNY/status/771437880296280065", "771437880296280065")</f>
        <v>0</v>
      </c>
      <c r="B1326" s="2">
        <v>42614.8344560185</v>
      </c>
      <c r="C1326">
        <v>34</v>
      </c>
      <c r="D1326">
        <v>10</v>
      </c>
      <c r="E1326" t="s">
        <v>1314</v>
      </c>
    </row>
    <row r="1327" spans="1:5">
      <c r="A1327">
        <f>HYPERLINK("http://www.twitter.com/FDNY/status/771392802001391616", "771392802001391616")</f>
        <v>0</v>
      </c>
      <c r="B1327" s="2">
        <v>42614.7100694444</v>
      </c>
      <c r="C1327">
        <v>0</v>
      </c>
      <c r="D1327">
        <v>5</v>
      </c>
      <c r="E1327" t="s">
        <v>1315</v>
      </c>
    </row>
    <row r="1328" spans="1:5">
      <c r="A1328">
        <f>HYPERLINK("http://www.twitter.com/FDNY/status/771347350900146177", "771347350900146177")</f>
        <v>0</v>
      </c>
      <c r="B1328" s="2">
        <v>42614.5846527778</v>
      </c>
      <c r="C1328">
        <v>30</v>
      </c>
      <c r="D1328">
        <v>16</v>
      </c>
      <c r="E1328" t="s">
        <v>1316</v>
      </c>
    </row>
    <row r="1329" spans="1:5">
      <c r="A1329">
        <f>HYPERLINK("http://www.twitter.com/FDNY/status/771332744848740352", "771332744848740352")</f>
        <v>0</v>
      </c>
      <c r="B1329" s="2">
        <v>42614.5443402778</v>
      </c>
      <c r="C1329">
        <v>0</v>
      </c>
      <c r="D1329">
        <v>40</v>
      </c>
      <c r="E1329" t="s">
        <v>1317</v>
      </c>
    </row>
    <row r="1330" spans="1:5">
      <c r="A1330">
        <f>HYPERLINK("http://www.twitter.com/FDNY/status/771097137681686528", "771097137681686528")</f>
        <v>0</v>
      </c>
      <c r="B1330" s="2">
        <v>42613.8941898148</v>
      </c>
      <c r="C1330">
        <v>0</v>
      </c>
      <c r="D1330">
        <v>16</v>
      </c>
      <c r="E1330" t="s">
        <v>1318</v>
      </c>
    </row>
    <row r="1331" spans="1:5">
      <c r="A1331">
        <f>HYPERLINK("http://www.twitter.com/FDNY/status/771096149881151488", "771096149881151488")</f>
        <v>0</v>
      </c>
      <c r="B1331" s="2">
        <v>42613.8914699074</v>
      </c>
      <c r="C1331">
        <v>0</v>
      </c>
      <c r="D1331">
        <v>22</v>
      </c>
      <c r="E1331" t="s">
        <v>1319</v>
      </c>
    </row>
    <row r="1332" spans="1:5">
      <c r="A1332">
        <f>HYPERLINK("http://www.twitter.com/FDNY/status/771066142601469952", "771066142601469952")</f>
        <v>0</v>
      </c>
      <c r="B1332" s="2">
        <v>42613.8086574074</v>
      </c>
      <c r="C1332">
        <v>0</v>
      </c>
      <c r="D1332">
        <v>6</v>
      </c>
      <c r="E1332" t="s">
        <v>1320</v>
      </c>
    </row>
    <row r="1333" spans="1:5">
      <c r="A1333">
        <f>HYPERLINK("http://www.twitter.com/FDNY/status/771055288669601792", "771055288669601792")</f>
        <v>0</v>
      </c>
      <c r="B1333" s="2">
        <v>42613.7787037037</v>
      </c>
      <c r="C1333">
        <v>0</v>
      </c>
      <c r="D1333">
        <v>19</v>
      </c>
      <c r="E1333" t="s">
        <v>1321</v>
      </c>
    </row>
    <row r="1334" spans="1:5">
      <c r="A1334">
        <f>HYPERLINK("http://www.twitter.com/FDNY/status/771016011386585088", "771016011386585088")</f>
        <v>0</v>
      </c>
      <c r="B1334" s="2">
        <v>42613.6703240741</v>
      </c>
      <c r="C1334">
        <v>30</v>
      </c>
      <c r="D1334">
        <v>30</v>
      </c>
      <c r="E1334" t="s">
        <v>1322</v>
      </c>
    </row>
    <row r="1335" spans="1:5">
      <c r="A1335">
        <f>HYPERLINK("http://www.twitter.com/FDNY/status/770985879141744640", "770985879141744640")</f>
        <v>0</v>
      </c>
      <c r="B1335" s="2">
        <v>42613.5871759259</v>
      </c>
      <c r="C1335">
        <v>0</v>
      </c>
      <c r="D1335">
        <v>23</v>
      </c>
      <c r="E1335" t="s">
        <v>1323</v>
      </c>
    </row>
    <row r="1336" spans="1:5">
      <c r="A1336">
        <f>HYPERLINK("http://www.twitter.com/FDNY/status/770796331048722432", "770796331048722432")</f>
        <v>0</v>
      </c>
      <c r="B1336" s="2">
        <v>42613.0641203704</v>
      </c>
      <c r="C1336">
        <v>46</v>
      </c>
      <c r="D1336">
        <v>19</v>
      </c>
      <c r="E1336" t="s">
        <v>1324</v>
      </c>
    </row>
    <row r="1337" spans="1:5">
      <c r="A1337">
        <f>HYPERLINK("http://www.twitter.com/FDNY/status/770710303554342912", "770710303554342912")</f>
        <v>0</v>
      </c>
      <c r="B1337" s="2">
        <v>42612.8267361111</v>
      </c>
      <c r="C1337">
        <v>17</v>
      </c>
      <c r="D1337">
        <v>18</v>
      </c>
      <c r="E1337" t="s">
        <v>1325</v>
      </c>
    </row>
    <row r="1338" spans="1:5">
      <c r="A1338">
        <f>HYPERLINK("http://www.twitter.com/FDNY/status/770657171503779841", "770657171503779841")</f>
        <v>0</v>
      </c>
      <c r="B1338" s="2">
        <v>42612.6801157407</v>
      </c>
      <c r="C1338">
        <v>13</v>
      </c>
      <c r="D1338">
        <v>4</v>
      </c>
      <c r="E1338" t="s">
        <v>1326</v>
      </c>
    </row>
    <row r="1339" spans="1:5">
      <c r="A1339">
        <f>HYPERLINK("http://www.twitter.com/FDNY/status/770656745538646016", "770656745538646016")</f>
        <v>0</v>
      </c>
      <c r="B1339" s="2">
        <v>42612.6789351852</v>
      </c>
      <c r="C1339">
        <v>7</v>
      </c>
      <c r="D1339">
        <v>6</v>
      </c>
      <c r="E1339" t="s">
        <v>1327</v>
      </c>
    </row>
    <row r="1340" spans="1:5">
      <c r="A1340">
        <f>HYPERLINK("http://www.twitter.com/FDNY/status/770656309616214017", "770656309616214017")</f>
        <v>0</v>
      </c>
      <c r="B1340" s="2">
        <v>42612.6777314815</v>
      </c>
      <c r="C1340">
        <v>22</v>
      </c>
      <c r="D1340">
        <v>12</v>
      </c>
      <c r="E1340" t="s">
        <v>1328</v>
      </c>
    </row>
    <row r="1341" spans="1:5">
      <c r="A1341">
        <f>HYPERLINK("http://www.twitter.com/FDNY/status/770645901320814592", "770645901320814592")</f>
        <v>0</v>
      </c>
      <c r="B1341" s="2">
        <v>42612.6490162037</v>
      </c>
      <c r="C1341">
        <v>46</v>
      </c>
      <c r="D1341">
        <v>22</v>
      </c>
      <c r="E1341" t="s">
        <v>1329</v>
      </c>
    </row>
    <row r="1342" spans="1:5">
      <c r="A1342">
        <f>HYPERLINK("http://www.twitter.com/FDNY/status/770645763709865984", "770645763709865984")</f>
        <v>0</v>
      </c>
      <c r="B1342" s="2">
        <v>42612.6486342593</v>
      </c>
      <c r="C1342">
        <v>25</v>
      </c>
      <c r="D1342">
        <v>5</v>
      </c>
      <c r="E1342" t="s">
        <v>1330</v>
      </c>
    </row>
    <row r="1343" spans="1:5">
      <c r="A1343">
        <f>HYPERLINK("http://www.twitter.com/FDNY/status/770645158643851264", "770645158643851264")</f>
        <v>0</v>
      </c>
      <c r="B1343" s="2">
        <v>42612.6469675926</v>
      </c>
      <c r="C1343">
        <v>29</v>
      </c>
      <c r="D1343">
        <v>14</v>
      </c>
      <c r="E1343" t="s">
        <v>1331</v>
      </c>
    </row>
    <row r="1344" spans="1:5">
      <c r="A1344">
        <f>HYPERLINK("http://www.twitter.com/FDNY/status/770640042175913984", "770640042175913984")</f>
        <v>0</v>
      </c>
      <c r="B1344" s="2">
        <v>42612.6328472222</v>
      </c>
      <c r="C1344">
        <v>0</v>
      </c>
      <c r="D1344">
        <v>11</v>
      </c>
      <c r="E1344" t="s">
        <v>1332</v>
      </c>
    </row>
    <row r="1345" spans="1:5">
      <c r="A1345">
        <f>HYPERLINK("http://www.twitter.com/FDNY/status/770626125110382592", "770626125110382592")</f>
        <v>0</v>
      </c>
      <c r="B1345" s="2">
        <v>42612.5944444444</v>
      </c>
      <c r="C1345">
        <v>0</v>
      </c>
      <c r="D1345">
        <v>16</v>
      </c>
      <c r="E1345" t="s">
        <v>1333</v>
      </c>
    </row>
    <row r="1346" spans="1:5">
      <c r="A1346">
        <f>HYPERLINK("http://www.twitter.com/FDNY/status/770364646616342528", "770364646616342528")</f>
        <v>0</v>
      </c>
      <c r="B1346" s="2">
        <v>42611.8729050926</v>
      </c>
      <c r="C1346">
        <v>14</v>
      </c>
      <c r="D1346">
        <v>6</v>
      </c>
      <c r="E1346" t="s">
        <v>1334</v>
      </c>
    </row>
    <row r="1347" spans="1:5">
      <c r="A1347">
        <f>HYPERLINK("http://www.twitter.com/FDNY/status/770349179138871297", "770349179138871297")</f>
        <v>0</v>
      </c>
      <c r="B1347" s="2">
        <v>42611.8302199074</v>
      </c>
      <c r="C1347">
        <v>81</v>
      </c>
      <c r="D1347">
        <v>57</v>
      </c>
      <c r="E1347" t="s">
        <v>1335</v>
      </c>
    </row>
    <row r="1348" spans="1:5">
      <c r="A1348">
        <f>HYPERLINK("http://www.twitter.com/FDNY/status/770309249671061504", "770309249671061504")</f>
        <v>0</v>
      </c>
      <c r="B1348" s="2">
        <v>42611.7200347222</v>
      </c>
      <c r="C1348">
        <v>0</v>
      </c>
      <c r="D1348">
        <v>23</v>
      </c>
      <c r="E1348" t="s">
        <v>1336</v>
      </c>
    </row>
    <row r="1349" spans="1:5">
      <c r="A1349">
        <f>HYPERLINK("http://www.twitter.com/FDNY/status/770256874843308032", "770256874843308032")</f>
        <v>0</v>
      </c>
      <c r="B1349" s="2">
        <v>42611.5755092593</v>
      </c>
      <c r="C1349">
        <v>15</v>
      </c>
      <c r="D1349">
        <v>6</v>
      </c>
      <c r="E1349" t="s">
        <v>1337</v>
      </c>
    </row>
    <row r="1350" spans="1:5">
      <c r="A1350">
        <f>HYPERLINK("http://www.twitter.com/FDNY/status/770011090960977920", "770011090960977920")</f>
        <v>0</v>
      </c>
      <c r="B1350" s="2">
        <v>42610.8972685185</v>
      </c>
      <c r="C1350">
        <v>43</v>
      </c>
      <c r="D1350">
        <v>16</v>
      </c>
      <c r="E1350" t="s">
        <v>1338</v>
      </c>
    </row>
    <row r="1351" spans="1:5">
      <c r="A1351">
        <f>HYPERLINK("http://www.twitter.com/FDNY/status/769959205600198656", "769959205600198656")</f>
        <v>0</v>
      </c>
      <c r="B1351" s="2">
        <v>42610.7540972222</v>
      </c>
      <c r="C1351">
        <v>161</v>
      </c>
      <c r="D1351">
        <v>63</v>
      </c>
      <c r="E1351" t="s">
        <v>1339</v>
      </c>
    </row>
    <row r="1352" spans="1:5">
      <c r="A1352">
        <f>HYPERLINK("http://www.twitter.com/FDNY/status/769682231531110405", "769682231531110405")</f>
        <v>0</v>
      </c>
      <c r="B1352" s="2">
        <v>42609.9897916667</v>
      </c>
      <c r="C1352">
        <v>15</v>
      </c>
      <c r="D1352">
        <v>6</v>
      </c>
      <c r="E1352" t="s">
        <v>1340</v>
      </c>
    </row>
    <row r="1353" spans="1:5">
      <c r="A1353">
        <f>HYPERLINK("http://www.twitter.com/FDNY/status/769674758610903040", "769674758610903040")</f>
        <v>0</v>
      </c>
      <c r="B1353" s="2">
        <v>42609.9691666667</v>
      </c>
      <c r="C1353">
        <v>0</v>
      </c>
      <c r="D1353">
        <v>11</v>
      </c>
      <c r="E1353" t="s">
        <v>1341</v>
      </c>
    </row>
    <row r="1354" spans="1:5">
      <c r="A1354">
        <f>HYPERLINK("http://www.twitter.com/FDNY/status/769609357621358593", "769609357621358593")</f>
        <v>0</v>
      </c>
      <c r="B1354" s="2">
        <v>42609.7887037037</v>
      </c>
      <c r="C1354">
        <v>22</v>
      </c>
      <c r="D1354">
        <v>10</v>
      </c>
      <c r="E1354" t="s">
        <v>1342</v>
      </c>
    </row>
    <row r="1355" spans="1:5">
      <c r="A1355">
        <f>HYPERLINK("http://www.twitter.com/FDNY/status/769603249246760960", "769603249246760960")</f>
        <v>0</v>
      </c>
      <c r="B1355" s="2">
        <v>42609.7718402778</v>
      </c>
      <c r="C1355">
        <v>0</v>
      </c>
      <c r="D1355">
        <v>5</v>
      </c>
      <c r="E1355" t="s">
        <v>1343</v>
      </c>
    </row>
    <row r="1356" spans="1:5">
      <c r="A1356">
        <f>HYPERLINK("http://www.twitter.com/FDNY/status/769603197908426752", "769603197908426752")</f>
        <v>0</v>
      </c>
      <c r="B1356" s="2">
        <v>42609.7717013889</v>
      </c>
      <c r="C1356">
        <v>0</v>
      </c>
      <c r="D1356">
        <v>4</v>
      </c>
      <c r="E1356" t="s">
        <v>1344</v>
      </c>
    </row>
    <row r="1357" spans="1:5">
      <c r="A1357">
        <f>HYPERLINK("http://www.twitter.com/FDNY/status/769603090270003200", "769603090270003200")</f>
        <v>0</v>
      </c>
      <c r="B1357" s="2">
        <v>42609.771400463</v>
      </c>
      <c r="C1357">
        <v>15</v>
      </c>
      <c r="D1357">
        <v>5</v>
      </c>
      <c r="E1357" t="s">
        <v>1345</v>
      </c>
    </row>
    <row r="1358" spans="1:5">
      <c r="A1358">
        <f>HYPERLINK("http://www.twitter.com/FDNY/status/769599800656494593", "769599800656494593")</f>
        <v>0</v>
      </c>
      <c r="B1358" s="2">
        <v>42609.7623263889</v>
      </c>
      <c r="C1358">
        <v>0</v>
      </c>
      <c r="D1358">
        <v>6</v>
      </c>
      <c r="E1358" t="s">
        <v>1346</v>
      </c>
    </row>
    <row r="1359" spans="1:5">
      <c r="A1359">
        <f>HYPERLINK("http://www.twitter.com/FDNY/status/769593366837338112", "769593366837338112")</f>
        <v>0</v>
      </c>
      <c r="B1359" s="2">
        <v>42609.7445717593</v>
      </c>
      <c r="C1359">
        <v>11</v>
      </c>
      <c r="D1359">
        <v>6</v>
      </c>
      <c r="E1359" t="s">
        <v>1347</v>
      </c>
    </row>
    <row r="1360" spans="1:5">
      <c r="A1360">
        <f>HYPERLINK("http://www.twitter.com/FDNY/status/769585514307547136", "769585514307547136")</f>
        <v>0</v>
      </c>
      <c r="B1360" s="2">
        <v>42609.7229050926</v>
      </c>
      <c r="C1360">
        <v>26</v>
      </c>
      <c r="D1360">
        <v>11</v>
      </c>
      <c r="E1360" t="s">
        <v>1348</v>
      </c>
    </row>
    <row r="1361" spans="1:5">
      <c r="A1361">
        <f>HYPERLINK("http://www.twitter.com/FDNY/status/769578209583177728", "769578209583177728")</f>
        <v>0</v>
      </c>
      <c r="B1361" s="2">
        <v>42609.7027430556</v>
      </c>
      <c r="C1361">
        <v>0</v>
      </c>
      <c r="D1361">
        <v>5</v>
      </c>
      <c r="E1361" t="s">
        <v>1349</v>
      </c>
    </row>
    <row r="1362" spans="1:5">
      <c r="A1362">
        <f>HYPERLINK("http://www.twitter.com/FDNY/status/769565335636803589", "769565335636803589")</f>
        <v>0</v>
      </c>
      <c r="B1362" s="2">
        <v>42609.6672222222</v>
      </c>
      <c r="C1362">
        <v>1</v>
      </c>
      <c r="D1362">
        <v>0</v>
      </c>
      <c r="E1362" t="s">
        <v>1350</v>
      </c>
    </row>
    <row r="1363" spans="1:5">
      <c r="A1363">
        <f>HYPERLINK("http://www.twitter.com/FDNY/status/769543815472488448", "769543815472488448")</f>
        <v>0</v>
      </c>
      <c r="B1363" s="2">
        <v>42609.6078356481</v>
      </c>
      <c r="C1363">
        <v>13</v>
      </c>
      <c r="D1363">
        <v>7</v>
      </c>
      <c r="E1363" t="s">
        <v>1351</v>
      </c>
    </row>
    <row r="1364" spans="1:5">
      <c r="A1364">
        <f>HYPERLINK("http://www.twitter.com/FDNY/status/769536318942609408", "769536318942609408")</f>
        <v>0</v>
      </c>
      <c r="B1364" s="2">
        <v>42609.5871527778</v>
      </c>
      <c r="C1364">
        <v>11</v>
      </c>
      <c r="D1364">
        <v>11</v>
      </c>
      <c r="E1364" t="s">
        <v>1352</v>
      </c>
    </row>
    <row r="1365" spans="1:5">
      <c r="A1365">
        <f>HYPERLINK("http://www.twitter.com/FDNY/status/769527605372588033", "769527605372588033")</f>
        <v>0</v>
      </c>
      <c r="B1365" s="2">
        <v>42609.5631018519</v>
      </c>
      <c r="C1365">
        <v>13</v>
      </c>
      <c r="D1365">
        <v>7</v>
      </c>
      <c r="E1365" t="s">
        <v>1353</v>
      </c>
    </row>
    <row r="1366" spans="1:5">
      <c r="A1366">
        <f>HYPERLINK("http://www.twitter.com/FDNY/status/769343658369908737", "769343658369908737")</f>
        <v>0</v>
      </c>
      <c r="B1366" s="2">
        <v>42609.0555092593</v>
      </c>
      <c r="C1366">
        <v>0</v>
      </c>
      <c r="D1366">
        <v>8</v>
      </c>
      <c r="E1366" t="s">
        <v>1354</v>
      </c>
    </row>
    <row r="1367" spans="1:5">
      <c r="A1367">
        <f>HYPERLINK("http://www.twitter.com/FDNY/status/769342830800203776", "769342830800203776")</f>
        <v>0</v>
      </c>
      <c r="B1367" s="2">
        <v>42609.0532291667</v>
      </c>
      <c r="C1367">
        <v>55</v>
      </c>
      <c r="D1367">
        <v>18</v>
      </c>
      <c r="E1367" t="s">
        <v>1355</v>
      </c>
    </row>
    <row r="1368" spans="1:5">
      <c r="A1368">
        <f>HYPERLINK("http://www.twitter.com/FDNY/status/769324411132469249", "769324411132469249")</f>
        <v>0</v>
      </c>
      <c r="B1368" s="2">
        <v>42609.0023958333</v>
      </c>
      <c r="C1368">
        <v>34</v>
      </c>
      <c r="D1368">
        <v>16</v>
      </c>
      <c r="E1368" t="s">
        <v>1356</v>
      </c>
    </row>
    <row r="1369" spans="1:5">
      <c r="A1369">
        <f>HYPERLINK("http://www.twitter.com/FDNY/status/769305045816967168", "769305045816967168")</f>
        <v>0</v>
      </c>
      <c r="B1369" s="2">
        <v>42608.9489583333</v>
      </c>
      <c r="C1369">
        <v>0</v>
      </c>
      <c r="D1369">
        <v>2</v>
      </c>
      <c r="E1369" t="s">
        <v>1357</v>
      </c>
    </row>
    <row r="1370" spans="1:5">
      <c r="A1370">
        <f>HYPERLINK("http://www.twitter.com/FDNY/status/769301685256720384", "769301685256720384")</f>
        <v>0</v>
      </c>
      <c r="B1370" s="2">
        <v>42608.9396875</v>
      </c>
      <c r="C1370">
        <v>0</v>
      </c>
      <c r="D1370">
        <v>5</v>
      </c>
      <c r="E1370" t="s">
        <v>1358</v>
      </c>
    </row>
    <row r="1371" spans="1:5">
      <c r="A1371">
        <f>HYPERLINK("http://www.twitter.com/FDNY/status/769259787204829188", "769259787204829188")</f>
        <v>0</v>
      </c>
      <c r="B1371" s="2">
        <v>42608.8240740741</v>
      </c>
      <c r="C1371">
        <v>9</v>
      </c>
      <c r="D1371">
        <v>6</v>
      </c>
      <c r="E1371" t="s">
        <v>1359</v>
      </c>
    </row>
    <row r="1372" spans="1:5">
      <c r="A1372">
        <f>HYPERLINK("http://www.twitter.com/FDNY/status/769258344313946112", "769258344313946112")</f>
        <v>0</v>
      </c>
      <c r="B1372" s="2">
        <v>42608.8200925926</v>
      </c>
      <c r="C1372">
        <v>0</v>
      </c>
      <c r="D1372">
        <v>10</v>
      </c>
      <c r="E1372" t="s">
        <v>1360</v>
      </c>
    </row>
    <row r="1373" spans="1:5">
      <c r="A1373">
        <f>HYPERLINK("http://www.twitter.com/FDNY/status/769258033725702145", "769258033725702145")</f>
        <v>0</v>
      </c>
      <c r="B1373" s="2">
        <v>42608.8192361111</v>
      </c>
      <c r="C1373">
        <v>0</v>
      </c>
      <c r="D1373">
        <v>7</v>
      </c>
      <c r="E1373" t="s">
        <v>1361</v>
      </c>
    </row>
    <row r="1374" spans="1:5">
      <c r="A1374">
        <f>HYPERLINK("http://www.twitter.com/FDNY/status/769241396083646464", "769241396083646464")</f>
        <v>0</v>
      </c>
      <c r="B1374" s="2">
        <v>42608.7733217593</v>
      </c>
      <c r="C1374">
        <v>2</v>
      </c>
      <c r="D1374">
        <v>3</v>
      </c>
      <c r="E1374" t="s">
        <v>1362</v>
      </c>
    </row>
    <row r="1375" spans="1:5">
      <c r="A1375">
        <f>HYPERLINK("http://www.twitter.com/FDNY/status/769240735895982080", "769240735895982080")</f>
        <v>0</v>
      </c>
      <c r="B1375" s="2">
        <v>42608.7714930556</v>
      </c>
      <c r="C1375">
        <v>4</v>
      </c>
      <c r="D1375">
        <v>4</v>
      </c>
      <c r="E1375" t="s">
        <v>1363</v>
      </c>
    </row>
    <row r="1376" spans="1:5">
      <c r="A1376">
        <f>HYPERLINK("http://www.twitter.com/FDNY/status/769223464599298049", "769223464599298049")</f>
        <v>0</v>
      </c>
      <c r="B1376" s="2">
        <v>42608.7238425926</v>
      </c>
      <c r="C1376">
        <v>0</v>
      </c>
      <c r="D1376">
        <v>14</v>
      </c>
      <c r="E1376" t="s">
        <v>1364</v>
      </c>
    </row>
    <row r="1377" spans="1:5">
      <c r="A1377">
        <f>HYPERLINK("http://www.twitter.com/FDNY/status/769216733295017984", "769216733295017984")</f>
        <v>0</v>
      </c>
      <c r="B1377" s="2">
        <v>42608.7052662037</v>
      </c>
      <c r="C1377">
        <v>0</v>
      </c>
      <c r="D1377">
        <v>14</v>
      </c>
      <c r="E1377" t="s">
        <v>1365</v>
      </c>
    </row>
    <row r="1378" spans="1:5">
      <c r="A1378">
        <f>HYPERLINK("http://www.twitter.com/FDNY/status/769208651190067200", "769208651190067200")</f>
        <v>0</v>
      </c>
      <c r="B1378" s="2">
        <v>42608.682962963</v>
      </c>
      <c r="C1378">
        <v>0</v>
      </c>
      <c r="D1378">
        <v>7</v>
      </c>
      <c r="E1378" t="s">
        <v>1366</v>
      </c>
    </row>
    <row r="1379" spans="1:5">
      <c r="A1379">
        <f>HYPERLINK("http://www.twitter.com/FDNY/status/769194749098156034", "769194749098156034")</f>
        <v>0</v>
      </c>
      <c r="B1379" s="2">
        <v>42608.6445949074</v>
      </c>
      <c r="C1379">
        <v>0</v>
      </c>
      <c r="D1379">
        <v>30</v>
      </c>
      <c r="E1379" t="s">
        <v>1367</v>
      </c>
    </row>
    <row r="1380" spans="1:5">
      <c r="A1380">
        <f>HYPERLINK("http://www.twitter.com/FDNY/status/769183285272518657", "769183285272518657")</f>
        <v>0</v>
      </c>
      <c r="B1380" s="2">
        <v>42608.612962963</v>
      </c>
      <c r="C1380">
        <v>0</v>
      </c>
      <c r="D1380">
        <v>13</v>
      </c>
      <c r="E1380" t="s">
        <v>1368</v>
      </c>
    </row>
    <row r="1381" spans="1:5">
      <c r="A1381">
        <f>HYPERLINK("http://www.twitter.com/FDNY/status/769182265339502592", "769182265339502592")</f>
        <v>0</v>
      </c>
      <c r="B1381" s="2">
        <v>42608.610150463</v>
      </c>
      <c r="C1381">
        <v>0</v>
      </c>
      <c r="D1381">
        <v>8</v>
      </c>
      <c r="E1381" t="s">
        <v>1369</v>
      </c>
    </row>
    <row r="1382" spans="1:5">
      <c r="A1382">
        <f>HYPERLINK("http://www.twitter.com/FDNY/status/769182239372500992", "769182239372500992")</f>
        <v>0</v>
      </c>
      <c r="B1382" s="2">
        <v>42608.6100810185</v>
      </c>
      <c r="C1382">
        <v>0</v>
      </c>
      <c r="D1382">
        <v>4</v>
      </c>
      <c r="E1382" t="s">
        <v>1370</v>
      </c>
    </row>
    <row r="1383" spans="1:5">
      <c r="A1383">
        <f>HYPERLINK("http://www.twitter.com/FDNY/status/769180523059085312", "769180523059085312")</f>
        <v>0</v>
      </c>
      <c r="B1383" s="2">
        <v>42608.6053472222</v>
      </c>
      <c r="C1383">
        <v>0</v>
      </c>
      <c r="D1383">
        <v>10</v>
      </c>
      <c r="E1383" t="s">
        <v>1371</v>
      </c>
    </row>
    <row r="1384" spans="1:5">
      <c r="A1384">
        <f>HYPERLINK("http://www.twitter.com/FDNY/status/769179713336213504", "769179713336213504")</f>
        <v>0</v>
      </c>
      <c r="B1384" s="2">
        <v>42608.6031018519</v>
      </c>
      <c r="C1384">
        <v>9</v>
      </c>
      <c r="D1384">
        <v>11</v>
      </c>
      <c r="E1384" t="s">
        <v>1372</v>
      </c>
    </row>
    <row r="1385" spans="1:5">
      <c r="A1385">
        <f>HYPERLINK("http://www.twitter.com/FDNY/status/769164415178567680", "769164415178567680")</f>
        <v>0</v>
      </c>
      <c r="B1385" s="2">
        <v>42608.5608912037</v>
      </c>
      <c r="C1385">
        <v>0</v>
      </c>
      <c r="D1385">
        <v>4</v>
      </c>
      <c r="E1385" t="s">
        <v>1373</v>
      </c>
    </row>
    <row r="1386" spans="1:5">
      <c r="A1386">
        <f>HYPERLINK("http://www.twitter.com/FDNY/status/769164151214211073", "769164151214211073")</f>
        <v>0</v>
      </c>
      <c r="B1386" s="2">
        <v>42608.560162037</v>
      </c>
      <c r="C1386">
        <v>0</v>
      </c>
      <c r="D1386">
        <v>9</v>
      </c>
      <c r="E1386" t="s">
        <v>1374</v>
      </c>
    </row>
    <row r="1387" spans="1:5">
      <c r="A1387">
        <f>HYPERLINK("http://www.twitter.com/FDNY/status/769152525190692864", "769152525190692864")</f>
        <v>0</v>
      </c>
      <c r="B1387" s="2">
        <v>42608.5280787037</v>
      </c>
      <c r="C1387">
        <v>0</v>
      </c>
      <c r="D1387">
        <v>9</v>
      </c>
      <c r="E1387" t="s">
        <v>1375</v>
      </c>
    </row>
    <row r="1388" spans="1:5">
      <c r="A1388">
        <f>HYPERLINK("http://www.twitter.com/FDNY/status/769012094658281474", "769012094658281474")</f>
        <v>0</v>
      </c>
      <c r="B1388" s="2">
        <v>42608.1405671296</v>
      </c>
      <c r="C1388">
        <v>0</v>
      </c>
      <c r="D1388">
        <v>1</v>
      </c>
      <c r="E1388" t="s">
        <v>1376</v>
      </c>
    </row>
    <row r="1389" spans="1:5">
      <c r="A1389">
        <f>HYPERLINK("http://www.twitter.com/FDNY/status/768975284418863105", "768975284418863105")</f>
        <v>0</v>
      </c>
      <c r="B1389" s="2">
        <v>42608.0389930556</v>
      </c>
      <c r="C1389">
        <v>0</v>
      </c>
      <c r="D1389">
        <v>4</v>
      </c>
      <c r="E1389" t="s">
        <v>1377</v>
      </c>
    </row>
    <row r="1390" spans="1:5">
      <c r="A1390">
        <f>HYPERLINK("http://www.twitter.com/FDNY/status/768919388808327168", "768919388808327168")</f>
        <v>0</v>
      </c>
      <c r="B1390" s="2">
        <v>42607.8847453704</v>
      </c>
      <c r="C1390">
        <v>0</v>
      </c>
      <c r="D1390">
        <v>3</v>
      </c>
      <c r="E1390" t="s">
        <v>1378</v>
      </c>
    </row>
    <row r="1391" spans="1:5">
      <c r="A1391">
        <f>HYPERLINK("http://www.twitter.com/FDNY/status/768895838928138240", "768895838928138240")</f>
        <v>0</v>
      </c>
      <c r="B1391" s="2">
        <v>42607.8197685185</v>
      </c>
      <c r="C1391">
        <v>15</v>
      </c>
      <c r="D1391">
        <v>6</v>
      </c>
      <c r="E1391" t="s">
        <v>1379</v>
      </c>
    </row>
    <row r="1392" spans="1:5">
      <c r="A1392">
        <f>HYPERLINK("http://www.twitter.com/FDNY/status/768844005790588928", "768844005790588928")</f>
        <v>0</v>
      </c>
      <c r="B1392" s="2">
        <v>42607.6767361111</v>
      </c>
      <c r="C1392">
        <v>13</v>
      </c>
      <c r="D1392">
        <v>6</v>
      </c>
      <c r="E1392" t="s">
        <v>1380</v>
      </c>
    </row>
    <row r="1393" spans="1:5">
      <c r="A1393">
        <f>HYPERLINK("http://www.twitter.com/FDNY/status/768819775019503616", "768819775019503616")</f>
        <v>0</v>
      </c>
      <c r="B1393" s="2">
        <v>42607.6098726852</v>
      </c>
      <c r="C1393">
        <v>16</v>
      </c>
      <c r="D1393">
        <v>7</v>
      </c>
      <c r="E1393" t="s">
        <v>1381</v>
      </c>
    </row>
    <row r="1394" spans="1:5">
      <c r="A1394">
        <f>HYPERLINK("http://www.twitter.com/FDNY/status/768810639561195520", "768810639561195520")</f>
        <v>0</v>
      </c>
      <c r="B1394" s="2">
        <v>42607.5846527778</v>
      </c>
      <c r="C1394">
        <v>31</v>
      </c>
      <c r="D1394">
        <v>14</v>
      </c>
      <c r="E1394" t="s">
        <v>1382</v>
      </c>
    </row>
    <row r="1395" spans="1:5">
      <c r="A1395">
        <f>HYPERLINK("http://www.twitter.com/FDNY/status/768637410704056324", "768637410704056324")</f>
        <v>0</v>
      </c>
      <c r="B1395" s="2">
        <v>42607.1066319444</v>
      </c>
      <c r="C1395">
        <v>0</v>
      </c>
      <c r="D1395">
        <v>29</v>
      </c>
      <c r="E1395" t="s">
        <v>1383</v>
      </c>
    </row>
    <row r="1396" spans="1:5">
      <c r="A1396">
        <f>HYPERLINK("http://www.twitter.com/FDNY/status/768598067792805888", "768598067792805888")</f>
        <v>0</v>
      </c>
      <c r="B1396" s="2">
        <v>42606.9980671296</v>
      </c>
      <c r="C1396">
        <v>179</v>
      </c>
      <c r="D1396">
        <v>55</v>
      </c>
      <c r="E1396" t="s">
        <v>1384</v>
      </c>
    </row>
    <row r="1397" spans="1:5">
      <c r="A1397">
        <f>HYPERLINK("http://www.twitter.com/FDNY/status/768586709286031361", "768586709286031361")</f>
        <v>0</v>
      </c>
      <c r="B1397" s="2">
        <v>42606.966724537</v>
      </c>
      <c r="C1397">
        <v>0</v>
      </c>
      <c r="D1397">
        <v>5</v>
      </c>
      <c r="E1397" t="s">
        <v>1385</v>
      </c>
    </row>
    <row r="1398" spans="1:5">
      <c r="A1398">
        <f>HYPERLINK("http://www.twitter.com/FDNY/status/768554226624581632", "768554226624581632")</f>
        <v>0</v>
      </c>
      <c r="B1398" s="2">
        <v>42606.8770949074</v>
      </c>
      <c r="C1398">
        <v>0</v>
      </c>
      <c r="D1398">
        <v>4</v>
      </c>
      <c r="E1398" t="s">
        <v>1386</v>
      </c>
    </row>
    <row r="1399" spans="1:5">
      <c r="A1399">
        <f>HYPERLINK("http://www.twitter.com/FDNY/status/768554138837721088", "768554138837721088")</f>
        <v>0</v>
      </c>
      <c r="B1399" s="2">
        <v>42606.8768518519</v>
      </c>
      <c r="C1399">
        <v>0</v>
      </c>
      <c r="D1399">
        <v>5</v>
      </c>
      <c r="E1399" t="s">
        <v>1387</v>
      </c>
    </row>
    <row r="1400" spans="1:5">
      <c r="A1400">
        <f>HYPERLINK("http://www.twitter.com/FDNY/status/768489234298769408", "768489234298769408")</f>
        <v>0</v>
      </c>
      <c r="B1400" s="2">
        <v>42606.6977430556</v>
      </c>
      <c r="C1400">
        <v>15</v>
      </c>
      <c r="D1400">
        <v>8</v>
      </c>
      <c r="E1400" t="s">
        <v>1388</v>
      </c>
    </row>
    <row r="1401" spans="1:5">
      <c r="A1401">
        <f>HYPERLINK("http://www.twitter.com/FDNY/status/768483853417615360", "768483853417615360")</f>
        <v>0</v>
      </c>
      <c r="B1401" s="2">
        <v>42606.6829050926</v>
      </c>
      <c r="C1401">
        <v>0</v>
      </c>
      <c r="D1401">
        <v>44</v>
      </c>
      <c r="E1401" t="s">
        <v>1389</v>
      </c>
    </row>
    <row r="1402" spans="1:5">
      <c r="A1402">
        <f>HYPERLINK("http://www.twitter.com/FDNY/status/768483383534034944", "768483383534034944")</f>
        <v>0</v>
      </c>
      <c r="B1402" s="2">
        <v>42606.6816087963</v>
      </c>
      <c r="C1402">
        <v>0</v>
      </c>
      <c r="D1402">
        <v>6</v>
      </c>
      <c r="E1402" t="s">
        <v>1390</v>
      </c>
    </row>
    <row r="1403" spans="1:5">
      <c r="A1403">
        <f>HYPERLINK("http://www.twitter.com/FDNY/status/768480664253558784", "768480664253558784")</f>
        <v>0</v>
      </c>
      <c r="B1403" s="2">
        <v>42606.6740972222</v>
      </c>
      <c r="C1403">
        <v>31</v>
      </c>
      <c r="D1403">
        <v>12</v>
      </c>
      <c r="E1403" t="s">
        <v>1391</v>
      </c>
    </row>
    <row r="1404" spans="1:5">
      <c r="A1404">
        <f>HYPERLINK("http://www.twitter.com/FDNY/status/768476988050767872", "768476988050767872")</f>
        <v>0</v>
      </c>
      <c r="B1404" s="2">
        <v>42606.6639583333</v>
      </c>
      <c r="C1404">
        <v>17</v>
      </c>
      <c r="D1404">
        <v>22</v>
      </c>
      <c r="E1404" t="s">
        <v>1392</v>
      </c>
    </row>
    <row r="1405" spans="1:5">
      <c r="A1405">
        <f>HYPERLINK("http://www.twitter.com/FDNY/status/768475730300633088", "768475730300633088")</f>
        <v>0</v>
      </c>
      <c r="B1405" s="2">
        <v>42606.6604861111</v>
      </c>
      <c r="C1405">
        <v>0</v>
      </c>
      <c r="D1405">
        <v>17</v>
      </c>
      <c r="E1405" t="s">
        <v>1393</v>
      </c>
    </row>
    <row r="1406" spans="1:5">
      <c r="A1406">
        <f>HYPERLINK("http://www.twitter.com/FDNY/status/768466132512624640", "768466132512624640")</f>
        <v>0</v>
      </c>
      <c r="B1406" s="2">
        <v>42606.6340046296</v>
      </c>
      <c r="C1406">
        <v>0</v>
      </c>
      <c r="D1406">
        <v>10</v>
      </c>
      <c r="E1406" t="s">
        <v>1394</v>
      </c>
    </row>
    <row r="1407" spans="1:5">
      <c r="A1407">
        <f>HYPERLINK("http://www.twitter.com/FDNY/status/768450922066305024", "768450922066305024")</f>
        <v>0</v>
      </c>
      <c r="B1407" s="2">
        <v>42606.592025463</v>
      </c>
      <c r="C1407">
        <v>0</v>
      </c>
      <c r="D1407">
        <v>3</v>
      </c>
      <c r="E1407" t="s">
        <v>1395</v>
      </c>
    </row>
    <row r="1408" spans="1:5">
      <c r="A1408">
        <f>HYPERLINK("http://www.twitter.com/FDNY/status/768432557759266816", "768432557759266816")</f>
        <v>0</v>
      </c>
      <c r="B1408" s="2">
        <v>42606.5413541667</v>
      </c>
      <c r="C1408">
        <v>32</v>
      </c>
      <c r="D1408">
        <v>13</v>
      </c>
      <c r="E1408" t="s">
        <v>1396</v>
      </c>
    </row>
    <row r="1409" spans="1:5">
      <c r="A1409">
        <f>HYPERLINK("http://www.twitter.com/FDNY/status/768257610466332672", "768257610466332672")</f>
        <v>0</v>
      </c>
      <c r="B1409" s="2">
        <v>42606.058587963</v>
      </c>
      <c r="C1409">
        <v>0</v>
      </c>
      <c r="D1409">
        <v>22</v>
      </c>
      <c r="E1409" t="s">
        <v>1397</v>
      </c>
    </row>
    <row r="1410" spans="1:5">
      <c r="A1410">
        <f>HYPERLINK("http://www.twitter.com/FDNY/status/768239704261165057", "768239704261165057")</f>
        <v>0</v>
      </c>
      <c r="B1410" s="2">
        <v>42606.0091782407</v>
      </c>
      <c r="C1410">
        <v>0</v>
      </c>
      <c r="D1410">
        <v>6</v>
      </c>
      <c r="E1410" t="s">
        <v>1398</v>
      </c>
    </row>
    <row r="1411" spans="1:5">
      <c r="A1411">
        <f>HYPERLINK("http://www.twitter.com/FDNY/status/768209961109295104", "768209961109295104")</f>
        <v>0</v>
      </c>
      <c r="B1411" s="2">
        <v>42605.9271064815</v>
      </c>
      <c r="C1411">
        <v>61</v>
      </c>
      <c r="D1411">
        <v>23</v>
      </c>
      <c r="E1411" t="s">
        <v>1399</v>
      </c>
    </row>
    <row r="1412" spans="1:5">
      <c r="A1412">
        <f>HYPERLINK("http://www.twitter.com/FDNY/status/768199752987148288", "768199752987148288")</f>
        <v>0</v>
      </c>
      <c r="B1412" s="2">
        <v>42605.8989351852</v>
      </c>
      <c r="C1412">
        <v>0</v>
      </c>
      <c r="D1412">
        <v>4</v>
      </c>
      <c r="E1412" t="s">
        <v>1400</v>
      </c>
    </row>
    <row r="1413" spans="1:5">
      <c r="A1413">
        <f>HYPERLINK("http://www.twitter.com/FDNY/status/768182406171992064", "768182406171992064")</f>
        <v>0</v>
      </c>
      <c r="B1413" s="2">
        <v>42605.8510648148</v>
      </c>
      <c r="C1413">
        <v>91</v>
      </c>
      <c r="D1413">
        <v>36</v>
      </c>
      <c r="E1413" t="s">
        <v>1401</v>
      </c>
    </row>
    <row r="1414" spans="1:5">
      <c r="A1414">
        <f>HYPERLINK("http://www.twitter.com/FDNY/status/768115668201922560", "768115668201922560")</f>
        <v>0</v>
      </c>
      <c r="B1414" s="2">
        <v>42605.6668981481</v>
      </c>
      <c r="C1414">
        <v>21</v>
      </c>
      <c r="D1414">
        <v>16</v>
      </c>
      <c r="E1414" t="s">
        <v>1402</v>
      </c>
    </row>
    <row r="1415" spans="1:5">
      <c r="A1415">
        <f>HYPERLINK("http://www.twitter.com/FDNY/status/768088325257330688", "768088325257330688")</f>
        <v>0</v>
      </c>
      <c r="B1415" s="2">
        <v>42605.5914467593</v>
      </c>
      <c r="C1415">
        <v>0</v>
      </c>
      <c r="D1415">
        <v>3</v>
      </c>
      <c r="E1415" t="s">
        <v>1403</v>
      </c>
    </row>
    <row r="1416" spans="1:5">
      <c r="A1416">
        <f>HYPERLINK("http://www.twitter.com/FDNY/status/768087513252687876", "768087513252687876")</f>
        <v>0</v>
      </c>
      <c r="B1416" s="2">
        <v>42605.589212963</v>
      </c>
      <c r="C1416">
        <v>0</v>
      </c>
      <c r="D1416">
        <v>3</v>
      </c>
      <c r="E1416" t="s">
        <v>1404</v>
      </c>
    </row>
    <row r="1417" spans="1:5">
      <c r="A1417">
        <f>HYPERLINK("http://www.twitter.com/FDNY/status/767887249165918209", "767887249165918209")</f>
        <v>0</v>
      </c>
      <c r="B1417" s="2">
        <v>42605.0365856482</v>
      </c>
      <c r="C1417">
        <v>0</v>
      </c>
      <c r="D1417">
        <v>5</v>
      </c>
      <c r="E1417" t="s">
        <v>1405</v>
      </c>
    </row>
    <row r="1418" spans="1:5">
      <c r="A1418">
        <f>HYPERLINK("http://www.twitter.com/FDNY/status/767887225531039749", "767887225531039749")</f>
        <v>0</v>
      </c>
      <c r="B1418" s="2">
        <v>42605.0365162037</v>
      </c>
      <c r="C1418">
        <v>0</v>
      </c>
      <c r="D1418">
        <v>8</v>
      </c>
      <c r="E1418" t="s">
        <v>1406</v>
      </c>
    </row>
    <row r="1419" spans="1:5">
      <c r="A1419">
        <f>HYPERLINK("http://www.twitter.com/FDNY/status/767816780878319616", "767816780878319616")</f>
        <v>0</v>
      </c>
      <c r="B1419" s="2">
        <v>42604.8421296296</v>
      </c>
      <c r="C1419">
        <v>55</v>
      </c>
      <c r="D1419">
        <v>21</v>
      </c>
      <c r="E1419" t="s">
        <v>1407</v>
      </c>
    </row>
    <row r="1420" spans="1:5">
      <c r="A1420">
        <f>HYPERLINK("http://www.twitter.com/FDNY/status/767801909386280960", "767801909386280960")</f>
        <v>0</v>
      </c>
      <c r="B1420" s="2">
        <v>42604.801087963</v>
      </c>
      <c r="C1420">
        <v>5</v>
      </c>
      <c r="D1420">
        <v>8</v>
      </c>
      <c r="E1420" t="s">
        <v>1408</v>
      </c>
    </row>
    <row r="1421" spans="1:5">
      <c r="A1421">
        <f>HYPERLINK("http://www.twitter.com/FDNY/status/767801099675897856", "767801099675897856")</f>
        <v>0</v>
      </c>
      <c r="B1421" s="2">
        <v>42604.7988541667</v>
      </c>
      <c r="C1421">
        <v>0</v>
      </c>
      <c r="D1421">
        <v>40</v>
      </c>
      <c r="E1421" t="s">
        <v>1409</v>
      </c>
    </row>
    <row r="1422" spans="1:5">
      <c r="A1422">
        <f>HYPERLINK("http://www.twitter.com/FDNY/status/767799813052268548", "767799813052268548")</f>
        <v>0</v>
      </c>
      <c r="B1422" s="2">
        <v>42604.7953125</v>
      </c>
      <c r="C1422">
        <v>0</v>
      </c>
      <c r="D1422">
        <v>3</v>
      </c>
      <c r="E1422" t="s">
        <v>1410</v>
      </c>
    </row>
    <row r="1423" spans="1:5">
      <c r="A1423">
        <f>HYPERLINK("http://www.twitter.com/FDNY/status/767780887316627460", "767780887316627460")</f>
        <v>0</v>
      </c>
      <c r="B1423" s="2">
        <v>42604.7430787037</v>
      </c>
      <c r="C1423">
        <v>0</v>
      </c>
      <c r="D1423">
        <v>4</v>
      </c>
      <c r="E1423" t="s">
        <v>1411</v>
      </c>
    </row>
    <row r="1424" spans="1:5">
      <c r="A1424">
        <f>HYPERLINK("http://www.twitter.com/FDNY/status/767768092478992384", "767768092478992384")</f>
        <v>0</v>
      </c>
      <c r="B1424" s="2">
        <v>42604.7077777778</v>
      </c>
      <c r="C1424">
        <v>47</v>
      </c>
      <c r="D1424">
        <v>17</v>
      </c>
      <c r="E1424" t="s">
        <v>1412</v>
      </c>
    </row>
    <row r="1425" spans="1:5">
      <c r="A1425">
        <f>HYPERLINK("http://www.twitter.com/FDNY/status/767763235424575488", "767763235424575488")</f>
        <v>0</v>
      </c>
      <c r="B1425" s="2">
        <v>42604.694375</v>
      </c>
      <c r="C1425">
        <v>0</v>
      </c>
      <c r="D1425">
        <v>22</v>
      </c>
      <c r="E1425" t="s">
        <v>1413</v>
      </c>
    </row>
    <row r="1426" spans="1:5">
      <c r="A1426">
        <f>HYPERLINK("http://www.twitter.com/FDNY/status/767749591366246401", "767749591366246401")</f>
        <v>0</v>
      </c>
      <c r="B1426" s="2">
        <v>42604.656724537</v>
      </c>
      <c r="C1426">
        <v>15</v>
      </c>
      <c r="D1426">
        <v>3</v>
      </c>
      <c r="E1426" t="s">
        <v>1414</v>
      </c>
    </row>
    <row r="1427" spans="1:5">
      <c r="A1427">
        <f>HYPERLINK("http://www.twitter.com/FDNY/status/767747690767740928", "767747690767740928")</f>
        <v>0</v>
      </c>
      <c r="B1427" s="2">
        <v>42604.6514814815</v>
      </c>
      <c r="C1427">
        <v>9</v>
      </c>
      <c r="D1427">
        <v>2</v>
      </c>
      <c r="E1427" t="s">
        <v>1415</v>
      </c>
    </row>
    <row r="1428" spans="1:5">
      <c r="A1428">
        <f>HYPERLINK("http://www.twitter.com/FDNY/status/767746101130780672", "767746101130780672")</f>
        <v>0</v>
      </c>
      <c r="B1428" s="2">
        <v>42604.6470949074</v>
      </c>
      <c r="C1428">
        <v>8</v>
      </c>
      <c r="D1428">
        <v>5</v>
      </c>
      <c r="E1428" t="s">
        <v>1416</v>
      </c>
    </row>
    <row r="1429" spans="1:5">
      <c r="A1429">
        <f>HYPERLINK("http://www.twitter.com/FDNY/status/767744184631619584", "767744184631619584")</f>
        <v>0</v>
      </c>
      <c r="B1429" s="2">
        <v>42604.6418055556</v>
      </c>
      <c r="C1429">
        <v>6</v>
      </c>
      <c r="D1429">
        <v>4</v>
      </c>
      <c r="E1429" t="s">
        <v>1417</v>
      </c>
    </row>
    <row r="1430" spans="1:5">
      <c r="A1430">
        <f>HYPERLINK("http://www.twitter.com/FDNY/status/767744131594616833", "767744131594616833")</f>
        <v>0</v>
      </c>
      <c r="B1430" s="2">
        <v>42604.6416550926</v>
      </c>
      <c r="C1430">
        <v>4</v>
      </c>
      <c r="D1430">
        <v>5</v>
      </c>
      <c r="E1430" t="s">
        <v>1418</v>
      </c>
    </row>
    <row r="1431" spans="1:5">
      <c r="A1431">
        <f>HYPERLINK("http://www.twitter.com/FDNY/status/767744016867876864", "767744016867876864")</f>
        <v>0</v>
      </c>
      <c r="B1431" s="2">
        <v>42604.6413425926</v>
      </c>
      <c r="C1431">
        <v>6</v>
      </c>
      <c r="D1431">
        <v>2</v>
      </c>
      <c r="E1431" t="s">
        <v>1419</v>
      </c>
    </row>
    <row r="1432" spans="1:5">
      <c r="A1432">
        <f>HYPERLINK("http://www.twitter.com/FDNY/status/767743953001148416", "767743953001148416")</f>
        <v>0</v>
      </c>
      <c r="B1432" s="2">
        <v>42604.6411689815</v>
      </c>
      <c r="C1432">
        <v>1</v>
      </c>
      <c r="D1432">
        <v>3</v>
      </c>
      <c r="E1432" t="s">
        <v>1420</v>
      </c>
    </row>
    <row r="1433" spans="1:5">
      <c r="A1433">
        <f>HYPERLINK("http://www.twitter.com/FDNY/status/767743838807089154", "767743838807089154")</f>
        <v>0</v>
      </c>
      <c r="B1433" s="2">
        <v>42604.6408449074</v>
      </c>
      <c r="C1433">
        <v>1</v>
      </c>
      <c r="D1433">
        <v>3</v>
      </c>
      <c r="E1433" t="s">
        <v>1421</v>
      </c>
    </row>
    <row r="1434" spans="1:5">
      <c r="A1434">
        <f>HYPERLINK("http://www.twitter.com/FDNY/status/767743766505590784", "767743766505590784")</f>
        <v>0</v>
      </c>
      <c r="B1434" s="2">
        <v>42604.6406481481</v>
      </c>
      <c r="C1434">
        <v>1</v>
      </c>
      <c r="D1434">
        <v>6</v>
      </c>
      <c r="E1434" t="s">
        <v>1422</v>
      </c>
    </row>
    <row r="1435" spans="1:5">
      <c r="A1435">
        <f>HYPERLINK("http://www.twitter.com/FDNY/status/767743655700525060", "767743655700525060")</f>
        <v>0</v>
      </c>
      <c r="B1435" s="2">
        <v>42604.6403472222</v>
      </c>
      <c r="C1435">
        <v>6</v>
      </c>
      <c r="D1435">
        <v>5</v>
      </c>
      <c r="E1435" t="s">
        <v>1423</v>
      </c>
    </row>
    <row r="1436" spans="1:5">
      <c r="A1436">
        <f>HYPERLINK("http://www.twitter.com/FDNY/status/767743576826609665", "767743576826609665")</f>
        <v>0</v>
      </c>
      <c r="B1436" s="2">
        <v>42604.6401273148</v>
      </c>
      <c r="C1436">
        <v>14</v>
      </c>
      <c r="D1436">
        <v>6</v>
      </c>
      <c r="E1436" t="s">
        <v>1424</v>
      </c>
    </row>
    <row r="1437" spans="1:5">
      <c r="A1437">
        <f>HYPERLINK("http://www.twitter.com/FDNY/status/767743497839542272", "767743497839542272")</f>
        <v>0</v>
      </c>
      <c r="B1437" s="2">
        <v>42604.6399074074</v>
      </c>
      <c r="C1437">
        <v>8</v>
      </c>
      <c r="D1437">
        <v>9</v>
      </c>
      <c r="E1437" t="s">
        <v>1425</v>
      </c>
    </row>
    <row r="1438" spans="1:5">
      <c r="A1438">
        <f>HYPERLINK("http://www.twitter.com/FDNY/status/767743438313914368", "767743438313914368")</f>
        <v>0</v>
      </c>
      <c r="B1438" s="2">
        <v>42604.6397453704</v>
      </c>
      <c r="C1438">
        <v>6</v>
      </c>
      <c r="D1438">
        <v>11</v>
      </c>
      <c r="E1438" t="s">
        <v>1426</v>
      </c>
    </row>
    <row r="1439" spans="1:5">
      <c r="A1439">
        <f>HYPERLINK("http://www.twitter.com/FDNY/status/767743362015326208", "767743362015326208")</f>
        <v>0</v>
      </c>
      <c r="B1439" s="2">
        <v>42604.639537037</v>
      </c>
      <c r="C1439">
        <v>13</v>
      </c>
      <c r="D1439">
        <v>10</v>
      </c>
      <c r="E1439" t="s">
        <v>1427</v>
      </c>
    </row>
    <row r="1440" spans="1:5">
      <c r="A1440">
        <f>HYPERLINK("http://www.twitter.com/FDNY/status/767742507908272129", "767742507908272129")</f>
        <v>0</v>
      </c>
      <c r="B1440" s="2">
        <v>42604.6371759259</v>
      </c>
      <c r="C1440">
        <v>13</v>
      </c>
      <c r="D1440">
        <v>13</v>
      </c>
      <c r="E1440" t="s">
        <v>1428</v>
      </c>
    </row>
    <row r="1441" spans="1:5">
      <c r="A1441">
        <f>HYPERLINK("http://www.twitter.com/FDNY/status/767483970778980352", "767483970778980352")</f>
        <v>0</v>
      </c>
      <c r="B1441" s="2">
        <v>42603.92375</v>
      </c>
      <c r="C1441">
        <v>14</v>
      </c>
      <c r="D1441">
        <v>16</v>
      </c>
      <c r="E1441" t="s">
        <v>1429</v>
      </c>
    </row>
    <row r="1442" spans="1:5">
      <c r="A1442">
        <f>HYPERLINK("http://www.twitter.com/FDNY/status/767427798625648640", "767427798625648640")</f>
        <v>0</v>
      </c>
      <c r="B1442" s="2">
        <v>42603.7687384259</v>
      </c>
      <c r="C1442">
        <v>25</v>
      </c>
      <c r="D1442">
        <v>12</v>
      </c>
      <c r="E1442" t="s">
        <v>1430</v>
      </c>
    </row>
    <row r="1443" spans="1:5">
      <c r="A1443">
        <f>HYPERLINK("http://www.twitter.com/FDNY/status/767407219986075648", "767407219986075648")</f>
        <v>0</v>
      </c>
      <c r="B1443" s="2">
        <v>42603.7119560185</v>
      </c>
      <c r="C1443">
        <v>5</v>
      </c>
      <c r="D1443">
        <v>8</v>
      </c>
      <c r="E1443" t="s">
        <v>1431</v>
      </c>
    </row>
    <row r="1444" spans="1:5">
      <c r="A1444">
        <f>HYPERLINK("http://www.twitter.com/FDNY/status/767379589001863168", "767379589001863168")</f>
        <v>0</v>
      </c>
      <c r="B1444" s="2">
        <v>42603.6357060185</v>
      </c>
      <c r="C1444">
        <v>22</v>
      </c>
      <c r="D1444">
        <v>12</v>
      </c>
      <c r="E1444" t="s">
        <v>1432</v>
      </c>
    </row>
    <row r="1445" spans="1:5">
      <c r="A1445">
        <f>HYPERLINK("http://www.twitter.com/FDNY/status/767365706170130432", "767365706170130432")</f>
        <v>0</v>
      </c>
      <c r="B1445" s="2">
        <v>42603.5973958333</v>
      </c>
      <c r="C1445">
        <v>9</v>
      </c>
      <c r="D1445">
        <v>16</v>
      </c>
      <c r="E1445" t="s">
        <v>982</v>
      </c>
    </row>
    <row r="1446" spans="1:5">
      <c r="A1446">
        <f>HYPERLINK("http://www.twitter.com/FDNY/status/767142950694518784", "767142950694518784")</f>
        <v>0</v>
      </c>
      <c r="B1446" s="2">
        <v>42602.9827083333</v>
      </c>
      <c r="C1446">
        <v>22</v>
      </c>
      <c r="D1446">
        <v>13</v>
      </c>
      <c r="E1446" t="s">
        <v>1433</v>
      </c>
    </row>
    <row r="1447" spans="1:5">
      <c r="A1447">
        <f>HYPERLINK("http://www.twitter.com/FDNY/status/767139192434487296", "767139192434487296")</f>
        <v>0</v>
      </c>
      <c r="B1447" s="2">
        <v>42602.972337963</v>
      </c>
      <c r="C1447">
        <v>13</v>
      </c>
      <c r="D1447">
        <v>13</v>
      </c>
      <c r="E1447" t="s">
        <v>1434</v>
      </c>
    </row>
    <row r="1448" spans="1:5">
      <c r="A1448">
        <f>HYPERLINK("http://www.twitter.com/FDNY/status/767086377003544576", "767086377003544576")</f>
        <v>0</v>
      </c>
      <c r="B1448" s="2">
        <v>42602.8265972222</v>
      </c>
      <c r="C1448">
        <v>6</v>
      </c>
      <c r="D1448">
        <v>13</v>
      </c>
      <c r="E1448" t="s">
        <v>1435</v>
      </c>
    </row>
    <row r="1449" spans="1:5">
      <c r="A1449">
        <f>HYPERLINK("http://www.twitter.com/FDNY/status/767084012103929856", "767084012103929856")</f>
        <v>0</v>
      </c>
      <c r="B1449" s="2">
        <v>42602.8200694444</v>
      </c>
      <c r="C1449">
        <v>0</v>
      </c>
      <c r="D1449">
        <v>5</v>
      </c>
      <c r="E1449" t="s">
        <v>1436</v>
      </c>
    </row>
    <row r="1450" spans="1:5">
      <c r="A1450">
        <f>HYPERLINK("http://www.twitter.com/FDNY/status/767083967766036480", "767083967766036480")</f>
        <v>0</v>
      </c>
      <c r="B1450" s="2">
        <v>42602.8199537037</v>
      </c>
      <c r="C1450">
        <v>0</v>
      </c>
      <c r="D1450">
        <v>6</v>
      </c>
      <c r="E1450" t="s">
        <v>1437</v>
      </c>
    </row>
    <row r="1451" spans="1:5">
      <c r="A1451">
        <f>HYPERLINK("http://www.twitter.com/FDNY/status/767081106181152768", "767081106181152768")</f>
        <v>0</v>
      </c>
      <c r="B1451" s="2">
        <v>42602.8120601852</v>
      </c>
      <c r="C1451">
        <v>0</v>
      </c>
      <c r="D1451">
        <v>5</v>
      </c>
      <c r="E1451" t="s">
        <v>1438</v>
      </c>
    </row>
    <row r="1452" spans="1:5">
      <c r="A1452">
        <f>HYPERLINK("http://www.twitter.com/FDNY/status/767074845288980480", "767074845288980480")</f>
        <v>0</v>
      </c>
      <c r="B1452" s="2">
        <v>42602.7947800926</v>
      </c>
      <c r="C1452">
        <v>20</v>
      </c>
      <c r="D1452">
        <v>13</v>
      </c>
      <c r="E1452" t="s">
        <v>1439</v>
      </c>
    </row>
    <row r="1453" spans="1:5">
      <c r="A1453">
        <f>HYPERLINK("http://www.twitter.com/FDNY/status/767052155727540229", "767052155727540229")</f>
        <v>0</v>
      </c>
      <c r="B1453" s="2">
        <v>42602.7321643519</v>
      </c>
      <c r="C1453">
        <v>0</v>
      </c>
      <c r="D1453">
        <v>20</v>
      </c>
      <c r="E1453" t="s">
        <v>1440</v>
      </c>
    </row>
    <row r="1454" spans="1:5">
      <c r="A1454">
        <f>HYPERLINK("http://www.twitter.com/FDNY/status/767032489906929664", "767032489906929664")</f>
        <v>0</v>
      </c>
      <c r="B1454" s="2">
        <v>42602.6779050926</v>
      </c>
      <c r="C1454">
        <v>0</v>
      </c>
      <c r="D1454">
        <v>6</v>
      </c>
      <c r="E1454" t="s">
        <v>1441</v>
      </c>
    </row>
    <row r="1455" spans="1:5">
      <c r="A1455">
        <f>HYPERLINK("http://www.twitter.com/FDNY/status/767032397699350528", "767032397699350528")</f>
        <v>0</v>
      </c>
      <c r="B1455" s="2">
        <v>42602.677650463</v>
      </c>
      <c r="C1455">
        <v>56</v>
      </c>
      <c r="D1455">
        <v>25</v>
      </c>
      <c r="E1455" t="s">
        <v>1442</v>
      </c>
    </row>
    <row r="1456" spans="1:5">
      <c r="A1456">
        <f>HYPERLINK("http://www.twitter.com/FDNY/status/767013667716104192", "767013667716104192")</f>
        <v>0</v>
      </c>
      <c r="B1456" s="2">
        <v>42602.6259606481</v>
      </c>
      <c r="C1456">
        <v>15</v>
      </c>
      <c r="D1456">
        <v>13</v>
      </c>
      <c r="E1456" t="s">
        <v>1443</v>
      </c>
    </row>
    <row r="1457" spans="1:5">
      <c r="A1457">
        <f>HYPERLINK("http://www.twitter.com/FDNY/status/767003342254043136", "767003342254043136")</f>
        <v>0</v>
      </c>
      <c r="B1457" s="2">
        <v>42602.5974652778</v>
      </c>
      <c r="C1457">
        <v>11</v>
      </c>
      <c r="D1457">
        <v>13</v>
      </c>
      <c r="E1457" t="s">
        <v>1444</v>
      </c>
    </row>
    <row r="1458" spans="1:5">
      <c r="A1458">
        <f>HYPERLINK("http://www.twitter.com/FDNY/status/767001720673165312", "767001720673165312")</f>
        <v>0</v>
      </c>
      <c r="B1458" s="2">
        <v>42602.5929976852</v>
      </c>
      <c r="C1458">
        <v>0</v>
      </c>
      <c r="D1458">
        <v>3</v>
      </c>
      <c r="E1458" t="s">
        <v>1445</v>
      </c>
    </row>
    <row r="1459" spans="1:5">
      <c r="A1459">
        <f>HYPERLINK("http://www.twitter.com/FDNY/status/767000828121055232", "767000828121055232")</f>
        <v>0</v>
      </c>
      <c r="B1459" s="2">
        <v>42602.5905324074</v>
      </c>
      <c r="C1459">
        <v>17</v>
      </c>
      <c r="D1459">
        <v>8</v>
      </c>
      <c r="E1459" t="s">
        <v>1446</v>
      </c>
    </row>
    <row r="1460" spans="1:5">
      <c r="A1460">
        <f>HYPERLINK("http://www.twitter.com/FDNY/status/766990785397088256", "766990785397088256")</f>
        <v>0</v>
      </c>
      <c r="B1460" s="2">
        <v>42602.5628125</v>
      </c>
      <c r="C1460">
        <v>18</v>
      </c>
      <c r="D1460">
        <v>14</v>
      </c>
      <c r="E1460" t="s">
        <v>1447</v>
      </c>
    </row>
    <row r="1461" spans="1:5">
      <c r="A1461">
        <f>HYPERLINK("http://www.twitter.com/FDNY/status/766799532688543744", "766799532688543744")</f>
        <v>0</v>
      </c>
      <c r="B1461" s="2">
        <v>42602.0350578704</v>
      </c>
      <c r="C1461">
        <v>26</v>
      </c>
      <c r="D1461">
        <v>10</v>
      </c>
      <c r="E1461" t="s">
        <v>1448</v>
      </c>
    </row>
    <row r="1462" spans="1:5">
      <c r="A1462">
        <f>HYPERLINK("http://www.twitter.com/FDNY/status/766765896908017664", "766765896908017664")</f>
        <v>0</v>
      </c>
      <c r="B1462" s="2">
        <v>42601.9422453704</v>
      </c>
      <c r="C1462">
        <v>0</v>
      </c>
      <c r="D1462">
        <v>5</v>
      </c>
      <c r="E1462" t="s">
        <v>1449</v>
      </c>
    </row>
    <row r="1463" spans="1:5">
      <c r="A1463">
        <f>HYPERLINK("http://www.twitter.com/FDNY/status/766758729803005952", "766758729803005952")</f>
        <v>0</v>
      </c>
      <c r="B1463" s="2">
        <v>42601.9224652778</v>
      </c>
      <c r="C1463">
        <v>61</v>
      </c>
      <c r="D1463">
        <v>47</v>
      </c>
      <c r="E1463" t="s">
        <v>1450</v>
      </c>
    </row>
    <row r="1464" spans="1:5">
      <c r="A1464">
        <f>HYPERLINK("http://www.twitter.com/FDNY/status/766756021024985088", "766756021024985088")</f>
        <v>0</v>
      </c>
      <c r="B1464" s="2">
        <v>42601.9149884259</v>
      </c>
      <c r="C1464">
        <v>0</v>
      </c>
      <c r="D1464">
        <v>4</v>
      </c>
      <c r="E1464" t="s">
        <v>1451</v>
      </c>
    </row>
    <row r="1465" spans="1:5">
      <c r="A1465">
        <f>HYPERLINK("http://www.twitter.com/FDNY/status/766756004159713280", "766756004159713280")</f>
        <v>0</v>
      </c>
      <c r="B1465" s="2">
        <v>42601.9149421296</v>
      </c>
      <c r="C1465">
        <v>0</v>
      </c>
      <c r="D1465">
        <v>7</v>
      </c>
      <c r="E1465" t="s">
        <v>1452</v>
      </c>
    </row>
    <row r="1466" spans="1:5">
      <c r="A1466">
        <f>HYPERLINK("http://www.twitter.com/FDNY/status/766755974145249280", "766755974145249280")</f>
        <v>0</v>
      </c>
      <c r="B1466" s="2">
        <v>42601.9148611111</v>
      </c>
      <c r="C1466">
        <v>0</v>
      </c>
      <c r="D1466">
        <v>3</v>
      </c>
      <c r="E1466" t="s">
        <v>1453</v>
      </c>
    </row>
    <row r="1467" spans="1:5">
      <c r="A1467">
        <f>HYPERLINK("http://www.twitter.com/FDNY/status/766729311332208641", "766729311332208641")</f>
        <v>0</v>
      </c>
      <c r="B1467" s="2">
        <v>42601.8412847222</v>
      </c>
      <c r="C1467">
        <v>2</v>
      </c>
      <c r="D1467">
        <v>3</v>
      </c>
      <c r="E1467" t="s">
        <v>1454</v>
      </c>
    </row>
    <row r="1468" spans="1:5">
      <c r="A1468">
        <f>HYPERLINK("http://www.twitter.com/FDNY/status/766729192302059521", "766729192302059521")</f>
        <v>0</v>
      </c>
      <c r="B1468" s="2">
        <v>42601.8409606482</v>
      </c>
      <c r="C1468">
        <v>3</v>
      </c>
      <c r="D1468">
        <v>3</v>
      </c>
      <c r="E1468" t="s">
        <v>1455</v>
      </c>
    </row>
    <row r="1469" spans="1:5">
      <c r="A1469">
        <f>HYPERLINK("http://www.twitter.com/FDNY/status/766729015625453568", "766729015625453568")</f>
        <v>0</v>
      </c>
      <c r="B1469" s="2">
        <v>42601.840474537</v>
      </c>
      <c r="C1469">
        <v>6</v>
      </c>
      <c r="D1469">
        <v>3</v>
      </c>
      <c r="E1469" t="s">
        <v>1421</v>
      </c>
    </row>
    <row r="1470" spans="1:5">
      <c r="A1470">
        <f>HYPERLINK("http://www.twitter.com/FDNY/status/766728864815022080", "766728864815022080")</f>
        <v>0</v>
      </c>
      <c r="B1470" s="2">
        <v>42601.8400578704</v>
      </c>
      <c r="C1470">
        <v>12</v>
      </c>
      <c r="D1470">
        <v>8</v>
      </c>
      <c r="E1470" t="s">
        <v>1422</v>
      </c>
    </row>
    <row r="1471" spans="1:5">
      <c r="A1471">
        <f>HYPERLINK("http://www.twitter.com/FDNY/status/766728755209445376", "766728755209445376")</f>
        <v>0</v>
      </c>
      <c r="B1471" s="2">
        <v>42601.8397569444</v>
      </c>
      <c r="C1471">
        <v>9</v>
      </c>
      <c r="D1471">
        <v>13</v>
      </c>
      <c r="E1471" t="s">
        <v>1456</v>
      </c>
    </row>
    <row r="1472" spans="1:5">
      <c r="A1472">
        <f>HYPERLINK("http://www.twitter.com/FDNY/status/766728291030011904", "766728291030011904")</f>
        <v>0</v>
      </c>
      <c r="B1472" s="2">
        <v>42601.8384722222</v>
      </c>
      <c r="C1472">
        <v>12</v>
      </c>
      <c r="D1472">
        <v>19</v>
      </c>
      <c r="E1472" t="s">
        <v>1457</v>
      </c>
    </row>
    <row r="1473" spans="1:5">
      <c r="A1473">
        <f>HYPERLINK("http://www.twitter.com/FDNY/status/766692475931127808", "766692475931127808")</f>
        <v>0</v>
      </c>
      <c r="B1473" s="2">
        <v>42601.7396412037</v>
      </c>
      <c r="C1473">
        <v>66</v>
      </c>
      <c r="D1473">
        <v>29</v>
      </c>
      <c r="E1473" t="s">
        <v>1458</v>
      </c>
    </row>
    <row r="1474" spans="1:5">
      <c r="A1474">
        <f>HYPERLINK("http://www.twitter.com/FDNY/status/766642138088148992", "766642138088148992")</f>
        <v>0</v>
      </c>
      <c r="B1474" s="2">
        <v>42601.6007291667</v>
      </c>
      <c r="C1474">
        <v>37</v>
      </c>
      <c r="D1474">
        <v>24</v>
      </c>
      <c r="E1474" t="s">
        <v>1459</v>
      </c>
    </row>
    <row r="1475" spans="1:5">
      <c r="A1475">
        <f>HYPERLINK("http://www.twitter.com/FDNY/status/766641950233653249", "766641950233653249")</f>
        <v>0</v>
      </c>
      <c r="B1475" s="2">
        <v>42601.6002199074</v>
      </c>
      <c r="C1475">
        <v>17</v>
      </c>
      <c r="D1475">
        <v>9</v>
      </c>
      <c r="E1475" t="s">
        <v>1460</v>
      </c>
    </row>
    <row r="1476" spans="1:5">
      <c r="A1476">
        <f>HYPERLINK("http://www.twitter.com/FDNY/status/766641567666991104", "766641567666991104")</f>
        <v>0</v>
      </c>
      <c r="B1476" s="2">
        <v>42601.5991550926</v>
      </c>
      <c r="C1476">
        <v>32</v>
      </c>
      <c r="D1476">
        <v>15</v>
      </c>
      <c r="E1476" t="s">
        <v>1461</v>
      </c>
    </row>
    <row r="1477" spans="1:5">
      <c r="A1477">
        <f>HYPERLINK("http://www.twitter.com/FDNY/status/766617593306374144", "766617593306374144")</f>
        <v>0</v>
      </c>
      <c r="B1477" s="2">
        <v>42601.5329976852</v>
      </c>
      <c r="C1477">
        <v>0</v>
      </c>
      <c r="D1477">
        <v>16</v>
      </c>
      <c r="E1477" t="s">
        <v>1462</v>
      </c>
    </row>
    <row r="1478" spans="1:5">
      <c r="A1478">
        <f>HYPERLINK("http://www.twitter.com/FDNY/status/766617509466345472", "766617509466345472")</f>
        <v>0</v>
      </c>
      <c r="B1478" s="2">
        <v>42601.5327662037</v>
      </c>
      <c r="C1478">
        <v>0</v>
      </c>
      <c r="D1478">
        <v>15</v>
      </c>
      <c r="E1478" t="s">
        <v>1463</v>
      </c>
    </row>
    <row r="1479" spans="1:5">
      <c r="A1479">
        <f>HYPERLINK("http://www.twitter.com/FDNY/status/766617472950759425", "766617472950759425")</f>
        <v>0</v>
      </c>
      <c r="B1479" s="2">
        <v>42601.5326736111</v>
      </c>
      <c r="C1479">
        <v>0</v>
      </c>
      <c r="D1479">
        <v>7</v>
      </c>
      <c r="E1479" t="s">
        <v>1464</v>
      </c>
    </row>
    <row r="1480" spans="1:5">
      <c r="A1480">
        <f>HYPERLINK("http://www.twitter.com/FDNY/status/766617440990232576", "766617440990232576")</f>
        <v>0</v>
      </c>
      <c r="B1480" s="2">
        <v>42601.5325810185</v>
      </c>
      <c r="C1480">
        <v>0</v>
      </c>
      <c r="D1480">
        <v>5</v>
      </c>
      <c r="E1480" t="s">
        <v>1465</v>
      </c>
    </row>
    <row r="1481" spans="1:5">
      <c r="A1481">
        <f>HYPERLINK("http://www.twitter.com/FDNY/status/766617388066410496", "766617388066410496")</f>
        <v>0</v>
      </c>
      <c r="B1481" s="2">
        <v>42601.5324421296</v>
      </c>
      <c r="C1481">
        <v>0</v>
      </c>
      <c r="D1481">
        <v>10</v>
      </c>
      <c r="E1481" t="s">
        <v>1466</v>
      </c>
    </row>
    <row r="1482" spans="1:5">
      <c r="A1482">
        <f>HYPERLINK("http://www.twitter.com/FDNY/status/766617356458139649", "766617356458139649")</f>
        <v>0</v>
      </c>
      <c r="B1482" s="2">
        <v>42601.532349537</v>
      </c>
      <c r="C1482">
        <v>0</v>
      </c>
      <c r="D1482">
        <v>18</v>
      </c>
      <c r="E1482" t="s">
        <v>1467</v>
      </c>
    </row>
    <row r="1483" spans="1:5">
      <c r="A1483">
        <f>HYPERLINK("http://www.twitter.com/FDNY/status/766617234131316736", "766617234131316736")</f>
        <v>0</v>
      </c>
      <c r="B1483" s="2">
        <v>42601.5320138889</v>
      </c>
      <c r="C1483">
        <v>0</v>
      </c>
      <c r="D1483">
        <v>8</v>
      </c>
      <c r="E1483" t="s">
        <v>1468</v>
      </c>
    </row>
    <row r="1484" spans="1:5">
      <c r="A1484">
        <f>HYPERLINK("http://www.twitter.com/FDNY/status/766482123133976576", "766482123133976576")</f>
        <v>0</v>
      </c>
      <c r="B1484" s="2">
        <v>42601.1591782407</v>
      </c>
      <c r="C1484">
        <v>0</v>
      </c>
      <c r="D1484">
        <v>9</v>
      </c>
      <c r="E1484" t="s">
        <v>1469</v>
      </c>
    </row>
    <row r="1485" spans="1:5">
      <c r="A1485">
        <f>HYPERLINK("http://www.twitter.com/FDNY/status/766441541799936000", "766441541799936000")</f>
        <v>0</v>
      </c>
      <c r="B1485" s="2">
        <v>42601.0471990741</v>
      </c>
      <c r="C1485">
        <v>0</v>
      </c>
      <c r="D1485">
        <v>11</v>
      </c>
      <c r="E1485" t="s">
        <v>1470</v>
      </c>
    </row>
    <row r="1486" spans="1:5">
      <c r="A1486">
        <f>HYPERLINK("http://www.twitter.com/FDNY/status/766438091288616960", "766438091288616960")</f>
        <v>0</v>
      </c>
      <c r="B1486" s="2">
        <v>42601.0376736111</v>
      </c>
      <c r="C1486">
        <v>52</v>
      </c>
      <c r="D1486">
        <v>23</v>
      </c>
      <c r="E1486" t="s">
        <v>1471</v>
      </c>
    </row>
    <row r="1487" spans="1:5">
      <c r="A1487">
        <f>HYPERLINK("http://www.twitter.com/FDNY/status/766437927119380480", "766437927119380480")</f>
        <v>0</v>
      </c>
      <c r="B1487" s="2">
        <v>42601.0372222222</v>
      </c>
      <c r="C1487">
        <v>31</v>
      </c>
      <c r="D1487">
        <v>17</v>
      </c>
      <c r="E1487" t="s">
        <v>1472</v>
      </c>
    </row>
    <row r="1488" spans="1:5">
      <c r="A1488">
        <f>HYPERLINK("http://www.twitter.com/FDNY/status/766437778330705921", "766437778330705921")</f>
        <v>0</v>
      </c>
      <c r="B1488" s="2">
        <v>42601.0368055556</v>
      </c>
      <c r="C1488">
        <v>19</v>
      </c>
      <c r="D1488">
        <v>10</v>
      </c>
      <c r="E1488" t="s">
        <v>1473</v>
      </c>
    </row>
    <row r="1489" spans="1:5">
      <c r="A1489">
        <f>HYPERLINK("http://www.twitter.com/FDNY/status/766422940820840448", "766422940820840448")</f>
        <v>0</v>
      </c>
      <c r="B1489" s="2">
        <v>42600.9958680556</v>
      </c>
      <c r="C1489">
        <v>31</v>
      </c>
      <c r="D1489">
        <v>32</v>
      </c>
      <c r="E1489" t="s">
        <v>1474</v>
      </c>
    </row>
    <row r="1490" spans="1:5">
      <c r="A1490">
        <f>HYPERLINK("http://www.twitter.com/FDNY/status/766422691553349632", "766422691553349632")</f>
        <v>0</v>
      </c>
      <c r="B1490" s="2">
        <v>42600.9951736111</v>
      </c>
      <c r="C1490">
        <v>0</v>
      </c>
      <c r="D1490">
        <v>21</v>
      </c>
      <c r="E1490" t="s">
        <v>1475</v>
      </c>
    </row>
    <row r="1491" spans="1:5">
      <c r="A1491">
        <f>HYPERLINK("http://www.twitter.com/FDNY/status/766420658536538113", "766420658536538113")</f>
        <v>0</v>
      </c>
      <c r="B1491" s="2">
        <v>42600.9895717593</v>
      </c>
      <c r="C1491">
        <v>0</v>
      </c>
      <c r="D1491">
        <v>65</v>
      </c>
      <c r="E1491" t="s">
        <v>1476</v>
      </c>
    </row>
    <row r="1492" spans="1:5">
      <c r="A1492">
        <f>HYPERLINK("http://www.twitter.com/FDNY/status/766420163663110144", "766420163663110144")</f>
        <v>0</v>
      </c>
      <c r="B1492" s="2">
        <v>42600.9882060185</v>
      </c>
      <c r="C1492">
        <v>45</v>
      </c>
      <c r="D1492">
        <v>49</v>
      </c>
      <c r="E1492" t="s">
        <v>1477</v>
      </c>
    </row>
    <row r="1493" spans="1:5">
      <c r="A1493">
        <f>HYPERLINK("http://www.twitter.com/FDNY/status/766413273101053952", "766413273101053952")</f>
        <v>0</v>
      </c>
      <c r="B1493" s="2">
        <v>42600.9691898148</v>
      </c>
      <c r="C1493">
        <v>29</v>
      </c>
      <c r="D1493">
        <v>20</v>
      </c>
      <c r="E1493" t="s">
        <v>1478</v>
      </c>
    </row>
    <row r="1494" spans="1:5">
      <c r="A1494">
        <f>HYPERLINK("http://www.twitter.com/FDNY/status/766407120543711232", "766407120543711232")</f>
        <v>0</v>
      </c>
      <c r="B1494" s="2">
        <v>42600.9522106481</v>
      </c>
      <c r="C1494">
        <v>0</v>
      </c>
      <c r="D1494">
        <v>22</v>
      </c>
      <c r="E1494" t="s">
        <v>1479</v>
      </c>
    </row>
    <row r="1495" spans="1:5">
      <c r="A1495">
        <f>HYPERLINK("http://www.twitter.com/FDNY/status/766405500795846656", "766405500795846656")</f>
        <v>0</v>
      </c>
      <c r="B1495" s="2">
        <v>42600.9477430556</v>
      </c>
      <c r="C1495">
        <v>0</v>
      </c>
      <c r="D1495">
        <v>6</v>
      </c>
      <c r="E1495" t="s">
        <v>1480</v>
      </c>
    </row>
    <row r="1496" spans="1:5">
      <c r="A1496">
        <f>HYPERLINK("http://www.twitter.com/FDNY/status/766365964640411648", "766365964640411648")</f>
        <v>0</v>
      </c>
      <c r="B1496" s="2">
        <v>42600.8386458333</v>
      </c>
      <c r="C1496">
        <v>65</v>
      </c>
      <c r="D1496">
        <v>41</v>
      </c>
      <c r="E1496" t="s">
        <v>1481</v>
      </c>
    </row>
    <row r="1497" spans="1:5">
      <c r="A1497">
        <f>HYPERLINK("http://www.twitter.com/FDNY/status/766347094554738688", "766347094554738688")</f>
        <v>0</v>
      </c>
      <c r="B1497" s="2">
        <v>42600.7865740741</v>
      </c>
      <c r="C1497">
        <v>0</v>
      </c>
      <c r="D1497">
        <v>10</v>
      </c>
      <c r="E1497" t="s">
        <v>1482</v>
      </c>
    </row>
    <row r="1498" spans="1:5">
      <c r="A1498">
        <f>HYPERLINK("http://www.twitter.com/FDNY/status/766335820458520576", "766335820458520576")</f>
        <v>0</v>
      </c>
      <c r="B1498" s="2">
        <v>42600.755462963</v>
      </c>
      <c r="C1498">
        <v>25</v>
      </c>
      <c r="D1498">
        <v>15</v>
      </c>
      <c r="E1498" t="s">
        <v>1483</v>
      </c>
    </row>
    <row r="1499" spans="1:5">
      <c r="A1499">
        <f>HYPERLINK("http://www.twitter.com/FDNY/status/766329981983199234", "766329981983199234")</f>
        <v>0</v>
      </c>
      <c r="B1499" s="2">
        <v>42600.7393518519</v>
      </c>
      <c r="C1499">
        <v>14</v>
      </c>
      <c r="D1499">
        <v>7</v>
      </c>
      <c r="E1499" t="s">
        <v>1484</v>
      </c>
    </row>
    <row r="1500" spans="1:5">
      <c r="A1500">
        <f>HYPERLINK("http://www.twitter.com/FDNY/status/766296624134033408", "766296624134033408")</f>
        <v>0</v>
      </c>
      <c r="B1500" s="2">
        <v>42600.6472916667</v>
      </c>
      <c r="C1500">
        <v>0</v>
      </c>
      <c r="D1500">
        <v>0</v>
      </c>
      <c r="E1500" t="s">
        <v>1485</v>
      </c>
    </row>
    <row r="1501" spans="1:5">
      <c r="A1501">
        <f>HYPERLINK("http://www.twitter.com/FDNY/status/766280362276319232", "766280362276319232")</f>
        <v>0</v>
      </c>
      <c r="B1501" s="2">
        <v>42600.6024189815</v>
      </c>
      <c r="C1501">
        <v>27</v>
      </c>
      <c r="D1501">
        <v>6</v>
      </c>
      <c r="E1501" t="s">
        <v>1486</v>
      </c>
    </row>
    <row r="1502" spans="1:5">
      <c r="A1502">
        <f>HYPERLINK("http://www.twitter.com/FDNY/status/766121432430497793", "766121432430497793")</f>
        <v>0</v>
      </c>
      <c r="B1502" s="2">
        <v>42600.1638541667</v>
      </c>
      <c r="C1502">
        <v>0</v>
      </c>
      <c r="D1502">
        <v>1</v>
      </c>
      <c r="E1502" t="s">
        <v>1487</v>
      </c>
    </row>
    <row r="1503" spans="1:5">
      <c r="A1503">
        <f>HYPERLINK("http://www.twitter.com/FDNY/status/766018680408969217", "766018680408969217")</f>
        <v>0</v>
      </c>
      <c r="B1503" s="2">
        <v>42599.8803240741</v>
      </c>
      <c r="C1503">
        <v>10</v>
      </c>
      <c r="D1503">
        <v>2</v>
      </c>
      <c r="E1503" t="s">
        <v>1488</v>
      </c>
    </row>
    <row r="1504" spans="1:5">
      <c r="A1504">
        <f>HYPERLINK("http://www.twitter.com/FDNY/status/766017995730743296", "766017995730743296")</f>
        <v>0</v>
      </c>
      <c r="B1504" s="2">
        <v>42599.8784259259</v>
      </c>
      <c r="C1504">
        <v>10</v>
      </c>
      <c r="D1504">
        <v>3</v>
      </c>
      <c r="E1504" t="s">
        <v>1489</v>
      </c>
    </row>
    <row r="1505" spans="1:5">
      <c r="A1505">
        <f>HYPERLINK("http://www.twitter.com/FDNY/status/766017814150914048", "766017814150914048")</f>
        <v>0</v>
      </c>
      <c r="B1505" s="2">
        <v>42599.8779282407</v>
      </c>
      <c r="C1505">
        <v>5</v>
      </c>
      <c r="D1505">
        <v>7</v>
      </c>
      <c r="E1505" t="s">
        <v>1490</v>
      </c>
    </row>
    <row r="1506" spans="1:5">
      <c r="A1506">
        <f>HYPERLINK("http://www.twitter.com/FDNY/status/766012565604491264", "766012565604491264")</f>
        <v>0</v>
      </c>
      <c r="B1506" s="2">
        <v>42599.8634490741</v>
      </c>
      <c r="C1506">
        <v>19</v>
      </c>
      <c r="D1506">
        <v>7</v>
      </c>
      <c r="E1506" t="s">
        <v>1491</v>
      </c>
    </row>
    <row r="1507" spans="1:5">
      <c r="A1507">
        <f>HYPERLINK("http://www.twitter.com/FDNY/status/766012167149715456", "766012167149715456")</f>
        <v>0</v>
      </c>
      <c r="B1507" s="2">
        <v>42599.862349537</v>
      </c>
      <c r="C1507">
        <v>43</v>
      </c>
      <c r="D1507">
        <v>9</v>
      </c>
      <c r="E1507" t="s">
        <v>1492</v>
      </c>
    </row>
    <row r="1508" spans="1:5">
      <c r="A1508">
        <f>HYPERLINK("http://www.twitter.com/FDNY/status/765945093278855169", "765945093278855169")</f>
        <v>0</v>
      </c>
      <c r="B1508" s="2">
        <v>42599.6772569444</v>
      </c>
      <c r="C1508">
        <v>0</v>
      </c>
      <c r="D1508">
        <v>15</v>
      </c>
      <c r="E1508" t="s">
        <v>1493</v>
      </c>
    </row>
    <row r="1509" spans="1:5">
      <c r="A1509">
        <f>HYPERLINK("http://www.twitter.com/FDNY/status/765943822350217216", "765943822350217216")</f>
        <v>0</v>
      </c>
      <c r="B1509" s="2">
        <v>42599.67375</v>
      </c>
      <c r="C1509">
        <v>0</v>
      </c>
      <c r="D1509">
        <v>2</v>
      </c>
      <c r="E1509" t="s">
        <v>1494</v>
      </c>
    </row>
    <row r="1510" spans="1:5">
      <c r="A1510">
        <f>HYPERLINK("http://www.twitter.com/FDNY/status/765941805468770304", "765941805468770304")</f>
        <v>0</v>
      </c>
      <c r="B1510" s="2">
        <v>42599.6681828704</v>
      </c>
      <c r="C1510">
        <v>0</v>
      </c>
      <c r="D1510">
        <v>4</v>
      </c>
      <c r="E1510" t="s">
        <v>1495</v>
      </c>
    </row>
    <row r="1511" spans="1:5">
      <c r="A1511">
        <f>HYPERLINK("http://www.twitter.com/FDNY/status/765941737256878080", "765941737256878080")</f>
        <v>0</v>
      </c>
      <c r="B1511" s="2">
        <v>42599.6679976852</v>
      </c>
      <c r="C1511">
        <v>0</v>
      </c>
      <c r="D1511">
        <v>8</v>
      </c>
      <c r="E1511" t="s">
        <v>1496</v>
      </c>
    </row>
    <row r="1512" spans="1:5">
      <c r="A1512">
        <f>HYPERLINK("http://www.twitter.com/FDNY/status/765938913085120513", "765938913085120513")</f>
        <v>0</v>
      </c>
      <c r="B1512" s="2">
        <v>42599.6601967593</v>
      </c>
      <c r="C1512">
        <v>13</v>
      </c>
      <c r="D1512">
        <v>7</v>
      </c>
      <c r="E1512" t="s">
        <v>1497</v>
      </c>
    </row>
    <row r="1513" spans="1:5">
      <c r="A1513">
        <f>HYPERLINK("http://www.twitter.com/FDNY/status/765920813916811264", "765920813916811264")</f>
        <v>0</v>
      </c>
      <c r="B1513" s="2">
        <v>42599.6102546296</v>
      </c>
      <c r="C1513">
        <v>25</v>
      </c>
      <c r="D1513">
        <v>6</v>
      </c>
      <c r="E1513" t="s">
        <v>1498</v>
      </c>
    </row>
    <row r="1514" spans="1:5">
      <c r="A1514">
        <f>HYPERLINK("http://www.twitter.com/FDNY/status/765906866270535680", "765906866270535680")</f>
        <v>0</v>
      </c>
      <c r="B1514" s="2">
        <v>42599.5717708333</v>
      </c>
      <c r="C1514">
        <v>0</v>
      </c>
      <c r="D1514">
        <v>10</v>
      </c>
      <c r="E1514" t="s">
        <v>1499</v>
      </c>
    </row>
    <row r="1515" spans="1:5">
      <c r="A1515">
        <f>HYPERLINK("http://www.twitter.com/FDNY/status/765710770457964548", "765710770457964548")</f>
        <v>0</v>
      </c>
      <c r="B1515" s="2">
        <v>42599.0306481481</v>
      </c>
      <c r="C1515">
        <v>0</v>
      </c>
      <c r="D1515">
        <v>4</v>
      </c>
      <c r="E1515" t="s">
        <v>1500</v>
      </c>
    </row>
    <row r="1516" spans="1:5">
      <c r="A1516">
        <f>HYPERLINK("http://www.twitter.com/FDNY/status/765587795477991425", "765587795477991425")</f>
        <v>0</v>
      </c>
      <c r="B1516" s="2">
        <v>42598.6913078704</v>
      </c>
      <c r="C1516">
        <v>19</v>
      </c>
      <c r="D1516">
        <v>16</v>
      </c>
      <c r="E1516" t="s">
        <v>1501</v>
      </c>
    </row>
    <row r="1517" spans="1:5">
      <c r="A1517">
        <f>HYPERLINK("http://www.twitter.com/FDNY/status/765557624792313856", "765557624792313856")</f>
        <v>0</v>
      </c>
      <c r="B1517" s="2">
        <v>42598.6080439815</v>
      </c>
      <c r="C1517">
        <v>14</v>
      </c>
      <c r="D1517">
        <v>10</v>
      </c>
      <c r="E1517" t="s">
        <v>1502</v>
      </c>
    </row>
    <row r="1518" spans="1:5">
      <c r="A1518">
        <f>HYPERLINK("http://www.twitter.com/FDNY/status/765372983317856256", "765372983317856256")</f>
        <v>0</v>
      </c>
      <c r="B1518" s="2">
        <v>42598.0985300926</v>
      </c>
      <c r="C1518">
        <v>0</v>
      </c>
      <c r="D1518">
        <v>10</v>
      </c>
      <c r="E1518" t="s">
        <v>1503</v>
      </c>
    </row>
    <row r="1519" spans="1:5">
      <c r="A1519">
        <f>HYPERLINK("http://www.twitter.com/FDNY/status/765343312572248064", "765343312572248064")</f>
        <v>0</v>
      </c>
      <c r="B1519" s="2">
        <v>42598.0166550926</v>
      </c>
      <c r="C1519">
        <v>0</v>
      </c>
      <c r="D1519">
        <v>7</v>
      </c>
      <c r="E1519" t="s">
        <v>1504</v>
      </c>
    </row>
    <row r="1520" spans="1:5">
      <c r="A1520">
        <f>HYPERLINK("http://www.twitter.com/FDNY/status/765342910267138049", "765342910267138049")</f>
        <v>0</v>
      </c>
      <c r="B1520" s="2">
        <v>42598.0155439815</v>
      </c>
      <c r="C1520">
        <v>10</v>
      </c>
      <c r="D1520">
        <v>6</v>
      </c>
      <c r="E1520" t="s">
        <v>1505</v>
      </c>
    </row>
    <row r="1521" spans="1:5">
      <c r="A1521">
        <f>HYPERLINK("http://www.twitter.com/FDNY/status/765303067344601088", "765303067344601088")</f>
        <v>0</v>
      </c>
      <c r="B1521" s="2">
        <v>42597.9056018519</v>
      </c>
      <c r="C1521">
        <v>0</v>
      </c>
      <c r="D1521">
        <v>5</v>
      </c>
      <c r="E1521" t="s">
        <v>1506</v>
      </c>
    </row>
    <row r="1522" spans="1:5">
      <c r="A1522">
        <f>HYPERLINK("http://www.twitter.com/FDNY/status/765283392946577408", "765283392946577408")</f>
        <v>0</v>
      </c>
      <c r="B1522" s="2">
        <v>42597.8513078704</v>
      </c>
      <c r="C1522">
        <v>0</v>
      </c>
      <c r="D1522">
        <v>44</v>
      </c>
      <c r="E1522" t="s">
        <v>1507</v>
      </c>
    </row>
    <row r="1523" spans="1:5">
      <c r="A1523">
        <f>HYPERLINK("http://www.twitter.com/FDNY/status/765242149386457088", "765242149386457088")</f>
        <v>0</v>
      </c>
      <c r="B1523" s="2">
        <v>42597.7375</v>
      </c>
      <c r="C1523">
        <v>8</v>
      </c>
      <c r="D1523">
        <v>9</v>
      </c>
      <c r="E1523" t="s">
        <v>1508</v>
      </c>
    </row>
    <row r="1524" spans="1:5">
      <c r="A1524">
        <f>HYPERLINK("http://www.twitter.com/FDNY/status/765237975668121601", "765237975668121601")</f>
        <v>0</v>
      </c>
      <c r="B1524" s="2">
        <v>42597.7259837963</v>
      </c>
      <c r="C1524">
        <v>21</v>
      </c>
      <c r="D1524">
        <v>14</v>
      </c>
      <c r="E1524" t="s">
        <v>1509</v>
      </c>
    </row>
    <row r="1525" spans="1:5">
      <c r="A1525">
        <f>HYPERLINK("http://www.twitter.com/FDNY/status/765237657899237376", "765237657899237376")</f>
        <v>0</v>
      </c>
      <c r="B1525" s="2">
        <v>42597.7251041667</v>
      </c>
      <c r="C1525">
        <v>0</v>
      </c>
      <c r="D1525">
        <v>3</v>
      </c>
      <c r="E1525" t="s">
        <v>1510</v>
      </c>
    </row>
    <row r="1526" spans="1:5">
      <c r="A1526">
        <f>HYPERLINK("http://www.twitter.com/FDNY/status/765226218190962688", "765226218190962688")</f>
        <v>0</v>
      </c>
      <c r="B1526" s="2">
        <v>42597.6935416667</v>
      </c>
      <c r="C1526">
        <v>0</v>
      </c>
      <c r="D1526">
        <v>11</v>
      </c>
      <c r="E1526" t="s">
        <v>1511</v>
      </c>
    </row>
    <row r="1527" spans="1:5">
      <c r="A1527">
        <f>HYPERLINK("http://www.twitter.com/FDNY/status/765226196456079360", "765226196456079360")</f>
        <v>0</v>
      </c>
      <c r="B1527" s="2">
        <v>42597.6934837963</v>
      </c>
      <c r="C1527">
        <v>0</v>
      </c>
      <c r="D1527">
        <v>14</v>
      </c>
      <c r="E1527" t="s">
        <v>1512</v>
      </c>
    </row>
    <row r="1528" spans="1:5">
      <c r="A1528">
        <f>HYPERLINK("http://www.twitter.com/FDNY/status/765174838927495168", "765174838927495168")</f>
        <v>0</v>
      </c>
      <c r="B1528" s="2">
        <v>42597.5517592593</v>
      </c>
      <c r="C1528">
        <v>0</v>
      </c>
      <c r="D1528">
        <v>1</v>
      </c>
      <c r="E1528" t="s">
        <v>1513</v>
      </c>
    </row>
    <row r="1529" spans="1:5">
      <c r="A1529">
        <f>HYPERLINK("http://www.twitter.com/FDNY/status/764902690166083589", "764902690166083589")</f>
        <v>0</v>
      </c>
      <c r="B1529" s="2">
        <v>42596.800775463</v>
      </c>
      <c r="C1529">
        <v>0</v>
      </c>
      <c r="D1529">
        <v>11</v>
      </c>
      <c r="E1529" t="s">
        <v>1514</v>
      </c>
    </row>
    <row r="1530" spans="1:5">
      <c r="A1530">
        <f>HYPERLINK("http://www.twitter.com/FDNY/status/764902678132559872", "764902678132559872")</f>
        <v>0</v>
      </c>
      <c r="B1530" s="2">
        <v>42596.8007407407</v>
      </c>
      <c r="C1530">
        <v>0</v>
      </c>
      <c r="D1530">
        <v>28</v>
      </c>
      <c r="E1530" t="s">
        <v>1515</v>
      </c>
    </row>
    <row r="1531" spans="1:5">
      <c r="A1531">
        <f>HYPERLINK("http://www.twitter.com/FDNY/status/764891949354610688", "764891949354610688")</f>
        <v>0</v>
      </c>
      <c r="B1531" s="2">
        <v>42596.7711342593</v>
      </c>
      <c r="C1531">
        <v>28</v>
      </c>
      <c r="D1531">
        <v>22</v>
      </c>
      <c r="E1531" t="s">
        <v>1516</v>
      </c>
    </row>
    <row r="1532" spans="1:5">
      <c r="A1532">
        <f>HYPERLINK("http://www.twitter.com/FDNY/status/764887546501459969", "764887546501459969")</f>
        <v>0</v>
      </c>
      <c r="B1532" s="2">
        <v>42596.7589814815</v>
      </c>
      <c r="C1532">
        <v>37</v>
      </c>
      <c r="D1532">
        <v>24</v>
      </c>
      <c r="E1532" t="s">
        <v>1517</v>
      </c>
    </row>
    <row r="1533" spans="1:5">
      <c r="A1533">
        <f>HYPERLINK("http://www.twitter.com/FDNY/status/764878048118333440", "764878048118333440")</f>
        <v>0</v>
      </c>
      <c r="B1533" s="2">
        <v>42596.7327777778</v>
      </c>
      <c r="C1533">
        <v>31</v>
      </c>
      <c r="D1533">
        <v>20</v>
      </c>
      <c r="E1533" t="s">
        <v>1518</v>
      </c>
    </row>
    <row r="1534" spans="1:5">
      <c r="A1534">
        <f>HYPERLINK("http://www.twitter.com/FDNY/status/764874340873670657", "764874340873670657")</f>
        <v>0</v>
      </c>
      <c r="B1534" s="2">
        <v>42596.7225462963</v>
      </c>
      <c r="C1534">
        <v>7</v>
      </c>
      <c r="D1534">
        <v>8</v>
      </c>
      <c r="E1534" t="s">
        <v>1519</v>
      </c>
    </row>
    <row r="1535" spans="1:5">
      <c r="A1535">
        <f>HYPERLINK("http://www.twitter.com/FDNY/status/764861748453212160", "764861748453212160")</f>
        <v>0</v>
      </c>
      <c r="B1535" s="2">
        <v>42596.6877893519</v>
      </c>
      <c r="C1535">
        <v>16</v>
      </c>
      <c r="D1535">
        <v>14</v>
      </c>
      <c r="E1535" t="s">
        <v>1520</v>
      </c>
    </row>
    <row r="1536" spans="1:5">
      <c r="A1536">
        <f>HYPERLINK("http://www.twitter.com/FDNY/status/764849319837102080", "764849319837102080")</f>
        <v>0</v>
      </c>
      <c r="B1536" s="2">
        <v>42596.6534953704</v>
      </c>
      <c r="C1536">
        <v>9</v>
      </c>
      <c r="D1536">
        <v>13</v>
      </c>
      <c r="E1536" t="s">
        <v>1521</v>
      </c>
    </row>
    <row r="1537" spans="1:5">
      <c r="A1537">
        <f>HYPERLINK("http://www.twitter.com/FDNY/status/764848420230234113", "764848420230234113")</f>
        <v>0</v>
      </c>
      <c r="B1537" s="2">
        <v>42596.6510185185</v>
      </c>
      <c r="C1537">
        <v>0</v>
      </c>
      <c r="D1537">
        <v>16</v>
      </c>
      <c r="E1537" t="s">
        <v>1522</v>
      </c>
    </row>
    <row r="1538" spans="1:5">
      <c r="A1538">
        <f>HYPERLINK("http://www.twitter.com/FDNY/status/764845352067399680", "764845352067399680")</f>
        <v>0</v>
      </c>
      <c r="B1538" s="2">
        <v>42596.6425462963</v>
      </c>
      <c r="C1538">
        <v>5</v>
      </c>
      <c r="D1538">
        <v>6</v>
      </c>
      <c r="E1538" t="s">
        <v>1523</v>
      </c>
    </row>
    <row r="1539" spans="1:5">
      <c r="A1539">
        <f>HYPERLINK("http://www.twitter.com/FDNY/status/764842606647967744", "764842606647967744")</f>
        <v>0</v>
      </c>
      <c r="B1539" s="2">
        <v>42596.6349768518</v>
      </c>
      <c r="C1539">
        <v>6</v>
      </c>
      <c r="D1539">
        <v>5</v>
      </c>
      <c r="E1539" t="s">
        <v>1524</v>
      </c>
    </row>
    <row r="1540" spans="1:5">
      <c r="A1540">
        <f>HYPERLINK("http://www.twitter.com/FDNY/status/764842544299663361", "764842544299663361")</f>
        <v>0</v>
      </c>
      <c r="B1540" s="2">
        <v>42596.6348032407</v>
      </c>
      <c r="C1540">
        <v>11</v>
      </c>
      <c r="D1540">
        <v>3</v>
      </c>
      <c r="E1540" t="s">
        <v>1525</v>
      </c>
    </row>
    <row r="1541" spans="1:5">
      <c r="A1541">
        <f>HYPERLINK("http://www.twitter.com/FDNY/status/764842458828144640", "764842458828144640")</f>
        <v>0</v>
      </c>
      <c r="B1541" s="2">
        <v>42596.6345601852</v>
      </c>
      <c r="C1541">
        <v>5</v>
      </c>
      <c r="D1541">
        <v>5</v>
      </c>
      <c r="E1541" t="s">
        <v>1526</v>
      </c>
    </row>
    <row r="1542" spans="1:5">
      <c r="A1542">
        <f>HYPERLINK("http://www.twitter.com/FDNY/status/764832729338875905", "764832729338875905")</f>
        <v>0</v>
      </c>
      <c r="B1542" s="2">
        <v>42596.6077199074</v>
      </c>
      <c r="C1542">
        <v>32</v>
      </c>
      <c r="D1542">
        <v>20</v>
      </c>
      <c r="E1542" t="s">
        <v>1527</v>
      </c>
    </row>
    <row r="1543" spans="1:5">
      <c r="A1543">
        <f>HYPERLINK("http://www.twitter.com/FDNY/status/764829847889776641", "764829847889776641")</f>
        <v>0</v>
      </c>
      <c r="B1543" s="2">
        <v>42596.5997685185</v>
      </c>
      <c r="C1543">
        <v>0</v>
      </c>
      <c r="D1543">
        <v>34</v>
      </c>
      <c r="E1543" t="s">
        <v>1528</v>
      </c>
    </row>
    <row r="1544" spans="1:5">
      <c r="A1544">
        <f>HYPERLINK("http://www.twitter.com/FDNY/status/764829750137352192", "764829750137352192")</f>
        <v>0</v>
      </c>
      <c r="B1544" s="2">
        <v>42596.5994907407</v>
      </c>
      <c r="C1544">
        <v>0</v>
      </c>
      <c r="D1544">
        <v>4</v>
      </c>
      <c r="E1544" t="s">
        <v>1529</v>
      </c>
    </row>
    <row r="1545" spans="1:5">
      <c r="A1545">
        <f>HYPERLINK("http://www.twitter.com/FDNY/status/764658650619281412", "764658650619281412")</f>
        <v>0</v>
      </c>
      <c r="B1545" s="2">
        <v>42596.127349537</v>
      </c>
      <c r="C1545">
        <v>0</v>
      </c>
      <c r="D1545">
        <v>3</v>
      </c>
      <c r="E1545" t="s">
        <v>1530</v>
      </c>
    </row>
    <row r="1546" spans="1:5">
      <c r="A1546">
        <f>HYPERLINK("http://www.twitter.com/FDNY/status/764618497246846976", "764618497246846976")</f>
        <v>0</v>
      </c>
      <c r="B1546" s="2">
        <v>42596.0165509259</v>
      </c>
      <c r="C1546">
        <v>0</v>
      </c>
      <c r="D1546">
        <v>4</v>
      </c>
      <c r="E1546" t="s">
        <v>1531</v>
      </c>
    </row>
    <row r="1547" spans="1:5">
      <c r="A1547">
        <f>HYPERLINK("http://www.twitter.com/FDNY/status/764618488266780672", "764618488266780672")</f>
        <v>0</v>
      </c>
      <c r="B1547" s="2">
        <v>42596.0165277778</v>
      </c>
      <c r="C1547">
        <v>0</v>
      </c>
      <c r="D1547">
        <v>14</v>
      </c>
      <c r="E1547" t="s">
        <v>1532</v>
      </c>
    </row>
    <row r="1548" spans="1:5">
      <c r="A1548">
        <f>HYPERLINK("http://www.twitter.com/FDNY/status/764618433053024256", "764618433053024256")</f>
        <v>0</v>
      </c>
      <c r="B1548" s="2">
        <v>42596.0163773148</v>
      </c>
      <c r="C1548">
        <v>0</v>
      </c>
      <c r="D1548">
        <v>3</v>
      </c>
      <c r="E1548" t="s">
        <v>1533</v>
      </c>
    </row>
    <row r="1549" spans="1:5">
      <c r="A1549">
        <f>HYPERLINK("http://www.twitter.com/FDNY/status/764548847297261568", "764548847297261568")</f>
        <v>0</v>
      </c>
      <c r="B1549" s="2">
        <v>42595.8243518519</v>
      </c>
      <c r="C1549">
        <v>0</v>
      </c>
      <c r="D1549">
        <v>13</v>
      </c>
      <c r="E1549" t="s">
        <v>1534</v>
      </c>
    </row>
    <row r="1550" spans="1:5">
      <c r="A1550">
        <f>HYPERLINK("http://www.twitter.com/FDNY/status/764544696941248512", "764544696941248512")</f>
        <v>0</v>
      </c>
      <c r="B1550" s="2">
        <v>42595.8128935185</v>
      </c>
      <c r="C1550">
        <v>37</v>
      </c>
      <c r="D1550">
        <v>28</v>
      </c>
      <c r="E1550" t="s">
        <v>1535</v>
      </c>
    </row>
    <row r="1551" spans="1:5">
      <c r="A1551">
        <f>HYPERLINK("http://www.twitter.com/FDNY/status/764542237741056001", "764542237741056001")</f>
        <v>0</v>
      </c>
      <c r="B1551" s="2">
        <v>42595.8061111111</v>
      </c>
      <c r="C1551">
        <v>28</v>
      </c>
      <c r="D1551">
        <v>12</v>
      </c>
      <c r="E1551" t="s">
        <v>1536</v>
      </c>
    </row>
    <row r="1552" spans="1:5">
      <c r="A1552">
        <f>HYPERLINK("http://www.twitter.com/FDNY/status/764533009764712448", "764533009764712448")</f>
        <v>0</v>
      </c>
      <c r="B1552" s="2">
        <v>42595.7806481481</v>
      </c>
      <c r="C1552">
        <v>28</v>
      </c>
      <c r="D1552">
        <v>16</v>
      </c>
      <c r="E1552" t="s">
        <v>1537</v>
      </c>
    </row>
    <row r="1553" spans="1:5">
      <c r="A1553">
        <f>HYPERLINK("http://www.twitter.com/FDNY/status/764527034508992512", "764527034508992512")</f>
        <v>0</v>
      </c>
      <c r="B1553" s="2">
        <v>42595.7641550926</v>
      </c>
      <c r="C1553">
        <v>21</v>
      </c>
      <c r="D1553">
        <v>16</v>
      </c>
      <c r="E1553" t="s">
        <v>1538</v>
      </c>
    </row>
    <row r="1554" spans="1:5">
      <c r="A1554">
        <f>HYPERLINK("http://www.twitter.com/FDNY/status/764526947477184512", "764526947477184512")</f>
        <v>0</v>
      </c>
      <c r="B1554" s="2">
        <v>42595.7639236111</v>
      </c>
      <c r="C1554">
        <v>22</v>
      </c>
      <c r="D1554">
        <v>6</v>
      </c>
      <c r="E1554" t="s">
        <v>1539</v>
      </c>
    </row>
    <row r="1555" spans="1:5">
      <c r="A1555">
        <f>HYPERLINK("http://www.twitter.com/FDNY/status/764525096056786944", "764525096056786944")</f>
        <v>0</v>
      </c>
      <c r="B1555" s="2">
        <v>42595.7588078704</v>
      </c>
      <c r="C1555">
        <v>28</v>
      </c>
      <c r="D1555">
        <v>10</v>
      </c>
      <c r="E1555" t="s">
        <v>1540</v>
      </c>
    </row>
    <row r="1556" spans="1:5">
      <c r="A1556">
        <f>HYPERLINK("http://www.twitter.com/FDNY/status/764502500007346176", "764502500007346176")</f>
        <v>0</v>
      </c>
      <c r="B1556" s="2">
        <v>42595.6964583333</v>
      </c>
      <c r="C1556">
        <v>30</v>
      </c>
      <c r="D1556">
        <v>16</v>
      </c>
      <c r="E1556" t="s">
        <v>1541</v>
      </c>
    </row>
    <row r="1557" spans="1:5">
      <c r="A1557">
        <f>HYPERLINK("http://www.twitter.com/FDNY/status/764492066567184384", "764492066567184384")</f>
        <v>0</v>
      </c>
      <c r="B1557" s="2">
        <v>42595.667662037</v>
      </c>
      <c r="C1557">
        <v>17</v>
      </c>
      <c r="D1557">
        <v>11</v>
      </c>
      <c r="E1557" t="s">
        <v>1372</v>
      </c>
    </row>
    <row r="1558" spans="1:5">
      <c r="A1558">
        <f>HYPERLINK("http://www.twitter.com/FDNY/status/764486937201807360", "764486937201807360")</f>
        <v>0</v>
      </c>
      <c r="B1558" s="2">
        <v>42595.6535069444</v>
      </c>
      <c r="C1558">
        <v>0</v>
      </c>
      <c r="D1558">
        <v>20</v>
      </c>
      <c r="E1558" t="s">
        <v>1542</v>
      </c>
    </row>
    <row r="1559" spans="1:5">
      <c r="A1559">
        <f>HYPERLINK("http://www.twitter.com/FDNY/status/764486926703419393", "764486926703419393")</f>
        <v>0</v>
      </c>
      <c r="B1559" s="2">
        <v>42595.6534837963</v>
      </c>
      <c r="C1559">
        <v>0</v>
      </c>
      <c r="D1559">
        <v>10</v>
      </c>
      <c r="E1559" t="s">
        <v>1543</v>
      </c>
    </row>
    <row r="1560" spans="1:5">
      <c r="A1560">
        <f>HYPERLINK("http://www.twitter.com/FDNY/status/764484307809398784", "764484307809398784")</f>
        <v>0</v>
      </c>
      <c r="B1560" s="2">
        <v>42595.6462615741</v>
      </c>
      <c r="C1560">
        <v>11</v>
      </c>
      <c r="D1560">
        <v>12</v>
      </c>
      <c r="E1560" t="s">
        <v>1544</v>
      </c>
    </row>
    <row r="1561" spans="1:5">
      <c r="A1561">
        <f>HYPERLINK("http://www.twitter.com/FDNY/status/764469205085392896", "764469205085392896")</f>
        <v>0</v>
      </c>
      <c r="B1561" s="2">
        <v>42595.6045833333</v>
      </c>
      <c r="C1561">
        <v>11</v>
      </c>
      <c r="D1561">
        <v>9</v>
      </c>
      <c r="E1561" t="s">
        <v>1545</v>
      </c>
    </row>
    <row r="1562" spans="1:5">
      <c r="A1562">
        <f>HYPERLINK("http://www.twitter.com/FDNY/status/764461915846352896", "764461915846352896")</f>
        <v>0</v>
      </c>
      <c r="B1562" s="2">
        <v>42595.5844675926</v>
      </c>
      <c r="C1562">
        <v>16</v>
      </c>
      <c r="D1562">
        <v>12</v>
      </c>
      <c r="E1562" t="s">
        <v>1546</v>
      </c>
    </row>
    <row r="1563" spans="1:5">
      <c r="A1563">
        <f>HYPERLINK("http://www.twitter.com/FDNY/status/764447784326033408", "764447784326033408")</f>
        <v>0</v>
      </c>
      <c r="B1563" s="2">
        <v>42595.545474537</v>
      </c>
      <c r="C1563">
        <v>28</v>
      </c>
      <c r="D1563">
        <v>13</v>
      </c>
      <c r="E1563" t="s">
        <v>1547</v>
      </c>
    </row>
    <row r="1564" spans="1:5">
      <c r="A1564">
        <f>HYPERLINK("http://www.twitter.com/FDNY/status/764220064065347584", "764220064065347584")</f>
        <v>0</v>
      </c>
      <c r="B1564" s="2">
        <v>42594.9170833333</v>
      </c>
      <c r="C1564">
        <v>30</v>
      </c>
      <c r="D1564">
        <v>35</v>
      </c>
      <c r="E1564" t="s">
        <v>1535</v>
      </c>
    </row>
    <row r="1565" spans="1:5">
      <c r="A1565">
        <f>HYPERLINK("http://www.twitter.com/FDNY/status/764201154205118466", "764201154205118466")</f>
        <v>0</v>
      </c>
      <c r="B1565" s="2">
        <v>42594.8648958333</v>
      </c>
      <c r="C1565">
        <v>11</v>
      </c>
      <c r="D1565">
        <v>3</v>
      </c>
      <c r="E1565" t="s">
        <v>1548</v>
      </c>
    </row>
    <row r="1566" spans="1:5">
      <c r="A1566">
        <f>HYPERLINK("http://www.twitter.com/FDNY/status/764189866968113152", "764189866968113152")</f>
        <v>0</v>
      </c>
      <c r="B1566" s="2">
        <v>42594.83375</v>
      </c>
      <c r="C1566">
        <v>17</v>
      </c>
      <c r="D1566">
        <v>16</v>
      </c>
      <c r="E1566" t="s">
        <v>1518</v>
      </c>
    </row>
    <row r="1567" spans="1:5">
      <c r="A1567">
        <f>HYPERLINK("http://www.twitter.com/FDNY/status/764182244554604544", "764182244554604544")</f>
        <v>0</v>
      </c>
      <c r="B1567" s="2">
        <v>42594.8127199074</v>
      </c>
      <c r="C1567">
        <v>23</v>
      </c>
      <c r="D1567">
        <v>19</v>
      </c>
      <c r="E1567" t="s">
        <v>1516</v>
      </c>
    </row>
    <row r="1568" spans="1:5">
      <c r="A1568">
        <f>HYPERLINK("http://www.twitter.com/FDNY/status/764167133433630721", "764167133433630721")</f>
        <v>0</v>
      </c>
      <c r="B1568" s="2">
        <v>42594.7710185185</v>
      </c>
      <c r="C1568">
        <v>13</v>
      </c>
      <c r="D1568">
        <v>7</v>
      </c>
      <c r="E1568" t="s">
        <v>1549</v>
      </c>
    </row>
    <row r="1569" spans="1:5">
      <c r="A1569">
        <f>HYPERLINK("http://www.twitter.com/FDNY/status/764161064586051584", "764161064586051584")</f>
        <v>0</v>
      </c>
      <c r="B1569" s="2">
        <v>42594.7542708333</v>
      </c>
      <c r="C1569">
        <v>22</v>
      </c>
      <c r="D1569">
        <v>7</v>
      </c>
      <c r="E1569" t="s">
        <v>1550</v>
      </c>
    </row>
    <row r="1570" spans="1:5">
      <c r="A1570">
        <f>HYPERLINK("http://www.twitter.com/FDNY/status/764141934063579137", "764141934063579137")</f>
        <v>0</v>
      </c>
      <c r="B1570" s="2">
        <v>42594.7014814815</v>
      </c>
      <c r="C1570">
        <v>12</v>
      </c>
      <c r="D1570">
        <v>6</v>
      </c>
      <c r="E1570" t="s">
        <v>1551</v>
      </c>
    </row>
    <row r="1571" spans="1:5">
      <c r="A1571">
        <f>HYPERLINK("http://www.twitter.com/FDNY/status/764140785902157824", "764140785902157824")</f>
        <v>0</v>
      </c>
      <c r="B1571" s="2">
        <v>42594.6983217593</v>
      </c>
      <c r="C1571">
        <v>0</v>
      </c>
      <c r="D1571">
        <v>9</v>
      </c>
      <c r="E1571" t="s">
        <v>1552</v>
      </c>
    </row>
    <row r="1572" spans="1:5">
      <c r="A1572">
        <f>HYPERLINK("http://www.twitter.com/FDNY/status/764126960406650880", "764126960406650880")</f>
        <v>0</v>
      </c>
      <c r="B1572" s="2">
        <v>42594.660162037</v>
      </c>
      <c r="C1572">
        <v>24</v>
      </c>
      <c r="D1572">
        <v>11</v>
      </c>
      <c r="E1572" t="s">
        <v>1553</v>
      </c>
    </row>
    <row r="1573" spans="1:5">
      <c r="A1573">
        <f>HYPERLINK("http://www.twitter.com/FDNY/status/764109047301804033", "764109047301804033")</f>
        <v>0</v>
      </c>
      <c r="B1573" s="2">
        <v>42594.6107291667</v>
      </c>
      <c r="C1573">
        <v>0</v>
      </c>
      <c r="D1573">
        <v>13</v>
      </c>
      <c r="E1573" t="s">
        <v>1554</v>
      </c>
    </row>
    <row r="1574" spans="1:5">
      <c r="A1574">
        <f>HYPERLINK("http://www.twitter.com/FDNY/status/764085436025143296", "764085436025143296")</f>
        <v>0</v>
      </c>
      <c r="B1574" s="2">
        <v>42594.5455787037</v>
      </c>
      <c r="C1574">
        <v>25</v>
      </c>
      <c r="D1574">
        <v>15</v>
      </c>
      <c r="E1574" t="s">
        <v>1555</v>
      </c>
    </row>
    <row r="1575" spans="1:5">
      <c r="A1575">
        <f>HYPERLINK("http://www.twitter.com/FDNY/status/763883359802159104", "763883359802159104")</f>
        <v>0</v>
      </c>
      <c r="B1575" s="2">
        <v>42593.9879513889</v>
      </c>
      <c r="C1575">
        <v>0</v>
      </c>
      <c r="D1575">
        <v>4</v>
      </c>
      <c r="E1575" t="s">
        <v>1556</v>
      </c>
    </row>
    <row r="1576" spans="1:5">
      <c r="A1576">
        <f>HYPERLINK("http://www.twitter.com/FDNY/status/763883167942148096", "763883167942148096")</f>
        <v>0</v>
      </c>
      <c r="B1576" s="2">
        <v>42593.9874305556</v>
      </c>
      <c r="C1576">
        <v>0</v>
      </c>
      <c r="D1576">
        <v>34</v>
      </c>
      <c r="E1576" t="s">
        <v>1557</v>
      </c>
    </row>
    <row r="1577" spans="1:5">
      <c r="A1577">
        <f>HYPERLINK("http://www.twitter.com/FDNY/status/763833717609693184", "763833717609693184")</f>
        <v>0</v>
      </c>
      <c r="B1577" s="2">
        <v>42593.8509722222</v>
      </c>
      <c r="C1577">
        <v>30</v>
      </c>
      <c r="D1577">
        <v>13</v>
      </c>
      <c r="E1577" t="s">
        <v>1558</v>
      </c>
    </row>
    <row r="1578" spans="1:5">
      <c r="A1578">
        <f>HYPERLINK("http://www.twitter.com/FDNY/status/763787238295633921", "763787238295633921")</f>
        <v>0</v>
      </c>
      <c r="B1578" s="2">
        <v>42593.7227083333</v>
      </c>
      <c r="C1578">
        <v>10</v>
      </c>
      <c r="D1578">
        <v>10</v>
      </c>
      <c r="E1578" t="s">
        <v>1559</v>
      </c>
    </row>
    <row r="1579" spans="1:5">
      <c r="A1579">
        <f>HYPERLINK("http://www.twitter.com/FDNY/status/763768382562918400", "763768382562918400")</f>
        <v>0</v>
      </c>
      <c r="B1579" s="2">
        <v>42593.6706828704</v>
      </c>
      <c r="C1579">
        <v>0</v>
      </c>
      <c r="D1579">
        <v>0</v>
      </c>
      <c r="E1579" t="s">
        <v>1560</v>
      </c>
    </row>
    <row r="1580" spans="1:5">
      <c r="A1580">
        <f>HYPERLINK("http://www.twitter.com/FDNY/status/763739225523191809", "763739225523191809")</f>
        <v>0</v>
      </c>
      <c r="B1580" s="2">
        <v>42593.5902199074</v>
      </c>
      <c r="C1580">
        <v>24</v>
      </c>
      <c r="D1580">
        <v>8</v>
      </c>
      <c r="E1580" t="s">
        <v>1561</v>
      </c>
    </row>
    <row r="1581" spans="1:5">
      <c r="A1581">
        <f>HYPERLINK("http://www.twitter.com/FDNY/status/763724674257870848", "763724674257870848")</f>
        <v>0</v>
      </c>
      <c r="B1581" s="2">
        <v>42593.5500694444</v>
      </c>
      <c r="C1581">
        <v>12</v>
      </c>
      <c r="D1581">
        <v>7</v>
      </c>
      <c r="E1581" t="s">
        <v>1562</v>
      </c>
    </row>
    <row r="1582" spans="1:5">
      <c r="A1582">
        <f>HYPERLINK("http://www.twitter.com/FDNY/status/763538096419995648", "763538096419995648")</f>
        <v>0</v>
      </c>
      <c r="B1582" s="2">
        <v>42593.0352083333</v>
      </c>
      <c r="C1582">
        <v>0</v>
      </c>
      <c r="D1582">
        <v>9</v>
      </c>
      <c r="E1582" t="s">
        <v>1563</v>
      </c>
    </row>
    <row r="1583" spans="1:5">
      <c r="A1583">
        <f>HYPERLINK("http://www.twitter.com/FDNY/status/763471315160461313", "763471315160461313")</f>
        <v>0</v>
      </c>
      <c r="B1583" s="2">
        <v>42592.8509259259</v>
      </c>
      <c r="C1583">
        <v>11</v>
      </c>
      <c r="D1583">
        <v>13</v>
      </c>
      <c r="E1583" t="s">
        <v>1564</v>
      </c>
    </row>
    <row r="1584" spans="1:5">
      <c r="A1584">
        <f>HYPERLINK("http://www.twitter.com/FDNY/status/763463607132778496", "763463607132778496")</f>
        <v>0</v>
      </c>
      <c r="B1584" s="2">
        <v>42592.8296643519</v>
      </c>
      <c r="C1584">
        <v>0</v>
      </c>
      <c r="D1584">
        <v>12</v>
      </c>
      <c r="E1584" t="s">
        <v>1565</v>
      </c>
    </row>
    <row r="1585" spans="1:5">
      <c r="A1585">
        <f>HYPERLINK("http://www.twitter.com/FDNY/status/763463568771670016", "763463568771670016")</f>
        <v>0</v>
      </c>
      <c r="B1585" s="2">
        <v>42592.8295486111</v>
      </c>
      <c r="C1585">
        <v>0</v>
      </c>
      <c r="D1585">
        <v>8</v>
      </c>
      <c r="E1585" t="s">
        <v>1566</v>
      </c>
    </row>
    <row r="1586" spans="1:5">
      <c r="A1586">
        <f>HYPERLINK("http://www.twitter.com/FDNY/status/763442662661840896", "763442662661840896")</f>
        <v>0</v>
      </c>
      <c r="B1586" s="2">
        <v>42592.7718634259</v>
      </c>
      <c r="C1586">
        <v>0</v>
      </c>
      <c r="D1586">
        <v>5</v>
      </c>
      <c r="E1586" t="s">
        <v>1567</v>
      </c>
    </row>
    <row r="1587" spans="1:5">
      <c r="A1587">
        <f>HYPERLINK("http://www.twitter.com/FDNY/status/763428751640260608", "763428751640260608")</f>
        <v>0</v>
      </c>
      <c r="B1587" s="2">
        <v>42592.7334722222</v>
      </c>
      <c r="C1587">
        <v>0</v>
      </c>
      <c r="D1587">
        <v>13</v>
      </c>
      <c r="E1587" t="s">
        <v>1568</v>
      </c>
    </row>
    <row r="1588" spans="1:5">
      <c r="A1588">
        <f>HYPERLINK("http://www.twitter.com/FDNY/status/763410967304822784", "763410967304822784")</f>
        <v>0</v>
      </c>
      <c r="B1588" s="2">
        <v>42592.6843981482</v>
      </c>
      <c r="C1588">
        <v>15</v>
      </c>
      <c r="D1588">
        <v>7</v>
      </c>
      <c r="E1588" t="s">
        <v>1569</v>
      </c>
    </row>
    <row r="1589" spans="1:5">
      <c r="A1589">
        <f>HYPERLINK("http://www.twitter.com/FDNY/status/763410860568117250", "763410860568117250")</f>
        <v>0</v>
      </c>
      <c r="B1589" s="2">
        <v>42592.6841087963</v>
      </c>
      <c r="C1589">
        <v>23</v>
      </c>
      <c r="D1589">
        <v>7</v>
      </c>
      <c r="E1589" t="s">
        <v>1570</v>
      </c>
    </row>
    <row r="1590" spans="1:5">
      <c r="A1590">
        <f>HYPERLINK("http://www.twitter.com/FDNY/status/763410726094512129", "763410726094512129")</f>
        <v>0</v>
      </c>
      <c r="B1590" s="2">
        <v>42592.6837384259</v>
      </c>
      <c r="C1590">
        <v>10</v>
      </c>
      <c r="D1590">
        <v>8</v>
      </c>
      <c r="E1590" t="s">
        <v>1571</v>
      </c>
    </row>
    <row r="1591" spans="1:5">
      <c r="A1591">
        <f>HYPERLINK("http://www.twitter.com/FDNY/status/763410602756800512", "763410602756800512")</f>
        <v>0</v>
      </c>
      <c r="B1591" s="2">
        <v>42592.6833912037</v>
      </c>
      <c r="C1591">
        <v>19</v>
      </c>
      <c r="D1591">
        <v>13</v>
      </c>
      <c r="E1591" t="s">
        <v>1572</v>
      </c>
    </row>
    <row r="1592" spans="1:5">
      <c r="A1592">
        <f>HYPERLINK("http://www.twitter.com/FDNY/status/763410165580324864", "763410165580324864")</f>
        <v>0</v>
      </c>
      <c r="B1592" s="2">
        <v>42592.6821875</v>
      </c>
      <c r="C1592">
        <v>0</v>
      </c>
      <c r="D1592">
        <v>5</v>
      </c>
      <c r="E1592" t="s">
        <v>1573</v>
      </c>
    </row>
    <row r="1593" spans="1:5">
      <c r="A1593">
        <f>HYPERLINK("http://www.twitter.com/FDNY/status/763410051495239681", "763410051495239681")</f>
        <v>0</v>
      </c>
      <c r="B1593" s="2">
        <v>42592.681875</v>
      </c>
      <c r="C1593">
        <v>0</v>
      </c>
      <c r="D1593">
        <v>7</v>
      </c>
      <c r="E1593" t="s">
        <v>1574</v>
      </c>
    </row>
    <row r="1594" spans="1:5">
      <c r="A1594">
        <f>HYPERLINK("http://www.twitter.com/FDNY/status/763402205101711360", "763402205101711360")</f>
        <v>0</v>
      </c>
      <c r="B1594" s="2">
        <v>42592.6602199074</v>
      </c>
      <c r="C1594">
        <v>23</v>
      </c>
      <c r="D1594">
        <v>10</v>
      </c>
      <c r="E1594" t="s">
        <v>1575</v>
      </c>
    </row>
    <row r="1595" spans="1:5">
      <c r="A1595">
        <f>HYPERLINK("http://www.twitter.com/FDNY/status/763173943754850304", "763173943754850304")</f>
        <v>0</v>
      </c>
      <c r="B1595" s="2">
        <v>42592.0303356481</v>
      </c>
      <c r="C1595">
        <v>42</v>
      </c>
      <c r="D1595">
        <v>37</v>
      </c>
      <c r="E1595" t="s">
        <v>1576</v>
      </c>
    </row>
    <row r="1596" spans="1:5">
      <c r="A1596">
        <f>HYPERLINK("http://www.twitter.com/FDNY/status/763154061449461762", "763154061449461762")</f>
        <v>0</v>
      </c>
      <c r="B1596" s="2">
        <v>42591.975474537</v>
      </c>
      <c r="C1596">
        <v>36</v>
      </c>
      <c r="D1596">
        <v>28</v>
      </c>
      <c r="E1596" t="s">
        <v>1577</v>
      </c>
    </row>
    <row r="1597" spans="1:5">
      <c r="A1597">
        <f>HYPERLINK("http://www.twitter.com/FDNY/status/763108942180413441", "763108942180413441")</f>
        <v>0</v>
      </c>
      <c r="B1597" s="2">
        <v>42591.8509722222</v>
      </c>
      <c r="C1597">
        <v>12</v>
      </c>
      <c r="D1597">
        <v>11</v>
      </c>
      <c r="E1597" t="s">
        <v>1578</v>
      </c>
    </row>
    <row r="1598" spans="1:5">
      <c r="A1598">
        <f>HYPERLINK("http://www.twitter.com/FDNY/status/763043603358818304", "763043603358818304")</f>
        <v>0</v>
      </c>
      <c r="B1598" s="2">
        <v>42591.6706712963</v>
      </c>
      <c r="C1598">
        <v>17</v>
      </c>
      <c r="D1598">
        <v>12</v>
      </c>
      <c r="E1598" t="s">
        <v>1579</v>
      </c>
    </row>
    <row r="1599" spans="1:5">
      <c r="A1599">
        <f>HYPERLINK("http://www.twitter.com/FDNY/status/762737757009707008", "762737757009707008")</f>
        <v>0</v>
      </c>
      <c r="B1599" s="2">
        <v>42590.8266898148</v>
      </c>
      <c r="C1599">
        <v>29</v>
      </c>
      <c r="D1599">
        <v>17</v>
      </c>
      <c r="E1599" t="s">
        <v>629</v>
      </c>
    </row>
    <row r="1600" spans="1:5">
      <c r="A1600">
        <f>HYPERLINK("http://www.twitter.com/FDNY/status/762681229611327488", "762681229611327488")</f>
        <v>0</v>
      </c>
      <c r="B1600" s="2">
        <v>42590.6707060185</v>
      </c>
      <c r="C1600">
        <v>18</v>
      </c>
      <c r="D1600">
        <v>10</v>
      </c>
      <c r="E1600" t="s">
        <v>1580</v>
      </c>
    </row>
    <row r="1601" spans="1:5">
      <c r="A1601">
        <f>HYPERLINK("http://www.twitter.com/FDNY/status/762441784358121474", "762441784358121474")</f>
        <v>0</v>
      </c>
      <c r="B1601" s="2">
        <v>42590.0099652778</v>
      </c>
      <c r="C1601">
        <v>26</v>
      </c>
      <c r="D1601">
        <v>10</v>
      </c>
      <c r="E1601" t="s">
        <v>1581</v>
      </c>
    </row>
    <row r="1602" spans="1:5">
      <c r="A1602">
        <f>HYPERLINK("http://www.twitter.com/FDNY/status/762403546650247168", "762403546650247168")</f>
        <v>0</v>
      </c>
      <c r="B1602" s="2">
        <v>42589.9044444444</v>
      </c>
      <c r="C1602">
        <v>46</v>
      </c>
      <c r="D1602">
        <v>21</v>
      </c>
      <c r="E1602" t="s">
        <v>1582</v>
      </c>
    </row>
    <row r="1603" spans="1:5">
      <c r="A1603">
        <f>HYPERLINK("http://www.twitter.com/FDNY/status/762386635485044736", "762386635485044736")</f>
        <v>0</v>
      </c>
      <c r="B1603" s="2">
        <v>42589.8577893519</v>
      </c>
      <c r="C1603">
        <v>44</v>
      </c>
      <c r="D1603">
        <v>25</v>
      </c>
      <c r="E1603" t="s">
        <v>1583</v>
      </c>
    </row>
    <row r="1604" spans="1:5">
      <c r="A1604">
        <f>HYPERLINK("http://www.twitter.com/FDNY/status/762301072685801473", "762301072685801473")</f>
        <v>0</v>
      </c>
      <c r="B1604" s="2">
        <v>42589.6216782407</v>
      </c>
      <c r="C1604">
        <v>17</v>
      </c>
      <c r="D1604">
        <v>8</v>
      </c>
      <c r="E1604" t="s">
        <v>1584</v>
      </c>
    </row>
    <row r="1605" spans="1:5">
      <c r="A1605">
        <f>HYPERLINK("http://www.twitter.com/FDNY/status/762063447538425856", "762063447538425856")</f>
        <v>0</v>
      </c>
      <c r="B1605" s="2">
        <v>42588.9659606482</v>
      </c>
      <c r="C1605">
        <v>0</v>
      </c>
      <c r="D1605">
        <v>3</v>
      </c>
      <c r="E1605" t="s">
        <v>1585</v>
      </c>
    </row>
    <row r="1606" spans="1:5">
      <c r="A1606">
        <f>HYPERLINK("http://www.twitter.com/FDNY/status/762059502875189248", "762059502875189248")</f>
        <v>0</v>
      </c>
      <c r="B1606" s="2">
        <v>42588.9550694444</v>
      </c>
      <c r="C1606">
        <v>64</v>
      </c>
      <c r="D1606">
        <v>18</v>
      </c>
      <c r="E1606" t="s">
        <v>1586</v>
      </c>
    </row>
    <row r="1607" spans="1:5">
      <c r="A1607">
        <f>HYPERLINK("http://www.twitter.com/FDNY/status/762014987112030208", "762014987112030208")</f>
        <v>0</v>
      </c>
      <c r="B1607" s="2">
        <v>42588.8322337963</v>
      </c>
      <c r="C1607">
        <v>0</v>
      </c>
      <c r="D1607">
        <v>1</v>
      </c>
      <c r="E1607" t="s">
        <v>1587</v>
      </c>
    </row>
    <row r="1608" spans="1:5">
      <c r="A1608">
        <f>HYPERLINK("http://www.twitter.com/FDNY/status/762006642770739200", "762006642770739200")</f>
        <v>0</v>
      </c>
      <c r="B1608" s="2">
        <v>42588.8092013889</v>
      </c>
      <c r="C1608">
        <v>22</v>
      </c>
      <c r="D1608">
        <v>18</v>
      </c>
      <c r="E1608" t="s">
        <v>1588</v>
      </c>
    </row>
    <row r="1609" spans="1:5">
      <c r="A1609">
        <f>HYPERLINK("http://www.twitter.com/FDNY/status/762001597308305408", "762001597308305408")</f>
        <v>0</v>
      </c>
      <c r="B1609" s="2">
        <v>42588.7952777778</v>
      </c>
      <c r="C1609">
        <v>0</v>
      </c>
      <c r="D1609">
        <v>4</v>
      </c>
      <c r="E1609" t="s">
        <v>1589</v>
      </c>
    </row>
    <row r="1610" spans="1:5">
      <c r="A1610">
        <f>HYPERLINK("http://www.twitter.com/FDNY/status/761997840637976576", "761997840637976576")</f>
        <v>0</v>
      </c>
      <c r="B1610" s="2">
        <v>42588.7849189815</v>
      </c>
      <c r="C1610">
        <v>0</v>
      </c>
      <c r="D1610">
        <v>5</v>
      </c>
      <c r="E1610" t="s">
        <v>1590</v>
      </c>
    </row>
    <row r="1611" spans="1:5">
      <c r="A1611">
        <f>HYPERLINK("http://www.twitter.com/FDNY/status/761991275738431489", "761991275738431489")</f>
        <v>0</v>
      </c>
      <c r="B1611" s="2">
        <v>42588.7667939815</v>
      </c>
      <c r="C1611">
        <v>0</v>
      </c>
      <c r="D1611">
        <v>2</v>
      </c>
      <c r="E1611" t="s">
        <v>1591</v>
      </c>
    </row>
    <row r="1612" spans="1:5">
      <c r="A1612">
        <f>HYPERLINK("http://www.twitter.com/FDNY/status/761970847770877952", "761970847770877952")</f>
        <v>0</v>
      </c>
      <c r="B1612" s="2">
        <v>42588.7104282407</v>
      </c>
      <c r="C1612">
        <v>0</v>
      </c>
      <c r="D1612">
        <v>3</v>
      </c>
      <c r="E1612" t="s">
        <v>1592</v>
      </c>
    </row>
    <row r="1613" spans="1:5">
      <c r="A1613">
        <f>HYPERLINK("http://www.twitter.com/FDNY/status/761968325127798785", "761968325127798785")</f>
        <v>0</v>
      </c>
      <c r="B1613" s="2">
        <v>42588.7034722222</v>
      </c>
      <c r="C1613">
        <v>0</v>
      </c>
      <c r="D1613">
        <v>6</v>
      </c>
      <c r="E1613" t="s">
        <v>1593</v>
      </c>
    </row>
    <row r="1614" spans="1:5">
      <c r="A1614">
        <f>HYPERLINK("http://www.twitter.com/FDNY/status/761925251483787264", "761925251483787264")</f>
        <v>0</v>
      </c>
      <c r="B1614" s="2">
        <v>42588.5846064815</v>
      </c>
      <c r="C1614">
        <v>30</v>
      </c>
      <c r="D1614">
        <v>11</v>
      </c>
      <c r="E1614" t="s">
        <v>1594</v>
      </c>
    </row>
    <row r="1615" spans="1:5">
      <c r="A1615">
        <f>HYPERLINK("http://www.twitter.com/FDNY/status/761645975219953664", "761645975219953664")</f>
        <v>0</v>
      </c>
      <c r="B1615" s="2">
        <v>42587.8139467593</v>
      </c>
      <c r="C1615">
        <v>0</v>
      </c>
      <c r="D1615">
        <v>20</v>
      </c>
      <c r="E1615" t="s">
        <v>1595</v>
      </c>
    </row>
    <row r="1616" spans="1:5">
      <c r="A1616">
        <f>HYPERLINK("http://www.twitter.com/FDNY/status/761645958253965312", "761645958253965312")</f>
        <v>0</v>
      </c>
      <c r="B1616" s="2">
        <v>42587.813900463</v>
      </c>
      <c r="C1616">
        <v>0</v>
      </c>
      <c r="D1616">
        <v>7</v>
      </c>
      <c r="E1616" t="s">
        <v>1596</v>
      </c>
    </row>
    <row r="1617" spans="1:5">
      <c r="A1617">
        <f>HYPERLINK("http://www.twitter.com/FDNY/status/761645769111773190", "761645769111773190")</f>
        <v>0</v>
      </c>
      <c r="B1617" s="2">
        <v>42587.8133796296</v>
      </c>
      <c r="C1617">
        <v>0</v>
      </c>
      <c r="D1617">
        <v>81</v>
      </c>
      <c r="E1617" t="s">
        <v>1597</v>
      </c>
    </row>
    <row r="1618" spans="1:5">
      <c r="A1618">
        <f>HYPERLINK("http://www.twitter.com/FDNY/status/761629192446509056", "761629192446509056")</f>
        <v>0</v>
      </c>
      <c r="B1618" s="2">
        <v>42587.7676388889</v>
      </c>
      <c r="C1618">
        <v>0</v>
      </c>
      <c r="D1618">
        <v>3</v>
      </c>
      <c r="E1618" t="s">
        <v>1598</v>
      </c>
    </row>
    <row r="1619" spans="1:5">
      <c r="A1619">
        <f>HYPERLINK("http://www.twitter.com/FDNY/status/761575439261466624", "761575439261466624")</f>
        <v>0</v>
      </c>
      <c r="B1619" s="2">
        <v>42587.6193055556</v>
      </c>
      <c r="C1619">
        <v>0</v>
      </c>
      <c r="D1619">
        <v>6</v>
      </c>
      <c r="E1619" t="s">
        <v>1599</v>
      </c>
    </row>
    <row r="1620" spans="1:5">
      <c r="A1620">
        <f>HYPERLINK("http://www.twitter.com/FDNY/status/761565008182542336", "761565008182542336")</f>
        <v>0</v>
      </c>
      <c r="B1620" s="2">
        <v>42587.5905208333</v>
      </c>
      <c r="C1620">
        <v>0</v>
      </c>
      <c r="D1620">
        <v>4</v>
      </c>
      <c r="E1620" t="s">
        <v>1600</v>
      </c>
    </row>
    <row r="1621" spans="1:5">
      <c r="A1621">
        <f>HYPERLINK("http://www.twitter.com/FDNY/status/761564934706720768", "761564934706720768")</f>
        <v>0</v>
      </c>
      <c r="B1621" s="2">
        <v>42587.5903240741</v>
      </c>
      <c r="C1621">
        <v>0</v>
      </c>
      <c r="D1621">
        <v>12</v>
      </c>
      <c r="E1621" t="s">
        <v>1601</v>
      </c>
    </row>
    <row r="1622" spans="1:5">
      <c r="A1622">
        <f>HYPERLINK("http://www.twitter.com/FDNY/status/761555873126834177", "761555873126834177")</f>
        <v>0</v>
      </c>
      <c r="B1622" s="2">
        <v>42587.5653125</v>
      </c>
      <c r="C1622">
        <v>0</v>
      </c>
      <c r="D1622">
        <v>8</v>
      </c>
      <c r="E1622" t="s">
        <v>1602</v>
      </c>
    </row>
    <row r="1623" spans="1:5">
      <c r="A1623">
        <f>HYPERLINK("http://www.twitter.com/FDNY/status/761555849663971328", "761555849663971328")</f>
        <v>0</v>
      </c>
      <c r="B1623" s="2">
        <v>42587.5652546296</v>
      </c>
      <c r="C1623">
        <v>0</v>
      </c>
      <c r="D1623">
        <v>7</v>
      </c>
      <c r="E1623" t="s">
        <v>1603</v>
      </c>
    </row>
    <row r="1624" spans="1:5">
      <c r="A1624">
        <f>HYPERLINK("http://www.twitter.com/FDNY/status/761363738301726720", "761363738301726720")</f>
        <v>0</v>
      </c>
      <c r="B1624" s="2">
        <v>42587.0351273148</v>
      </c>
      <c r="C1624">
        <v>0</v>
      </c>
      <c r="D1624">
        <v>7</v>
      </c>
      <c r="E1624" t="s">
        <v>1604</v>
      </c>
    </row>
    <row r="1625" spans="1:5">
      <c r="A1625">
        <f>HYPERLINK("http://www.twitter.com/FDNY/status/761322826565558272", "761322826565558272")</f>
        <v>0</v>
      </c>
      <c r="B1625" s="2">
        <v>42586.9222337963</v>
      </c>
      <c r="C1625">
        <v>0</v>
      </c>
      <c r="D1625">
        <v>8</v>
      </c>
      <c r="E1625" t="s">
        <v>1605</v>
      </c>
    </row>
    <row r="1626" spans="1:5">
      <c r="A1626">
        <f>HYPERLINK("http://www.twitter.com/FDNY/status/761310149285974016", "761310149285974016")</f>
        <v>0</v>
      </c>
      <c r="B1626" s="2">
        <v>42586.8872453704</v>
      </c>
      <c r="C1626">
        <v>0</v>
      </c>
      <c r="D1626">
        <v>2</v>
      </c>
      <c r="E1626" t="s">
        <v>1606</v>
      </c>
    </row>
    <row r="1627" spans="1:5">
      <c r="A1627">
        <f>HYPERLINK("http://www.twitter.com/FDNY/status/761262978570280961", "761262978570280961")</f>
        <v>0</v>
      </c>
      <c r="B1627" s="2">
        <v>42586.7570833333</v>
      </c>
      <c r="C1627">
        <v>0</v>
      </c>
      <c r="D1627">
        <v>1</v>
      </c>
      <c r="E1627" t="s">
        <v>1607</v>
      </c>
    </row>
    <row r="1628" spans="1:5">
      <c r="A1628">
        <f>HYPERLINK("http://www.twitter.com/FDNY/status/761261828773142528", "761261828773142528")</f>
        <v>0</v>
      </c>
      <c r="B1628" s="2">
        <v>42586.753912037</v>
      </c>
      <c r="C1628">
        <v>12</v>
      </c>
      <c r="D1628">
        <v>16</v>
      </c>
      <c r="E1628" t="s">
        <v>1608</v>
      </c>
    </row>
    <row r="1629" spans="1:5">
      <c r="A1629">
        <f>HYPERLINK("http://www.twitter.com/FDNY/status/761255014035849216", "761255014035849216")</f>
        <v>0</v>
      </c>
      <c r="B1629" s="2">
        <v>42586.7351041667</v>
      </c>
      <c r="C1629">
        <v>0</v>
      </c>
      <c r="D1629">
        <v>4</v>
      </c>
      <c r="E1629" t="s">
        <v>1609</v>
      </c>
    </row>
    <row r="1630" spans="1:5">
      <c r="A1630">
        <f>HYPERLINK("http://www.twitter.com/FDNY/status/761228546291429376", "761228546291429376")</f>
        <v>0</v>
      </c>
      <c r="B1630" s="2">
        <v>42586.6620717593</v>
      </c>
      <c r="C1630">
        <v>0</v>
      </c>
      <c r="D1630">
        <v>4</v>
      </c>
      <c r="E1630" t="s">
        <v>1610</v>
      </c>
    </row>
    <row r="1631" spans="1:5">
      <c r="A1631">
        <f>HYPERLINK("http://www.twitter.com/FDNY/status/761223784573636608", "761223784573636608")</f>
        <v>0</v>
      </c>
      <c r="B1631" s="2">
        <v>42586.6489236111</v>
      </c>
      <c r="C1631">
        <v>0</v>
      </c>
      <c r="D1631">
        <v>24</v>
      </c>
      <c r="E1631" t="s">
        <v>1611</v>
      </c>
    </row>
    <row r="1632" spans="1:5">
      <c r="A1632">
        <f>HYPERLINK("http://www.twitter.com/FDNY/status/761223736896921605", "761223736896921605")</f>
        <v>0</v>
      </c>
      <c r="B1632" s="2">
        <v>42586.6487962963</v>
      </c>
      <c r="C1632">
        <v>0</v>
      </c>
      <c r="D1632">
        <v>12</v>
      </c>
      <c r="E1632" t="s">
        <v>1612</v>
      </c>
    </row>
    <row r="1633" spans="1:5">
      <c r="A1633">
        <f>HYPERLINK("http://www.twitter.com/FDNY/status/761221214819983361", "761221214819983361")</f>
        <v>0</v>
      </c>
      <c r="B1633" s="2">
        <v>42586.6418402778</v>
      </c>
      <c r="C1633">
        <v>0</v>
      </c>
      <c r="D1633">
        <v>2</v>
      </c>
      <c r="E1633" t="s">
        <v>1613</v>
      </c>
    </row>
    <row r="1634" spans="1:5">
      <c r="A1634">
        <f>HYPERLINK("http://www.twitter.com/FDNY/status/761206225069568000", "761206225069568000")</f>
        <v>0</v>
      </c>
      <c r="B1634" s="2">
        <v>42586.600474537</v>
      </c>
      <c r="C1634">
        <v>0</v>
      </c>
      <c r="D1634">
        <v>9</v>
      </c>
      <c r="E1634" t="s">
        <v>1614</v>
      </c>
    </row>
    <row r="1635" spans="1:5">
      <c r="A1635">
        <f>HYPERLINK("http://www.twitter.com/FDNY/status/761205265664512000", "761205265664512000")</f>
        <v>0</v>
      </c>
      <c r="B1635" s="2">
        <v>42586.5978240741</v>
      </c>
      <c r="C1635">
        <v>0</v>
      </c>
      <c r="D1635">
        <v>4</v>
      </c>
      <c r="E1635" t="s">
        <v>1615</v>
      </c>
    </row>
    <row r="1636" spans="1:5">
      <c r="A1636">
        <f>HYPERLINK("http://www.twitter.com/FDNY/status/761205174903902208", "761205174903902208")</f>
        <v>0</v>
      </c>
      <c r="B1636" s="2">
        <v>42586.5975694444</v>
      </c>
      <c r="C1636">
        <v>0</v>
      </c>
      <c r="D1636">
        <v>10</v>
      </c>
      <c r="E1636" t="s">
        <v>1616</v>
      </c>
    </row>
    <row r="1637" spans="1:5">
      <c r="A1637">
        <f>HYPERLINK("http://www.twitter.com/FDNY/status/761200445377351680", "761200445377351680")</f>
        <v>0</v>
      </c>
      <c r="B1637" s="2">
        <v>42586.584525463</v>
      </c>
      <c r="C1637">
        <v>35</v>
      </c>
      <c r="D1637">
        <v>19</v>
      </c>
      <c r="E1637" t="s">
        <v>1617</v>
      </c>
    </row>
    <row r="1638" spans="1:5">
      <c r="A1638">
        <f>HYPERLINK("http://www.twitter.com/FDNY/status/761190753339072513", "761190753339072513")</f>
        <v>0</v>
      </c>
      <c r="B1638" s="2">
        <v>42586.5577777778</v>
      </c>
      <c r="C1638">
        <v>0</v>
      </c>
      <c r="D1638">
        <v>2</v>
      </c>
      <c r="E1638" t="s">
        <v>1618</v>
      </c>
    </row>
    <row r="1639" spans="1:5">
      <c r="A1639">
        <f>HYPERLINK("http://www.twitter.com/FDNY/status/761041850551508992", "761041850551508992")</f>
        <v>0</v>
      </c>
      <c r="B1639" s="2">
        <v>42586.1468865741</v>
      </c>
      <c r="C1639">
        <v>0</v>
      </c>
      <c r="D1639">
        <v>16</v>
      </c>
      <c r="E1639" t="s">
        <v>1619</v>
      </c>
    </row>
    <row r="1640" spans="1:5">
      <c r="A1640">
        <f>HYPERLINK("http://www.twitter.com/FDNY/status/761031694468075522", "761031694468075522")</f>
        <v>0</v>
      </c>
      <c r="B1640" s="2">
        <v>42586.1188541667</v>
      </c>
      <c r="C1640">
        <v>70</v>
      </c>
      <c r="D1640">
        <v>76</v>
      </c>
      <c r="E1640" t="s">
        <v>1620</v>
      </c>
    </row>
    <row r="1641" spans="1:5">
      <c r="A1641">
        <f>HYPERLINK("http://www.twitter.com/FDNY/status/761010551409545216", "761010551409545216")</f>
        <v>0</v>
      </c>
      <c r="B1641" s="2">
        <v>42586.0605208333</v>
      </c>
      <c r="C1641">
        <v>69</v>
      </c>
      <c r="D1641">
        <v>46</v>
      </c>
      <c r="E1641" t="s">
        <v>1621</v>
      </c>
    </row>
    <row r="1642" spans="1:5">
      <c r="A1642">
        <f>HYPERLINK("http://www.twitter.com/FDNY/status/761010537710968832", "761010537710968832")</f>
        <v>0</v>
      </c>
      <c r="B1642" s="2">
        <v>42586.060474537</v>
      </c>
      <c r="C1642">
        <v>0</v>
      </c>
      <c r="D1642">
        <v>17</v>
      </c>
      <c r="E1642" t="s">
        <v>1622</v>
      </c>
    </row>
    <row r="1643" spans="1:5">
      <c r="A1643">
        <f>HYPERLINK("http://www.twitter.com/FDNY/status/761002260809785344", "761002260809785344")</f>
        <v>0</v>
      </c>
      <c r="B1643" s="2">
        <v>42586.0376388889</v>
      </c>
      <c r="C1643">
        <v>2</v>
      </c>
      <c r="D1643">
        <v>0</v>
      </c>
      <c r="E1643" t="s">
        <v>1623</v>
      </c>
    </row>
    <row r="1644" spans="1:5">
      <c r="A1644">
        <f>HYPERLINK("http://www.twitter.com/FDNY/status/760997623465644032", "760997623465644032")</f>
        <v>0</v>
      </c>
      <c r="B1644" s="2">
        <v>42586.024837963</v>
      </c>
      <c r="C1644">
        <v>0</v>
      </c>
      <c r="D1644">
        <v>5</v>
      </c>
      <c r="E1644" t="s">
        <v>1624</v>
      </c>
    </row>
    <row r="1645" spans="1:5">
      <c r="A1645">
        <f>HYPERLINK("http://www.twitter.com/FDNY/status/760997413926629378", "760997413926629378")</f>
        <v>0</v>
      </c>
      <c r="B1645" s="2">
        <v>42586.0242592593</v>
      </c>
      <c r="C1645">
        <v>107</v>
      </c>
      <c r="D1645">
        <v>85</v>
      </c>
      <c r="E1645" t="s">
        <v>1625</v>
      </c>
    </row>
    <row r="1646" spans="1:5">
      <c r="A1646">
        <f>HYPERLINK("http://www.twitter.com/FDNY/status/760995751279390720", "760995751279390720")</f>
        <v>0</v>
      </c>
      <c r="B1646" s="2">
        <v>42586.0196759259</v>
      </c>
      <c r="C1646">
        <v>68</v>
      </c>
      <c r="D1646">
        <v>61</v>
      </c>
      <c r="E1646" t="s">
        <v>1626</v>
      </c>
    </row>
    <row r="1647" spans="1:5">
      <c r="A1647">
        <f>HYPERLINK("http://www.twitter.com/FDNY/status/760946265958088705", "760946265958088705")</f>
        <v>0</v>
      </c>
      <c r="B1647" s="2">
        <v>42585.883125</v>
      </c>
      <c r="C1647">
        <v>0</v>
      </c>
      <c r="D1647">
        <v>1</v>
      </c>
      <c r="E1647" t="s">
        <v>1627</v>
      </c>
    </row>
    <row r="1648" spans="1:5">
      <c r="A1648">
        <f>HYPERLINK("http://www.twitter.com/FDNY/status/760945072380715009", "760945072380715009")</f>
        <v>0</v>
      </c>
      <c r="B1648" s="2">
        <v>42585.8798263889</v>
      </c>
      <c r="C1648">
        <v>0</v>
      </c>
      <c r="D1648">
        <v>6</v>
      </c>
      <c r="E1648" t="s">
        <v>1628</v>
      </c>
    </row>
    <row r="1649" spans="1:5">
      <c r="A1649">
        <f>HYPERLINK("http://www.twitter.com/FDNY/status/760940138427981825", "760940138427981825")</f>
        <v>0</v>
      </c>
      <c r="B1649" s="2">
        <v>42585.8662152778</v>
      </c>
      <c r="C1649">
        <v>0</v>
      </c>
      <c r="D1649">
        <v>9</v>
      </c>
      <c r="E1649" t="s">
        <v>1629</v>
      </c>
    </row>
    <row r="1650" spans="1:5">
      <c r="A1650">
        <f>HYPERLINK("http://www.twitter.com/FDNY/status/760936140832735232", "760936140832735232")</f>
        <v>0</v>
      </c>
      <c r="B1650" s="2">
        <v>42585.8551851852</v>
      </c>
      <c r="C1650">
        <v>0</v>
      </c>
      <c r="D1650">
        <v>3</v>
      </c>
      <c r="E1650" t="s">
        <v>1630</v>
      </c>
    </row>
    <row r="1651" spans="1:5">
      <c r="A1651">
        <f>HYPERLINK("http://www.twitter.com/FDNY/status/760927140611260421", "760927140611260421")</f>
        <v>0</v>
      </c>
      <c r="B1651" s="2">
        <v>42585.8303472222</v>
      </c>
      <c r="C1651">
        <v>0</v>
      </c>
      <c r="D1651">
        <v>14</v>
      </c>
      <c r="E1651" t="s">
        <v>1631</v>
      </c>
    </row>
    <row r="1652" spans="1:5">
      <c r="A1652">
        <f>HYPERLINK("http://www.twitter.com/FDNY/status/760923187911811072", "760923187911811072")</f>
        <v>0</v>
      </c>
      <c r="B1652" s="2">
        <v>42585.8194328704</v>
      </c>
      <c r="C1652">
        <v>0</v>
      </c>
      <c r="D1652">
        <v>12</v>
      </c>
      <c r="E1652" t="s">
        <v>1632</v>
      </c>
    </row>
    <row r="1653" spans="1:5">
      <c r="A1653">
        <f>HYPERLINK("http://www.twitter.com/FDNY/status/760912895249092608", "760912895249092608")</f>
        <v>0</v>
      </c>
      <c r="B1653" s="2">
        <v>42585.7910300926</v>
      </c>
      <c r="C1653">
        <v>33</v>
      </c>
      <c r="D1653">
        <v>10</v>
      </c>
      <c r="E1653" t="s">
        <v>1633</v>
      </c>
    </row>
    <row r="1654" spans="1:5">
      <c r="A1654">
        <f>HYPERLINK("http://www.twitter.com/FDNY/status/760912578944131072", "760912578944131072")</f>
        <v>0</v>
      </c>
      <c r="B1654" s="2">
        <v>42585.790162037</v>
      </c>
      <c r="C1654">
        <v>6</v>
      </c>
      <c r="D1654">
        <v>4</v>
      </c>
      <c r="E1654" t="s">
        <v>1634</v>
      </c>
    </row>
    <row r="1655" spans="1:5">
      <c r="A1655">
        <f>HYPERLINK("http://www.twitter.com/FDNY/status/760912438527229952", "760912438527229952")</f>
        <v>0</v>
      </c>
      <c r="B1655" s="2">
        <v>42585.7897800926</v>
      </c>
      <c r="C1655">
        <v>6</v>
      </c>
      <c r="D1655">
        <v>5</v>
      </c>
      <c r="E1655" t="s">
        <v>1635</v>
      </c>
    </row>
    <row r="1656" spans="1:5">
      <c r="A1656">
        <f>HYPERLINK("http://www.twitter.com/FDNY/status/760851075574280192", "760851075574280192")</f>
        <v>0</v>
      </c>
      <c r="B1656" s="2">
        <v>42585.6204513889</v>
      </c>
      <c r="C1656">
        <v>26</v>
      </c>
      <c r="D1656">
        <v>18</v>
      </c>
      <c r="E1656" t="s">
        <v>1636</v>
      </c>
    </row>
    <row r="1657" spans="1:5">
      <c r="A1657">
        <f>HYPERLINK("http://www.twitter.com/FDNY/status/760850679950745600", "760850679950745600")</f>
        <v>0</v>
      </c>
      <c r="B1657" s="2">
        <v>42585.6193518518</v>
      </c>
      <c r="C1657">
        <v>7</v>
      </c>
      <c r="D1657">
        <v>5</v>
      </c>
      <c r="E1657" t="s">
        <v>1637</v>
      </c>
    </row>
    <row r="1658" spans="1:5">
      <c r="A1658">
        <f>HYPERLINK("http://www.twitter.com/FDNY/status/760830832529534976", "760830832529534976")</f>
        <v>0</v>
      </c>
      <c r="B1658" s="2">
        <v>42585.5645833333</v>
      </c>
      <c r="C1658">
        <v>0</v>
      </c>
      <c r="D1658">
        <v>14</v>
      </c>
      <c r="E1658" t="s">
        <v>1638</v>
      </c>
    </row>
    <row r="1659" spans="1:5">
      <c r="A1659">
        <f>HYPERLINK("http://www.twitter.com/FDNY/status/760646320617127936", "760646320617127936")</f>
        <v>0</v>
      </c>
      <c r="B1659" s="2">
        <v>42585.0554282407</v>
      </c>
      <c r="C1659">
        <v>0</v>
      </c>
      <c r="D1659">
        <v>4</v>
      </c>
      <c r="E1659" t="s">
        <v>1639</v>
      </c>
    </row>
    <row r="1660" spans="1:5">
      <c r="A1660">
        <f>HYPERLINK("http://www.twitter.com/FDNY/status/760614720223182848", "760614720223182848")</f>
        <v>0</v>
      </c>
      <c r="B1660" s="2">
        <v>42584.9682291667</v>
      </c>
      <c r="C1660">
        <v>0</v>
      </c>
      <c r="D1660">
        <v>7</v>
      </c>
      <c r="E1660" t="s">
        <v>1640</v>
      </c>
    </row>
    <row r="1661" spans="1:5">
      <c r="A1661">
        <f>HYPERLINK("http://www.twitter.com/FDNY/status/760591095696941060", "760591095696941060")</f>
        <v>0</v>
      </c>
      <c r="B1661" s="2">
        <v>42584.9030324074</v>
      </c>
      <c r="C1661">
        <v>0</v>
      </c>
      <c r="D1661">
        <v>5</v>
      </c>
      <c r="E1661" t="s">
        <v>1641</v>
      </c>
    </row>
    <row r="1662" spans="1:5">
      <c r="A1662">
        <f>HYPERLINK("http://www.twitter.com/FDNY/status/760559595584708608", "760559595584708608")</f>
        <v>0</v>
      </c>
      <c r="B1662" s="2">
        <v>42584.8161111111</v>
      </c>
      <c r="C1662">
        <v>0</v>
      </c>
      <c r="D1662">
        <v>10</v>
      </c>
      <c r="E1662" t="s">
        <v>1642</v>
      </c>
    </row>
    <row r="1663" spans="1:5">
      <c r="A1663">
        <f>HYPERLINK("http://www.twitter.com/FDNY/status/760559555206152192", "760559555206152192")</f>
        <v>0</v>
      </c>
      <c r="B1663" s="2">
        <v>42584.8160069444</v>
      </c>
      <c r="C1663">
        <v>0</v>
      </c>
      <c r="D1663">
        <v>7</v>
      </c>
      <c r="E1663" t="s">
        <v>1643</v>
      </c>
    </row>
    <row r="1664" spans="1:5">
      <c r="A1664">
        <f>HYPERLINK("http://www.twitter.com/FDNY/status/760558919584518145", "760558919584518145")</f>
        <v>0</v>
      </c>
      <c r="B1664" s="2">
        <v>42584.8142476852</v>
      </c>
      <c r="C1664">
        <v>0</v>
      </c>
      <c r="D1664">
        <v>30</v>
      </c>
      <c r="E1664" t="s">
        <v>1644</v>
      </c>
    </row>
    <row r="1665" spans="1:5">
      <c r="A1665">
        <f>HYPERLINK("http://www.twitter.com/FDNY/status/760556963801464832", "760556963801464832")</f>
        <v>0</v>
      </c>
      <c r="B1665" s="2">
        <v>42584.8088541667</v>
      </c>
      <c r="C1665">
        <v>0</v>
      </c>
      <c r="D1665">
        <v>1</v>
      </c>
      <c r="E1665" t="s">
        <v>1645</v>
      </c>
    </row>
    <row r="1666" spans="1:5">
      <c r="A1666">
        <f>HYPERLINK("http://www.twitter.com/FDNY/status/760536079216893957", "760536079216893957")</f>
        <v>0</v>
      </c>
      <c r="B1666" s="2">
        <v>42584.7512268519</v>
      </c>
      <c r="C1666">
        <v>0</v>
      </c>
      <c r="D1666">
        <v>39</v>
      </c>
      <c r="E1666" t="s">
        <v>1646</v>
      </c>
    </row>
    <row r="1667" spans="1:5">
      <c r="A1667">
        <f>HYPERLINK("http://www.twitter.com/FDNY/status/760449432513089536", "760449432513089536")</f>
        <v>0</v>
      </c>
      <c r="B1667" s="2">
        <v>42584.5121180556</v>
      </c>
      <c r="C1667">
        <v>1</v>
      </c>
      <c r="D1667">
        <v>0</v>
      </c>
      <c r="E1667" t="s">
        <v>1647</v>
      </c>
    </row>
    <row r="1668" spans="1:5">
      <c r="A1668">
        <f>HYPERLINK("http://www.twitter.com/FDNY/status/760449283271299073", "760449283271299073")</f>
        <v>0</v>
      </c>
      <c r="B1668" s="2">
        <v>42584.511712963</v>
      </c>
      <c r="C1668">
        <v>43</v>
      </c>
      <c r="D1668">
        <v>36</v>
      </c>
      <c r="E1668" t="s">
        <v>1648</v>
      </c>
    </row>
    <row r="1669" spans="1:5">
      <c r="A1669">
        <f>HYPERLINK("http://www.twitter.com/FDNY/status/760443539209814016", "760443539209814016")</f>
        <v>0</v>
      </c>
      <c r="B1669" s="2">
        <v>42584.4958564815</v>
      </c>
      <c r="C1669">
        <v>0</v>
      </c>
      <c r="D1669">
        <v>14</v>
      </c>
      <c r="E1669" t="s">
        <v>1649</v>
      </c>
    </row>
    <row r="1670" spans="1:5">
      <c r="A1670">
        <f>HYPERLINK("http://www.twitter.com/FDNY/status/760436017300140032", "760436017300140032")</f>
        <v>0</v>
      </c>
      <c r="B1670" s="2">
        <v>42584.4751041667</v>
      </c>
      <c r="C1670">
        <v>0</v>
      </c>
      <c r="D1670">
        <v>6</v>
      </c>
      <c r="E1670" t="s">
        <v>1650</v>
      </c>
    </row>
    <row r="1671" spans="1:5">
      <c r="A1671">
        <f>HYPERLINK("http://www.twitter.com/FDNY/status/760273658153664512", "760273658153664512")</f>
        <v>0</v>
      </c>
      <c r="B1671" s="2">
        <v>42584.0270717593</v>
      </c>
      <c r="C1671">
        <v>0</v>
      </c>
      <c r="D1671">
        <v>2</v>
      </c>
      <c r="E1671" t="s">
        <v>1651</v>
      </c>
    </row>
    <row r="1672" spans="1:5">
      <c r="A1672">
        <f>HYPERLINK("http://www.twitter.com/FDNY/status/760249405777833984", "760249405777833984")</f>
        <v>0</v>
      </c>
      <c r="B1672" s="2">
        <v>42583.960150463</v>
      </c>
      <c r="C1672">
        <v>0</v>
      </c>
      <c r="D1672">
        <v>21</v>
      </c>
      <c r="E1672" t="s">
        <v>1652</v>
      </c>
    </row>
    <row r="1673" spans="1:5">
      <c r="A1673">
        <f>HYPERLINK("http://www.twitter.com/FDNY/status/760205710928011264", "760205710928011264")</f>
        <v>0</v>
      </c>
      <c r="B1673" s="2">
        <v>42583.8395833333</v>
      </c>
      <c r="C1673">
        <v>26</v>
      </c>
      <c r="D1673">
        <v>11</v>
      </c>
      <c r="E1673" t="s">
        <v>1653</v>
      </c>
    </row>
    <row r="1674" spans="1:5">
      <c r="A1674">
        <f>HYPERLINK("http://www.twitter.com/FDNY/status/760167198761648128", "760167198761648128")</f>
        <v>0</v>
      </c>
      <c r="B1674" s="2">
        <v>42583.7333101852</v>
      </c>
      <c r="C1674">
        <v>23</v>
      </c>
      <c r="D1674">
        <v>4</v>
      </c>
      <c r="E1674" t="s">
        <v>1654</v>
      </c>
    </row>
    <row r="1675" spans="1:5">
      <c r="A1675">
        <f>HYPERLINK("http://www.twitter.com/FDNY/status/760128268708225024", "760128268708225024")</f>
        <v>0</v>
      </c>
      <c r="B1675" s="2">
        <v>42583.6258796296</v>
      </c>
      <c r="C1675">
        <v>0</v>
      </c>
      <c r="D1675">
        <v>6</v>
      </c>
      <c r="E1675" t="s">
        <v>1655</v>
      </c>
    </row>
    <row r="1676" spans="1:5">
      <c r="A1676">
        <f>HYPERLINK("http://www.twitter.com/FDNY/status/760102675446894592", "760102675446894592")</f>
        <v>0</v>
      </c>
      <c r="B1676" s="2">
        <v>42583.5552546296</v>
      </c>
      <c r="C1676">
        <v>0</v>
      </c>
      <c r="D1676">
        <v>4</v>
      </c>
      <c r="E1676" t="s">
        <v>1656</v>
      </c>
    </row>
    <row r="1677" spans="1:5">
      <c r="A1677">
        <f>HYPERLINK("http://www.twitter.com/FDNY/status/760102664990498816", "760102664990498816")</f>
        <v>0</v>
      </c>
      <c r="B1677" s="2">
        <v>42583.5552314815</v>
      </c>
      <c r="C1677">
        <v>0</v>
      </c>
      <c r="D1677">
        <v>10</v>
      </c>
      <c r="E1677" t="s">
        <v>1657</v>
      </c>
    </row>
    <row r="1678" spans="1:5">
      <c r="A1678">
        <f>HYPERLINK("http://www.twitter.com/FDNY/status/760102648553103360", "760102648553103360")</f>
        <v>0</v>
      </c>
      <c r="B1678" s="2">
        <v>42583.5551851852</v>
      </c>
      <c r="C1678">
        <v>0</v>
      </c>
      <c r="D1678">
        <v>4</v>
      </c>
      <c r="E1678" t="s">
        <v>1658</v>
      </c>
    </row>
    <row r="1679" spans="1:5">
      <c r="A1679">
        <f>HYPERLINK("http://www.twitter.com/FDNY/status/759824761539223552", "759824761539223552")</f>
        <v>0</v>
      </c>
      <c r="B1679" s="2">
        <v>42582.7883564815</v>
      </c>
      <c r="C1679">
        <v>37</v>
      </c>
      <c r="D1679">
        <v>13</v>
      </c>
      <c r="E1679" t="s">
        <v>1659</v>
      </c>
    </row>
    <row r="1680" spans="1:5">
      <c r="A1680">
        <f>HYPERLINK("http://www.twitter.com/FDNY/status/759789507331915776", "759789507331915776")</f>
        <v>0</v>
      </c>
      <c r="B1680" s="2">
        <v>42582.6910763889</v>
      </c>
      <c r="C1680">
        <v>0</v>
      </c>
      <c r="D1680">
        <v>12</v>
      </c>
      <c r="E1680" t="s">
        <v>1660</v>
      </c>
    </row>
    <row r="1681" spans="1:5">
      <c r="A1681">
        <f>HYPERLINK("http://www.twitter.com/FDNY/status/759788612720492545", "759788612720492545")</f>
        <v>0</v>
      </c>
      <c r="B1681" s="2">
        <v>42582.6886111111</v>
      </c>
      <c r="C1681">
        <v>0</v>
      </c>
      <c r="D1681">
        <v>16</v>
      </c>
      <c r="E1681" t="s">
        <v>1661</v>
      </c>
    </row>
    <row r="1682" spans="1:5">
      <c r="A1682">
        <f>HYPERLINK("http://www.twitter.com/FDNY/status/759567793549344769", "759567793549344769")</f>
        <v>0</v>
      </c>
      <c r="B1682" s="2">
        <v>42582.0792592593</v>
      </c>
      <c r="C1682">
        <v>0</v>
      </c>
      <c r="D1682">
        <v>3</v>
      </c>
      <c r="E1682" t="s">
        <v>1662</v>
      </c>
    </row>
    <row r="1683" spans="1:5">
      <c r="A1683">
        <f>HYPERLINK("http://www.twitter.com/FDNY/status/759412036166094849", "759412036166094849")</f>
        <v>0</v>
      </c>
      <c r="B1683" s="2">
        <v>42581.6494560185</v>
      </c>
      <c r="C1683">
        <v>11</v>
      </c>
      <c r="D1683">
        <v>7</v>
      </c>
      <c r="E1683" t="s">
        <v>1663</v>
      </c>
    </row>
    <row r="1684" spans="1:5">
      <c r="A1684">
        <f>HYPERLINK("http://www.twitter.com/FDNY/status/759125217889386500", "759125217889386500")</f>
        <v>0</v>
      </c>
      <c r="B1684" s="2">
        <v>42580.8579861111</v>
      </c>
      <c r="C1684">
        <v>0</v>
      </c>
      <c r="D1684">
        <v>10</v>
      </c>
      <c r="E1684" t="s">
        <v>1664</v>
      </c>
    </row>
    <row r="1685" spans="1:5">
      <c r="A1685">
        <f>HYPERLINK("http://www.twitter.com/FDNY/status/759123191671455744", "759123191671455744")</f>
        <v>0</v>
      </c>
      <c r="B1685" s="2">
        <v>42580.8523958333</v>
      </c>
      <c r="C1685">
        <v>0</v>
      </c>
      <c r="D1685">
        <v>5</v>
      </c>
      <c r="E1685" t="s">
        <v>1665</v>
      </c>
    </row>
    <row r="1686" spans="1:5">
      <c r="A1686">
        <f>HYPERLINK("http://www.twitter.com/FDNY/status/759122209277435905", "759122209277435905")</f>
        <v>0</v>
      </c>
      <c r="B1686" s="2">
        <v>42580.8496875</v>
      </c>
      <c r="C1686">
        <v>0</v>
      </c>
      <c r="D1686">
        <v>5</v>
      </c>
      <c r="E1686" t="s">
        <v>1666</v>
      </c>
    </row>
    <row r="1687" spans="1:5">
      <c r="A1687">
        <f>HYPERLINK("http://www.twitter.com/FDNY/status/759122182169591808", "759122182169591808")</f>
        <v>0</v>
      </c>
      <c r="B1687" s="2">
        <v>42580.8496064815</v>
      </c>
      <c r="C1687">
        <v>0</v>
      </c>
      <c r="D1687">
        <v>4</v>
      </c>
      <c r="E1687" t="s">
        <v>1667</v>
      </c>
    </row>
    <row r="1688" spans="1:5">
      <c r="A1688">
        <f>HYPERLINK("http://www.twitter.com/FDNY/status/759122162057940992", "759122162057940992")</f>
        <v>0</v>
      </c>
      <c r="B1688" s="2">
        <v>42580.8495486111</v>
      </c>
      <c r="C1688">
        <v>0</v>
      </c>
      <c r="D1688">
        <v>9</v>
      </c>
      <c r="E1688" t="s">
        <v>1668</v>
      </c>
    </row>
    <row r="1689" spans="1:5">
      <c r="A1689">
        <f>HYPERLINK("http://www.twitter.com/FDNY/status/759119750626680838", "759119750626680838")</f>
        <v>0</v>
      </c>
      <c r="B1689" s="2">
        <v>42580.8428935185</v>
      </c>
      <c r="C1689">
        <v>0</v>
      </c>
      <c r="D1689">
        <v>8</v>
      </c>
      <c r="E1689" t="s">
        <v>1669</v>
      </c>
    </row>
    <row r="1690" spans="1:5">
      <c r="A1690">
        <f>HYPERLINK("http://www.twitter.com/FDNY/status/759084226910285824", "759084226910285824")</f>
        <v>0</v>
      </c>
      <c r="B1690" s="2">
        <v>42580.7448726852</v>
      </c>
      <c r="C1690">
        <v>0</v>
      </c>
      <c r="D1690">
        <v>2</v>
      </c>
      <c r="E1690" t="s">
        <v>1670</v>
      </c>
    </row>
    <row r="1691" spans="1:5">
      <c r="A1691">
        <f>HYPERLINK("http://www.twitter.com/FDNY/status/759080567820455936", "759080567820455936")</f>
        <v>0</v>
      </c>
      <c r="B1691" s="2">
        <v>42580.7347800926</v>
      </c>
      <c r="C1691">
        <v>0</v>
      </c>
      <c r="D1691">
        <v>13</v>
      </c>
      <c r="E1691" t="s">
        <v>1671</v>
      </c>
    </row>
    <row r="1692" spans="1:5">
      <c r="A1692">
        <f>HYPERLINK("http://www.twitter.com/FDNY/status/759064568907857920", "759064568907857920")</f>
        <v>0</v>
      </c>
      <c r="B1692" s="2">
        <v>42580.690625</v>
      </c>
      <c r="C1692">
        <v>0</v>
      </c>
      <c r="D1692">
        <v>6</v>
      </c>
      <c r="E1692" t="s">
        <v>1672</v>
      </c>
    </row>
    <row r="1693" spans="1:5">
      <c r="A1693">
        <f>HYPERLINK("http://www.twitter.com/FDNY/status/759031505695961088", "759031505695961088")</f>
        <v>0</v>
      </c>
      <c r="B1693" s="2">
        <v>42580.5993865741</v>
      </c>
      <c r="C1693">
        <v>0</v>
      </c>
      <c r="D1693">
        <v>1</v>
      </c>
      <c r="E1693" t="s">
        <v>1673</v>
      </c>
    </row>
    <row r="1694" spans="1:5">
      <c r="A1694">
        <f>HYPERLINK("http://www.twitter.com/FDNY/status/759018449033043968", "759018449033043968")</f>
        <v>0</v>
      </c>
      <c r="B1694" s="2">
        <v>42580.5633564815</v>
      </c>
      <c r="C1694">
        <v>0</v>
      </c>
      <c r="D1694">
        <v>2</v>
      </c>
      <c r="E1694" t="s">
        <v>1674</v>
      </c>
    </row>
    <row r="1695" spans="1:5">
      <c r="A1695">
        <f>HYPERLINK("http://www.twitter.com/FDNY/status/758839515536515072", "758839515536515072")</f>
        <v>0</v>
      </c>
      <c r="B1695" s="2">
        <v>42580.0695949074</v>
      </c>
      <c r="C1695">
        <v>5</v>
      </c>
      <c r="D1695">
        <v>7</v>
      </c>
      <c r="E1695" t="s">
        <v>1675</v>
      </c>
    </row>
    <row r="1696" spans="1:5">
      <c r="A1696">
        <f>HYPERLINK("http://www.twitter.com/FDNY/status/758839356559732736", "758839356559732736")</f>
        <v>0</v>
      </c>
      <c r="B1696" s="2">
        <v>42580.0691550926</v>
      </c>
      <c r="C1696">
        <v>0</v>
      </c>
      <c r="D1696">
        <v>3</v>
      </c>
      <c r="E1696" t="s">
        <v>1676</v>
      </c>
    </row>
    <row r="1697" spans="1:5">
      <c r="A1697">
        <f>HYPERLINK("http://www.twitter.com/FDNY/status/758839285394972673", "758839285394972673")</f>
        <v>0</v>
      </c>
      <c r="B1697" s="2">
        <v>42580.0689583333</v>
      </c>
      <c r="C1697">
        <v>0</v>
      </c>
      <c r="D1697">
        <v>11</v>
      </c>
      <c r="E1697" t="s">
        <v>1677</v>
      </c>
    </row>
    <row r="1698" spans="1:5">
      <c r="A1698">
        <f>HYPERLINK("http://www.twitter.com/FDNY/status/758796328981987328", "758796328981987328")</f>
        <v>0</v>
      </c>
      <c r="B1698" s="2">
        <v>42579.9504282407</v>
      </c>
      <c r="C1698">
        <v>0</v>
      </c>
      <c r="D1698">
        <v>2</v>
      </c>
      <c r="E1698" t="s">
        <v>1678</v>
      </c>
    </row>
    <row r="1699" spans="1:5">
      <c r="A1699">
        <f>HYPERLINK("http://www.twitter.com/FDNY/status/758755168334843904", "758755168334843904")</f>
        <v>0</v>
      </c>
      <c r="B1699" s="2">
        <v>42579.8368402778</v>
      </c>
      <c r="C1699">
        <v>79</v>
      </c>
      <c r="D1699">
        <v>30</v>
      </c>
      <c r="E1699" t="s">
        <v>1679</v>
      </c>
    </row>
    <row r="1700" spans="1:5">
      <c r="A1700">
        <f>HYPERLINK("http://www.twitter.com/FDNY/status/758733588040785927", "758733588040785927")</f>
        <v>0</v>
      </c>
      <c r="B1700" s="2">
        <v>42579.7772916667</v>
      </c>
      <c r="C1700">
        <v>0</v>
      </c>
      <c r="D1700">
        <v>18</v>
      </c>
      <c r="E1700" t="s">
        <v>1680</v>
      </c>
    </row>
    <row r="1701" spans="1:5">
      <c r="A1701">
        <f>HYPERLINK("http://www.twitter.com/FDNY/status/758728357756432385", "758728357756432385")</f>
        <v>0</v>
      </c>
      <c r="B1701" s="2">
        <v>42579.7628587963</v>
      </c>
      <c r="C1701">
        <v>0</v>
      </c>
      <c r="D1701">
        <v>12</v>
      </c>
      <c r="E1701" t="s">
        <v>1681</v>
      </c>
    </row>
    <row r="1702" spans="1:5">
      <c r="A1702">
        <f>HYPERLINK("http://www.twitter.com/FDNY/status/758714151036477440", "758714151036477440")</f>
        <v>0</v>
      </c>
      <c r="B1702" s="2">
        <v>42579.7236574074</v>
      </c>
      <c r="C1702">
        <v>0</v>
      </c>
      <c r="D1702">
        <v>3</v>
      </c>
      <c r="E1702" t="s">
        <v>1682</v>
      </c>
    </row>
    <row r="1703" spans="1:5">
      <c r="A1703">
        <f>HYPERLINK("http://www.twitter.com/FDNY/status/758714141485965312", "758714141485965312")</f>
        <v>0</v>
      </c>
      <c r="B1703" s="2">
        <v>42579.7236342593</v>
      </c>
      <c r="C1703">
        <v>0</v>
      </c>
      <c r="D1703">
        <v>9</v>
      </c>
      <c r="E1703" t="s">
        <v>1683</v>
      </c>
    </row>
    <row r="1704" spans="1:5">
      <c r="A1704">
        <f>HYPERLINK("http://www.twitter.com/FDNY/status/758714033654595584", "758714033654595584")</f>
        <v>0</v>
      </c>
      <c r="B1704" s="2">
        <v>42579.7233333333</v>
      </c>
      <c r="C1704">
        <v>81</v>
      </c>
      <c r="D1704">
        <v>31</v>
      </c>
      <c r="E1704" t="s">
        <v>1684</v>
      </c>
    </row>
    <row r="1705" spans="1:5">
      <c r="A1705">
        <f>HYPERLINK("http://www.twitter.com/FDNY/status/758705212756557824", "758705212756557824")</f>
        <v>0</v>
      </c>
      <c r="B1705" s="2">
        <v>42579.6989930556</v>
      </c>
      <c r="C1705">
        <v>0</v>
      </c>
      <c r="D1705">
        <v>15</v>
      </c>
      <c r="E1705" t="s">
        <v>1685</v>
      </c>
    </row>
    <row r="1706" spans="1:5">
      <c r="A1706">
        <f>HYPERLINK("http://www.twitter.com/FDNY/status/758703995791745024", "758703995791745024")</f>
        <v>0</v>
      </c>
      <c r="B1706" s="2">
        <v>42579.6956365741</v>
      </c>
      <c r="C1706">
        <v>4</v>
      </c>
      <c r="D1706">
        <v>6</v>
      </c>
      <c r="E1706" t="s">
        <v>1686</v>
      </c>
    </row>
    <row r="1707" spans="1:5">
      <c r="A1707">
        <f>HYPERLINK("http://www.twitter.com/FDNY/status/758702492402257922", "758702492402257922")</f>
        <v>0</v>
      </c>
      <c r="B1707" s="2">
        <v>42579.6914814815</v>
      </c>
      <c r="C1707">
        <v>0</v>
      </c>
      <c r="D1707">
        <v>8</v>
      </c>
      <c r="E1707" t="s">
        <v>1687</v>
      </c>
    </row>
    <row r="1708" spans="1:5">
      <c r="A1708">
        <f>HYPERLINK("http://www.twitter.com/FDNY/status/758701889554878464", "758701889554878464")</f>
        <v>0</v>
      </c>
      <c r="B1708" s="2">
        <v>42579.6898263889</v>
      </c>
      <c r="C1708">
        <v>12</v>
      </c>
      <c r="D1708">
        <v>3</v>
      </c>
      <c r="E1708" t="s">
        <v>1688</v>
      </c>
    </row>
    <row r="1709" spans="1:5">
      <c r="A1709">
        <f>HYPERLINK("http://www.twitter.com/FDNY/status/758701320215879683", "758701320215879683")</f>
        <v>0</v>
      </c>
      <c r="B1709" s="2">
        <v>42579.6882523148</v>
      </c>
      <c r="C1709">
        <v>0</v>
      </c>
      <c r="D1709">
        <v>3</v>
      </c>
      <c r="E1709" t="s">
        <v>1689</v>
      </c>
    </row>
    <row r="1710" spans="1:5">
      <c r="A1710">
        <f>HYPERLINK("http://www.twitter.com/FDNY/status/758701252754616324", "758701252754616324")</f>
        <v>0</v>
      </c>
      <c r="B1710" s="2">
        <v>42579.6880671296</v>
      </c>
      <c r="C1710">
        <v>15</v>
      </c>
      <c r="D1710">
        <v>5</v>
      </c>
      <c r="E1710" t="s">
        <v>1690</v>
      </c>
    </row>
    <row r="1711" spans="1:5">
      <c r="A1711">
        <f>HYPERLINK("http://www.twitter.com/FDNY/status/758697500182212609", "758697500182212609")</f>
        <v>0</v>
      </c>
      <c r="B1711" s="2">
        <v>42579.6777083333</v>
      </c>
      <c r="C1711">
        <v>0</v>
      </c>
      <c r="D1711">
        <v>12</v>
      </c>
      <c r="E1711" t="s">
        <v>1691</v>
      </c>
    </row>
    <row r="1712" spans="1:5">
      <c r="A1712">
        <f>HYPERLINK("http://www.twitter.com/FDNY/status/758696197594947584", "758696197594947584")</f>
        <v>0</v>
      </c>
      <c r="B1712" s="2">
        <v>42579.6741203704</v>
      </c>
      <c r="C1712">
        <v>0</v>
      </c>
      <c r="D1712">
        <v>21</v>
      </c>
      <c r="E1712" t="s">
        <v>1692</v>
      </c>
    </row>
    <row r="1713" spans="1:5">
      <c r="A1713">
        <f>HYPERLINK("http://www.twitter.com/FDNY/status/758695998722015232", "758695998722015232")</f>
        <v>0</v>
      </c>
      <c r="B1713" s="2">
        <v>42579.6735648148</v>
      </c>
      <c r="C1713">
        <v>0</v>
      </c>
      <c r="D1713">
        <v>15</v>
      </c>
      <c r="E1713" t="s">
        <v>1693</v>
      </c>
    </row>
    <row r="1714" spans="1:5">
      <c r="A1714">
        <f>HYPERLINK("http://www.twitter.com/FDNY/status/758695923639738368", "758695923639738368")</f>
        <v>0</v>
      </c>
      <c r="B1714" s="2">
        <v>42579.6733564815</v>
      </c>
      <c r="C1714">
        <v>0</v>
      </c>
      <c r="D1714">
        <v>14</v>
      </c>
      <c r="E1714" t="s">
        <v>1694</v>
      </c>
    </row>
    <row r="1715" spans="1:5">
      <c r="A1715">
        <f>HYPERLINK("http://www.twitter.com/FDNY/status/758690813278822401", "758690813278822401")</f>
        <v>0</v>
      </c>
      <c r="B1715" s="2">
        <v>42579.6592592593</v>
      </c>
      <c r="C1715">
        <v>56</v>
      </c>
      <c r="D1715">
        <v>21</v>
      </c>
      <c r="E1715" t="s">
        <v>1695</v>
      </c>
    </row>
    <row r="1716" spans="1:5">
      <c r="A1716">
        <f>HYPERLINK("http://www.twitter.com/FDNY/status/758677685237317633", "758677685237317633")</f>
        <v>0</v>
      </c>
      <c r="B1716" s="2">
        <v>42579.6230324074</v>
      </c>
      <c r="C1716">
        <v>2</v>
      </c>
      <c r="D1716">
        <v>3</v>
      </c>
      <c r="E1716" t="s">
        <v>1696</v>
      </c>
    </row>
    <row r="1717" spans="1:5">
      <c r="A1717">
        <f>HYPERLINK("http://www.twitter.com/FDNY/status/758666734920425472", "758666734920425472")</f>
        <v>0</v>
      </c>
      <c r="B1717" s="2">
        <v>42579.5928125</v>
      </c>
      <c r="C1717">
        <v>0</v>
      </c>
      <c r="D1717">
        <v>6</v>
      </c>
      <c r="E1717" t="s">
        <v>1697</v>
      </c>
    </row>
    <row r="1718" spans="1:5">
      <c r="A1718">
        <f>HYPERLINK("http://www.twitter.com/FDNY/status/758663703613022208", "758663703613022208")</f>
        <v>0</v>
      </c>
      <c r="B1718" s="2">
        <v>42579.5844444444</v>
      </c>
      <c r="C1718">
        <v>26</v>
      </c>
      <c r="D1718">
        <v>5</v>
      </c>
      <c r="E1718" t="s">
        <v>1698</v>
      </c>
    </row>
    <row r="1719" spans="1:5">
      <c r="A1719">
        <f>HYPERLINK("http://www.twitter.com/FDNY/status/758443876583608320", "758443876583608320")</f>
        <v>0</v>
      </c>
      <c r="B1719" s="2">
        <v>42578.9778472222</v>
      </c>
      <c r="C1719">
        <v>0</v>
      </c>
      <c r="D1719">
        <v>7</v>
      </c>
      <c r="E1719" t="s">
        <v>1699</v>
      </c>
    </row>
    <row r="1720" spans="1:5">
      <c r="A1720">
        <f>HYPERLINK("http://www.twitter.com/FDNY/status/758443841376645120", "758443841376645120")</f>
        <v>0</v>
      </c>
      <c r="B1720" s="2">
        <v>42578.9777430556</v>
      </c>
      <c r="C1720">
        <v>0</v>
      </c>
      <c r="D1720">
        <v>10</v>
      </c>
      <c r="E1720" t="s">
        <v>1700</v>
      </c>
    </row>
    <row r="1721" spans="1:5">
      <c r="A1721">
        <f>HYPERLINK("http://www.twitter.com/FDNY/status/758436434831413252", "758436434831413252")</f>
        <v>0</v>
      </c>
      <c r="B1721" s="2">
        <v>42578.9573032407</v>
      </c>
      <c r="C1721">
        <v>0</v>
      </c>
      <c r="D1721">
        <v>2</v>
      </c>
      <c r="E1721" t="s">
        <v>1701</v>
      </c>
    </row>
    <row r="1722" spans="1:5">
      <c r="A1722">
        <f>HYPERLINK("http://www.twitter.com/FDNY/status/758424221701795840", "758424221701795840")</f>
        <v>0</v>
      </c>
      <c r="B1722" s="2">
        <v>42578.923599537</v>
      </c>
      <c r="C1722">
        <v>30</v>
      </c>
      <c r="D1722">
        <v>10</v>
      </c>
      <c r="E1722" t="s">
        <v>1702</v>
      </c>
    </row>
    <row r="1723" spans="1:5">
      <c r="A1723">
        <f>HYPERLINK("http://www.twitter.com/FDNY/status/758381152570834944", "758381152570834944")</f>
        <v>0</v>
      </c>
      <c r="B1723" s="2">
        <v>42578.8047569444</v>
      </c>
      <c r="C1723">
        <v>0</v>
      </c>
      <c r="D1723">
        <v>7</v>
      </c>
      <c r="E1723" t="s">
        <v>1703</v>
      </c>
    </row>
    <row r="1724" spans="1:5">
      <c r="A1724">
        <f>HYPERLINK("http://www.twitter.com/FDNY/status/758379834385043457", "758379834385043457")</f>
        <v>0</v>
      </c>
      <c r="B1724" s="2">
        <v>42578.8011226852</v>
      </c>
      <c r="C1724">
        <v>0</v>
      </c>
      <c r="D1724">
        <v>24</v>
      </c>
      <c r="E1724" t="s">
        <v>1704</v>
      </c>
    </row>
    <row r="1725" spans="1:5">
      <c r="A1725">
        <f>HYPERLINK("http://www.twitter.com/FDNY/status/758369405499760650", "758369405499760650")</f>
        <v>0</v>
      </c>
      <c r="B1725" s="2">
        <v>42578.772337963</v>
      </c>
      <c r="C1725">
        <v>0</v>
      </c>
      <c r="D1725">
        <v>6</v>
      </c>
      <c r="E1725" t="s">
        <v>1705</v>
      </c>
    </row>
    <row r="1726" spans="1:5">
      <c r="A1726">
        <f>HYPERLINK("http://www.twitter.com/FDNY/status/758363199389462528", "758363199389462528")</f>
        <v>0</v>
      </c>
      <c r="B1726" s="2">
        <v>42578.7552199074</v>
      </c>
      <c r="C1726">
        <v>0</v>
      </c>
      <c r="D1726">
        <v>8</v>
      </c>
      <c r="E1726" t="s">
        <v>1706</v>
      </c>
    </row>
    <row r="1727" spans="1:5">
      <c r="A1727">
        <f>HYPERLINK("http://www.twitter.com/FDNY/status/758354131279024128", "758354131279024128")</f>
        <v>0</v>
      </c>
      <c r="B1727" s="2">
        <v>42578.7301967593</v>
      </c>
      <c r="C1727">
        <v>0</v>
      </c>
      <c r="D1727">
        <v>13</v>
      </c>
      <c r="E1727" t="s">
        <v>1707</v>
      </c>
    </row>
    <row r="1728" spans="1:5">
      <c r="A1728">
        <f>HYPERLINK("http://www.twitter.com/FDNY/status/758346931798237185", "758346931798237185")</f>
        <v>0</v>
      </c>
      <c r="B1728" s="2">
        <v>42578.7103240741</v>
      </c>
      <c r="C1728">
        <v>0</v>
      </c>
      <c r="D1728">
        <v>10</v>
      </c>
      <c r="E1728" t="s">
        <v>1708</v>
      </c>
    </row>
    <row r="1729" spans="1:5">
      <c r="A1729">
        <f>HYPERLINK("http://www.twitter.com/FDNY/status/758344385759240193", "758344385759240193")</f>
        <v>0</v>
      </c>
      <c r="B1729" s="2">
        <v>42578.7032986111</v>
      </c>
      <c r="C1729">
        <v>0</v>
      </c>
      <c r="D1729">
        <v>12</v>
      </c>
      <c r="E1729" t="s">
        <v>1709</v>
      </c>
    </row>
    <row r="1730" spans="1:5">
      <c r="A1730">
        <f>HYPERLINK("http://www.twitter.com/FDNY/status/758328333809623040", "758328333809623040")</f>
        <v>0</v>
      </c>
      <c r="B1730" s="2">
        <v>42578.6590046296</v>
      </c>
      <c r="C1730">
        <v>18</v>
      </c>
      <c r="D1730">
        <v>10</v>
      </c>
      <c r="E1730" t="s">
        <v>1710</v>
      </c>
    </row>
    <row r="1731" spans="1:5">
      <c r="A1731">
        <f>HYPERLINK("http://www.twitter.com/FDNY/status/758326347945082880", "758326347945082880")</f>
        <v>0</v>
      </c>
      <c r="B1731" s="2">
        <v>42578.6535300926</v>
      </c>
      <c r="C1731">
        <v>0</v>
      </c>
      <c r="D1731">
        <v>2</v>
      </c>
      <c r="E1731" t="s">
        <v>1711</v>
      </c>
    </row>
    <row r="1732" spans="1:5">
      <c r="A1732">
        <f>HYPERLINK("http://www.twitter.com/FDNY/status/758318642090151936", "758318642090151936")</f>
        <v>0</v>
      </c>
      <c r="B1732" s="2">
        <v>42578.6322569444</v>
      </c>
      <c r="C1732">
        <v>14</v>
      </c>
      <c r="D1732">
        <v>8</v>
      </c>
      <c r="E1732" t="s">
        <v>1712</v>
      </c>
    </row>
    <row r="1733" spans="1:5">
      <c r="A1733">
        <f>HYPERLINK("http://www.twitter.com/FDNY/status/758318469893029889", "758318469893029889")</f>
        <v>0</v>
      </c>
      <c r="B1733" s="2">
        <v>42578.6317824074</v>
      </c>
      <c r="C1733">
        <v>17</v>
      </c>
      <c r="D1733">
        <v>8</v>
      </c>
      <c r="E1733" t="s">
        <v>1713</v>
      </c>
    </row>
    <row r="1734" spans="1:5">
      <c r="A1734">
        <f>HYPERLINK("http://www.twitter.com/FDNY/status/758318355765927937", "758318355765927937")</f>
        <v>0</v>
      </c>
      <c r="B1734" s="2">
        <v>42578.6314699074</v>
      </c>
      <c r="C1734">
        <v>13</v>
      </c>
      <c r="D1734">
        <v>4</v>
      </c>
      <c r="E1734" t="s">
        <v>1714</v>
      </c>
    </row>
    <row r="1735" spans="1:5">
      <c r="A1735">
        <f>HYPERLINK("http://www.twitter.com/FDNY/status/758314008948707328", "758314008948707328")</f>
        <v>0</v>
      </c>
      <c r="B1735" s="2">
        <v>42578.6194791667</v>
      </c>
      <c r="C1735">
        <v>0</v>
      </c>
      <c r="D1735">
        <v>3</v>
      </c>
      <c r="E1735" t="s">
        <v>1715</v>
      </c>
    </row>
    <row r="1736" spans="1:5">
      <c r="A1736">
        <f>HYPERLINK("http://www.twitter.com/FDNY/status/758287010402533376", "758287010402533376")</f>
        <v>0</v>
      </c>
      <c r="B1736" s="2">
        <v>42578.5449768519</v>
      </c>
      <c r="C1736">
        <v>0</v>
      </c>
      <c r="D1736">
        <v>19</v>
      </c>
      <c r="E1736" t="s">
        <v>1716</v>
      </c>
    </row>
    <row r="1737" spans="1:5">
      <c r="A1737">
        <f>HYPERLINK("http://www.twitter.com/FDNY/status/758055779530338305", "758055779530338305")</f>
        <v>0</v>
      </c>
      <c r="B1737" s="2">
        <v>42577.9068981481</v>
      </c>
      <c r="C1737">
        <v>0</v>
      </c>
      <c r="D1737">
        <v>1</v>
      </c>
      <c r="E1737" t="s">
        <v>1717</v>
      </c>
    </row>
    <row r="1738" spans="1:5">
      <c r="A1738">
        <f>HYPERLINK("http://www.twitter.com/FDNY/status/758043606359822336", "758043606359822336")</f>
        <v>0</v>
      </c>
      <c r="B1738" s="2">
        <v>42577.8733101852</v>
      </c>
      <c r="C1738">
        <v>0</v>
      </c>
      <c r="D1738">
        <v>13</v>
      </c>
      <c r="E1738" t="s">
        <v>1718</v>
      </c>
    </row>
    <row r="1739" spans="1:5">
      <c r="A1739">
        <f>HYPERLINK("http://www.twitter.com/FDNY/status/758043587619778560", "758043587619778560")</f>
        <v>0</v>
      </c>
      <c r="B1739" s="2">
        <v>42577.8732523148</v>
      </c>
      <c r="C1739">
        <v>0</v>
      </c>
      <c r="D1739">
        <v>43</v>
      </c>
      <c r="E1739" t="s">
        <v>1719</v>
      </c>
    </row>
    <row r="1740" spans="1:5">
      <c r="A1740">
        <f>HYPERLINK("http://www.twitter.com/FDNY/status/758043565754843136", "758043565754843136")</f>
        <v>0</v>
      </c>
      <c r="B1740" s="2">
        <v>42577.8731944444</v>
      </c>
      <c r="C1740">
        <v>0</v>
      </c>
      <c r="D1740">
        <v>20</v>
      </c>
      <c r="E1740" t="s">
        <v>1720</v>
      </c>
    </row>
    <row r="1741" spans="1:5">
      <c r="A1741">
        <f>HYPERLINK("http://www.twitter.com/FDNY/status/758032525994385412", "758032525994385412")</f>
        <v>0</v>
      </c>
      <c r="B1741" s="2">
        <v>42577.8427314815</v>
      </c>
      <c r="C1741">
        <v>45</v>
      </c>
      <c r="D1741">
        <v>20</v>
      </c>
      <c r="E1741" t="s">
        <v>1721</v>
      </c>
    </row>
    <row r="1742" spans="1:5">
      <c r="A1742">
        <f>HYPERLINK("http://www.twitter.com/FDNY/status/758012684751278081", "758012684751278081")</f>
        <v>0</v>
      </c>
      <c r="B1742" s="2">
        <v>42577.787974537</v>
      </c>
      <c r="C1742">
        <v>6</v>
      </c>
      <c r="D1742">
        <v>9</v>
      </c>
      <c r="E1742" t="s">
        <v>1722</v>
      </c>
    </row>
    <row r="1743" spans="1:5">
      <c r="A1743">
        <f>HYPERLINK("http://www.twitter.com/FDNY/status/758007753763946496", "758007753763946496")</f>
        <v>0</v>
      </c>
      <c r="B1743" s="2">
        <v>42577.774375</v>
      </c>
      <c r="C1743">
        <v>6</v>
      </c>
      <c r="D1743">
        <v>8</v>
      </c>
      <c r="E1743" t="s">
        <v>1723</v>
      </c>
    </row>
    <row r="1744" spans="1:5">
      <c r="A1744">
        <f>HYPERLINK("http://www.twitter.com/FDNY/status/758004067004248064", "758004067004248064")</f>
        <v>0</v>
      </c>
      <c r="B1744" s="2">
        <v>42577.7642013889</v>
      </c>
      <c r="C1744">
        <v>12</v>
      </c>
      <c r="D1744">
        <v>21</v>
      </c>
      <c r="E1744" t="s">
        <v>1518</v>
      </c>
    </row>
    <row r="1745" spans="1:5">
      <c r="A1745">
        <f>HYPERLINK("http://www.twitter.com/FDNY/status/757954507271725056", "757954507271725056")</f>
        <v>0</v>
      </c>
      <c r="B1745" s="2">
        <v>42577.6274421296</v>
      </c>
      <c r="C1745">
        <v>0</v>
      </c>
      <c r="D1745">
        <v>7</v>
      </c>
      <c r="E1745" t="s">
        <v>1724</v>
      </c>
    </row>
    <row r="1746" spans="1:5">
      <c r="A1746">
        <f>HYPERLINK("http://www.twitter.com/FDNY/status/757952676302848000", "757952676302848000")</f>
        <v>0</v>
      </c>
      <c r="B1746" s="2">
        <v>42577.6223842593</v>
      </c>
      <c r="C1746">
        <v>0</v>
      </c>
      <c r="D1746">
        <v>11</v>
      </c>
      <c r="E1746" t="s">
        <v>1725</v>
      </c>
    </row>
    <row r="1747" spans="1:5">
      <c r="A1747">
        <f>HYPERLINK("http://www.twitter.com/FDNY/status/757946529915269120", "757946529915269120")</f>
        <v>0</v>
      </c>
      <c r="B1747" s="2">
        <v>42577.6054282407</v>
      </c>
      <c r="C1747">
        <v>3</v>
      </c>
      <c r="D1747">
        <v>7</v>
      </c>
      <c r="E1747" t="s">
        <v>1726</v>
      </c>
    </row>
    <row r="1748" spans="1:5">
      <c r="A1748">
        <f>HYPERLINK("http://www.twitter.com/FDNY/status/757945422161780736", "757945422161780736")</f>
        <v>0</v>
      </c>
      <c r="B1748" s="2">
        <v>42577.6023726852</v>
      </c>
      <c r="C1748">
        <v>43</v>
      </c>
      <c r="D1748">
        <v>13</v>
      </c>
      <c r="E1748" t="s">
        <v>1727</v>
      </c>
    </row>
    <row r="1749" spans="1:5">
      <c r="A1749">
        <f>HYPERLINK("http://www.twitter.com/FDNY/status/757943640643801088", "757943640643801088")</f>
        <v>0</v>
      </c>
      <c r="B1749" s="2">
        <v>42577.5974537037</v>
      </c>
      <c r="C1749">
        <v>0</v>
      </c>
      <c r="D1749">
        <v>12</v>
      </c>
      <c r="E1749" t="s">
        <v>1728</v>
      </c>
    </row>
    <row r="1750" spans="1:5">
      <c r="A1750">
        <f>HYPERLINK("http://www.twitter.com/FDNY/status/757938147418406912", "757938147418406912")</f>
        <v>0</v>
      </c>
      <c r="B1750" s="2">
        <v>42577.5822916667</v>
      </c>
      <c r="C1750">
        <v>10</v>
      </c>
      <c r="D1750">
        <v>11</v>
      </c>
      <c r="E1750" t="s">
        <v>1729</v>
      </c>
    </row>
    <row r="1751" spans="1:5">
      <c r="A1751">
        <f>HYPERLINK("http://www.twitter.com/FDNY/status/757916697701613569", "757916697701613569")</f>
        <v>0</v>
      </c>
      <c r="B1751" s="2">
        <v>42577.5231018519</v>
      </c>
      <c r="C1751">
        <v>0</v>
      </c>
      <c r="D1751">
        <v>8</v>
      </c>
      <c r="E1751" t="s">
        <v>1730</v>
      </c>
    </row>
    <row r="1752" spans="1:5">
      <c r="A1752">
        <f>HYPERLINK("http://www.twitter.com/FDNY/status/757782851622502402", "757782851622502402")</f>
        <v>0</v>
      </c>
      <c r="B1752" s="2">
        <v>42577.1537615741</v>
      </c>
      <c r="C1752">
        <v>0</v>
      </c>
      <c r="D1752">
        <v>5</v>
      </c>
      <c r="E1752" t="s">
        <v>1731</v>
      </c>
    </row>
    <row r="1753" spans="1:5">
      <c r="A1753">
        <f>HYPERLINK("http://www.twitter.com/FDNY/status/757782804730118144", "757782804730118144")</f>
        <v>0</v>
      </c>
      <c r="B1753" s="2">
        <v>42577.1536342593</v>
      </c>
      <c r="C1753">
        <v>0</v>
      </c>
      <c r="D1753">
        <v>7</v>
      </c>
      <c r="E1753" t="s">
        <v>1732</v>
      </c>
    </row>
    <row r="1754" spans="1:5">
      <c r="A1754">
        <f>HYPERLINK("http://www.twitter.com/FDNY/status/757674216695160833", "757674216695160833")</f>
        <v>0</v>
      </c>
      <c r="B1754" s="2">
        <v>42576.8539814815</v>
      </c>
      <c r="C1754">
        <v>0</v>
      </c>
      <c r="D1754">
        <v>31</v>
      </c>
      <c r="E1754" t="s">
        <v>1733</v>
      </c>
    </row>
    <row r="1755" spans="1:5">
      <c r="A1755">
        <f>HYPERLINK("http://www.twitter.com/FDNY/status/757644751332073472", "757644751332073472")</f>
        <v>0</v>
      </c>
      <c r="B1755" s="2">
        <v>42576.7726736111</v>
      </c>
      <c r="C1755">
        <v>92</v>
      </c>
      <c r="D1755">
        <v>23</v>
      </c>
      <c r="E1755" t="s">
        <v>1734</v>
      </c>
    </row>
    <row r="1756" spans="1:5">
      <c r="A1756">
        <f>HYPERLINK("http://www.twitter.com/FDNY/status/757636669155733504", "757636669155733504")</f>
        <v>0</v>
      </c>
      <c r="B1756" s="2">
        <v>42576.7503703704</v>
      </c>
      <c r="C1756">
        <v>0</v>
      </c>
      <c r="D1756">
        <v>9</v>
      </c>
      <c r="E1756" t="s">
        <v>1735</v>
      </c>
    </row>
    <row r="1757" spans="1:5">
      <c r="A1757">
        <f>HYPERLINK("http://www.twitter.com/FDNY/status/757611421815414784", "757611421815414784")</f>
        <v>0</v>
      </c>
      <c r="B1757" s="2">
        <v>42576.6807060185</v>
      </c>
      <c r="C1757">
        <v>26</v>
      </c>
      <c r="D1757">
        <v>25</v>
      </c>
      <c r="E1757" t="s">
        <v>1550</v>
      </c>
    </row>
    <row r="1758" spans="1:5">
      <c r="A1758">
        <f>HYPERLINK("http://www.twitter.com/FDNY/status/757604735394471936", "757604735394471936")</f>
        <v>0</v>
      </c>
      <c r="B1758" s="2">
        <v>42576.6622569444</v>
      </c>
      <c r="C1758">
        <v>0</v>
      </c>
      <c r="D1758">
        <v>44</v>
      </c>
      <c r="E1758" t="s">
        <v>1736</v>
      </c>
    </row>
    <row r="1759" spans="1:5">
      <c r="A1759">
        <f>HYPERLINK("http://www.twitter.com/FDNY/status/757603033966665728", "757603033966665728")</f>
        <v>0</v>
      </c>
      <c r="B1759" s="2">
        <v>42576.6575578704</v>
      </c>
      <c r="C1759">
        <v>0</v>
      </c>
      <c r="D1759">
        <v>1</v>
      </c>
      <c r="E1759" t="s">
        <v>1737</v>
      </c>
    </row>
    <row r="1760" spans="1:5">
      <c r="A1760">
        <f>HYPERLINK("http://www.twitter.com/FDNY/status/757595628918702080", "757595628918702080")</f>
        <v>0</v>
      </c>
      <c r="B1760" s="2">
        <v>42576.6371296296</v>
      </c>
      <c r="C1760">
        <v>42</v>
      </c>
      <c r="D1760">
        <v>19</v>
      </c>
      <c r="E1760" t="s">
        <v>1738</v>
      </c>
    </row>
    <row r="1761" spans="1:5">
      <c r="A1761">
        <f>HYPERLINK("http://www.twitter.com/FDNY/status/757593614088278016", "757593614088278016")</f>
        <v>0</v>
      </c>
      <c r="B1761" s="2">
        <v>42576.6315625</v>
      </c>
      <c r="C1761">
        <v>14</v>
      </c>
      <c r="D1761">
        <v>6</v>
      </c>
      <c r="E1761" t="s">
        <v>1739</v>
      </c>
    </row>
    <row r="1762" spans="1:5">
      <c r="A1762">
        <f>HYPERLINK("http://www.twitter.com/FDNY/status/757593228816285696", "757593228816285696")</f>
        <v>0</v>
      </c>
      <c r="B1762" s="2">
        <v>42576.6304976852</v>
      </c>
      <c r="C1762">
        <v>0</v>
      </c>
      <c r="D1762">
        <v>23</v>
      </c>
      <c r="E1762" t="s">
        <v>1740</v>
      </c>
    </row>
    <row r="1763" spans="1:5">
      <c r="A1763">
        <f>HYPERLINK("http://www.twitter.com/FDNY/status/757584790946217984", "757584790946217984")</f>
        <v>0</v>
      </c>
      <c r="B1763" s="2">
        <v>42576.6072222222</v>
      </c>
      <c r="C1763">
        <v>0</v>
      </c>
      <c r="D1763">
        <v>6</v>
      </c>
      <c r="E1763" t="s">
        <v>1741</v>
      </c>
    </row>
    <row r="1764" spans="1:5">
      <c r="A1764">
        <f>HYPERLINK("http://www.twitter.com/FDNY/status/757583210494758912", "757583210494758912")</f>
        <v>0</v>
      </c>
      <c r="B1764" s="2">
        <v>42576.6028587963</v>
      </c>
      <c r="C1764">
        <v>11</v>
      </c>
      <c r="D1764">
        <v>4</v>
      </c>
      <c r="E1764" t="s">
        <v>1742</v>
      </c>
    </row>
    <row r="1765" spans="1:5">
      <c r="A1765">
        <f>HYPERLINK("http://www.twitter.com/FDNY/status/757580710794371072", "757580710794371072")</f>
        <v>0</v>
      </c>
      <c r="B1765" s="2">
        <v>42576.5959606481</v>
      </c>
      <c r="C1765">
        <v>0</v>
      </c>
      <c r="D1765">
        <v>1</v>
      </c>
      <c r="E1765" t="s">
        <v>1743</v>
      </c>
    </row>
    <row r="1766" spans="1:5">
      <c r="A1766">
        <f>HYPERLINK("http://www.twitter.com/FDNY/status/757577692459991040", "757577692459991040")</f>
        <v>0</v>
      </c>
      <c r="B1766" s="2">
        <v>42576.5876273148</v>
      </c>
      <c r="C1766">
        <v>0</v>
      </c>
      <c r="D1766">
        <v>4</v>
      </c>
      <c r="E1766" t="s">
        <v>1744</v>
      </c>
    </row>
    <row r="1767" spans="1:5">
      <c r="A1767">
        <f>HYPERLINK("http://www.twitter.com/FDNY/status/757576641937809408", "757576641937809408")</f>
        <v>0</v>
      </c>
      <c r="B1767" s="2">
        <v>42576.5847337963</v>
      </c>
      <c r="C1767">
        <v>0</v>
      </c>
      <c r="D1767">
        <v>11</v>
      </c>
      <c r="E1767" t="s">
        <v>1745</v>
      </c>
    </row>
    <row r="1768" spans="1:5">
      <c r="A1768">
        <f>HYPERLINK("http://www.twitter.com/FDNY/status/757333333298774016", "757333333298774016")</f>
        <v>0</v>
      </c>
      <c r="B1768" s="2">
        <v>42575.9133217593</v>
      </c>
      <c r="C1768">
        <v>27</v>
      </c>
      <c r="D1768">
        <v>11</v>
      </c>
      <c r="E1768" t="s">
        <v>1746</v>
      </c>
    </row>
    <row r="1769" spans="1:5">
      <c r="A1769">
        <f>HYPERLINK("http://www.twitter.com/FDNY/status/757333211072593920", "757333211072593920")</f>
        <v>0</v>
      </c>
      <c r="B1769" s="2">
        <v>42575.9129861111</v>
      </c>
      <c r="C1769">
        <v>17</v>
      </c>
      <c r="D1769">
        <v>16</v>
      </c>
      <c r="E1769" t="s">
        <v>1747</v>
      </c>
    </row>
    <row r="1770" spans="1:5">
      <c r="A1770">
        <f>HYPERLINK("http://www.twitter.com/FDNY/status/757291308788682752", "757291308788682752")</f>
        <v>0</v>
      </c>
      <c r="B1770" s="2">
        <v>42575.7973611111</v>
      </c>
      <c r="C1770">
        <v>0</v>
      </c>
      <c r="D1770">
        <v>16</v>
      </c>
      <c r="E1770" t="s">
        <v>1748</v>
      </c>
    </row>
    <row r="1771" spans="1:5">
      <c r="A1771">
        <f>HYPERLINK("http://www.twitter.com/FDNY/status/757291232783728641", "757291232783728641")</f>
        <v>0</v>
      </c>
      <c r="B1771" s="2">
        <v>42575.7971527778</v>
      </c>
      <c r="C1771">
        <v>0</v>
      </c>
      <c r="D1771">
        <v>32</v>
      </c>
      <c r="E1771" t="s">
        <v>1749</v>
      </c>
    </row>
    <row r="1772" spans="1:5">
      <c r="A1772">
        <f>HYPERLINK("http://www.twitter.com/FDNY/status/757288190139101185", "757288190139101185")</f>
        <v>0</v>
      </c>
      <c r="B1772" s="2">
        <v>42575.78875</v>
      </c>
      <c r="C1772">
        <v>0</v>
      </c>
      <c r="D1772">
        <v>54</v>
      </c>
      <c r="E1772" t="s">
        <v>1750</v>
      </c>
    </row>
    <row r="1773" spans="1:5">
      <c r="A1773">
        <f>HYPERLINK("http://www.twitter.com/FDNY/status/757283080155623425", "757283080155623425")</f>
        <v>0</v>
      </c>
      <c r="B1773" s="2">
        <v>42575.7746527778</v>
      </c>
      <c r="C1773">
        <v>61</v>
      </c>
      <c r="D1773">
        <v>17</v>
      </c>
      <c r="E1773" t="s">
        <v>1751</v>
      </c>
    </row>
    <row r="1774" spans="1:5">
      <c r="A1774">
        <f>HYPERLINK("http://www.twitter.com/FDNY/status/757276722454753280", "757276722454753280")</f>
        <v>0</v>
      </c>
      <c r="B1774" s="2">
        <v>42575.7571064815</v>
      </c>
      <c r="C1774">
        <v>15</v>
      </c>
      <c r="D1774">
        <v>10</v>
      </c>
      <c r="E1774" t="s">
        <v>1555</v>
      </c>
    </row>
    <row r="1775" spans="1:5">
      <c r="A1775">
        <f>HYPERLINK("http://www.twitter.com/FDNY/status/757245279217352704", "757245279217352704")</f>
        <v>0</v>
      </c>
      <c r="B1775" s="2">
        <v>42575.6703472222</v>
      </c>
      <c r="C1775">
        <v>60</v>
      </c>
      <c r="D1775">
        <v>34</v>
      </c>
      <c r="E1775" t="s">
        <v>1546</v>
      </c>
    </row>
    <row r="1776" spans="1:5">
      <c r="A1776">
        <f>HYPERLINK("http://www.twitter.com/FDNY/status/757239718841024512", "757239718841024512")</f>
        <v>0</v>
      </c>
      <c r="B1776" s="2">
        <v>42575.655</v>
      </c>
      <c r="C1776">
        <v>5</v>
      </c>
      <c r="D1776">
        <v>5</v>
      </c>
      <c r="E1776" t="s">
        <v>1752</v>
      </c>
    </row>
    <row r="1777" spans="1:5">
      <c r="A1777">
        <f>HYPERLINK("http://www.twitter.com/FDNY/status/757227189502877696", "757227189502877696")</f>
        <v>0</v>
      </c>
      <c r="B1777" s="2">
        <v>42575.6204282407</v>
      </c>
      <c r="C1777">
        <v>0</v>
      </c>
      <c r="D1777">
        <v>28</v>
      </c>
      <c r="E1777" t="s">
        <v>1740</v>
      </c>
    </row>
    <row r="1778" spans="1:5">
      <c r="A1778">
        <f>HYPERLINK("http://www.twitter.com/FDNY/status/756955727344861185", "756955727344861185")</f>
        <v>0</v>
      </c>
      <c r="B1778" s="2">
        <v>42574.8713310185</v>
      </c>
      <c r="C1778">
        <v>33</v>
      </c>
      <c r="D1778">
        <v>19</v>
      </c>
      <c r="E1778" t="s">
        <v>1753</v>
      </c>
    </row>
    <row r="1779" spans="1:5">
      <c r="A1779">
        <f>HYPERLINK("http://www.twitter.com/FDNY/status/756950474159452161", "756950474159452161")</f>
        <v>0</v>
      </c>
      <c r="B1779" s="2">
        <v>42574.8568402778</v>
      </c>
      <c r="C1779">
        <v>45</v>
      </c>
      <c r="D1779">
        <v>10</v>
      </c>
      <c r="E1779" t="s">
        <v>1754</v>
      </c>
    </row>
    <row r="1780" spans="1:5">
      <c r="A1780">
        <f>HYPERLINK("http://www.twitter.com/FDNY/status/756946755493761024", "756946755493761024")</f>
        <v>0</v>
      </c>
      <c r="B1780" s="2">
        <v>42574.8465740741</v>
      </c>
      <c r="C1780">
        <v>0</v>
      </c>
      <c r="D1780">
        <v>11</v>
      </c>
      <c r="E1780" t="s">
        <v>1755</v>
      </c>
    </row>
    <row r="1781" spans="1:5">
      <c r="A1781">
        <f>HYPERLINK("http://www.twitter.com/FDNY/status/756946399627968512", "756946399627968512")</f>
        <v>0</v>
      </c>
      <c r="B1781" s="2">
        <v>42574.8455902778</v>
      </c>
      <c r="C1781">
        <v>0</v>
      </c>
      <c r="D1781">
        <v>6</v>
      </c>
      <c r="E1781" t="s">
        <v>1756</v>
      </c>
    </row>
    <row r="1782" spans="1:5">
      <c r="A1782">
        <f>HYPERLINK("http://www.twitter.com/FDNY/status/756944719574396930", "756944719574396930")</f>
        <v>0</v>
      </c>
      <c r="B1782" s="2">
        <v>42574.8409606482</v>
      </c>
      <c r="C1782">
        <v>0</v>
      </c>
      <c r="D1782">
        <v>7</v>
      </c>
      <c r="E1782" t="s">
        <v>1757</v>
      </c>
    </row>
    <row r="1783" spans="1:5">
      <c r="A1783">
        <f>HYPERLINK("http://www.twitter.com/FDNY/status/756943271818059776", "756943271818059776")</f>
        <v>0</v>
      </c>
      <c r="B1783" s="2">
        <v>42574.8369560185</v>
      </c>
      <c r="C1783">
        <v>11</v>
      </c>
      <c r="D1783">
        <v>16</v>
      </c>
      <c r="E1783" t="s">
        <v>1758</v>
      </c>
    </row>
    <row r="1784" spans="1:5">
      <c r="A1784">
        <f>HYPERLINK("http://www.twitter.com/FDNY/status/756943050249760769", "756943050249760769")</f>
        <v>0</v>
      </c>
      <c r="B1784" s="2">
        <v>42574.8363541667</v>
      </c>
      <c r="C1784">
        <v>54</v>
      </c>
      <c r="D1784">
        <v>18</v>
      </c>
      <c r="E1784" t="s">
        <v>1759</v>
      </c>
    </row>
    <row r="1785" spans="1:5">
      <c r="A1785">
        <f>HYPERLINK("http://www.twitter.com/FDNY/status/756931973180956672", "756931973180956672")</f>
        <v>0</v>
      </c>
      <c r="B1785" s="2">
        <v>42574.805787037</v>
      </c>
      <c r="C1785">
        <v>27</v>
      </c>
      <c r="D1785">
        <v>27</v>
      </c>
      <c r="E1785" t="s">
        <v>1583</v>
      </c>
    </row>
    <row r="1786" spans="1:5">
      <c r="A1786">
        <f>HYPERLINK("http://www.twitter.com/FDNY/status/756909293429981184", "756909293429981184")</f>
        <v>0</v>
      </c>
      <c r="B1786" s="2">
        <v>42574.7431944444</v>
      </c>
      <c r="C1786">
        <v>13</v>
      </c>
      <c r="D1786">
        <v>9</v>
      </c>
      <c r="E1786" t="s">
        <v>1760</v>
      </c>
    </row>
    <row r="1787" spans="1:5">
      <c r="A1787">
        <f>HYPERLINK("http://www.twitter.com/FDNY/status/756908033494675456", "756908033494675456")</f>
        <v>0</v>
      </c>
      <c r="B1787" s="2">
        <v>42574.7397222222</v>
      </c>
      <c r="C1787">
        <v>0</v>
      </c>
      <c r="D1787">
        <v>57</v>
      </c>
      <c r="E1787" t="s">
        <v>1761</v>
      </c>
    </row>
    <row r="1788" spans="1:5">
      <c r="A1788">
        <f>HYPERLINK("http://www.twitter.com/FDNY/status/756906246582788096", "756906246582788096")</f>
        <v>0</v>
      </c>
      <c r="B1788" s="2">
        <v>42574.7347916667</v>
      </c>
      <c r="C1788">
        <v>40</v>
      </c>
      <c r="D1788">
        <v>15</v>
      </c>
      <c r="E1788" t="s">
        <v>1762</v>
      </c>
    </row>
    <row r="1789" spans="1:5">
      <c r="A1789">
        <f>HYPERLINK("http://www.twitter.com/FDNY/status/756891697276215296", "756891697276215296")</f>
        <v>0</v>
      </c>
      <c r="B1789" s="2">
        <v>42574.6946412037</v>
      </c>
      <c r="C1789">
        <v>29</v>
      </c>
      <c r="D1789">
        <v>21</v>
      </c>
      <c r="E1789" t="s">
        <v>1584</v>
      </c>
    </row>
    <row r="1790" spans="1:5">
      <c r="A1790">
        <f>HYPERLINK("http://www.twitter.com/FDNY/status/756885419313299456", "756885419313299456")</f>
        <v>0</v>
      </c>
      <c r="B1790" s="2">
        <v>42574.6773148148</v>
      </c>
      <c r="C1790">
        <v>27</v>
      </c>
      <c r="D1790">
        <v>11</v>
      </c>
      <c r="E1790" t="s">
        <v>1763</v>
      </c>
    </row>
    <row r="1791" spans="1:5">
      <c r="A1791">
        <f>HYPERLINK("http://www.twitter.com/FDNY/status/756884773017190401", "756884773017190401")</f>
        <v>0</v>
      </c>
      <c r="B1791" s="2">
        <v>42574.6755324074</v>
      </c>
      <c r="C1791">
        <v>0</v>
      </c>
      <c r="D1791">
        <v>3</v>
      </c>
      <c r="E1791" t="s">
        <v>1764</v>
      </c>
    </row>
    <row r="1792" spans="1:5">
      <c r="A1792">
        <f>HYPERLINK("http://www.twitter.com/FDNY/status/756864141118304256", "756864141118304256")</f>
        <v>0</v>
      </c>
      <c r="B1792" s="2">
        <v>42574.618599537</v>
      </c>
      <c r="C1792">
        <v>0</v>
      </c>
      <c r="D1792">
        <v>21</v>
      </c>
      <c r="E1792" t="s">
        <v>1740</v>
      </c>
    </row>
    <row r="1793" spans="1:5">
      <c r="A1793">
        <f>HYPERLINK("http://www.twitter.com/FDNY/status/756852697584852992", "756852697584852992")</f>
        <v>0</v>
      </c>
      <c r="B1793" s="2">
        <v>42574.587025463</v>
      </c>
      <c r="C1793">
        <v>9</v>
      </c>
      <c r="D1793">
        <v>10</v>
      </c>
      <c r="E1793" t="s">
        <v>1765</v>
      </c>
    </row>
    <row r="1794" spans="1:5">
      <c r="A1794">
        <f>HYPERLINK("http://www.twitter.com/FDNY/status/756840160608878593", "756840160608878593")</f>
        <v>0</v>
      </c>
      <c r="B1794" s="2">
        <v>42574.5524305556</v>
      </c>
      <c r="C1794">
        <v>37</v>
      </c>
      <c r="D1794">
        <v>13</v>
      </c>
      <c r="E1794" t="s">
        <v>1766</v>
      </c>
    </row>
    <row r="1795" spans="1:5">
      <c r="A1795">
        <f>HYPERLINK("http://www.twitter.com/FDNY/status/756681357259079680", "756681357259079680")</f>
        <v>0</v>
      </c>
      <c r="B1795" s="2">
        <v>42574.114212963</v>
      </c>
      <c r="C1795">
        <v>0</v>
      </c>
      <c r="D1795">
        <v>37</v>
      </c>
      <c r="E1795" t="s">
        <v>1767</v>
      </c>
    </row>
    <row r="1796" spans="1:5">
      <c r="A1796">
        <f>HYPERLINK("http://www.twitter.com/FDNY/status/756675322716758016", "756675322716758016")</f>
        <v>0</v>
      </c>
      <c r="B1796" s="2">
        <v>42574.0975578704</v>
      </c>
      <c r="C1796">
        <v>0</v>
      </c>
      <c r="D1796">
        <v>2</v>
      </c>
      <c r="E1796" t="s">
        <v>1768</v>
      </c>
    </row>
    <row r="1797" spans="1:5">
      <c r="A1797">
        <f>HYPERLINK("http://www.twitter.com/FDNY/status/756609610233020416", "756609610233020416")</f>
        <v>0</v>
      </c>
      <c r="B1797" s="2">
        <v>42573.9162268518</v>
      </c>
      <c r="C1797">
        <v>0</v>
      </c>
      <c r="D1797">
        <v>2</v>
      </c>
      <c r="E1797" t="s">
        <v>1769</v>
      </c>
    </row>
    <row r="1798" spans="1:5">
      <c r="A1798">
        <f>HYPERLINK("http://www.twitter.com/FDNY/status/756603146428907520", "756603146428907520")</f>
        <v>0</v>
      </c>
      <c r="B1798" s="2">
        <v>42573.8983912037</v>
      </c>
      <c r="C1798">
        <v>0</v>
      </c>
      <c r="D1798">
        <v>27</v>
      </c>
      <c r="E1798" t="s">
        <v>1770</v>
      </c>
    </row>
    <row r="1799" spans="1:5">
      <c r="A1799">
        <f>HYPERLINK("http://www.twitter.com/FDNY/status/756544918361894912", "756544918361894912")</f>
        <v>0</v>
      </c>
      <c r="B1799" s="2">
        <v>42573.7377199074</v>
      </c>
      <c r="C1799">
        <v>29</v>
      </c>
      <c r="D1799">
        <v>7</v>
      </c>
      <c r="E1799" t="s">
        <v>1771</v>
      </c>
    </row>
    <row r="1800" spans="1:5">
      <c r="A1800">
        <f>HYPERLINK("http://www.twitter.com/FDNY/status/756526167600013313", "756526167600013313")</f>
        <v>0</v>
      </c>
      <c r="B1800" s="2">
        <v>42573.6859722222</v>
      </c>
      <c r="C1800">
        <v>0</v>
      </c>
      <c r="D1800">
        <v>9</v>
      </c>
      <c r="E1800" t="s">
        <v>1772</v>
      </c>
    </row>
    <row r="1801" spans="1:5">
      <c r="A1801">
        <f>HYPERLINK("http://www.twitter.com/FDNY/status/756523135994912768", "756523135994912768")</f>
        <v>0</v>
      </c>
      <c r="B1801" s="2">
        <v>42573.6776041667</v>
      </c>
      <c r="C1801">
        <v>0</v>
      </c>
      <c r="D1801">
        <v>4</v>
      </c>
      <c r="E1801" t="s">
        <v>1773</v>
      </c>
    </row>
    <row r="1802" spans="1:5">
      <c r="A1802">
        <f>HYPERLINK("http://www.twitter.com/FDNY/status/756521878961975297", "756521878961975297")</f>
        <v>0</v>
      </c>
      <c r="B1802" s="2">
        <v>42573.6741435185</v>
      </c>
      <c r="C1802">
        <v>16</v>
      </c>
      <c r="D1802">
        <v>6</v>
      </c>
      <c r="E1802" t="s">
        <v>1774</v>
      </c>
    </row>
    <row r="1803" spans="1:5">
      <c r="A1803">
        <f>HYPERLINK("http://www.twitter.com/FDNY/status/756516718420299777", "756516718420299777")</f>
        <v>0</v>
      </c>
      <c r="B1803" s="2">
        <v>42573.6598958333</v>
      </c>
      <c r="C1803">
        <v>50</v>
      </c>
      <c r="D1803">
        <v>13</v>
      </c>
      <c r="E1803" t="s">
        <v>1775</v>
      </c>
    </row>
    <row r="1804" spans="1:5">
      <c r="A1804">
        <f>HYPERLINK("http://www.twitter.com/FDNY/status/756510830062084096", "756510830062084096")</f>
        <v>0</v>
      </c>
      <c r="B1804" s="2">
        <v>42573.6436458333</v>
      </c>
      <c r="C1804">
        <v>7</v>
      </c>
      <c r="D1804">
        <v>3</v>
      </c>
      <c r="E1804" t="s">
        <v>1776</v>
      </c>
    </row>
    <row r="1805" spans="1:5">
      <c r="A1805">
        <f>HYPERLINK("http://www.twitter.com/FDNY/status/756509889338507264", "756509889338507264")</f>
        <v>0</v>
      </c>
      <c r="B1805" s="2">
        <v>42573.6410532407</v>
      </c>
      <c r="C1805">
        <v>15</v>
      </c>
      <c r="D1805">
        <v>5</v>
      </c>
      <c r="E1805" t="s">
        <v>1777</v>
      </c>
    </row>
    <row r="1806" spans="1:5">
      <c r="A1806">
        <f>HYPERLINK("http://www.twitter.com/FDNY/status/756509201946509312", "756509201946509312")</f>
        <v>0</v>
      </c>
      <c r="B1806" s="2">
        <v>42573.6391550926</v>
      </c>
      <c r="C1806">
        <v>11</v>
      </c>
      <c r="D1806">
        <v>3</v>
      </c>
      <c r="E1806" t="s">
        <v>1778</v>
      </c>
    </row>
    <row r="1807" spans="1:5">
      <c r="A1807">
        <f>HYPERLINK("http://www.twitter.com/FDNY/status/756508941362819072", "756508941362819072")</f>
        <v>0</v>
      </c>
      <c r="B1807" s="2">
        <v>42573.6384375</v>
      </c>
      <c r="C1807">
        <v>8</v>
      </c>
      <c r="D1807">
        <v>4</v>
      </c>
      <c r="E1807" t="s">
        <v>1779</v>
      </c>
    </row>
    <row r="1808" spans="1:5">
      <c r="A1808">
        <f>HYPERLINK("http://www.twitter.com/FDNY/status/756507719499218944", "756507719499218944")</f>
        <v>0</v>
      </c>
      <c r="B1808" s="2">
        <v>42573.6350694444</v>
      </c>
      <c r="C1808">
        <v>32</v>
      </c>
      <c r="D1808">
        <v>13</v>
      </c>
      <c r="E1808" t="s">
        <v>1780</v>
      </c>
    </row>
    <row r="1809" spans="1:5">
      <c r="A1809">
        <f>HYPERLINK("http://www.twitter.com/FDNY/status/756504587503341570", "756504587503341570")</f>
        <v>0</v>
      </c>
      <c r="B1809" s="2">
        <v>42573.6264236111</v>
      </c>
      <c r="C1809">
        <v>34</v>
      </c>
      <c r="D1809">
        <v>6</v>
      </c>
      <c r="E1809" t="s">
        <v>1781</v>
      </c>
    </row>
    <row r="1810" spans="1:5">
      <c r="A1810">
        <f>HYPERLINK("http://www.twitter.com/FDNY/status/756502670098259968", "756502670098259968")</f>
        <v>0</v>
      </c>
      <c r="B1810" s="2">
        <v>42573.6211342593</v>
      </c>
      <c r="C1810">
        <v>0</v>
      </c>
      <c r="D1810">
        <v>12</v>
      </c>
      <c r="E1810" t="s">
        <v>1782</v>
      </c>
    </row>
    <row r="1811" spans="1:5">
      <c r="A1811">
        <f>HYPERLINK("http://www.twitter.com/FDNY/status/756502527772860416", "756502527772860416")</f>
        <v>0</v>
      </c>
      <c r="B1811" s="2">
        <v>42573.6207407407</v>
      </c>
      <c r="C1811">
        <v>4</v>
      </c>
      <c r="D1811">
        <v>7</v>
      </c>
      <c r="E1811" t="s">
        <v>1544</v>
      </c>
    </row>
    <row r="1812" spans="1:5">
      <c r="A1812">
        <f>HYPERLINK("http://www.twitter.com/FDNY/status/756502214718390272", "756502214718390272")</f>
        <v>0</v>
      </c>
      <c r="B1812" s="2">
        <v>42573.6198726852</v>
      </c>
      <c r="C1812">
        <v>0</v>
      </c>
      <c r="D1812">
        <v>55</v>
      </c>
      <c r="E1812" t="s">
        <v>1783</v>
      </c>
    </row>
    <row r="1813" spans="1:5">
      <c r="A1813">
        <f>HYPERLINK("http://www.twitter.com/FDNY/status/756502120870928384", "756502120870928384")</f>
        <v>0</v>
      </c>
      <c r="B1813" s="2">
        <v>42573.6196180556</v>
      </c>
      <c r="C1813">
        <v>5</v>
      </c>
      <c r="D1813">
        <v>7</v>
      </c>
      <c r="E1813" t="s">
        <v>1784</v>
      </c>
    </row>
    <row r="1814" spans="1:5">
      <c r="A1814">
        <f>HYPERLINK("http://www.twitter.com/FDNY/status/756490805074882560", "756490805074882560")</f>
        <v>0</v>
      </c>
      <c r="B1814" s="2">
        <v>42573.5883912037</v>
      </c>
      <c r="C1814">
        <v>26</v>
      </c>
      <c r="D1814">
        <v>3</v>
      </c>
      <c r="E1814" t="s">
        <v>1785</v>
      </c>
    </row>
    <row r="1815" spans="1:5">
      <c r="A1815">
        <f>HYPERLINK("http://www.twitter.com/FDNY/status/756480433580347392", "756480433580347392")</f>
        <v>0</v>
      </c>
      <c r="B1815" s="2">
        <v>42573.5597685185</v>
      </c>
      <c r="C1815">
        <v>0</v>
      </c>
      <c r="D1815">
        <v>42</v>
      </c>
      <c r="E1815" t="s">
        <v>1740</v>
      </c>
    </row>
    <row r="1816" spans="1:5">
      <c r="A1816">
        <f>HYPERLINK("http://www.twitter.com/FDNY/status/756318118457253889", "756318118457253889")</f>
        <v>0</v>
      </c>
      <c r="B1816" s="2">
        <v>42573.1118634259</v>
      </c>
      <c r="C1816">
        <v>0</v>
      </c>
      <c r="D1816">
        <v>9</v>
      </c>
      <c r="E1816" t="s">
        <v>1786</v>
      </c>
    </row>
    <row r="1817" spans="1:5">
      <c r="A1817">
        <f>HYPERLINK("http://www.twitter.com/FDNY/status/756312470189400064", "756312470189400064")</f>
        <v>0</v>
      </c>
      <c r="B1817" s="2">
        <v>42573.0962847222</v>
      </c>
      <c r="C1817">
        <v>0</v>
      </c>
      <c r="D1817">
        <v>5</v>
      </c>
      <c r="E1817" t="s">
        <v>1787</v>
      </c>
    </row>
    <row r="1818" spans="1:5">
      <c r="A1818">
        <f>HYPERLINK("http://www.twitter.com/FDNY/status/756282664324390912", "756282664324390912")</f>
        <v>0</v>
      </c>
      <c r="B1818" s="2">
        <v>42573.0140277778</v>
      </c>
      <c r="C1818">
        <v>0</v>
      </c>
      <c r="D1818">
        <v>31</v>
      </c>
      <c r="E1818" t="s">
        <v>1788</v>
      </c>
    </row>
    <row r="1819" spans="1:5">
      <c r="A1819">
        <f>HYPERLINK("http://www.twitter.com/FDNY/status/756256405049532417", "756256405049532417")</f>
        <v>0</v>
      </c>
      <c r="B1819" s="2">
        <v>42572.9415740741</v>
      </c>
      <c r="C1819">
        <v>0</v>
      </c>
      <c r="D1819">
        <v>2</v>
      </c>
      <c r="E1819" t="s">
        <v>1789</v>
      </c>
    </row>
    <row r="1820" spans="1:5">
      <c r="A1820">
        <f>HYPERLINK("http://www.twitter.com/FDNY/status/756238347006345221", "756238347006345221")</f>
        <v>0</v>
      </c>
      <c r="B1820" s="2">
        <v>42572.8917361111</v>
      </c>
      <c r="C1820">
        <v>0</v>
      </c>
      <c r="D1820">
        <v>1</v>
      </c>
      <c r="E1820" t="s">
        <v>1790</v>
      </c>
    </row>
    <row r="1821" spans="1:5">
      <c r="A1821">
        <f>HYPERLINK("http://www.twitter.com/FDNY/status/756229859823747072", "756229859823747072")</f>
        <v>0</v>
      </c>
      <c r="B1821" s="2">
        <v>42572.8683217593</v>
      </c>
      <c r="C1821">
        <v>5</v>
      </c>
      <c r="D1821">
        <v>7</v>
      </c>
      <c r="E1821" t="s">
        <v>1791</v>
      </c>
    </row>
    <row r="1822" spans="1:5">
      <c r="A1822">
        <f>HYPERLINK("http://www.twitter.com/FDNY/status/756227986597249024", "756227986597249024")</f>
        <v>0</v>
      </c>
      <c r="B1822" s="2">
        <v>42572.8631481481</v>
      </c>
      <c r="C1822">
        <v>0</v>
      </c>
      <c r="D1822">
        <v>5</v>
      </c>
      <c r="E1822" t="s">
        <v>1792</v>
      </c>
    </row>
    <row r="1823" spans="1:5">
      <c r="A1823">
        <f>HYPERLINK("http://www.twitter.com/FDNY/status/756216936577523713", "756216936577523713")</f>
        <v>0</v>
      </c>
      <c r="B1823" s="2">
        <v>42572.832662037</v>
      </c>
      <c r="C1823">
        <v>0</v>
      </c>
      <c r="D1823">
        <v>22</v>
      </c>
      <c r="E1823" t="s">
        <v>1793</v>
      </c>
    </row>
    <row r="1824" spans="1:5">
      <c r="A1824">
        <f>HYPERLINK("http://www.twitter.com/FDNY/status/756175827675537408", "756175827675537408")</f>
        <v>0</v>
      </c>
      <c r="B1824" s="2">
        <v>42572.719224537</v>
      </c>
      <c r="C1824">
        <v>10</v>
      </c>
      <c r="D1824">
        <v>6</v>
      </c>
      <c r="E1824" t="s">
        <v>1794</v>
      </c>
    </row>
    <row r="1825" spans="1:5">
      <c r="A1825">
        <f>HYPERLINK("http://www.twitter.com/FDNY/status/756175166250618880", "756175166250618880")</f>
        <v>0</v>
      </c>
      <c r="B1825" s="2">
        <v>42572.7173958333</v>
      </c>
      <c r="C1825">
        <v>0</v>
      </c>
      <c r="D1825">
        <v>0</v>
      </c>
      <c r="E1825" t="s">
        <v>1795</v>
      </c>
    </row>
    <row r="1826" spans="1:5">
      <c r="A1826">
        <f>HYPERLINK("http://www.twitter.com/FDNY/status/756172764243984388", "756172764243984388")</f>
        <v>0</v>
      </c>
      <c r="B1826" s="2">
        <v>42572.7107638889</v>
      </c>
      <c r="C1826">
        <v>10</v>
      </c>
      <c r="D1826">
        <v>5</v>
      </c>
      <c r="E1826" t="s">
        <v>1796</v>
      </c>
    </row>
    <row r="1827" spans="1:5">
      <c r="A1827">
        <f>HYPERLINK("http://www.twitter.com/FDNY/status/756158266464464896", "756158266464464896")</f>
        <v>0</v>
      </c>
      <c r="B1827" s="2">
        <v>42572.6707638889</v>
      </c>
      <c r="C1827">
        <v>0</v>
      </c>
      <c r="D1827">
        <v>21</v>
      </c>
      <c r="E1827" t="s">
        <v>1797</v>
      </c>
    </row>
    <row r="1828" spans="1:5">
      <c r="A1828">
        <f>HYPERLINK("http://www.twitter.com/FDNY/status/756155679610667008", "756155679610667008")</f>
        <v>0</v>
      </c>
      <c r="B1828" s="2">
        <v>42572.6636226852</v>
      </c>
      <c r="C1828">
        <v>13</v>
      </c>
      <c r="D1828">
        <v>3</v>
      </c>
      <c r="E1828" t="s">
        <v>1798</v>
      </c>
    </row>
    <row r="1829" spans="1:5">
      <c r="A1829">
        <f>HYPERLINK("http://www.twitter.com/FDNY/status/756155272184430592", "756155272184430592")</f>
        <v>0</v>
      </c>
      <c r="B1829" s="2">
        <v>42572.6625</v>
      </c>
      <c r="C1829">
        <v>10</v>
      </c>
      <c r="D1829">
        <v>9</v>
      </c>
      <c r="E1829" t="s">
        <v>1799</v>
      </c>
    </row>
    <row r="1830" spans="1:5">
      <c r="A1830">
        <f>HYPERLINK("http://www.twitter.com/FDNY/status/756126965074161664", "756126965074161664")</f>
        <v>0</v>
      </c>
      <c r="B1830" s="2">
        <v>42572.5843865741</v>
      </c>
      <c r="C1830">
        <v>9</v>
      </c>
      <c r="D1830">
        <v>4</v>
      </c>
      <c r="E1830" t="s">
        <v>1800</v>
      </c>
    </row>
    <row r="1831" spans="1:5">
      <c r="A1831">
        <f>HYPERLINK("http://www.twitter.com/FDNY/status/756123659341819906", "756123659341819906")</f>
        <v>0</v>
      </c>
      <c r="B1831" s="2">
        <v>42572.5752662037</v>
      </c>
      <c r="C1831">
        <v>0</v>
      </c>
      <c r="D1831">
        <v>1</v>
      </c>
      <c r="E1831" t="s">
        <v>1801</v>
      </c>
    </row>
    <row r="1832" spans="1:5">
      <c r="A1832">
        <f>HYPERLINK("http://www.twitter.com/FDNY/status/755914665432084480", "755914665432084480")</f>
        <v>0</v>
      </c>
      <c r="B1832" s="2">
        <v>42571.9985532407</v>
      </c>
      <c r="C1832">
        <v>0</v>
      </c>
      <c r="D1832">
        <v>2</v>
      </c>
      <c r="E1832" t="s">
        <v>1802</v>
      </c>
    </row>
    <row r="1833" spans="1:5">
      <c r="A1833">
        <f>HYPERLINK("http://www.twitter.com/FDNY/status/755897361751310336", "755897361751310336")</f>
        <v>0</v>
      </c>
      <c r="B1833" s="2">
        <v>42571.9507986111</v>
      </c>
      <c r="C1833">
        <v>0</v>
      </c>
      <c r="D1833">
        <v>1</v>
      </c>
      <c r="E1833" t="s">
        <v>1803</v>
      </c>
    </row>
    <row r="1834" spans="1:5">
      <c r="A1834">
        <f>HYPERLINK("http://www.twitter.com/FDNY/status/755883799557308416", "755883799557308416")</f>
        <v>0</v>
      </c>
      <c r="B1834" s="2">
        <v>42571.9133796296</v>
      </c>
      <c r="C1834">
        <v>12</v>
      </c>
      <c r="D1834">
        <v>6</v>
      </c>
      <c r="E1834" t="s">
        <v>1804</v>
      </c>
    </row>
    <row r="1835" spans="1:5">
      <c r="A1835">
        <f>HYPERLINK("http://www.twitter.com/FDNY/status/755861599244673025", "755861599244673025")</f>
        <v>0</v>
      </c>
      <c r="B1835" s="2">
        <v>42571.8521180556</v>
      </c>
      <c r="C1835">
        <v>26</v>
      </c>
      <c r="D1835">
        <v>9</v>
      </c>
      <c r="E1835" t="s">
        <v>1805</v>
      </c>
    </row>
    <row r="1836" spans="1:5">
      <c r="A1836">
        <f>HYPERLINK("http://www.twitter.com/FDNY/status/755858525138653184", "755858525138653184")</f>
        <v>0</v>
      </c>
      <c r="B1836" s="2">
        <v>42571.8436342593</v>
      </c>
      <c r="C1836">
        <v>22</v>
      </c>
      <c r="D1836">
        <v>12</v>
      </c>
      <c r="E1836" t="s">
        <v>1806</v>
      </c>
    </row>
    <row r="1837" spans="1:5">
      <c r="A1837">
        <f>HYPERLINK("http://www.twitter.com/FDNY/status/755834004809678848", "755834004809678848")</f>
        <v>0</v>
      </c>
      <c r="B1837" s="2">
        <v>42571.7759722222</v>
      </c>
      <c r="C1837">
        <v>21</v>
      </c>
      <c r="D1837">
        <v>17</v>
      </c>
      <c r="E1837" t="s">
        <v>1807</v>
      </c>
    </row>
    <row r="1838" spans="1:5">
      <c r="A1838">
        <f>HYPERLINK("http://www.twitter.com/FDNY/status/755808461515005952", "755808461515005952")</f>
        <v>0</v>
      </c>
      <c r="B1838" s="2">
        <v>42571.7054861111</v>
      </c>
      <c r="C1838">
        <v>0</v>
      </c>
      <c r="D1838">
        <v>9</v>
      </c>
      <c r="E1838" t="s">
        <v>1808</v>
      </c>
    </row>
    <row r="1839" spans="1:5">
      <c r="A1839">
        <f>HYPERLINK("http://www.twitter.com/FDNY/status/755808451222237184", "755808451222237184")</f>
        <v>0</v>
      </c>
      <c r="B1839" s="2">
        <v>42571.7054513889</v>
      </c>
      <c r="C1839">
        <v>0</v>
      </c>
      <c r="D1839">
        <v>5</v>
      </c>
      <c r="E1839" t="s">
        <v>1809</v>
      </c>
    </row>
    <row r="1840" spans="1:5">
      <c r="A1840">
        <f>HYPERLINK("http://www.twitter.com/FDNY/status/755808441646641152", "755808441646641152")</f>
        <v>0</v>
      </c>
      <c r="B1840" s="2">
        <v>42571.7054282407</v>
      </c>
      <c r="C1840">
        <v>0</v>
      </c>
      <c r="D1840">
        <v>2</v>
      </c>
      <c r="E1840" t="s">
        <v>1810</v>
      </c>
    </row>
    <row r="1841" spans="1:5">
      <c r="A1841">
        <f>HYPERLINK("http://www.twitter.com/FDNY/status/755792889901375488", "755792889901375488")</f>
        <v>0</v>
      </c>
      <c r="B1841" s="2">
        <v>42571.6625115741</v>
      </c>
      <c r="C1841">
        <v>37</v>
      </c>
      <c r="D1841">
        <v>17</v>
      </c>
      <c r="E1841" t="s">
        <v>1811</v>
      </c>
    </row>
    <row r="1842" spans="1:5">
      <c r="A1842">
        <f>HYPERLINK("http://www.twitter.com/FDNY/status/755787170552672256", "755787170552672256")</f>
        <v>0</v>
      </c>
      <c r="B1842" s="2">
        <v>42571.646724537</v>
      </c>
      <c r="C1842">
        <v>23</v>
      </c>
      <c r="D1842">
        <v>13</v>
      </c>
      <c r="E1842" t="s">
        <v>1812</v>
      </c>
    </row>
    <row r="1843" spans="1:5">
      <c r="A1843">
        <f>HYPERLINK("http://www.twitter.com/FDNY/status/755787072045215744", "755787072045215744")</f>
        <v>0</v>
      </c>
      <c r="B1843" s="2">
        <v>42571.6464583333</v>
      </c>
      <c r="C1843">
        <v>14</v>
      </c>
      <c r="D1843">
        <v>5</v>
      </c>
      <c r="E1843" t="s">
        <v>1813</v>
      </c>
    </row>
    <row r="1844" spans="1:5">
      <c r="A1844">
        <f>HYPERLINK("http://www.twitter.com/FDNY/status/755785756879253508", "755785756879253508")</f>
        <v>0</v>
      </c>
      <c r="B1844" s="2">
        <v>42571.6428240741</v>
      </c>
      <c r="C1844">
        <v>16</v>
      </c>
      <c r="D1844">
        <v>4</v>
      </c>
      <c r="E1844" t="s">
        <v>1814</v>
      </c>
    </row>
    <row r="1845" spans="1:5">
      <c r="A1845">
        <f>HYPERLINK("http://www.twitter.com/FDNY/status/755785579581898752", "755785579581898752")</f>
        <v>0</v>
      </c>
      <c r="B1845" s="2">
        <v>42571.642337963</v>
      </c>
      <c r="C1845">
        <v>23</v>
      </c>
      <c r="D1845">
        <v>7</v>
      </c>
      <c r="E1845" t="s">
        <v>1815</v>
      </c>
    </row>
    <row r="1846" spans="1:5">
      <c r="A1846">
        <f>HYPERLINK("http://www.twitter.com/FDNY/status/755783718065827840", "755783718065827840")</f>
        <v>0</v>
      </c>
      <c r="B1846" s="2">
        <v>42571.6371990741</v>
      </c>
      <c r="C1846">
        <v>33</v>
      </c>
      <c r="D1846">
        <v>14</v>
      </c>
      <c r="E1846" t="s">
        <v>1816</v>
      </c>
    </row>
    <row r="1847" spans="1:5">
      <c r="A1847">
        <f>HYPERLINK("http://www.twitter.com/FDNY/status/755776591221907456", "755776591221907456")</f>
        <v>0</v>
      </c>
      <c r="B1847" s="2">
        <v>42571.6175347222</v>
      </c>
      <c r="C1847">
        <v>68</v>
      </c>
      <c r="D1847">
        <v>20</v>
      </c>
      <c r="E1847" t="s">
        <v>1817</v>
      </c>
    </row>
    <row r="1848" spans="1:5">
      <c r="A1848">
        <f>HYPERLINK("http://www.twitter.com/FDNY/status/755757807408910338", "755757807408910338")</f>
        <v>0</v>
      </c>
      <c r="B1848" s="2">
        <v>42571.5657060185</v>
      </c>
      <c r="C1848">
        <v>30</v>
      </c>
      <c r="D1848">
        <v>20</v>
      </c>
      <c r="E1848" t="s">
        <v>1818</v>
      </c>
    </row>
    <row r="1849" spans="1:5">
      <c r="A1849">
        <f>HYPERLINK("http://www.twitter.com/FDNY/status/755755118285492224", "755755118285492224")</f>
        <v>0</v>
      </c>
      <c r="B1849" s="2">
        <v>42571.558287037</v>
      </c>
      <c r="C1849">
        <v>0</v>
      </c>
      <c r="D1849">
        <v>3</v>
      </c>
      <c r="E1849" t="s">
        <v>1819</v>
      </c>
    </row>
    <row r="1850" spans="1:5">
      <c r="A1850">
        <f>HYPERLINK("http://www.twitter.com/FDNY/status/755753037189316608", "755753037189316608")</f>
        <v>0</v>
      </c>
      <c r="B1850" s="2">
        <v>42571.5525347222</v>
      </c>
      <c r="C1850">
        <v>22</v>
      </c>
      <c r="D1850">
        <v>7</v>
      </c>
      <c r="E1850" t="s">
        <v>1820</v>
      </c>
    </row>
    <row r="1851" spans="1:5">
      <c r="A1851">
        <f>HYPERLINK("http://www.twitter.com/FDNY/status/755568671477657616", "755568671477657616")</f>
        <v>0</v>
      </c>
      <c r="B1851" s="2">
        <v>42571.0437847222</v>
      </c>
      <c r="C1851">
        <v>0</v>
      </c>
      <c r="D1851">
        <v>6</v>
      </c>
      <c r="E1851" t="s">
        <v>1821</v>
      </c>
    </row>
    <row r="1852" spans="1:5">
      <c r="A1852">
        <f>HYPERLINK("http://www.twitter.com/FDNY/status/755498180133920770", "755498180133920770")</f>
        <v>0</v>
      </c>
      <c r="B1852" s="2">
        <v>42570.8492708333</v>
      </c>
      <c r="C1852">
        <v>136</v>
      </c>
      <c r="D1852">
        <v>67</v>
      </c>
      <c r="E1852" t="s">
        <v>1822</v>
      </c>
    </row>
    <row r="1853" spans="1:5">
      <c r="A1853">
        <f>HYPERLINK("http://www.twitter.com/FDNY/status/755497431824031748", "755497431824031748")</f>
        <v>0</v>
      </c>
      <c r="B1853" s="2">
        <v>42570.8471990741</v>
      </c>
      <c r="C1853">
        <v>26</v>
      </c>
      <c r="D1853">
        <v>13</v>
      </c>
      <c r="E1853" t="s">
        <v>1823</v>
      </c>
    </row>
    <row r="1854" spans="1:5">
      <c r="A1854">
        <f>HYPERLINK("http://www.twitter.com/FDNY/status/755492565525331970", "755492565525331970")</f>
        <v>0</v>
      </c>
      <c r="B1854" s="2">
        <v>42570.8337731482</v>
      </c>
      <c r="C1854">
        <v>0</v>
      </c>
      <c r="D1854">
        <v>0</v>
      </c>
      <c r="E1854" t="s">
        <v>1824</v>
      </c>
    </row>
    <row r="1855" spans="1:5">
      <c r="A1855">
        <f>HYPERLINK("http://www.twitter.com/FDNY/status/755472528215343104", "755472528215343104")</f>
        <v>0</v>
      </c>
      <c r="B1855" s="2">
        <v>42570.7784837963</v>
      </c>
      <c r="C1855">
        <v>0</v>
      </c>
      <c r="D1855">
        <v>9</v>
      </c>
      <c r="E1855" t="s">
        <v>1825</v>
      </c>
    </row>
    <row r="1856" spans="1:5">
      <c r="A1856">
        <f>HYPERLINK("http://www.twitter.com/FDNY/status/755457354955718656", "755457354955718656")</f>
        <v>0</v>
      </c>
      <c r="B1856" s="2">
        <v>42570.7366087963</v>
      </c>
      <c r="C1856">
        <v>0</v>
      </c>
      <c r="D1856">
        <v>12</v>
      </c>
      <c r="E1856" t="s">
        <v>1826</v>
      </c>
    </row>
    <row r="1857" spans="1:5">
      <c r="A1857">
        <f>HYPERLINK("http://www.twitter.com/FDNY/status/755456716200894464", "755456716200894464")</f>
        <v>0</v>
      </c>
      <c r="B1857" s="2">
        <v>42570.734849537</v>
      </c>
      <c r="C1857">
        <v>54</v>
      </c>
      <c r="D1857">
        <v>26</v>
      </c>
      <c r="E1857" t="s">
        <v>1827</v>
      </c>
    </row>
    <row r="1858" spans="1:5">
      <c r="A1858">
        <f>HYPERLINK("http://www.twitter.com/FDNY/status/755455916804304896", "755455916804304896")</f>
        <v>0</v>
      </c>
      <c r="B1858" s="2">
        <v>42570.7326388889</v>
      </c>
      <c r="C1858">
        <v>101</v>
      </c>
      <c r="D1858">
        <v>53</v>
      </c>
      <c r="E1858" t="s">
        <v>1828</v>
      </c>
    </row>
    <row r="1859" spans="1:5">
      <c r="A1859">
        <f>HYPERLINK("http://www.twitter.com/FDNY/status/755434183632293890", "755434183632293890")</f>
        <v>0</v>
      </c>
      <c r="B1859" s="2">
        <v>42570.6726736111</v>
      </c>
      <c r="C1859">
        <v>29</v>
      </c>
      <c r="D1859">
        <v>10</v>
      </c>
      <c r="E1859" t="s">
        <v>1829</v>
      </c>
    </row>
    <row r="1860" spans="1:5">
      <c r="A1860">
        <f>HYPERLINK("http://www.twitter.com/FDNY/status/755431393358934016", "755431393358934016")</f>
        <v>0</v>
      </c>
      <c r="B1860" s="2">
        <v>42570.6649768519</v>
      </c>
      <c r="C1860">
        <v>0</v>
      </c>
      <c r="D1860">
        <v>3</v>
      </c>
      <c r="E1860" t="s">
        <v>1830</v>
      </c>
    </row>
    <row r="1861" spans="1:5">
      <c r="A1861">
        <f>HYPERLINK("http://www.twitter.com/FDNY/status/755431375071801345", "755431375071801345")</f>
        <v>0</v>
      </c>
      <c r="B1861" s="2">
        <v>42570.6649189815</v>
      </c>
      <c r="C1861">
        <v>0</v>
      </c>
      <c r="D1861">
        <v>2</v>
      </c>
      <c r="E1861" t="s">
        <v>1831</v>
      </c>
    </row>
    <row r="1862" spans="1:5">
      <c r="A1862">
        <f>HYPERLINK("http://www.twitter.com/FDNY/status/755431346651160576", "755431346651160576")</f>
        <v>0</v>
      </c>
      <c r="B1862" s="2">
        <v>42570.664837963</v>
      </c>
      <c r="C1862">
        <v>0</v>
      </c>
      <c r="D1862">
        <v>3</v>
      </c>
      <c r="E1862" t="s">
        <v>1832</v>
      </c>
    </row>
    <row r="1863" spans="1:5">
      <c r="A1863">
        <f>HYPERLINK("http://www.twitter.com/FDNY/status/755431179633958912", "755431179633958912")</f>
        <v>0</v>
      </c>
      <c r="B1863" s="2">
        <v>42570.6643865741</v>
      </c>
      <c r="C1863">
        <v>0</v>
      </c>
      <c r="D1863">
        <v>8</v>
      </c>
      <c r="E1863" t="s">
        <v>1833</v>
      </c>
    </row>
    <row r="1864" spans="1:5">
      <c r="A1864">
        <f>HYPERLINK("http://www.twitter.com/FDNY/status/755431150735257600", "755431150735257600")</f>
        <v>0</v>
      </c>
      <c r="B1864" s="2">
        <v>42570.6643055556</v>
      </c>
      <c r="C1864">
        <v>0</v>
      </c>
      <c r="D1864">
        <v>1</v>
      </c>
      <c r="E1864" t="s">
        <v>1834</v>
      </c>
    </row>
    <row r="1865" spans="1:5">
      <c r="A1865">
        <f>HYPERLINK("http://www.twitter.com/FDNY/status/755431138915745792", "755431138915745792")</f>
        <v>0</v>
      </c>
      <c r="B1865" s="2">
        <v>42570.6642708333</v>
      </c>
      <c r="C1865">
        <v>0</v>
      </c>
      <c r="D1865">
        <v>1</v>
      </c>
      <c r="E1865" t="s">
        <v>1835</v>
      </c>
    </row>
    <row r="1866" spans="1:5">
      <c r="A1866">
        <f>HYPERLINK("http://www.twitter.com/FDNY/status/755430863152775169", "755430863152775169")</f>
        <v>0</v>
      </c>
      <c r="B1866" s="2">
        <v>42570.6635069444</v>
      </c>
      <c r="C1866">
        <v>38</v>
      </c>
      <c r="D1866">
        <v>15</v>
      </c>
      <c r="E1866" t="s">
        <v>1836</v>
      </c>
    </row>
    <row r="1867" spans="1:5">
      <c r="A1867">
        <f>HYPERLINK("http://www.twitter.com/FDNY/status/755398302489796608", "755398302489796608")</f>
        <v>0</v>
      </c>
      <c r="B1867" s="2">
        <v>42570.5736574074</v>
      </c>
      <c r="C1867">
        <v>22</v>
      </c>
      <c r="D1867">
        <v>7</v>
      </c>
      <c r="E1867" t="s">
        <v>1837</v>
      </c>
    </row>
    <row r="1868" spans="1:5">
      <c r="A1868">
        <f>HYPERLINK("http://www.twitter.com/FDNY/status/755170834898153476", "755170834898153476")</f>
        <v>0</v>
      </c>
      <c r="B1868" s="2">
        <v>42569.9459722222</v>
      </c>
      <c r="C1868">
        <v>25</v>
      </c>
      <c r="D1868">
        <v>14</v>
      </c>
      <c r="E1868" t="s">
        <v>1838</v>
      </c>
    </row>
    <row r="1869" spans="1:5">
      <c r="A1869">
        <f>HYPERLINK("http://www.twitter.com/FDNY/status/755170498791739396", "755170498791739396")</f>
        <v>0</v>
      </c>
      <c r="B1869" s="2">
        <v>42569.9450347222</v>
      </c>
      <c r="C1869">
        <v>0</v>
      </c>
      <c r="D1869">
        <v>2</v>
      </c>
      <c r="E1869" t="s">
        <v>1839</v>
      </c>
    </row>
    <row r="1870" spans="1:5">
      <c r="A1870">
        <f>HYPERLINK("http://www.twitter.com/FDNY/status/755150247438016515", "755150247438016515")</f>
        <v>0</v>
      </c>
      <c r="B1870" s="2">
        <v>42569.8891550926</v>
      </c>
      <c r="C1870">
        <v>15</v>
      </c>
      <c r="D1870">
        <v>3</v>
      </c>
      <c r="E1870" t="s">
        <v>1840</v>
      </c>
    </row>
    <row r="1871" spans="1:5">
      <c r="A1871">
        <f>HYPERLINK("http://www.twitter.com/FDNY/status/755142959142727680", "755142959142727680")</f>
        <v>0</v>
      </c>
      <c r="B1871" s="2">
        <v>42569.8690393519</v>
      </c>
      <c r="C1871">
        <v>36</v>
      </c>
      <c r="D1871">
        <v>11</v>
      </c>
      <c r="E1871" t="s">
        <v>1841</v>
      </c>
    </row>
    <row r="1872" spans="1:5">
      <c r="A1872">
        <f>HYPERLINK("http://www.twitter.com/FDNY/status/755113648306196480", "755113648306196480")</f>
        <v>0</v>
      </c>
      <c r="B1872" s="2">
        <v>42569.7881597222</v>
      </c>
      <c r="C1872">
        <v>31</v>
      </c>
      <c r="D1872">
        <v>24</v>
      </c>
      <c r="E1872" t="s">
        <v>1842</v>
      </c>
    </row>
    <row r="1873" spans="1:5">
      <c r="A1873">
        <f>HYPERLINK("http://www.twitter.com/FDNY/status/755097200108208128", "755097200108208128")</f>
        <v>0</v>
      </c>
      <c r="B1873" s="2">
        <v>42569.7427777778</v>
      </c>
      <c r="C1873">
        <v>0</v>
      </c>
      <c r="D1873">
        <v>5</v>
      </c>
      <c r="E1873" t="s">
        <v>1843</v>
      </c>
    </row>
    <row r="1874" spans="1:5">
      <c r="A1874">
        <f>HYPERLINK("http://www.twitter.com/FDNY/status/755079036263596032", "755079036263596032")</f>
        <v>0</v>
      </c>
      <c r="B1874" s="2">
        <v>42569.692650463</v>
      </c>
      <c r="C1874">
        <v>0</v>
      </c>
      <c r="D1874">
        <v>15</v>
      </c>
      <c r="E1874" t="s">
        <v>1844</v>
      </c>
    </row>
    <row r="1875" spans="1:5">
      <c r="A1875">
        <f>HYPERLINK("http://www.twitter.com/FDNY/status/755071926285004802", "755071926285004802")</f>
        <v>0</v>
      </c>
      <c r="B1875" s="2">
        <v>42569.6730324074</v>
      </c>
      <c r="C1875">
        <v>0</v>
      </c>
      <c r="D1875">
        <v>4</v>
      </c>
      <c r="E1875" t="s">
        <v>1845</v>
      </c>
    </row>
    <row r="1876" spans="1:5">
      <c r="A1876">
        <f>HYPERLINK("http://www.twitter.com/FDNY/status/755068760210436096", "755068760210436096")</f>
        <v>0</v>
      </c>
      <c r="B1876" s="2">
        <v>42569.6642939815</v>
      </c>
      <c r="C1876">
        <v>0</v>
      </c>
      <c r="D1876">
        <v>36</v>
      </c>
      <c r="E1876" t="s">
        <v>1846</v>
      </c>
    </row>
    <row r="1877" spans="1:5">
      <c r="A1877">
        <f>HYPERLINK("http://www.twitter.com/FDNY/status/755062056429162496", "755062056429162496")</f>
        <v>0</v>
      </c>
      <c r="B1877" s="2">
        <v>42569.6457986111</v>
      </c>
      <c r="C1877">
        <v>11</v>
      </c>
      <c r="D1877">
        <v>7</v>
      </c>
      <c r="E1877" t="s">
        <v>1847</v>
      </c>
    </row>
    <row r="1878" spans="1:5">
      <c r="A1878">
        <f>HYPERLINK("http://www.twitter.com/FDNY/status/755052650790518784", "755052650790518784")</f>
        <v>0</v>
      </c>
      <c r="B1878" s="2">
        <v>42569.619837963</v>
      </c>
      <c r="C1878">
        <v>22</v>
      </c>
      <c r="D1878">
        <v>11</v>
      </c>
      <c r="E1878" t="s">
        <v>1848</v>
      </c>
    </row>
    <row r="1879" spans="1:5">
      <c r="A1879">
        <f>HYPERLINK("http://www.twitter.com/FDNY/status/755039513773240321", "755039513773240321")</f>
        <v>0</v>
      </c>
      <c r="B1879" s="2">
        <v>42569.583587963</v>
      </c>
      <c r="C1879">
        <v>22</v>
      </c>
      <c r="D1879">
        <v>9</v>
      </c>
      <c r="E1879" t="s">
        <v>1849</v>
      </c>
    </row>
    <row r="1880" spans="1:5">
      <c r="A1880">
        <f>HYPERLINK("http://www.twitter.com/FDNY/status/754716031491399684", "754716031491399684")</f>
        <v>0</v>
      </c>
      <c r="B1880" s="2">
        <v>42568.6909490741</v>
      </c>
      <c r="C1880">
        <v>0</v>
      </c>
      <c r="D1880">
        <v>39</v>
      </c>
      <c r="E1880" t="s">
        <v>1850</v>
      </c>
    </row>
    <row r="1881" spans="1:5">
      <c r="A1881">
        <f>HYPERLINK("http://www.twitter.com/FDNY/status/754693470657347584", "754693470657347584")</f>
        <v>0</v>
      </c>
      <c r="B1881" s="2">
        <v>42568.6286921296</v>
      </c>
      <c r="C1881">
        <v>24</v>
      </c>
      <c r="D1881">
        <v>10</v>
      </c>
      <c r="E1881" t="s">
        <v>1851</v>
      </c>
    </row>
    <row r="1882" spans="1:5">
      <c r="A1882">
        <f>HYPERLINK("http://www.twitter.com/FDNY/status/754401014212591616", "754401014212591616")</f>
        <v>0</v>
      </c>
      <c r="B1882" s="2">
        <v>42567.8216666667</v>
      </c>
      <c r="C1882">
        <v>0</v>
      </c>
      <c r="D1882">
        <v>2</v>
      </c>
      <c r="E1882" t="s">
        <v>1852</v>
      </c>
    </row>
    <row r="1883" spans="1:5">
      <c r="A1883">
        <f>HYPERLINK("http://www.twitter.com/FDNY/status/754392184481312769", "754392184481312769")</f>
        <v>0</v>
      </c>
      <c r="B1883" s="2">
        <v>42567.7973032407</v>
      </c>
      <c r="C1883">
        <v>27</v>
      </c>
      <c r="D1883">
        <v>8</v>
      </c>
      <c r="E1883" t="s">
        <v>1853</v>
      </c>
    </row>
    <row r="1884" spans="1:5">
      <c r="A1884">
        <f>HYPERLINK("http://www.twitter.com/FDNY/status/754384012395905024", "754384012395905024")</f>
        <v>0</v>
      </c>
      <c r="B1884" s="2">
        <v>42567.7747453704</v>
      </c>
      <c r="C1884">
        <v>0</v>
      </c>
      <c r="D1884">
        <v>9</v>
      </c>
      <c r="E1884" t="s">
        <v>1854</v>
      </c>
    </row>
    <row r="1885" spans="1:5">
      <c r="A1885">
        <f>HYPERLINK("http://www.twitter.com/FDNY/status/754381866803818496", "754381866803818496")</f>
        <v>0</v>
      </c>
      <c r="B1885" s="2">
        <v>42567.7688310185</v>
      </c>
      <c r="C1885">
        <v>17</v>
      </c>
      <c r="D1885">
        <v>10</v>
      </c>
      <c r="E1885" t="s">
        <v>1855</v>
      </c>
    </row>
    <row r="1886" spans="1:5">
      <c r="A1886">
        <f>HYPERLINK("http://www.twitter.com/FDNY/status/754374628982788096", "754374628982788096")</f>
        <v>0</v>
      </c>
      <c r="B1886" s="2">
        <v>42567.7488541667</v>
      </c>
      <c r="C1886">
        <v>15</v>
      </c>
      <c r="D1886">
        <v>7</v>
      </c>
      <c r="E1886" t="s">
        <v>1856</v>
      </c>
    </row>
    <row r="1887" spans="1:5">
      <c r="A1887">
        <f>HYPERLINK("http://www.twitter.com/FDNY/status/754372443532320768", "754372443532320768")</f>
        <v>0</v>
      </c>
      <c r="B1887" s="2">
        <v>42567.7428240741</v>
      </c>
      <c r="C1887">
        <v>26</v>
      </c>
      <c r="D1887">
        <v>13</v>
      </c>
      <c r="E1887" t="s">
        <v>1857</v>
      </c>
    </row>
    <row r="1888" spans="1:5">
      <c r="A1888">
        <f>HYPERLINK("http://www.twitter.com/FDNY/status/754364800168235009", "754364800168235009")</f>
        <v>0</v>
      </c>
      <c r="B1888" s="2">
        <v>42567.7217361111</v>
      </c>
      <c r="C1888">
        <v>0</v>
      </c>
      <c r="D1888">
        <v>5</v>
      </c>
      <c r="E1888" t="s">
        <v>1858</v>
      </c>
    </row>
    <row r="1889" spans="1:5">
      <c r="A1889">
        <f>HYPERLINK("http://www.twitter.com/FDNY/status/754363306853404672", "754363306853404672")</f>
        <v>0</v>
      </c>
      <c r="B1889" s="2">
        <v>42567.7176157407</v>
      </c>
      <c r="C1889">
        <v>31</v>
      </c>
      <c r="D1889">
        <v>11</v>
      </c>
      <c r="E1889" t="s">
        <v>1859</v>
      </c>
    </row>
    <row r="1890" spans="1:5">
      <c r="A1890">
        <f>HYPERLINK("http://www.twitter.com/FDNY/status/754353767714320384", "754353767714320384")</f>
        <v>0</v>
      </c>
      <c r="B1890" s="2">
        <v>42567.6912962963</v>
      </c>
      <c r="C1890">
        <v>13</v>
      </c>
      <c r="D1890">
        <v>6</v>
      </c>
      <c r="E1890" t="s">
        <v>1860</v>
      </c>
    </row>
    <row r="1891" spans="1:5">
      <c r="A1891">
        <f>HYPERLINK("http://www.twitter.com/FDNY/status/754352818493030400", "754352818493030400")</f>
        <v>0</v>
      </c>
      <c r="B1891" s="2">
        <v>42567.6886689815</v>
      </c>
      <c r="C1891">
        <v>0</v>
      </c>
      <c r="D1891">
        <v>5</v>
      </c>
      <c r="E1891" t="s">
        <v>1861</v>
      </c>
    </row>
    <row r="1892" spans="1:5">
      <c r="A1892">
        <f>HYPERLINK("http://www.twitter.com/FDNY/status/754348541968015360", "754348541968015360")</f>
        <v>0</v>
      </c>
      <c r="B1892" s="2">
        <v>42567.676875</v>
      </c>
      <c r="C1892">
        <v>24</v>
      </c>
      <c r="D1892">
        <v>15</v>
      </c>
      <c r="E1892" t="s">
        <v>1862</v>
      </c>
    </row>
    <row r="1893" spans="1:5">
      <c r="A1893">
        <f>HYPERLINK("http://www.twitter.com/FDNY/status/754341087527993344", "754341087527993344")</f>
        <v>0</v>
      </c>
      <c r="B1893" s="2">
        <v>42567.6562962963</v>
      </c>
      <c r="C1893">
        <v>18</v>
      </c>
      <c r="D1893">
        <v>10</v>
      </c>
      <c r="E1893" t="s">
        <v>1863</v>
      </c>
    </row>
    <row r="1894" spans="1:5">
      <c r="A1894">
        <f>HYPERLINK("http://www.twitter.com/FDNY/status/754337408892735488", "754337408892735488")</f>
        <v>0</v>
      </c>
      <c r="B1894" s="2">
        <v>42567.6461458333</v>
      </c>
      <c r="C1894">
        <v>0</v>
      </c>
      <c r="D1894">
        <v>7</v>
      </c>
      <c r="E1894" t="s">
        <v>1864</v>
      </c>
    </row>
    <row r="1895" spans="1:5">
      <c r="A1895">
        <f>HYPERLINK("http://www.twitter.com/FDNY/status/754312217294675968", "754312217294675968")</f>
        <v>0</v>
      </c>
      <c r="B1895" s="2">
        <v>42567.5766319444</v>
      </c>
      <c r="C1895">
        <v>22</v>
      </c>
      <c r="D1895">
        <v>7</v>
      </c>
      <c r="E1895" t="s">
        <v>1865</v>
      </c>
    </row>
    <row r="1896" spans="1:5">
      <c r="A1896">
        <f>HYPERLINK("http://www.twitter.com/FDNY/status/754308392395665408", "754308392395665408")</f>
        <v>0</v>
      </c>
      <c r="B1896" s="2">
        <v>42567.5660763889</v>
      </c>
      <c r="C1896">
        <v>14</v>
      </c>
      <c r="D1896">
        <v>22</v>
      </c>
      <c r="E1896" t="s">
        <v>1866</v>
      </c>
    </row>
    <row r="1897" spans="1:5">
      <c r="A1897">
        <f>HYPERLINK("http://www.twitter.com/FDNY/status/754117686762889216", "754117686762889216")</f>
        <v>0</v>
      </c>
      <c r="B1897" s="2">
        <v>42567.039837963</v>
      </c>
      <c r="C1897">
        <v>0</v>
      </c>
      <c r="D1897">
        <v>6</v>
      </c>
      <c r="E1897" t="s">
        <v>1867</v>
      </c>
    </row>
    <row r="1898" spans="1:5">
      <c r="A1898">
        <f>HYPERLINK("http://www.twitter.com/FDNY/status/754115497860427776", "754115497860427776")</f>
        <v>0</v>
      </c>
      <c r="B1898" s="2">
        <v>42567.0337962963</v>
      </c>
      <c r="C1898">
        <v>36</v>
      </c>
      <c r="D1898">
        <v>10</v>
      </c>
      <c r="E1898" t="s">
        <v>1868</v>
      </c>
    </row>
    <row r="1899" spans="1:5">
      <c r="A1899">
        <f>HYPERLINK("http://www.twitter.com/FDNY/status/754114603190259713", "754114603190259713")</f>
        <v>0</v>
      </c>
      <c r="B1899" s="2">
        <v>42567.0313194444</v>
      </c>
      <c r="C1899">
        <v>0</v>
      </c>
      <c r="D1899">
        <v>7</v>
      </c>
      <c r="E1899" t="s">
        <v>1869</v>
      </c>
    </row>
    <row r="1900" spans="1:5">
      <c r="A1900">
        <f>HYPERLINK("http://www.twitter.com/FDNY/status/754105205294297088", "754105205294297088")</f>
        <v>0</v>
      </c>
      <c r="B1900" s="2">
        <v>42567.0053935185</v>
      </c>
      <c r="C1900">
        <v>0</v>
      </c>
      <c r="D1900">
        <v>2</v>
      </c>
      <c r="E1900" t="s">
        <v>1870</v>
      </c>
    </row>
    <row r="1901" spans="1:5">
      <c r="A1901">
        <f>HYPERLINK("http://www.twitter.com/FDNY/status/754059639529082880", "754059639529082880")</f>
        <v>0</v>
      </c>
      <c r="B1901" s="2">
        <v>42566.8796527778</v>
      </c>
      <c r="C1901">
        <v>0</v>
      </c>
      <c r="D1901">
        <v>0</v>
      </c>
      <c r="E1901" t="s">
        <v>1871</v>
      </c>
    </row>
    <row r="1902" spans="1:5">
      <c r="A1902">
        <f>HYPERLINK("http://www.twitter.com/FDNY/status/754055146842296320", "754055146842296320")</f>
        <v>0</v>
      </c>
      <c r="B1902" s="2">
        <v>42566.8672569444</v>
      </c>
      <c r="C1902">
        <v>57</v>
      </c>
      <c r="D1902">
        <v>22</v>
      </c>
      <c r="E1902" t="s">
        <v>1872</v>
      </c>
    </row>
    <row r="1903" spans="1:5">
      <c r="A1903">
        <f>HYPERLINK("http://www.twitter.com/FDNY/status/754045002301509634", "754045002301509634")</f>
        <v>0</v>
      </c>
      <c r="B1903" s="2">
        <v>42566.8392592593</v>
      </c>
      <c r="C1903">
        <v>0</v>
      </c>
      <c r="D1903">
        <v>0</v>
      </c>
      <c r="E1903" t="s">
        <v>1873</v>
      </c>
    </row>
    <row r="1904" spans="1:5">
      <c r="A1904">
        <f>HYPERLINK("http://www.twitter.com/FDNY/status/754041905990762496", "754041905990762496")</f>
        <v>0</v>
      </c>
      <c r="B1904" s="2">
        <v>42566.8307175926</v>
      </c>
      <c r="C1904">
        <v>0</v>
      </c>
      <c r="D1904">
        <v>8</v>
      </c>
      <c r="E1904" t="s">
        <v>1874</v>
      </c>
    </row>
    <row r="1905" spans="1:5">
      <c r="A1905">
        <f>HYPERLINK("http://www.twitter.com/FDNY/status/754034091222306816", "754034091222306816")</f>
        <v>0</v>
      </c>
      <c r="B1905" s="2">
        <v>42566.8091550926</v>
      </c>
      <c r="C1905">
        <v>31</v>
      </c>
      <c r="D1905">
        <v>11</v>
      </c>
      <c r="E1905" t="s">
        <v>1875</v>
      </c>
    </row>
    <row r="1906" spans="1:5">
      <c r="A1906">
        <f>HYPERLINK("http://www.twitter.com/FDNY/status/754018903043502081", "754018903043502081")</f>
        <v>0</v>
      </c>
      <c r="B1906" s="2">
        <v>42566.7672453704</v>
      </c>
      <c r="C1906">
        <v>45</v>
      </c>
      <c r="D1906">
        <v>20</v>
      </c>
      <c r="E1906" t="s">
        <v>1876</v>
      </c>
    </row>
    <row r="1907" spans="1:5">
      <c r="A1907">
        <f>HYPERLINK("http://www.twitter.com/FDNY/status/753998899967320064", "753998899967320064")</f>
        <v>0</v>
      </c>
      <c r="B1907" s="2">
        <v>42566.7120486111</v>
      </c>
      <c r="C1907">
        <v>15</v>
      </c>
      <c r="D1907">
        <v>8</v>
      </c>
      <c r="E1907" t="s">
        <v>1877</v>
      </c>
    </row>
    <row r="1908" spans="1:5">
      <c r="A1908">
        <f>HYPERLINK("http://www.twitter.com/FDNY/status/753974671817764864", "753974671817764864")</f>
        <v>0</v>
      </c>
      <c r="B1908" s="2">
        <v>42566.6451851852</v>
      </c>
      <c r="C1908">
        <v>11</v>
      </c>
      <c r="D1908">
        <v>18</v>
      </c>
      <c r="E1908" t="s">
        <v>1555</v>
      </c>
    </row>
    <row r="1909" spans="1:5">
      <c r="A1909">
        <f>HYPERLINK("http://www.twitter.com/FDNY/status/753964206995738624", "753964206995738624")</f>
        <v>0</v>
      </c>
      <c r="B1909" s="2">
        <v>42566.6163078704</v>
      </c>
      <c r="C1909">
        <v>0</v>
      </c>
      <c r="D1909">
        <v>11</v>
      </c>
      <c r="E1909" t="s">
        <v>1878</v>
      </c>
    </row>
    <row r="1910" spans="1:5">
      <c r="A1910">
        <f>HYPERLINK("http://www.twitter.com/FDNY/status/753958596833079304", "753958596833079304")</f>
        <v>0</v>
      </c>
      <c r="B1910" s="2">
        <v>42566.6008333333</v>
      </c>
      <c r="C1910">
        <v>13</v>
      </c>
      <c r="D1910">
        <v>15</v>
      </c>
      <c r="E1910" t="s">
        <v>1879</v>
      </c>
    </row>
    <row r="1911" spans="1:5">
      <c r="A1911">
        <f>HYPERLINK("http://www.twitter.com/FDNY/status/753957388441513984", "753957388441513984")</f>
        <v>0</v>
      </c>
      <c r="B1911" s="2">
        <v>42566.5974884259</v>
      </c>
      <c r="C1911">
        <v>0</v>
      </c>
      <c r="D1911">
        <v>36</v>
      </c>
      <c r="E1911" t="s">
        <v>1880</v>
      </c>
    </row>
    <row r="1912" spans="1:5">
      <c r="A1912">
        <f>HYPERLINK("http://www.twitter.com/FDNY/status/753947302394494976", "753947302394494976")</f>
        <v>0</v>
      </c>
      <c r="B1912" s="2">
        <v>42566.5696643519</v>
      </c>
      <c r="C1912">
        <v>12</v>
      </c>
      <c r="D1912">
        <v>16</v>
      </c>
      <c r="E1912" t="s">
        <v>1739</v>
      </c>
    </row>
    <row r="1913" spans="1:5">
      <c r="A1913">
        <f>HYPERLINK("http://www.twitter.com/FDNY/status/753795649775161344", "753795649775161344")</f>
        <v>0</v>
      </c>
      <c r="B1913" s="2">
        <v>42566.1511805556</v>
      </c>
      <c r="C1913">
        <v>0</v>
      </c>
      <c r="D1913">
        <v>2</v>
      </c>
      <c r="E1913" t="s">
        <v>1881</v>
      </c>
    </row>
    <row r="1914" spans="1:5">
      <c r="A1914">
        <f>HYPERLINK("http://www.twitter.com/FDNY/status/753778128263188481", "753778128263188481")</f>
        <v>0</v>
      </c>
      <c r="B1914" s="2">
        <v>42566.1028240741</v>
      </c>
      <c r="C1914">
        <v>66</v>
      </c>
      <c r="D1914">
        <v>19</v>
      </c>
      <c r="E1914" t="s">
        <v>1882</v>
      </c>
    </row>
    <row r="1915" spans="1:5">
      <c r="A1915">
        <f>HYPERLINK("http://www.twitter.com/FDNY/status/753719198128496640", "753719198128496640")</f>
        <v>0</v>
      </c>
      <c r="B1915" s="2">
        <v>42565.9402083333</v>
      </c>
      <c r="C1915">
        <v>0</v>
      </c>
      <c r="D1915">
        <v>6</v>
      </c>
      <c r="E1915" t="s">
        <v>1883</v>
      </c>
    </row>
    <row r="1916" spans="1:5">
      <c r="A1916">
        <f>HYPERLINK("http://www.twitter.com/FDNY/status/753713341781139457", "753713341781139457")</f>
        <v>0</v>
      </c>
      <c r="B1916" s="2">
        <v>42565.9240509259</v>
      </c>
      <c r="C1916">
        <v>0</v>
      </c>
      <c r="D1916">
        <v>3</v>
      </c>
      <c r="E1916" t="s">
        <v>1884</v>
      </c>
    </row>
    <row r="1917" spans="1:5">
      <c r="A1917">
        <f>HYPERLINK("http://www.twitter.com/FDNY/status/753685609278017536", "753685609278017536")</f>
        <v>0</v>
      </c>
      <c r="B1917" s="2">
        <v>42565.8475231481</v>
      </c>
      <c r="C1917">
        <v>10</v>
      </c>
      <c r="D1917">
        <v>7</v>
      </c>
      <c r="E1917" t="s">
        <v>1885</v>
      </c>
    </row>
    <row r="1918" spans="1:5">
      <c r="A1918">
        <f>HYPERLINK("http://www.twitter.com/FDNY/status/753657245485989889", "753657245485989889")</f>
        <v>0</v>
      </c>
      <c r="B1918" s="2">
        <v>42565.7692592593</v>
      </c>
      <c r="C1918">
        <v>0</v>
      </c>
      <c r="D1918">
        <v>4</v>
      </c>
      <c r="E1918" t="s">
        <v>1886</v>
      </c>
    </row>
    <row r="1919" spans="1:5">
      <c r="A1919">
        <f>HYPERLINK("http://www.twitter.com/FDNY/status/753639070023225344", "753639070023225344")</f>
        <v>0</v>
      </c>
      <c r="B1919" s="2">
        <v>42565.7190972222</v>
      </c>
      <c r="C1919">
        <v>21</v>
      </c>
      <c r="D1919">
        <v>10</v>
      </c>
      <c r="E1919" t="s">
        <v>1887</v>
      </c>
    </row>
    <row r="1920" spans="1:5">
      <c r="A1920">
        <f>HYPERLINK("http://www.twitter.com/FDNY/status/753638682985426944", "753638682985426944")</f>
        <v>0</v>
      </c>
      <c r="B1920" s="2">
        <v>42565.7180324074</v>
      </c>
      <c r="C1920">
        <v>37</v>
      </c>
      <c r="D1920">
        <v>16</v>
      </c>
      <c r="E1920" t="s">
        <v>1888</v>
      </c>
    </row>
    <row r="1921" spans="1:5">
      <c r="A1921">
        <f>HYPERLINK("http://www.twitter.com/FDNY/status/753632762553393156", "753632762553393156")</f>
        <v>0</v>
      </c>
      <c r="B1921" s="2">
        <v>42565.7017013889</v>
      </c>
      <c r="C1921">
        <v>26</v>
      </c>
      <c r="D1921">
        <v>19</v>
      </c>
      <c r="E1921" t="s">
        <v>1889</v>
      </c>
    </row>
    <row r="1922" spans="1:5">
      <c r="A1922">
        <f>HYPERLINK("http://www.twitter.com/FDNY/status/753623425692868608", "753623425692868608")</f>
        <v>0</v>
      </c>
      <c r="B1922" s="2">
        <v>42565.6759259259</v>
      </c>
      <c r="C1922">
        <v>13</v>
      </c>
      <c r="D1922">
        <v>11</v>
      </c>
      <c r="E1922" t="s">
        <v>1890</v>
      </c>
    </row>
    <row r="1923" spans="1:5">
      <c r="A1923">
        <f>HYPERLINK("http://www.twitter.com/FDNY/status/753594108162244608", "753594108162244608")</f>
        <v>0</v>
      </c>
      <c r="B1923" s="2">
        <v>42565.5950347222</v>
      </c>
      <c r="C1923">
        <v>0</v>
      </c>
      <c r="D1923">
        <v>3</v>
      </c>
      <c r="E1923" t="s">
        <v>1891</v>
      </c>
    </row>
    <row r="1924" spans="1:5">
      <c r="A1924">
        <f>HYPERLINK("http://www.twitter.com/FDNY/status/753587000222052352", "753587000222052352")</f>
        <v>0</v>
      </c>
      <c r="B1924" s="2">
        <v>42565.5754166667</v>
      </c>
      <c r="C1924">
        <v>47</v>
      </c>
      <c r="D1924">
        <v>20</v>
      </c>
      <c r="E1924" t="s">
        <v>1892</v>
      </c>
    </row>
    <row r="1925" spans="1:5">
      <c r="A1925">
        <f>HYPERLINK("http://www.twitter.com/FDNY/status/753333499436888064", "753333499436888064")</f>
        <v>0</v>
      </c>
      <c r="B1925" s="2">
        <v>42564.8758912037</v>
      </c>
      <c r="C1925">
        <v>0</v>
      </c>
      <c r="D1925">
        <v>2</v>
      </c>
      <c r="E1925" t="s">
        <v>1893</v>
      </c>
    </row>
    <row r="1926" spans="1:5">
      <c r="A1926">
        <f>HYPERLINK("http://www.twitter.com/FDNY/status/753328977184428033", "753328977184428033")</f>
        <v>0</v>
      </c>
      <c r="B1926" s="2">
        <v>42564.8634027778</v>
      </c>
      <c r="C1926">
        <v>5</v>
      </c>
      <c r="D1926">
        <v>3</v>
      </c>
      <c r="E1926" t="s">
        <v>1894</v>
      </c>
    </row>
    <row r="1927" spans="1:5">
      <c r="A1927">
        <f>HYPERLINK("http://www.twitter.com/FDNY/status/753279419289067520", "753279419289067520")</f>
        <v>0</v>
      </c>
      <c r="B1927" s="2">
        <v>42564.7266550926</v>
      </c>
      <c r="C1927">
        <v>0</v>
      </c>
      <c r="D1927">
        <v>3</v>
      </c>
      <c r="E1927" t="s">
        <v>1895</v>
      </c>
    </row>
    <row r="1928" spans="1:5">
      <c r="A1928">
        <f>HYPERLINK("http://www.twitter.com/FDNY/status/753278695448711168", "753278695448711168")</f>
        <v>0</v>
      </c>
      <c r="B1928" s="2">
        <v>42564.7246527778</v>
      </c>
      <c r="C1928">
        <v>0</v>
      </c>
      <c r="D1928">
        <v>3</v>
      </c>
      <c r="E1928" t="s">
        <v>1896</v>
      </c>
    </row>
    <row r="1929" spans="1:5">
      <c r="A1929">
        <f>HYPERLINK("http://www.twitter.com/FDNY/status/753278674296799232", "753278674296799232")</f>
        <v>0</v>
      </c>
      <c r="B1929" s="2">
        <v>42564.7245949074</v>
      </c>
      <c r="C1929">
        <v>0</v>
      </c>
      <c r="D1929">
        <v>2</v>
      </c>
      <c r="E1929" t="s">
        <v>1897</v>
      </c>
    </row>
    <row r="1930" spans="1:5">
      <c r="A1930">
        <f>HYPERLINK("http://www.twitter.com/FDNY/status/753248455158530049", "753248455158530049")</f>
        <v>0</v>
      </c>
      <c r="B1930" s="2">
        <v>42564.6412152778</v>
      </c>
      <c r="C1930">
        <v>0</v>
      </c>
      <c r="D1930">
        <v>2</v>
      </c>
      <c r="E1930" t="s">
        <v>1898</v>
      </c>
    </row>
    <row r="1931" spans="1:5">
      <c r="A1931">
        <f>HYPERLINK("http://www.twitter.com/FDNY/status/753242467676348416", "753242467676348416")</f>
        <v>0</v>
      </c>
      <c r="B1931" s="2">
        <v>42564.6246875</v>
      </c>
      <c r="C1931">
        <v>0</v>
      </c>
      <c r="D1931">
        <v>4</v>
      </c>
      <c r="E1931" t="s">
        <v>1899</v>
      </c>
    </row>
    <row r="1932" spans="1:5">
      <c r="A1932">
        <f>HYPERLINK("http://www.twitter.com/FDNY/status/753238888215408640", "753238888215408640")</f>
        <v>0</v>
      </c>
      <c r="B1932" s="2">
        <v>42564.6148148148</v>
      </c>
      <c r="C1932">
        <v>0</v>
      </c>
      <c r="D1932">
        <v>2</v>
      </c>
      <c r="E1932" t="s">
        <v>1900</v>
      </c>
    </row>
    <row r="1933" spans="1:5">
      <c r="A1933">
        <f>HYPERLINK("http://www.twitter.com/FDNY/status/753235259739766784", "753235259739766784")</f>
        <v>0</v>
      </c>
      <c r="B1933" s="2">
        <v>42564.6048032407</v>
      </c>
      <c r="C1933">
        <v>15</v>
      </c>
      <c r="D1933">
        <v>11</v>
      </c>
      <c r="E1933" t="s">
        <v>1901</v>
      </c>
    </row>
    <row r="1934" spans="1:5">
      <c r="A1934">
        <f>HYPERLINK("http://www.twitter.com/FDNY/status/753003332260667392", "753003332260667392")</f>
        <v>0</v>
      </c>
      <c r="B1934" s="2">
        <v>42563.9648032407</v>
      </c>
      <c r="C1934">
        <v>0</v>
      </c>
      <c r="D1934">
        <v>2</v>
      </c>
      <c r="E1934" t="s">
        <v>1902</v>
      </c>
    </row>
    <row r="1935" spans="1:5">
      <c r="A1935">
        <f>HYPERLINK("http://www.twitter.com/FDNY/status/752988113396523008", "752988113396523008")</f>
        <v>0</v>
      </c>
      <c r="B1935" s="2">
        <v>42563.9228009259</v>
      </c>
      <c r="C1935">
        <v>0</v>
      </c>
      <c r="D1935">
        <v>0</v>
      </c>
      <c r="E1935" t="s">
        <v>1903</v>
      </c>
    </row>
    <row r="1936" spans="1:5">
      <c r="A1936">
        <f>HYPERLINK("http://www.twitter.com/FDNY/status/752922353106055168", "752922353106055168")</f>
        <v>0</v>
      </c>
      <c r="B1936" s="2">
        <v>42563.7413425926</v>
      </c>
      <c r="C1936">
        <v>0</v>
      </c>
      <c r="D1936">
        <v>10</v>
      </c>
      <c r="E1936" t="s">
        <v>1904</v>
      </c>
    </row>
    <row r="1937" spans="1:5">
      <c r="A1937">
        <f>HYPERLINK("http://www.twitter.com/FDNY/status/752921217464725504", "752921217464725504")</f>
        <v>0</v>
      </c>
      <c r="B1937" s="2">
        <v>42563.7382060185</v>
      </c>
      <c r="C1937">
        <v>6</v>
      </c>
      <c r="D1937">
        <v>4</v>
      </c>
      <c r="E1937" t="s">
        <v>1905</v>
      </c>
    </row>
    <row r="1938" spans="1:5">
      <c r="A1938">
        <f>HYPERLINK("http://www.twitter.com/FDNY/status/752920027272212483", "752920027272212483")</f>
        <v>0</v>
      </c>
      <c r="B1938" s="2">
        <v>42563.7349189815</v>
      </c>
      <c r="C1938">
        <v>11</v>
      </c>
      <c r="D1938">
        <v>3</v>
      </c>
      <c r="E1938" t="s">
        <v>1906</v>
      </c>
    </row>
    <row r="1939" spans="1:5">
      <c r="A1939">
        <f>HYPERLINK("http://www.twitter.com/FDNY/status/752919723994705920", "752919723994705920")</f>
        <v>0</v>
      </c>
      <c r="B1939" s="2">
        <v>42563.7340856481</v>
      </c>
      <c r="C1939">
        <v>0</v>
      </c>
      <c r="D1939">
        <v>1</v>
      </c>
      <c r="E1939" t="s">
        <v>1907</v>
      </c>
    </row>
    <row r="1940" spans="1:5">
      <c r="A1940">
        <f>HYPERLINK("http://www.twitter.com/FDNY/status/752905471531552770", "752905471531552770")</f>
        <v>0</v>
      </c>
      <c r="B1940" s="2">
        <v>42563.6947569444</v>
      </c>
      <c r="C1940">
        <v>28</v>
      </c>
      <c r="D1940">
        <v>17</v>
      </c>
      <c r="E1940" t="s">
        <v>1908</v>
      </c>
    </row>
    <row r="1941" spans="1:5">
      <c r="A1941">
        <f>HYPERLINK("http://www.twitter.com/FDNY/status/752548967620153344", "752548967620153344")</f>
        <v>0</v>
      </c>
      <c r="B1941" s="2">
        <v>42562.7109953704</v>
      </c>
      <c r="C1941">
        <v>29</v>
      </c>
      <c r="D1941">
        <v>15</v>
      </c>
      <c r="E1941" t="s">
        <v>1909</v>
      </c>
    </row>
    <row r="1942" spans="1:5">
      <c r="A1942">
        <f>HYPERLINK("http://www.twitter.com/FDNY/status/752538306261422081", "752538306261422081")</f>
        <v>0</v>
      </c>
      <c r="B1942" s="2">
        <v>42562.6815740741</v>
      </c>
      <c r="C1942">
        <v>0</v>
      </c>
      <c r="D1942">
        <v>1</v>
      </c>
      <c r="E1942" t="s">
        <v>1910</v>
      </c>
    </row>
    <row r="1943" spans="1:5">
      <c r="A1943">
        <f>HYPERLINK("http://www.twitter.com/FDNY/status/752535962681536512", "752535962681536512")</f>
        <v>0</v>
      </c>
      <c r="B1943" s="2">
        <v>42562.6751041667</v>
      </c>
      <c r="C1943">
        <v>54</v>
      </c>
      <c r="D1943">
        <v>20</v>
      </c>
      <c r="E1943" t="s">
        <v>1911</v>
      </c>
    </row>
    <row r="1944" spans="1:5">
      <c r="A1944">
        <f>HYPERLINK("http://www.twitter.com/FDNY/status/752530508987396096", "752530508987396096")</f>
        <v>0</v>
      </c>
      <c r="B1944" s="2">
        <v>42562.6600578704</v>
      </c>
      <c r="C1944">
        <v>30</v>
      </c>
      <c r="D1944">
        <v>13</v>
      </c>
      <c r="E1944" t="s">
        <v>1912</v>
      </c>
    </row>
    <row r="1945" spans="1:5">
      <c r="A1945">
        <f>HYPERLINK("http://www.twitter.com/FDNY/status/752505441993777152", "752505441993777152")</f>
        <v>0</v>
      </c>
      <c r="B1945" s="2">
        <v>42562.5908796296</v>
      </c>
      <c r="C1945">
        <v>10</v>
      </c>
      <c r="D1945">
        <v>6</v>
      </c>
      <c r="E1945" t="s">
        <v>1913</v>
      </c>
    </row>
    <row r="1946" spans="1:5">
      <c r="A1946">
        <f>HYPERLINK("http://www.twitter.com/FDNY/status/752483296228077568", "752483296228077568")</f>
        <v>0</v>
      </c>
      <c r="B1946" s="2">
        <v>42562.5297685185</v>
      </c>
      <c r="C1946">
        <v>0</v>
      </c>
      <c r="D1946">
        <v>2</v>
      </c>
      <c r="E1946" t="s">
        <v>1914</v>
      </c>
    </row>
    <row r="1947" spans="1:5">
      <c r="A1947">
        <f>HYPERLINK("http://www.twitter.com/FDNY/status/752220712769875968", "752220712769875968")</f>
        <v>0</v>
      </c>
      <c r="B1947" s="2">
        <v>42561.8051851852</v>
      </c>
      <c r="C1947">
        <v>28</v>
      </c>
      <c r="D1947">
        <v>14</v>
      </c>
      <c r="E1947" t="s">
        <v>1915</v>
      </c>
    </row>
    <row r="1948" spans="1:5">
      <c r="A1948">
        <f>HYPERLINK("http://www.twitter.com/FDNY/status/752218253582270464", "752218253582270464")</f>
        <v>0</v>
      </c>
      <c r="B1948" s="2">
        <v>42561.7983912037</v>
      </c>
      <c r="C1948">
        <v>0</v>
      </c>
      <c r="D1948">
        <v>32</v>
      </c>
      <c r="E1948" t="s">
        <v>1916</v>
      </c>
    </row>
    <row r="1949" spans="1:5">
      <c r="A1949">
        <f>HYPERLINK("http://www.twitter.com/FDNY/status/752218232140992512", "752218232140992512")</f>
        <v>0</v>
      </c>
      <c r="B1949" s="2">
        <v>42561.7983333333</v>
      </c>
      <c r="C1949">
        <v>0</v>
      </c>
      <c r="D1949">
        <v>48</v>
      </c>
      <c r="E1949" t="s">
        <v>1917</v>
      </c>
    </row>
    <row r="1950" spans="1:5">
      <c r="A1950">
        <f>HYPERLINK("http://www.twitter.com/FDNY/status/752216079057944576", "752216079057944576")</f>
        <v>0</v>
      </c>
      <c r="B1950" s="2">
        <v>42561.7923958333</v>
      </c>
      <c r="C1950">
        <v>0</v>
      </c>
      <c r="D1950">
        <v>31</v>
      </c>
      <c r="E1950" t="s">
        <v>1918</v>
      </c>
    </row>
    <row r="1951" spans="1:5">
      <c r="A1951">
        <f>HYPERLINK("http://www.twitter.com/FDNY/status/752174365467348992", "752174365467348992")</f>
        <v>0</v>
      </c>
      <c r="B1951" s="2">
        <v>42561.6772916667</v>
      </c>
      <c r="C1951">
        <v>7</v>
      </c>
      <c r="D1951">
        <v>8</v>
      </c>
      <c r="E1951" t="s">
        <v>1919</v>
      </c>
    </row>
    <row r="1952" spans="1:5">
      <c r="A1952">
        <f>HYPERLINK("http://www.twitter.com/FDNY/status/751934225406889984", "751934225406889984")</f>
        <v>0</v>
      </c>
      <c r="B1952" s="2">
        <v>42561.0146296296</v>
      </c>
      <c r="C1952">
        <v>0</v>
      </c>
      <c r="D1952">
        <v>3</v>
      </c>
      <c r="E1952" t="s">
        <v>1920</v>
      </c>
    </row>
    <row r="1953" spans="1:5">
      <c r="A1953">
        <f>HYPERLINK("http://www.twitter.com/FDNY/status/751890288092778498", "751890288092778498")</f>
        <v>0</v>
      </c>
      <c r="B1953" s="2">
        <v>42560.8933796296</v>
      </c>
      <c r="C1953">
        <v>0</v>
      </c>
      <c r="D1953">
        <v>126</v>
      </c>
      <c r="E1953" t="s">
        <v>1921</v>
      </c>
    </row>
    <row r="1954" spans="1:5">
      <c r="A1954">
        <f>HYPERLINK("http://www.twitter.com/FDNY/status/751849422586318848", "751849422586318848")</f>
        <v>0</v>
      </c>
      <c r="B1954" s="2">
        <v>42560.7806134259</v>
      </c>
      <c r="C1954">
        <v>0</v>
      </c>
      <c r="D1954">
        <v>9</v>
      </c>
      <c r="E1954" t="s">
        <v>1922</v>
      </c>
    </row>
    <row r="1955" spans="1:5">
      <c r="A1955">
        <f>HYPERLINK("http://www.twitter.com/FDNY/status/751843821344923648", "751843821344923648")</f>
        <v>0</v>
      </c>
      <c r="B1955" s="2">
        <v>42560.765162037</v>
      </c>
      <c r="C1955">
        <v>19</v>
      </c>
      <c r="D1955">
        <v>15</v>
      </c>
      <c r="E1955" t="s">
        <v>1923</v>
      </c>
    </row>
    <row r="1956" spans="1:5">
      <c r="A1956">
        <f>HYPERLINK("http://www.twitter.com/FDNY/status/751838008417120256", "751838008417120256")</f>
        <v>0</v>
      </c>
      <c r="B1956" s="2">
        <v>42560.7491203704</v>
      </c>
      <c r="C1956">
        <v>15</v>
      </c>
      <c r="D1956">
        <v>6</v>
      </c>
      <c r="E1956" t="s">
        <v>1924</v>
      </c>
    </row>
    <row r="1957" spans="1:5">
      <c r="A1957">
        <f>HYPERLINK("http://www.twitter.com/FDNY/status/751837184093806592", "751837184093806592")</f>
        <v>0</v>
      </c>
      <c r="B1957" s="2">
        <v>42560.7468402778</v>
      </c>
      <c r="C1957">
        <v>15</v>
      </c>
      <c r="D1957">
        <v>6</v>
      </c>
      <c r="E1957" t="s">
        <v>1925</v>
      </c>
    </row>
    <row r="1958" spans="1:5">
      <c r="A1958">
        <f>HYPERLINK("http://www.twitter.com/FDNY/status/751836837010890753", "751836837010890753")</f>
        <v>0</v>
      </c>
      <c r="B1958" s="2">
        <v>42560.7458912037</v>
      </c>
      <c r="C1958">
        <v>0</v>
      </c>
      <c r="D1958">
        <v>8</v>
      </c>
      <c r="E1958" t="s">
        <v>1926</v>
      </c>
    </row>
    <row r="1959" spans="1:5">
      <c r="A1959">
        <f>HYPERLINK("http://www.twitter.com/FDNY/status/751830534100291588", "751830534100291588")</f>
        <v>0</v>
      </c>
      <c r="B1959" s="2">
        <v>42560.7284953704</v>
      </c>
      <c r="C1959">
        <v>0</v>
      </c>
      <c r="D1959">
        <v>14</v>
      </c>
      <c r="E1959" t="s">
        <v>1927</v>
      </c>
    </row>
    <row r="1960" spans="1:5">
      <c r="A1960">
        <f>HYPERLINK("http://www.twitter.com/FDNY/status/751830519780900865", "751830519780900865")</f>
        <v>0</v>
      </c>
      <c r="B1960" s="2">
        <v>42560.7284490741</v>
      </c>
      <c r="C1960">
        <v>0</v>
      </c>
      <c r="D1960">
        <v>12</v>
      </c>
      <c r="E1960" t="s">
        <v>1928</v>
      </c>
    </row>
    <row r="1961" spans="1:5">
      <c r="A1961">
        <f>HYPERLINK("http://www.twitter.com/FDNY/status/751827366473859072", "751827366473859072")</f>
        <v>0</v>
      </c>
      <c r="B1961" s="2">
        <v>42560.7197569444</v>
      </c>
      <c r="C1961">
        <v>33</v>
      </c>
      <c r="D1961">
        <v>4</v>
      </c>
      <c r="E1961" t="s">
        <v>1929</v>
      </c>
    </row>
    <row r="1962" spans="1:5">
      <c r="A1962">
        <f>HYPERLINK("http://www.twitter.com/FDNY/status/751823721124532224", "751823721124532224")</f>
        <v>0</v>
      </c>
      <c r="B1962" s="2">
        <v>42560.7096875</v>
      </c>
      <c r="C1962">
        <v>19</v>
      </c>
      <c r="D1962">
        <v>7</v>
      </c>
      <c r="E1962" t="s">
        <v>1930</v>
      </c>
    </row>
    <row r="1963" spans="1:5">
      <c r="A1963">
        <f>HYPERLINK("http://www.twitter.com/FDNY/status/751821479227101184", "751821479227101184")</f>
        <v>0</v>
      </c>
      <c r="B1963" s="2">
        <v>42560.7035069444</v>
      </c>
      <c r="C1963">
        <v>32</v>
      </c>
      <c r="D1963">
        <v>8</v>
      </c>
      <c r="E1963" t="s">
        <v>1931</v>
      </c>
    </row>
    <row r="1964" spans="1:5">
      <c r="A1964">
        <f>HYPERLINK("http://www.twitter.com/FDNY/status/751820021928751104", "751820021928751104")</f>
        <v>0</v>
      </c>
      <c r="B1964" s="2">
        <v>42560.6994907407</v>
      </c>
      <c r="C1964">
        <v>33</v>
      </c>
      <c r="D1964">
        <v>5</v>
      </c>
      <c r="E1964" t="s">
        <v>1932</v>
      </c>
    </row>
    <row r="1965" spans="1:5">
      <c r="A1965">
        <f>HYPERLINK("http://www.twitter.com/FDNY/status/751819064981463040", "751819064981463040")</f>
        <v>0</v>
      </c>
      <c r="B1965" s="2">
        <v>42560.6968402778</v>
      </c>
      <c r="C1965">
        <v>22</v>
      </c>
      <c r="D1965">
        <v>6</v>
      </c>
      <c r="E1965" t="s">
        <v>1933</v>
      </c>
    </row>
    <row r="1966" spans="1:5">
      <c r="A1966">
        <f>HYPERLINK("http://www.twitter.com/FDNY/status/751815638461612032", "751815638461612032")</f>
        <v>0</v>
      </c>
      <c r="B1966" s="2">
        <v>42560.6873842593</v>
      </c>
      <c r="C1966">
        <v>16</v>
      </c>
      <c r="D1966">
        <v>7</v>
      </c>
      <c r="E1966" t="s">
        <v>1934</v>
      </c>
    </row>
    <row r="1967" spans="1:5">
      <c r="A1967">
        <f>HYPERLINK("http://www.twitter.com/FDNY/status/751813637468282880", "751813637468282880")</f>
        <v>0</v>
      </c>
      <c r="B1967" s="2">
        <v>42560.6818634259</v>
      </c>
      <c r="C1967">
        <v>46</v>
      </c>
      <c r="D1967">
        <v>16</v>
      </c>
      <c r="E1967" t="s">
        <v>1935</v>
      </c>
    </row>
    <row r="1968" spans="1:5">
      <c r="A1968">
        <f>HYPERLINK("http://www.twitter.com/FDNY/status/751811411542732800", "751811411542732800")</f>
        <v>0</v>
      </c>
      <c r="B1968" s="2">
        <v>42560.6757291667</v>
      </c>
      <c r="C1968">
        <v>0</v>
      </c>
      <c r="D1968">
        <v>10</v>
      </c>
      <c r="E1968" t="s">
        <v>1936</v>
      </c>
    </row>
    <row r="1969" spans="1:5">
      <c r="A1969">
        <f>HYPERLINK("http://www.twitter.com/FDNY/status/751808991622291457", "751808991622291457")</f>
        <v>0</v>
      </c>
      <c r="B1969" s="2">
        <v>42560.6690509259</v>
      </c>
      <c r="C1969">
        <v>59</v>
      </c>
      <c r="D1969">
        <v>19</v>
      </c>
      <c r="E1969" t="s">
        <v>1937</v>
      </c>
    </row>
    <row r="1970" spans="1:5">
      <c r="A1970">
        <f>HYPERLINK("http://www.twitter.com/FDNY/status/751804284807815169", "751804284807815169")</f>
        <v>0</v>
      </c>
      <c r="B1970" s="2">
        <v>42560.6560648148</v>
      </c>
      <c r="C1970">
        <v>29</v>
      </c>
      <c r="D1970">
        <v>10</v>
      </c>
      <c r="E1970" t="s">
        <v>1938</v>
      </c>
    </row>
    <row r="1971" spans="1:5">
      <c r="A1971">
        <f>HYPERLINK("http://www.twitter.com/FDNY/status/751792077541875712", "751792077541875712")</f>
        <v>0</v>
      </c>
      <c r="B1971" s="2">
        <v>42560.6223726852</v>
      </c>
      <c r="C1971">
        <v>6</v>
      </c>
      <c r="D1971">
        <v>5</v>
      </c>
      <c r="E1971" t="s">
        <v>1939</v>
      </c>
    </row>
    <row r="1972" spans="1:5">
      <c r="A1972">
        <f>HYPERLINK("http://www.twitter.com/FDNY/status/751774688297226240", "751774688297226240")</f>
        <v>0</v>
      </c>
      <c r="B1972" s="2">
        <v>42560.5743865741</v>
      </c>
      <c r="C1972">
        <v>0</v>
      </c>
      <c r="D1972">
        <v>4</v>
      </c>
      <c r="E1972" t="s">
        <v>1940</v>
      </c>
    </row>
    <row r="1973" spans="1:5">
      <c r="A1973">
        <f>HYPERLINK("http://www.twitter.com/FDNY/status/751764158757175296", "751764158757175296")</f>
        <v>0</v>
      </c>
      <c r="B1973" s="2">
        <v>42560.5453356481</v>
      </c>
      <c r="C1973">
        <v>45</v>
      </c>
      <c r="D1973">
        <v>24</v>
      </c>
      <c r="E1973" t="s">
        <v>1941</v>
      </c>
    </row>
    <row r="1974" spans="1:5">
      <c r="A1974">
        <f>HYPERLINK("http://www.twitter.com/FDNY/status/751594425143427074", "751594425143427074")</f>
        <v>0</v>
      </c>
      <c r="B1974" s="2">
        <v>42560.0769560185</v>
      </c>
      <c r="C1974">
        <v>35</v>
      </c>
      <c r="D1974">
        <v>11</v>
      </c>
      <c r="E1974" t="s">
        <v>1942</v>
      </c>
    </row>
    <row r="1975" spans="1:5">
      <c r="A1975">
        <f>HYPERLINK("http://www.twitter.com/FDNY/status/751585768930418688", "751585768930418688")</f>
        <v>0</v>
      </c>
      <c r="B1975" s="2">
        <v>42560.0530671296</v>
      </c>
      <c r="C1975">
        <v>29</v>
      </c>
      <c r="D1975">
        <v>14</v>
      </c>
      <c r="E1975" t="s">
        <v>1943</v>
      </c>
    </row>
    <row r="1976" spans="1:5">
      <c r="A1976">
        <f>HYPERLINK("http://www.twitter.com/FDNY/status/751580014609444864", "751580014609444864")</f>
        <v>0</v>
      </c>
      <c r="B1976" s="2">
        <v>42560.0371875</v>
      </c>
      <c r="C1976">
        <v>40</v>
      </c>
      <c r="D1976">
        <v>15</v>
      </c>
      <c r="E1976" t="s">
        <v>1944</v>
      </c>
    </row>
    <row r="1977" spans="1:5">
      <c r="A1977">
        <f>HYPERLINK("http://www.twitter.com/FDNY/status/751578822517153793", "751578822517153793")</f>
        <v>0</v>
      </c>
      <c r="B1977" s="2">
        <v>42560.033900463</v>
      </c>
      <c r="C1977">
        <v>0</v>
      </c>
      <c r="D1977">
        <v>7</v>
      </c>
      <c r="E1977" t="s">
        <v>1945</v>
      </c>
    </row>
    <row r="1978" spans="1:5">
      <c r="A1978">
        <f>HYPERLINK("http://www.twitter.com/FDNY/status/751536820849152000", "751536820849152000")</f>
        <v>0</v>
      </c>
      <c r="B1978" s="2">
        <v>42559.9179976852</v>
      </c>
      <c r="C1978">
        <v>0</v>
      </c>
      <c r="D1978">
        <v>0</v>
      </c>
      <c r="E1978" t="s">
        <v>1946</v>
      </c>
    </row>
    <row r="1979" spans="1:5">
      <c r="A1979">
        <f>HYPERLINK("http://www.twitter.com/FDNY/status/751523819404333057", "751523819404333057")</f>
        <v>0</v>
      </c>
      <c r="B1979" s="2">
        <v>42559.8821180556</v>
      </c>
      <c r="C1979">
        <v>46</v>
      </c>
      <c r="D1979">
        <v>19</v>
      </c>
      <c r="E1979" t="s">
        <v>1947</v>
      </c>
    </row>
    <row r="1980" spans="1:5">
      <c r="A1980">
        <f>HYPERLINK("http://www.twitter.com/FDNY/status/751508721298247681", "751508721298247681")</f>
        <v>0</v>
      </c>
      <c r="B1980" s="2">
        <v>42559.840462963</v>
      </c>
      <c r="C1980">
        <v>7</v>
      </c>
      <c r="D1980">
        <v>9</v>
      </c>
      <c r="E1980" t="s">
        <v>1948</v>
      </c>
    </row>
    <row r="1981" spans="1:5">
      <c r="A1981">
        <f>HYPERLINK("http://www.twitter.com/FDNY/status/751492388690984961", "751492388690984961")</f>
        <v>0</v>
      </c>
      <c r="B1981" s="2">
        <v>42559.7953935185</v>
      </c>
      <c r="C1981">
        <v>24</v>
      </c>
      <c r="D1981">
        <v>10</v>
      </c>
      <c r="E1981" t="s">
        <v>1949</v>
      </c>
    </row>
    <row r="1982" spans="1:5">
      <c r="A1982">
        <f>HYPERLINK("http://www.twitter.com/FDNY/status/751463440326230016", "751463440326230016")</f>
        <v>0</v>
      </c>
      <c r="B1982" s="2">
        <v>42559.7155092593</v>
      </c>
      <c r="C1982">
        <v>10</v>
      </c>
      <c r="D1982">
        <v>11</v>
      </c>
      <c r="E1982" t="s">
        <v>1758</v>
      </c>
    </row>
    <row r="1983" spans="1:5">
      <c r="A1983">
        <f>HYPERLINK("http://www.twitter.com/FDNY/status/751458925938089985", "751458925938089985")</f>
        <v>0</v>
      </c>
      <c r="B1983" s="2">
        <v>42559.7030555556</v>
      </c>
      <c r="C1983">
        <v>0</v>
      </c>
      <c r="D1983">
        <v>2</v>
      </c>
      <c r="E1983" t="s">
        <v>1950</v>
      </c>
    </row>
    <row r="1984" spans="1:5">
      <c r="A1984">
        <f>HYPERLINK("http://www.twitter.com/FDNY/status/751456507854786560", "751456507854786560")</f>
        <v>0</v>
      </c>
      <c r="B1984" s="2">
        <v>42559.6963773148</v>
      </c>
      <c r="C1984">
        <v>0</v>
      </c>
      <c r="D1984">
        <v>4</v>
      </c>
      <c r="E1984" t="s">
        <v>1951</v>
      </c>
    </row>
    <row r="1985" spans="1:5">
      <c r="A1985">
        <f>HYPERLINK("http://www.twitter.com/FDNY/status/751456437461741570", "751456437461741570")</f>
        <v>0</v>
      </c>
      <c r="B1985" s="2">
        <v>42559.6961805556</v>
      </c>
      <c r="C1985">
        <v>0</v>
      </c>
      <c r="D1985">
        <v>4</v>
      </c>
      <c r="E1985" t="s">
        <v>1952</v>
      </c>
    </row>
    <row r="1986" spans="1:5">
      <c r="A1986">
        <f>HYPERLINK("http://www.twitter.com/FDNY/status/751451485548998656", "751451485548998656")</f>
        <v>0</v>
      </c>
      <c r="B1986" s="2">
        <v>42559.6825231481</v>
      </c>
      <c r="C1986">
        <v>0</v>
      </c>
      <c r="D1986">
        <v>7</v>
      </c>
      <c r="E1986" t="s">
        <v>1953</v>
      </c>
    </row>
    <row r="1987" spans="1:5">
      <c r="A1987">
        <f>HYPERLINK("http://www.twitter.com/FDNY/status/751447138832449536", "751447138832449536")</f>
        <v>0</v>
      </c>
      <c r="B1987" s="2">
        <v>42559.6705208333</v>
      </c>
      <c r="C1987">
        <v>8</v>
      </c>
      <c r="D1987">
        <v>6</v>
      </c>
      <c r="E1987" t="s">
        <v>1760</v>
      </c>
    </row>
    <row r="1988" spans="1:5">
      <c r="A1988">
        <f>HYPERLINK("http://www.twitter.com/FDNY/status/751447136106082304", "751447136106082304")</f>
        <v>0</v>
      </c>
      <c r="B1988" s="2">
        <v>42559.6705208333</v>
      </c>
      <c r="C1988">
        <v>40</v>
      </c>
      <c r="D1988">
        <v>18</v>
      </c>
      <c r="E1988" t="s">
        <v>1954</v>
      </c>
    </row>
    <row r="1989" spans="1:5">
      <c r="A1989">
        <f>HYPERLINK("http://www.twitter.com/FDNY/status/751436989187096576", "751436989187096576")</f>
        <v>0</v>
      </c>
      <c r="B1989" s="2">
        <v>42559.6425115741</v>
      </c>
      <c r="C1989">
        <v>11</v>
      </c>
      <c r="D1989">
        <v>9</v>
      </c>
      <c r="E1989" t="s">
        <v>1739</v>
      </c>
    </row>
    <row r="1990" spans="1:5">
      <c r="A1990">
        <f>HYPERLINK("http://www.twitter.com/FDNY/status/751424402592403458", "751424402592403458")</f>
        <v>0</v>
      </c>
      <c r="B1990" s="2">
        <v>42559.6077893519</v>
      </c>
      <c r="C1990">
        <v>7</v>
      </c>
      <c r="D1990">
        <v>3</v>
      </c>
      <c r="E1990" t="s">
        <v>1955</v>
      </c>
    </row>
    <row r="1991" spans="1:5">
      <c r="A1991">
        <f>HYPERLINK("http://www.twitter.com/FDNY/status/751422670084988928", "751422670084988928")</f>
        <v>0</v>
      </c>
      <c r="B1991" s="2">
        <v>42559.6029976852</v>
      </c>
      <c r="C1991">
        <v>0</v>
      </c>
      <c r="D1991">
        <v>0</v>
      </c>
      <c r="E1991" t="s">
        <v>1956</v>
      </c>
    </row>
    <row r="1992" spans="1:5">
      <c r="A1992">
        <f>HYPERLINK("http://www.twitter.com/FDNY/status/751419419188920321", "751419419188920321")</f>
        <v>0</v>
      </c>
      <c r="B1992" s="2">
        <v>42559.5940277778</v>
      </c>
      <c r="C1992">
        <v>7</v>
      </c>
      <c r="D1992">
        <v>16</v>
      </c>
      <c r="E1992" t="s">
        <v>1535</v>
      </c>
    </row>
    <row r="1993" spans="1:5">
      <c r="A1993">
        <f>HYPERLINK("http://www.twitter.com/FDNY/status/751418588486045696", "751418588486045696")</f>
        <v>0</v>
      </c>
      <c r="B1993" s="2">
        <v>42559.5917361111</v>
      </c>
      <c r="C1993">
        <v>0</v>
      </c>
      <c r="D1993">
        <v>4</v>
      </c>
      <c r="E1993" t="s">
        <v>1957</v>
      </c>
    </row>
    <row r="1994" spans="1:5">
      <c r="A1994">
        <f>HYPERLINK("http://www.twitter.com/FDNY/status/751413103410249729", "751413103410249729")</f>
        <v>0</v>
      </c>
      <c r="B1994" s="2">
        <v>42559.5766087963</v>
      </c>
      <c r="C1994">
        <v>10</v>
      </c>
      <c r="D1994">
        <v>6</v>
      </c>
      <c r="E1994" t="s">
        <v>1546</v>
      </c>
    </row>
    <row r="1995" spans="1:5">
      <c r="A1995">
        <f>HYPERLINK("http://www.twitter.com/FDNY/status/751175354358923264", "751175354358923264")</f>
        <v>0</v>
      </c>
      <c r="B1995" s="2">
        <v>42558.9205439815</v>
      </c>
      <c r="C1995">
        <v>21</v>
      </c>
      <c r="D1995">
        <v>12</v>
      </c>
      <c r="E1995" t="s">
        <v>1958</v>
      </c>
    </row>
    <row r="1996" spans="1:5">
      <c r="A1996">
        <f>HYPERLINK("http://www.twitter.com/FDNY/status/751174569529077762", "751174569529077762")</f>
        <v>0</v>
      </c>
      <c r="B1996" s="2">
        <v>42558.9183796296</v>
      </c>
      <c r="C1996">
        <v>0</v>
      </c>
      <c r="D1996">
        <v>3</v>
      </c>
      <c r="E1996" t="s">
        <v>1959</v>
      </c>
    </row>
    <row r="1997" spans="1:5">
      <c r="A1997">
        <f>HYPERLINK("http://www.twitter.com/FDNY/status/751171490431852544", "751171490431852544")</f>
        <v>0</v>
      </c>
      <c r="B1997" s="2">
        <v>42558.9098842593</v>
      </c>
      <c r="C1997">
        <v>15</v>
      </c>
      <c r="D1997">
        <v>11</v>
      </c>
      <c r="E1997" t="s">
        <v>1960</v>
      </c>
    </row>
    <row r="1998" spans="1:5">
      <c r="A1998">
        <f>HYPERLINK("http://www.twitter.com/FDNY/status/751146304282226688", "751146304282226688")</f>
        <v>0</v>
      </c>
      <c r="B1998" s="2">
        <v>42558.8403819444</v>
      </c>
      <c r="C1998">
        <v>17</v>
      </c>
      <c r="D1998">
        <v>10</v>
      </c>
      <c r="E1998" t="s">
        <v>1961</v>
      </c>
    </row>
    <row r="1999" spans="1:5">
      <c r="A1999">
        <f>HYPERLINK("http://www.twitter.com/FDNY/status/751131230079479809", "751131230079479809")</f>
        <v>0</v>
      </c>
      <c r="B1999" s="2">
        <v>42558.7987847222</v>
      </c>
      <c r="C1999">
        <v>16</v>
      </c>
      <c r="D1999">
        <v>9</v>
      </c>
      <c r="E1999" t="s">
        <v>1555</v>
      </c>
    </row>
    <row r="2000" spans="1:5">
      <c r="A2000">
        <f>HYPERLINK("http://www.twitter.com/FDNY/status/751128468293902340", "751128468293902340")</f>
        <v>0</v>
      </c>
      <c r="B2000" s="2">
        <v>42558.7911574074</v>
      </c>
      <c r="C2000">
        <v>0</v>
      </c>
      <c r="D2000">
        <v>7</v>
      </c>
      <c r="E2000" t="s">
        <v>1962</v>
      </c>
    </row>
    <row r="2001" spans="1:5">
      <c r="A2001">
        <f>HYPERLINK("http://www.twitter.com/FDNY/status/751124472426561536", "751124472426561536")</f>
        <v>0</v>
      </c>
      <c r="B2001" s="2">
        <v>42558.7801388889</v>
      </c>
      <c r="C2001">
        <v>0</v>
      </c>
      <c r="D2001">
        <v>8</v>
      </c>
      <c r="E2001" t="s">
        <v>1963</v>
      </c>
    </row>
    <row r="2002" spans="1:5">
      <c r="A2002">
        <f>HYPERLINK("http://www.twitter.com/FDNY/status/751113719451648001", "751113719451648001")</f>
        <v>0</v>
      </c>
      <c r="B2002" s="2">
        <v>42558.750462963</v>
      </c>
      <c r="C2002">
        <v>13</v>
      </c>
      <c r="D2002">
        <v>11</v>
      </c>
      <c r="E2002" t="s">
        <v>1879</v>
      </c>
    </row>
    <row r="2003" spans="1:5">
      <c r="A2003">
        <f>HYPERLINK("http://www.twitter.com/FDNY/status/751106110438907904", "751106110438907904")</f>
        <v>0</v>
      </c>
      <c r="B2003" s="2">
        <v>42558.7294675926</v>
      </c>
      <c r="C2003">
        <v>27</v>
      </c>
      <c r="D2003">
        <v>31</v>
      </c>
      <c r="E2003" t="s">
        <v>1535</v>
      </c>
    </row>
    <row r="2004" spans="1:5">
      <c r="A2004">
        <f>HYPERLINK("http://www.twitter.com/FDNY/status/751101605185982464", "751101605185982464")</f>
        <v>0</v>
      </c>
      <c r="B2004" s="2">
        <v>42558.717037037</v>
      </c>
      <c r="C2004">
        <v>0</v>
      </c>
      <c r="D2004">
        <v>32</v>
      </c>
      <c r="E2004" t="s">
        <v>1964</v>
      </c>
    </row>
    <row r="2005" spans="1:5">
      <c r="A2005">
        <f>HYPERLINK("http://www.twitter.com/FDNY/status/751099752692023297", "751099752692023297")</f>
        <v>0</v>
      </c>
      <c r="B2005" s="2">
        <v>42558.7119212963</v>
      </c>
      <c r="C2005">
        <v>10</v>
      </c>
      <c r="D2005">
        <v>6</v>
      </c>
      <c r="E2005" t="s">
        <v>1965</v>
      </c>
    </row>
    <row r="2006" spans="1:5">
      <c r="A2006">
        <f>HYPERLINK("http://www.twitter.com/FDNY/status/751098845979873281", "751098845979873281")</f>
        <v>0</v>
      </c>
      <c r="B2006" s="2">
        <v>42558.7094212963</v>
      </c>
      <c r="C2006">
        <v>54</v>
      </c>
      <c r="D2006">
        <v>31</v>
      </c>
      <c r="E2006" t="s">
        <v>1966</v>
      </c>
    </row>
    <row r="2007" spans="1:5">
      <c r="A2007">
        <f>HYPERLINK("http://www.twitter.com/FDNY/status/751098691143032832", "751098691143032832")</f>
        <v>0</v>
      </c>
      <c r="B2007" s="2">
        <v>42558.7089930556</v>
      </c>
      <c r="C2007">
        <v>15</v>
      </c>
      <c r="D2007">
        <v>28</v>
      </c>
      <c r="E2007" t="s">
        <v>1967</v>
      </c>
    </row>
    <row r="2008" spans="1:5">
      <c r="A2008">
        <f>HYPERLINK("http://www.twitter.com/FDNY/status/751097299087089664", "751097299087089664")</f>
        <v>0</v>
      </c>
      <c r="B2008" s="2">
        <v>42558.705150463</v>
      </c>
      <c r="C2008">
        <v>0</v>
      </c>
      <c r="D2008">
        <v>30</v>
      </c>
      <c r="E2008" t="s">
        <v>1968</v>
      </c>
    </row>
    <row r="2009" spans="1:5">
      <c r="A2009">
        <f>HYPERLINK("http://www.twitter.com/FDNY/status/751095918980689920", "751095918980689920")</f>
        <v>0</v>
      </c>
      <c r="B2009" s="2">
        <v>42558.7013425926</v>
      </c>
      <c r="C2009">
        <v>13</v>
      </c>
      <c r="D2009">
        <v>4</v>
      </c>
      <c r="E2009" t="s">
        <v>1877</v>
      </c>
    </row>
    <row r="2010" spans="1:5">
      <c r="A2010">
        <f>HYPERLINK("http://www.twitter.com/FDNY/status/751094818345025536", "751094818345025536")</f>
        <v>0</v>
      </c>
      <c r="B2010" s="2">
        <v>42558.6983101852</v>
      </c>
      <c r="C2010">
        <v>14</v>
      </c>
      <c r="D2010">
        <v>9</v>
      </c>
      <c r="E2010" t="s">
        <v>1545</v>
      </c>
    </row>
    <row r="2011" spans="1:5">
      <c r="A2011">
        <f>HYPERLINK("http://www.twitter.com/FDNY/status/751092576774684672", "751092576774684672")</f>
        <v>0</v>
      </c>
      <c r="B2011" s="2">
        <v>42558.6921180556</v>
      </c>
      <c r="C2011">
        <v>0</v>
      </c>
      <c r="D2011">
        <v>12</v>
      </c>
      <c r="E2011" t="s">
        <v>1969</v>
      </c>
    </row>
    <row r="2012" spans="1:5">
      <c r="A2012">
        <f>HYPERLINK("http://www.twitter.com/FDNY/status/751090993731076096", "751090993731076096")</f>
        <v>0</v>
      </c>
      <c r="B2012" s="2">
        <v>42558.6877546296</v>
      </c>
      <c r="C2012">
        <v>10</v>
      </c>
      <c r="D2012">
        <v>9</v>
      </c>
      <c r="E2012" t="s">
        <v>1550</v>
      </c>
    </row>
    <row r="2013" spans="1:5">
      <c r="A2013">
        <f>HYPERLINK("http://www.twitter.com/FDNY/status/751084835163090944", "751084835163090944")</f>
        <v>0</v>
      </c>
      <c r="B2013" s="2">
        <v>42558.6707523148</v>
      </c>
      <c r="C2013">
        <v>0</v>
      </c>
      <c r="D2013">
        <v>54</v>
      </c>
      <c r="E2013" t="s">
        <v>1970</v>
      </c>
    </row>
    <row r="2014" spans="1:5">
      <c r="A2014">
        <f>HYPERLINK("http://www.twitter.com/FDNY/status/751084676274614272", "751084676274614272")</f>
        <v>0</v>
      </c>
      <c r="B2014" s="2">
        <v>42558.6703125</v>
      </c>
      <c r="C2014">
        <v>8</v>
      </c>
      <c r="D2014">
        <v>8</v>
      </c>
      <c r="E2014" t="s">
        <v>1546</v>
      </c>
    </row>
    <row r="2015" spans="1:5">
      <c r="A2015">
        <f>HYPERLINK("http://www.twitter.com/FDNY/status/751077100367544320", "751077100367544320")</f>
        <v>0</v>
      </c>
      <c r="B2015" s="2">
        <v>42558.6494097222</v>
      </c>
      <c r="C2015">
        <v>23</v>
      </c>
      <c r="D2015">
        <v>15</v>
      </c>
      <c r="E2015" t="s">
        <v>1518</v>
      </c>
    </row>
    <row r="2016" spans="1:5">
      <c r="A2016">
        <f>HYPERLINK("http://www.twitter.com/FDNY/status/751076934604427264", "751076934604427264")</f>
        <v>0</v>
      </c>
      <c r="B2016" s="2">
        <v>42558.6489583333</v>
      </c>
      <c r="C2016">
        <v>0</v>
      </c>
      <c r="D2016">
        <v>5</v>
      </c>
      <c r="E2016" t="s">
        <v>1971</v>
      </c>
    </row>
    <row r="2017" spans="1:5">
      <c r="A2017">
        <f>HYPERLINK("http://www.twitter.com/FDNY/status/751076248391151616", "751076248391151616")</f>
        <v>0</v>
      </c>
      <c r="B2017" s="2">
        <v>42558.6470601852</v>
      </c>
      <c r="C2017">
        <v>17</v>
      </c>
      <c r="D2017">
        <v>30</v>
      </c>
      <c r="E2017" t="s">
        <v>1516</v>
      </c>
    </row>
    <row r="2018" spans="1:5">
      <c r="A2018">
        <f>HYPERLINK("http://www.twitter.com/FDNY/status/751068126033379328", "751068126033379328")</f>
        <v>0</v>
      </c>
      <c r="B2018" s="2">
        <v>42558.6246527778</v>
      </c>
      <c r="C2018">
        <v>15</v>
      </c>
      <c r="D2018">
        <v>11</v>
      </c>
      <c r="E2018" t="s">
        <v>1739</v>
      </c>
    </row>
    <row r="2019" spans="1:5">
      <c r="A2019">
        <f>HYPERLINK("http://www.twitter.com/FDNY/status/751064414779039746", "751064414779039746")</f>
        <v>0</v>
      </c>
      <c r="B2019" s="2">
        <v>42558.6144097222</v>
      </c>
      <c r="C2019">
        <v>0</v>
      </c>
      <c r="D2019">
        <v>5</v>
      </c>
      <c r="E2019" t="s">
        <v>1972</v>
      </c>
    </row>
    <row r="2020" spans="1:5">
      <c r="A2020">
        <f>HYPERLINK("http://www.twitter.com/FDNY/status/751064354330648576", "751064354330648576")</f>
        <v>0</v>
      </c>
      <c r="B2020" s="2">
        <v>42558.6142361111</v>
      </c>
      <c r="C2020">
        <v>0</v>
      </c>
      <c r="D2020">
        <v>4</v>
      </c>
      <c r="E2020" t="s">
        <v>1973</v>
      </c>
    </row>
    <row r="2021" spans="1:5">
      <c r="A2021">
        <f>HYPERLINK("http://www.twitter.com/FDNY/status/751063054364864512", "751063054364864512")</f>
        <v>0</v>
      </c>
      <c r="B2021" s="2">
        <v>42558.6106481481</v>
      </c>
      <c r="C2021">
        <v>0</v>
      </c>
      <c r="D2021">
        <v>45</v>
      </c>
      <c r="E2021" t="s">
        <v>1974</v>
      </c>
    </row>
    <row r="2022" spans="1:5">
      <c r="A2022">
        <f>HYPERLINK("http://www.twitter.com/FDNY/status/751062882683588608", "751062882683588608")</f>
        <v>0</v>
      </c>
      <c r="B2022" s="2">
        <v>42558.6101736111</v>
      </c>
      <c r="C2022">
        <v>0</v>
      </c>
      <c r="D2022">
        <v>9</v>
      </c>
      <c r="E2022" t="s">
        <v>1975</v>
      </c>
    </row>
    <row r="2023" spans="1:5">
      <c r="A2023">
        <f>HYPERLINK("http://www.twitter.com/FDNY/status/751062861187805185", "751062861187805185")</f>
        <v>0</v>
      </c>
      <c r="B2023" s="2">
        <v>42558.6101157407</v>
      </c>
      <c r="C2023">
        <v>0</v>
      </c>
      <c r="D2023">
        <v>24</v>
      </c>
      <c r="E2023" t="s">
        <v>1976</v>
      </c>
    </row>
    <row r="2024" spans="1:5">
      <c r="A2024">
        <f>HYPERLINK("http://www.twitter.com/FDNY/status/751048200744759296", "751048200744759296")</f>
        <v>0</v>
      </c>
      <c r="B2024" s="2">
        <v>42558.5696643519</v>
      </c>
      <c r="C2024">
        <v>20</v>
      </c>
      <c r="D2024">
        <v>9</v>
      </c>
      <c r="E2024" t="s">
        <v>1977</v>
      </c>
    </row>
    <row r="2025" spans="1:5">
      <c r="A2025">
        <f>HYPERLINK("http://www.twitter.com/FDNY/status/750811361307951105", "750811361307951105")</f>
        <v>0</v>
      </c>
      <c r="B2025" s="2">
        <v>42557.9161111111</v>
      </c>
      <c r="C2025">
        <v>0</v>
      </c>
      <c r="D2025">
        <v>26</v>
      </c>
      <c r="E2025" t="s">
        <v>1978</v>
      </c>
    </row>
    <row r="2026" spans="1:5">
      <c r="A2026">
        <f>HYPERLINK("http://www.twitter.com/FDNY/status/750782720914186240", "750782720914186240")</f>
        <v>0</v>
      </c>
      <c r="B2026" s="2">
        <v>42557.8370833333</v>
      </c>
      <c r="C2026">
        <v>17</v>
      </c>
      <c r="D2026">
        <v>15</v>
      </c>
      <c r="E2026" t="s">
        <v>939</v>
      </c>
    </row>
    <row r="2027" spans="1:5">
      <c r="A2027">
        <f>HYPERLINK("http://www.twitter.com/FDNY/status/750732439849426944", "750732439849426944")</f>
        <v>0</v>
      </c>
      <c r="B2027" s="2">
        <v>42557.6983333333</v>
      </c>
      <c r="C2027">
        <v>14</v>
      </c>
      <c r="D2027">
        <v>10</v>
      </c>
      <c r="E2027" t="s">
        <v>1979</v>
      </c>
    </row>
    <row r="2028" spans="1:5">
      <c r="A2028">
        <f>HYPERLINK("http://www.twitter.com/FDNY/status/750426784521396224", "750426784521396224")</f>
        <v>0</v>
      </c>
      <c r="B2028" s="2">
        <v>42556.8548842593</v>
      </c>
      <c r="C2028">
        <v>29</v>
      </c>
      <c r="D2028">
        <v>32</v>
      </c>
      <c r="E2028" t="s">
        <v>1980</v>
      </c>
    </row>
    <row r="2029" spans="1:5">
      <c r="A2029">
        <f>HYPERLINK("http://www.twitter.com/FDNY/status/750346114868576256", "750346114868576256")</f>
        <v>0</v>
      </c>
      <c r="B2029" s="2">
        <v>42556.6322800926</v>
      </c>
      <c r="C2029">
        <v>17</v>
      </c>
      <c r="D2029">
        <v>10</v>
      </c>
      <c r="E2029" t="s">
        <v>1981</v>
      </c>
    </row>
    <row r="2030" spans="1:5">
      <c r="A2030">
        <f>HYPERLINK("http://www.twitter.com/FDNY/status/750142198797176832", "750142198797176832")</f>
        <v>0</v>
      </c>
      <c r="B2030" s="2">
        <v>42556.0695717593</v>
      </c>
      <c r="C2030">
        <v>23</v>
      </c>
      <c r="D2030">
        <v>10</v>
      </c>
      <c r="E2030" t="s">
        <v>1982</v>
      </c>
    </row>
    <row r="2031" spans="1:5">
      <c r="A2031">
        <f>HYPERLINK("http://www.twitter.com/FDNY/status/750126696318271488", "750126696318271488")</f>
        <v>0</v>
      </c>
      <c r="B2031" s="2">
        <v>42556.0267939815</v>
      </c>
      <c r="C2031">
        <v>0</v>
      </c>
      <c r="D2031">
        <v>3</v>
      </c>
      <c r="E2031" t="s">
        <v>1983</v>
      </c>
    </row>
    <row r="2032" spans="1:5">
      <c r="A2032">
        <f>HYPERLINK("http://www.twitter.com/FDNY/status/750126590076608512", "750126590076608512")</f>
        <v>0</v>
      </c>
      <c r="B2032" s="2">
        <v>42556.0265046296</v>
      </c>
      <c r="C2032">
        <v>0</v>
      </c>
      <c r="D2032">
        <v>13</v>
      </c>
      <c r="E2032" t="s">
        <v>1984</v>
      </c>
    </row>
    <row r="2033" spans="1:5">
      <c r="A2033">
        <f>HYPERLINK("http://www.twitter.com/FDNY/status/750126575144828928", "750126575144828928")</f>
        <v>0</v>
      </c>
      <c r="B2033" s="2">
        <v>42556.0264583333</v>
      </c>
      <c r="C2033">
        <v>0</v>
      </c>
      <c r="D2033">
        <v>46</v>
      </c>
      <c r="E2033" t="s">
        <v>1985</v>
      </c>
    </row>
    <row r="2034" spans="1:5">
      <c r="A2034">
        <f>HYPERLINK("http://www.twitter.com/FDNY/status/750113295378571266", "750113295378571266")</f>
        <v>0</v>
      </c>
      <c r="B2034" s="2">
        <v>42555.9898148148</v>
      </c>
      <c r="C2034">
        <v>26</v>
      </c>
      <c r="D2034">
        <v>17</v>
      </c>
      <c r="E2034" t="s">
        <v>1986</v>
      </c>
    </row>
    <row r="2035" spans="1:5">
      <c r="A2035">
        <f>HYPERLINK("http://www.twitter.com/FDNY/status/749966791540142084", "749966791540142084")</f>
        <v>0</v>
      </c>
      <c r="B2035" s="2">
        <v>42555.5855439815</v>
      </c>
      <c r="C2035">
        <v>77</v>
      </c>
      <c r="D2035">
        <v>30</v>
      </c>
      <c r="E2035" t="s">
        <v>1987</v>
      </c>
    </row>
    <row r="2036" spans="1:5">
      <c r="A2036">
        <f>HYPERLINK("http://www.twitter.com/FDNY/status/749748340875747329", "749748340875747329")</f>
        <v>0</v>
      </c>
      <c r="B2036" s="2">
        <v>42554.9827314815</v>
      </c>
      <c r="C2036">
        <v>47</v>
      </c>
      <c r="D2036">
        <v>33</v>
      </c>
      <c r="E2036" t="s">
        <v>1988</v>
      </c>
    </row>
    <row r="2037" spans="1:5">
      <c r="A2037">
        <f>HYPERLINK("http://www.twitter.com/FDNY/status/749745828789616640", "749745828789616640")</f>
        <v>0</v>
      </c>
      <c r="B2037" s="2">
        <v>42554.9757986111</v>
      </c>
      <c r="C2037">
        <v>45</v>
      </c>
      <c r="D2037">
        <v>28</v>
      </c>
      <c r="E2037" t="s">
        <v>1989</v>
      </c>
    </row>
    <row r="2038" spans="1:5">
      <c r="A2038">
        <f>HYPERLINK("http://www.twitter.com/FDNY/status/749640152465698816", "749640152465698816")</f>
        <v>0</v>
      </c>
      <c r="B2038" s="2">
        <v>42554.6841898148</v>
      </c>
      <c r="C2038">
        <v>32</v>
      </c>
      <c r="D2038">
        <v>38</v>
      </c>
      <c r="E2038" t="s">
        <v>1990</v>
      </c>
    </row>
    <row r="2039" spans="1:5">
      <c r="A2039">
        <f>HYPERLINK("http://www.twitter.com/FDNY/status/749413631905898503", "749413631905898503")</f>
        <v>0</v>
      </c>
      <c r="B2039" s="2">
        <v>42554.0591087963</v>
      </c>
      <c r="C2039">
        <v>28</v>
      </c>
      <c r="D2039">
        <v>28</v>
      </c>
      <c r="E2039" t="s">
        <v>1988</v>
      </c>
    </row>
    <row r="2040" spans="1:5">
      <c r="A2040">
        <f>HYPERLINK("http://www.twitter.com/FDNY/status/749321839202238464", "749321839202238464")</f>
        <v>0</v>
      </c>
      <c r="B2040" s="2">
        <v>42553.8058101852</v>
      </c>
      <c r="C2040">
        <v>20</v>
      </c>
      <c r="D2040">
        <v>20</v>
      </c>
      <c r="E2040" t="s">
        <v>1991</v>
      </c>
    </row>
    <row r="2041" spans="1:5">
      <c r="A2041">
        <f>HYPERLINK("http://www.twitter.com/FDNY/status/749245108772634624", "749245108772634624")</f>
        <v>0</v>
      </c>
      <c r="B2041" s="2">
        <v>42553.5940740741</v>
      </c>
      <c r="C2041">
        <v>58</v>
      </c>
      <c r="D2041">
        <v>40</v>
      </c>
      <c r="E2041" t="s">
        <v>1992</v>
      </c>
    </row>
    <row r="2042" spans="1:5">
      <c r="A2042">
        <f>HYPERLINK("http://www.twitter.com/FDNY/status/749063779112091648", "749063779112091648")</f>
        <v>0</v>
      </c>
      <c r="B2042" s="2">
        <v>42553.0937037037</v>
      </c>
      <c r="C2042">
        <v>0</v>
      </c>
      <c r="D2042">
        <v>3</v>
      </c>
      <c r="E2042" t="s">
        <v>1993</v>
      </c>
    </row>
    <row r="2043" spans="1:5">
      <c r="A2043">
        <f>HYPERLINK("http://www.twitter.com/FDNY/status/749060733149777920", "749060733149777920")</f>
        <v>0</v>
      </c>
      <c r="B2043" s="2">
        <v>42553.0853009259</v>
      </c>
      <c r="C2043">
        <v>29</v>
      </c>
      <c r="D2043">
        <v>20</v>
      </c>
      <c r="E2043" t="s">
        <v>1994</v>
      </c>
    </row>
    <row r="2044" spans="1:5">
      <c r="A2044">
        <f>HYPERLINK("http://www.twitter.com/FDNY/status/749040726642745344", "749040726642745344")</f>
        <v>0</v>
      </c>
      <c r="B2044" s="2">
        <v>42553.0300925926</v>
      </c>
      <c r="C2044">
        <v>0</v>
      </c>
      <c r="D2044">
        <v>8</v>
      </c>
      <c r="E2044" t="s">
        <v>1995</v>
      </c>
    </row>
    <row r="2045" spans="1:5">
      <c r="A2045">
        <f>HYPERLINK("http://www.twitter.com/FDNY/status/749039217364393989", "749039217364393989")</f>
        <v>0</v>
      </c>
      <c r="B2045" s="2">
        <v>42553.0259259259</v>
      </c>
      <c r="C2045">
        <v>0</v>
      </c>
      <c r="D2045">
        <v>10</v>
      </c>
      <c r="E2045" t="s">
        <v>1996</v>
      </c>
    </row>
    <row r="2046" spans="1:5">
      <c r="A2046">
        <f>HYPERLINK("http://www.twitter.com/FDNY/status/749033955656134656", "749033955656134656")</f>
        <v>0</v>
      </c>
      <c r="B2046" s="2">
        <v>42553.011412037</v>
      </c>
      <c r="C2046">
        <v>57</v>
      </c>
      <c r="D2046">
        <v>23</v>
      </c>
      <c r="E2046" t="s">
        <v>1997</v>
      </c>
    </row>
    <row r="2047" spans="1:5">
      <c r="A2047">
        <f>HYPERLINK("http://www.twitter.com/FDNY/status/749032259840315393", "749032259840315393")</f>
        <v>0</v>
      </c>
      <c r="B2047" s="2">
        <v>42553.006724537</v>
      </c>
      <c r="C2047">
        <v>0</v>
      </c>
      <c r="D2047">
        <v>3</v>
      </c>
      <c r="E2047" t="s">
        <v>1998</v>
      </c>
    </row>
    <row r="2048" spans="1:5">
      <c r="A2048">
        <f>HYPERLINK("http://www.twitter.com/FDNY/status/749027122975563776", "749027122975563776")</f>
        <v>0</v>
      </c>
      <c r="B2048" s="2">
        <v>42552.9925578704</v>
      </c>
      <c r="C2048">
        <v>61</v>
      </c>
      <c r="D2048">
        <v>20</v>
      </c>
      <c r="E2048" t="s">
        <v>1999</v>
      </c>
    </row>
    <row r="2049" spans="1:5">
      <c r="A2049">
        <f>HYPERLINK("http://www.twitter.com/FDNY/status/749025965544734724", "749025965544734724")</f>
        <v>0</v>
      </c>
      <c r="B2049" s="2">
        <v>42552.9893634259</v>
      </c>
      <c r="C2049">
        <v>0</v>
      </c>
      <c r="D2049">
        <v>2</v>
      </c>
      <c r="E2049" t="s">
        <v>2000</v>
      </c>
    </row>
    <row r="2050" spans="1:5">
      <c r="A2050">
        <f>HYPERLINK("http://www.twitter.com/FDNY/status/749025922758635520", "749025922758635520")</f>
        <v>0</v>
      </c>
      <c r="B2050" s="2">
        <v>42552.9892361111</v>
      </c>
      <c r="C2050">
        <v>0</v>
      </c>
      <c r="D2050">
        <v>2</v>
      </c>
      <c r="E2050" t="s">
        <v>2001</v>
      </c>
    </row>
    <row r="2051" spans="1:5">
      <c r="A2051">
        <f>HYPERLINK("http://www.twitter.com/FDNY/status/748973968586145792", "748973968586145792")</f>
        <v>0</v>
      </c>
      <c r="B2051" s="2">
        <v>42552.8458796296</v>
      </c>
      <c r="C2051">
        <v>0</v>
      </c>
      <c r="D2051">
        <v>99</v>
      </c>
      <c r="E2051" t="s">
        <v>2002</v>
      </c>
    </row>
    <row r="2052" spans="1:5">
      <c r="A2052">
        <f>HYPERLINK("http://www.twitter.com/FDNY/status/748969989139554304", "748969989139554304")</f>
        <v>0</v>
      </c>
      <c r="B2052" s="2">
        <v>42552.8348958333</v>
      </c>
      <c r="C2052">
        <v>50</v>
      </c>
      <c r="D2052">
        <v>37</v>
      </c>
      <c r="E2052" t="s">
        <v>2003</v>
      </c>
    </row>
    <row r="2053" spans="1:5">
      <c r="A2053">
        <f>HYPERLINK("http://www.twitter.com/FDNY/status/748957091986018304", "748957091986018304")</f>
        <v>0</v>
      </c>
      <c r="B2053" s="2">
        <v>42552.7993055556</v>
      </c>
      <c r="C2053">
        <v>42</v>
      </c>
      <c r="D2053">
        <v>17</v>
      </c>
      <c r="E2053" t="s">
        <v>2004</v>
      </c>
    </row>
    <row r="2054" spans="1:5">
      <c r="A2054">
        <f>HYPERLINK("http://www.twitter.com/FDNY/status/748919825477623809", "748919825477623809")</f>
        <v>0</v>
      </c>
      <c r="B2054" s="2">
        <v>42552.6964699074</v>
      </c>
      <c r="C2054">
        <v>26</v>
      </c>
      <c r="D2054">
        <v>17</v>
      </c>
      <c r="E2054" t="s">
        <v>2005</v>
      </c>
    </row>
    <row r="2055" spans="1:5">
      <c r="A2055">
        <f>HYPERLINK("http://www.twitter.com/FDNY/status/748898558510768136", "748898558510768136")</f>
        <v>0</v>
      </c>
      <c r="B2055" s="2">
        <v>42552.6377777778</v>
      </c>
      <c r="C2055">
        <v>70</v>
      </c>
      <c r="D2055">
        <v>20</v>
      </c>
      <c r="E2055" t="s">
        <v>2006</v>
      </c>
    </row>
    <row r="2056" spans="1:5">
      <c r="A2056">
        <f>HYPERLINK("http://www.twitter.com/FDNY/status/748888846776041473", "748888846776041473")</f>
        <v>0</v>
      </c>
      <c r="B2056" s="2">
        <v>42552.6109837963</v>
      </c>
      <c r="C2056">
        <v>0</v>
      </c>
      <c r="D2056">
        <v>28</v>
      </c>
      <c r="E2056" t="s">
        <v>2007</v>
      </c>
    </row>
    <row r="2057" spans="1:5">
      <c r="A2057">
        <f>HYPERLINK("http://www.twitter.com/FDNY/status/748881482224168960", "748881482224168960")</f>
        <v>0</v>
      </c>
      <c r="B2057" s="2">
        <v>42552.5906597222</v>
      </c>
      <c r="C2057">
        <v>35</v>
      </c>
      <c r="D2057">
        <v>18</v>
      </c>
      <c r="E2057" t="s">
        <v>2008</v>
      </c>
    </row>
    <row r="2058" spans="1:5">
      <c r="A2058">
        <f>HYPERLINK("http://www.twitter.com/FDNY/status/748868141883723776", "748868141883723776")</f>
        <v>0</v>
      </c>
      <c r="B2058" s="2">
        <v>42552.5538425926</v>
      </c>
      <c r="C2058">
        <v>0</v>
      </c>
      <c r="D2058">
        <v>6</v>
      </c>
      <c r="E2058" t="s">
        <v>2009</v>
      </c>
    </row>
    <row r="2059" spans="1:5">
      <c r="A2059">
        <f>HYPERLINK("http://www.twitter.com/FDNY/status/748866435976486912", "748866435976486912")</f>
        <v>0</v>
      </c>
      <c r="B2059" s="2">
        <v>42552.5491435185</v>
      </c>
      <c r="C2059">
        <v>0</v>
      </c>
      <c r="D2059">
        <v>7</v>
      </c>
      <c r="E2059" t="s">
        <v>2010</v>
      </c>
    </row>
    <row r="2060" spans="1:5">
      <c r="A2060">
        <f>HYPERLINK("http://www.twitter.com/FDNY/status/748689974204194816", "748689974204194816")</f>
        <v>0</v>
      </c>
      <c r="B2060" s="2">
        <v>42552.0621990741</v>
      </c>
      <c r="C2060">
        <v>0</v>
      </c>
      <c r="D2060">
        <v>3</v>
      </c>
      <c r="E2060" t="s">
        <v>2011</v>
      </c>
    </row>
    <row r="2061" spans="1:5">
      <c r="A2061">
        <f>HYPERLINK("http://www.twitter.com/FDNY/status/748658652853198848", "748658652853198848")</f>
        <v>0</v>
      </c>
      <c r="B2061" s="2">
        <v>42551.9757638889</v>
      </c>
      <c r="C2061">
        <v>0</v>
      </c>
      <c r="D2061">
        <v>1</v>
      </c>
      <c r="E2061" t="s">
        <v>2012</v>
      </c>
    </row>
    <row r="2062" spans="1:5">
      <c r="A2062">
        <f>HYPERLINK("http://www.twitter.com/FDNY/status/748654902000353281", "748654902000353281")</f>
        <v>0</v>
      </c>
      <c r="B2062" s="2">
        <v>42551.9654166667</v>
      </c>
      <c r="C2062">
        <v>23</v>
      </c>
      <c r="D2062">
        <v>12</v>
      </c>
      <c r="E2062" t="s">
        <v>2013</v>
      </c>
    </row>
    <row r="2063" spans="1:5">
      <c r="A2063">
        <f>HYPERLINK("http://www.twitter.com/FDNY/status/748645690604138496", "748645690604138496")</f>
        <v>0</v>
      </c>
      <c r="B2063" s="2">
        <v>42551.94</v>
      </c>
      <c r="C2063">
        <v>0</v>
      </c>
      <c r="D2063">
        <v>14</v>
      </c>
      <c r="E2063" t="s">
        <v>2014</v>
      </c>
    </row>
    <row r="2064" spans="1:5">
      <c r="A2064">
        <f>HYPERLINK("http://www.twitter.com/FDNY/status/748645362232098817", "748645362232098817")</f>
        <v>0</v>
      </c>
      <c r="B2064" s="2">
        <v>42551.9390972222</v>
      </c>
      <c r="C2064">
        <v>0</v>
      </c>
      <c r="D2064">
        <v>12</v>
      </c>
      <c r="E2064" t="s">
        <v>2015</v>
      </c>
    </row>
    <row r="2065" spans="1:5">
      <c r="A2065">
        <f>HYPERLINK("http://www.twitter.com/FDNY/status/748644023930343426", "748644023930343426")</f>
        <v>0</v>
      </c>
      <c r="B2065" s="2">
        <v>42551.9354050926</v>
      </c>
      <c r="C2065">
        <v>0</v>
      </c>
      <c r="D2065">
        <v>2</v>
      </c>
      <c r="E2065" t="s">
        <v>2016</v>
      </c>
    </row>
    <row r="2066" spans="1:5">
      <c r="A2066">
        <f>HYPERLINK("http://www.twitter.com/FDNY/status/748635077416992772", "748635077416992772")</f>
        <v>0</v>
      </c>
      <c r="B2066" s="2">
        <v>42551.9107175926</v>
      </c>
      <c r="C2066">
        <v>24</v>
      </c>
      <c r="D2066">
        <v>12</v>
      </c>
      <c r="E2066" t="s">
        <v>2017</v>
      </c>
    </row>
    <row r="2067" spans="1:5">
      <c r="A2067">
        <f>HYPERLINK("http://www.twitter.com/FDNY/status/748612365923524608", "748612365923524608")</f>
        <v>0</v>
      </c>
      <c r="B2067" s="2">
        <v>42551.8480439815</v>
      </c>
      <c r="C2067">
        <v>0</v>
      </c>
      <c r="D2067">
        <v>8</v>
      </c>
      <c r="E2067" t="s">
        <v>2018</v>
      </c>
    </row>
    <row r="2068" spans="1:5">
      <c r="A2068">
        <f>HYPERLINK("http://www.twitter.com/FDNY/status/748588104739598336", "748588104739598336")</f>
        <v>0</v>
      </c>
      <c r="B2068" s="2">
        <v>42551.781087963</v>
      </c>
      <c r="C2068">
        <v>0</v>
      </c>
      <c r="D2068">
        <v>2</v>
      </c>
      <c r="E2068" t="s">
        <v>2019</v>
      </c>
    </row>
    <row r="2069" spans="1:5">
      <c r="A2069">
        <f>HYPERLINK("http://www.twitter.com/FDNY/status/748588090869059584", "748588090869059584")</f>
        <v>0</v>
      </c>
      <c r="B2069" s="2">
        <v>42551.7810532407</v>
      </c>
      <c r="C2069">
        <v>0</v>
      </c>
      <c r="D2069">
        <v>5</v>
      </c>
      <c r="E2069" t="s">
        <v>2020</v>
      </c>
    </row>
    <row r="2070" spans="1:5">
      <c r="A2070">
        <f>HYPERLINK("http://www.twitter.com/FDNY/status/748588078432944129", "748588078432944129")</f>
        <v>0</v>
      </c>
      <c r="B2070" s="2">
        <v>42551.7810185185</v>
      </c>
      <c r="C2070">
        <v>0</v>
      </c>
      <c r="D2070">
        <v>8</v>
      </c>
      <c r="E2070" t="s">
        <v>2021</v>
      </c>
    </row>
    <row r="2071" spans="1:5">
      <c r="A2071">
        <f>HYPERLINK("http://www.twitter.com/FDNY/status/748556970823671809", "748556970823671809")</f>
        <v>0</v>
      </c>
      <c r="B2071" s="2">
        <v>42551.6951851852</v>
      </c>
      <c r="C2071">
        <v>0</v>
      </c>
      <c r="D2071">
        <v>5</v>
      </c>
      <c r="E2071" t="s">
        <v>2022</v>
      </c>
    </row>
    <row r="2072" spans="1:5">
      <c r="A2072">
        <f>HYPERLINK("http://www.twitter.com/FDNY/status/748556914880020480", "748556914880020480")</f>
        <v>0</v>
      </c>
      <c r="B2072" s="2">
        <v>42551.6950231481</v>
      </c>
      <c r="C2072">
        <v>0</v>
      </c>
      <c r="D2072">
        <v>4</v>
      </c>
      <c r="E2072" t="s">
        <v>2023</v>
      </c>
    </row>
    <row r="2073" spans="1:5">
      <c r="A2073">
        <f>HYPERLINK("http://www.twitter.com/FDNY/status/748556552399880192", "748556552399880192")</f>
        <v>0</v>
      </c>
      <c r="B2073" s="2">
        <v>42551.6940277778</v>
      </c>
      <c r="C2073">
        <v>34</v>
      </c>
      <c r="D2073">
        <v>14</v>
      </c>
      <c r="E2073" t="s">
        <v>2024</v>
      </c>
    </row>
    <row r="2074" spans="1:5">
      <c r="A2074">
        <f>HYPERLINK("http://www.twitter.com/FDNY/status/748555903260049408", "748555903260049408")</f>
        <v>0</v>
      </c>
      <c r="B2074" s="2">
        <v>42551.6922337963</v>
      </c>
      <c r="C2074">
        <v>0</v>
      </c>
      <c r="D2074">
        <v>7</v>
      </c>
      <c r="E2074" t="s">
        <v>2025</v>
      </c>
    </row>
    <row r="2075" spans="1:5">
      <c r="A2075">
        <f>HYPERLINK("http://www.twitter.com/FDNY/status/748555859630956544", "748555859630956544")</f>
        <v>0</v>
      </c>
      <c r="B2075" s="2">
        <v>42551.6921180556</v>
      </c>
      <c r="C2075">
        <v>0</v>
      </c>
      <c r="D2075">
        <v>7</v>
      </c>
      <c r="E2075" t="s">
        <v>2026</v>
      </c>
    </row>
    <row r="2076" spans="1:5">
      <c r="A2076">
        <f>HYPERLINK("http://www.twitter.com/FDNY/status/748555839892557824", "748555839892557824")</f>
        <v>0</v>
      </c>
      <c r="B2076" s="2">
        <v>42551.6920601852</v>
      </c>
      <c r="C2076">
        <v>0</v>
      </c>
      <c r="D2076">
        <v>11</v>
      </c>
      <c r="E2076" t="s">
        <v>2027</v>
      </c>
    </row>
    <row r="2077" spans="1:5">
      <c r="A2077">
        <f>HYPERLINK("http://www.twitter.com/FDNY/status/748555818853892096", "748555818853892096")</f>
        <v>0</v>
      </c>
      <c r="B2077" s="2">
        <v>42551.6920023148</v>
      </c>
      <c r="C2077">
        <v>0</v>
      </c>
      <c r="D2077">
        <v>7</v>
      </c>
      <c r="E2077" t="s">
        <v>2028</v>
      </c>
    </row>
    <row r="2078" spans="1:5">
      <c r="A2078">
        <f>HYPERLINK("http://www.twitter.com/FDNY/status/748555643292884992", "748555643292884992")</f>
        <v>0</v>
      </c>
      <c r="B2078" s="2">
        <v>42551.6915162037</v>
      </c>
      <c r="C2078">
        <v>0</v>
      </c>
      <c r="D2078">
        <v>7</v>
      </c>
      <c r="E2078" t="s">
        <v>2029</v>
      </c>
    </row>
    <row r="2079" spans="1:5">
      <c r="A2079">
        <f>HYPERLINK("http://www.twitter.com/FDNY/status/748553588591497216", "748553588591497216")</f>
        <v>0</v>
      </c>
      <c r="B2079" s="2">
        <v>42551.6858449074</v>
      </c>
      <c r="C2079">
        <v>0</v>
      </c>
      <c r="D2079">
        <v>7</v>
      </c>
      <c r="E2079" t="s">
        <v>2030</v>
      </c>
    </row>
    <row r="2080" spans="1:5">
      <c r="A2080">
        <f>HYPERLINK("http://www.twitter.com/FDNY/status/748539874677039104", "748539874677039104")</f>
        <v>0</v>
      </c>
      <c r="B2080" s="2">
        <v>42551.6479976852</v>
      </c>
      <c r="C2080">
        <v>0</v>
      </c>
      <c r="D2080">
        <v>23</v>
      </c>
      <c r="E2080" t="s">
        <v>2031</v>
      </c>
    </row>
    <row r="2081" spans="1:5">
      <c r="A2081">
        <f>HYPERLINK("http://www.twitter.com/FDNY/status/748524090194026497", "748524090194026497")</f>
        <v>0</v>
      </c>
      <c r="B2081" s="2">
        <v>42551.6044444444</v>
      </c>
      <c r="C2081">
        <v>101</v>
      </c>
      <c r="D2081">
        <v>34</v>
      </c>
      <c r="E2081" t="s">
        <v>2032</v>
      </c>
    </row>
    <row r="2082" spans="1:5">
      <c r="A2082">
        <f>HYPERLINK("http://www.twitter.com/FDNY/status/748519236021161984", "748519236021161984")</f>
        <v>0</v>
      </c>
      <c r="B2082" s="2">
        <v>42551.5910532407</v>
      </c>
      <c r="C2082">
        <v>0</v>
      </c>
      <c r="D2082">
        <v>4</v>
      </c>
      <c r="E2082" t="s">
        <v>2033</v>
      </c>
    </row>
    <row r="2083" spans="1:5">
      <c r="A2083">
        <f>HYPERLINK("http://www.twitter.com/FDNY/status/748519185848868864", "748519185848868864")</f>
        <v>0</v>
      </c>
      <c r="B2083" s="2">
        <v>42551.5909143519</v>
      </c>
      <c r="C2083">
        <v>0</v>
      </c>
      <c r="D2083">
        <v>4</v>
      </c>
      <c r="E2083" t="s">
        <v>2034</v>
      </c>
    </row>
    <row r="2084" spans="1:5">
      <c r="A2084">
        <f>HYPERLINK("http://www.twitter.com/FDNY/status/748514066684125184", "748514066684125184")</f>
        <v>0</v>
      </c>
      <c r="B2084" s="2">
        <v>42551.5767824074</v>
      </c>
      <c r="C2084">
        <v>26</v>
      </c>
      <c r="D2084">
        <v>5</v>
      </c>
      <c r="E2084" t="s">
        <v>2035</v>
      </c>
    </row>
    <row r="2085" spans="1:5">
      <c r="A2085">
        <f>HYPERLINK("http://www.twitter.com/FDNY/status/748290346241691653", "748290346241691653")</f>
        <v>0</v>
      </c>
      <c r="B2085" s="2">
        <v>42550.9594328704</v>
      </c>
      <c r="C2085">
        <v>0</v>
      </c>
      <c r="D2085">
        <v>9</v>
      </c>
      <c r="E2085" t="s">
        <v>2036</v>
      </c>
    </row>
    <row r="2086" spans="1:5">
      <c r="A2086">
        <f>HYPERLINK("http://www.twitter.com/FDNY/status/748289699568033794", "748289699568033794")</f>
        <v>0</v>
      </c>
      <c r="B2086" s="2">
        <v>42550.957650463</v>
      </c>
      <c r="C2086">
        <v>0</v>
      </c>
      <c r="D2086">
        <v>1</v>
      </c>
      <c r="E2086" t="s">
        <v>2037</v>
      </c>
    </row>
    <row r="2087" spans="1:5">
      <c r="A2087">
        <f>HYPERLINK("http://www.twitter.com/FDNY/status/748289413118070785", "748289413118070785")</f>
        <v>0</v>
      </c>
      <c r="B2087" s="2">
        <v>42550.9568634259</v>
      </c>
      <c r="C2087">
        <v>0</v>
      </c>
      <c r="D2087">
        <v>3</v>
      </c>
      <c r="E2087" t="s">
        <v>2038</v>
      </c>
    </row>
    <row r="2088" spans="1:5">
      <c r="A2088">
        <f>HYPERLINK("http://www.twitter.com/FDNY/status/748247677192835073", "748247677192835073")</f>
        <v>0</v>
      </c>
      <c r="B2088" s="2">
        <v>42550.8416898148</v>
      </c>
      <c r="C2088">
        <v>21</v>
      </c>
      <c r="D2088">
        <v>19</v>
      </c>
      <c r="E2088" t="s">
        <v>2039</v>
      </c>
    </row>
    <row r="2089" spans="1:5">
      <c r="A2089">
        <f>HYPERLINK("http://www.twitter.com/FDNY/status/748208594194137088", "748208594194137088")</f>
        <v>0</v>
      </c>
      <c r="B2089" s="2">
        <v>42550.7338425926</v>
      </c>
      <c r="C2089">
        <v>44</v>
      </c>
      <c r="D2089">
        <v>20</v>
      </c>
      <c r="E2089" t="s">
        <v>2040</v>
      </c>
    </row>
    <row r="2090" spans="1:5">
      <c r="A2090">
        <f>HYPERLINK("http://www.twitter.com/FDNY/status/748206406747234304", "748206406747234304")</f>
        <v>0</v>
      </c>
      <c r="B2090" s="2">
        <v>42550.7278125</v>
      </c>
      <c r="C2090">
        <v>6</v>
      </c>
      <c r="D2090">
        <v>4</v>
      </c>
      <c r="E2090" t="s">
        <v>2041</v>
      </c>
    </row>
    <row r="2091" spans="1:5">
      <c r="A2091">
        <f>HYPERLINK("http://www.twitter.com/FDNY/status/748203949174493185", "748203949174493185")</f>
        <v>0</v>
      </c>
      <c r="B2091" s="2">
        <v>42550.7210300926</v>
      </c>
      <c r="C2091">
        <v>6</v>
      </c>
      <c r="D2091">
        <v>6</v>
      </c>
      <c r="E2091" t="s">
        <v>2042</v>
      </c>
    </row>
    <row r="2092" spans="1:5">
      <c r="A2092">
        <f>HYPERLINK("http://www.twitter.com/FDNY/status/748199694204080128", "748199694204080128")</f>
        <v>0</v>
      </c>
      <c r="B2092" s="2">
        <v>42550.7092824074</v>
      </c>
      <c r="C2092">
        <v>69</v>
      </c>
      <c r="D2092">
        <v>22</v>
      </c>
      <c r="E2092" t="s">
        <v>2043</v>
      </c>
    </row>
    <row r="2093" spans="1:5">
      <c r="A2093">
        <f>HYPERLINK("http://www.twitter.com/FDNY/status/748179343453618176", "748179343453618176")</f>
        <v>0</v>
      </c>
      <c r="B2093" s="2">
        <v>42550.653125</v>
      </c>
      <c r="C2093">
        <v>0</v>
      </c>
      <c r="D2093">
        <v>4</v>
      </c>
      <c r="E2093" t="s">
        <v>2044</v>
      </c>
    </row>
    <row r="2094" spans="1:5">
      <c r="A2094">
        <f>HYPERLINK("http://www.twitter.com/FDNY/status/747992890429804548", "747992890429804548")</f>
        <v>0</v>
      </c>
      <c r="B2094" s="2">
        <v>42550.1386111111</v>
      </c>
      <c r="C2094">
        <v>0</v>
      </c>
      <c r="D2094">
        <v>2</v>
      </c>
      <c r="E2094" t="s">
        <v>2045</v>
      </c>
    </row>
    <row r="2095" spans="1:5">
      <c r="A2095">
        <f>HYPERLINK("http://www.twitter.com/FDNY/status/747955024425254912", "747955024425254912")</f>
        <v>0</v>
      </c>
      <c r="B2095" s="2">
        <v>42550.0341203704</v>
      </c>
      <c r="C2095">
        <v>0</v>
      </c>
      <c r="D2095">
        <v>11</v>
      </c>
      <c r="E2095" t="s">
        <v>2046</v>
      </c>
    </row>
    <row r="2096" spans="1:5">
      <c r="A2096">
        <f>HYPERLINK("http://www.twitter.com/FDNY/status/747948543776817152", "747948543776817152")</f>
        <v>0</v>
      </c>
      <c r="B2096" s="2">
        <v>42550.0162384259</v>
      </c>
      <c r="C2096">
        <v>0</v>
      </c>
      <c r="D2096">
        <v>5</v>
      </c>
      <c r="E2096" t="s">
        <v>2047</v>
      </c>
    </row>
    <row r="2097" spans="1:5">
      <c r="A2097">
        <f>HYPERLINK("http://www.twitter.com/FDNY/status/747933744753971200", "747933744753971200")</f>
        <v>0</v>
      </c>
      <c r="B2097" s="2">
        <v>42549.9754050926</v>
      </c>
      <c r="C2097">
        <v>0</v>
      </c>
      <c r="D2097">
        <v>1</v>
      </c>
      <c r="E2097" t="s">
        <v>2048</v>
      </c>
    </row>
    <row r="2098" spans="1:5">
      <c r="A2098">
        <f>HYPERLINK("http://www.twitter.com/FDNY/status/747926514428153856", "747926514428153856")</f>
        <v>0</v>
      </c>
      <c r="B2098" s="2">
        <v>42549.9554513889</v>
      </c>
      <c r="C2098">
        <v>0</v>
      </c>
      <c r="D2098">
        <v>4</v>
      </c>
      <c r="E2098" t="s">
        <v>2049</v>
      </c>
    </row>
    <row r="2099" spans="1:5">
      <c r="A2099">
        <f>HYPERLINK("http://www.twitter.com/FDNY/status/747923370122027008", "747923370122027008")</f>
        <v>0</v>
      </c>
      <c r="B2099" s="2">
        <v>42549.9467708333</v>
      </c>
      <c r="C2099">
        <v>0</v>
      </c>
      <c r="D2099">
        <v>2</v>
      </c>
      <c r="E2099" t="s">
        <v>2050</v>
      </c>
    </row>
    <row r="2100" spans="1:5">
      <c r="A2100">
        <f>HYPERLINK("http://www.twitter.com/FDNY/status/747919464923017216", "747919464923017216")</f>
        <v>0</v>
      </c>
      <c r="B2100" s="2">
        <v>42549.9359953704</v>
      </c>
      <c r="C2100">
        <v>0</v>
      </c>
      <c r="D2100">
        <v>2</v>
      </c>
      <c r="E2100" t="s">
        <v>2051</v>
      </c>
    </row>
    <row r="2101" spans="1:5">
      <c r="A2101">
        <f>HYPERLINK("http://www.twitter.com/FDNY/status/747918388844965888", "747918388844965888")</f>
        <v>0</v>
      </c>
      <c r="B2101" s="2">
        <v>42549.9330324074</v>
      </c>
      <c r="C2101">
        <v>0</v>
      </c>
      <c r="D2101">
        <v>2</v>
      </c>
      <c r="E2101" t="s">
        <v>2052</v>
      </c>
    </row>
    <row r="2102" spans="1:5">
      <c r="A2102">
        <f>HYPERLINK("http://www.twitter.com/FDNY/status/747918362710269952", "747918362710269952")</f>
        <v>0</v>
      </c>
      <c r="B2102" s="2">
        <v>42549.9329513889</v>
      </c>
      <c r="C2102">
        <v>0</v>
      </c>
      <c r="D2102">
        <v>4</v>
      </c>
      <c r="E2102" t="s">
        <v>2053</v>
      </c>
    </row>
    <row r="2103" spans="1:5">
      <c r="A2103">
        <f>HYPERLINK("http://www.twitter.com/FDNY/status/747918339062829056", "747918339062829056")</f>
        <v>0</v>
      </c>
      <c r="B2103" s="2">
        <v>42549.9328935185</v>
      </c>
      <c r="C2103">
        <v>0</v>
      </c>
      <c r="D2103">
        <v>2</v>
      </c>
      <c r="E2103" t="s">
        <v>2054</v>
      </c>
    </row>
    <row r="2104" spans="1:5">
      <c r="A2104">
        <f>HYPERLINK("http://www.twitter.com/FDNY/status/747918305701281792", "747918305701281792")</f>
        <v>0</v>
      </c>
      <c r="B2104" s="2">
        <v>42549.9328009259</v>
      </c>
      <c r="C2104">
        <v>0</v>
      </c>
      <c r="D2104">
        <v>8</v>
      </c>
      <c r="E2104" t="s">
        <v>2055</v>
      </c>
    </row>
    <row r="2105" spans="1:5">
      <c r="A2105">
        <f>HYPERLINK("http://www.twitter.com/FDNY/status/747918280770334720", "747918280770334720")</f>
        <v>0</v>
      </c>
      <c r="B2105" s="2">
        <v>42549.9327314815</v>
      </c>
      <c r="C2105">
        <v>0</v>
      </c>
      <c r="D2105">
        <v>6</v>
      </c>
      <c r="E2105" t="s">
        <v>2056</v>
      </c>
    </row>
    <row r="2106" spans="1:5">
      <c r="A2106">
        <f>HYPERLINK("http://www.twitter.com/FDNY/status/747900766732558336", "747900766732558336")</f>
        <v>0</v>
      </c>
      <c r="B2106" s="2">
        <v>42549.8843981481</v>
      </c>
      <c r="C2106">
        <v>34</v>
      </c>
      <c r="D2106">
        <v>14</v>
      </c>
      <c r="E2106" t="s">
        <v>2057</v>
      </c>
    </row>
    <row r="2107" spans="1:5">
      <c r="A2107">
        <f>HYPERLINK("http://www.twitter.com/FDNY/status/747620564680978432", "747620564680978432")</f>
        <v>0</v>
      </c>
      <c r="B2107" s="2">
        <v>42549.1111921296</v>
      </c>
      <c r="C2107">
        <v>0</v>
      </c>
      <c r="D2107">
        <v>5</v>
      </c>
      <c r="E2107" t="s">
        <v>2058</v>
      </c>
    </row>
    <row r="2108" spans="1:5">
      <c r="A2108">
        <f>HYPERLINK("http://www.twitter.com/FDNY/status/747620558465024000", "747620558465024000")</f>
        <v>0</v>
      </c>
      <c r="B2108" s="2">
        <v>42549.1111689815</v>
      </c>
      <c r="C2108">
        <v>0</v>
      </c>
      <c r="D2108">
        <v>6</v>
      </c>
      <c r="E2108" t="s">
        <v>2059</v>
      </c>
    </row>
    <row r="2109" spans="1:5">
      <c r="A2109">
        <f>HYPERLINK("http://www.twitter.com/FDNY/status/747563723531952128", "747563723531952128")</f>
        <v>0</v>
      </c>
      <c r="B2109" s="2">
        <v>42548.9543402778</v>
      </c>
      <c r="C2109">
        <v>0</v>
      </c>
      <c r="D2109">
        <v>9</v>
      </c>
      <c r="E2109" t="s">
        <v>2060</v>
      </c>
    </row>
    <row r="2110" spans="1:5">
      <c r="A2110">
        <f>HYPERLINK("http://www.twitter.com/FDNY/status/747548426678697984", "747548426678697984")</f>
        <v>0</v>
      </c>
      <c r="B2110" s="2">
        <v>42548.9121296296</v>
      </c>
      <c r="C2110">
        <v>0</v>
      </c>
      <c r="D2110">
        <v>4</v>
      </c>
      <c r="E2110" t="s">
        <v>2061</v>
      </c>
    </row>
    <row r="2111" spans="1:5">
      <c r="A2111">
        <f>HYPERLINK("http://www.twitter.com/FDNY/status/747478833729769472", "747478833729769472")</f>
        <v>0</v>
      </c>
      <c r="B2111" s="2">
        <v>42548.7200925926</v>
      </c>
      <c r="C2111">
        <v>0</v>
      </c>
      <c r="D2111">
        <v>2</v>
      </c>
      <c r="E2111" t="s">
        <v>2062</v>
      </c>
    </row>
    <row r="2112" spans="1:5">
      <c r="A2112">
        <f>HYPERLINK("http://www.twitter.com/FDNY/status/747476647331434496", "747476647331434496")</f>
        <v>0</v>
      </c>
      <c r="B2112" s="2">
        <v>42548.7140509259</v>
      </c>
      <c r="C2112">
        <v>0</v>
      </c>
      <c r="D2112">
        <v>6</v>
      </c>
      <c r="E2112" t="s">
        <v>2063</v>
      </c>
    </row>
    <row r="2113" spans="1:5">
      <c r="A2113">
        <f>HYPERLINK("http://www.twitter.com/FDNY/status/747468085645447168", "747468085645447168")</f>
        <v>0</v>
      </c>
      <c r="B2113" s="2">
        <v>42548.6904282407</v>
      </c>
      <c r="C2113">
        <v>0</v>
      </c>
      <c r="D2113">
        <v>4</v>
      </c>
      <c r="E2113" t="s">
        <v>2064</v>
      </c>
    </row>
    <row r="2114" spans="1:5">
      <c r="A2114">
        <f>HYPERLINK("http://www.twitter.com/FDNY/status/747468016951111680", "747468016951111680")</f>
        <v>0</v>
      </c>
      <c r="B2114" s="2">
        <v>42548.6902430556</v>
      </c>
      <c r="C2114">
        <v>0</v>
      </c>
      <c r="D2114">
        <v>6</v>
      </c>
      <c r="E2114" t="s">
        <v>2065</v>
      </c>
    </row>
    <row r="2115" spans="1:5">
      <c r="A2115">
        <f>HYPERLINK("http://www.twitter.com/FDNY/status/747445388378988544", "747445388378988544")</f>
        <v>0</v>
      </c>
      <c r="B2115" s="2">
        <v>42548.6278009259</v>
      </c>
      <c r="C2115">
        <v>0</v>
      </c>
      <c r="D2115">
        <v>4</v>
      </c>
      <c r="E2115" t="s">
        <v>2066</v>
      </c>
    </row>
    <row r="2116" spans="1:5">
      <c r="A2116">
        <f>HYPERLINK("http://www.twitter.com/FDNY/status/747445151501410304", "747445151501410304")</f>
        <v>0</v>
      </c>
      <c r="B2116" s="2">
        <v>42548.6271412037</v>
      </c>
      <c r="C2116">
        <v>0</v>
      </c>
      <c r="D2116">
        <v>7</v>
      </c>
      <c r="E2116" t="s">
        <v>2067</v>
      </c>
    </row>
    <row r="2117" spans="1:5">
      <c r="A2117">
        <f>HYPERLINK("http://www.twitter.com/FDNY/status/747237772231065601", "747237772231065601")</f>
        <v>0</v>
      </c>
      <c r="B2117" s="2">
        <v>42548.0548842593</v>
      </c>
      <c r="C2117">
        <v>0</v>
      </c>
      <c r="D2117">
        <v>7</v>
      </c>
      <c r="E2117" t="s">
        <v>2068</v>
      </c>
    </row>
    <row r="2118" spans="1:5">
      <c r="A2118">
        <f>HYPERLINK("http://www.twitter.com/FDNY/status/747237055952982016", "747237055952982016")</f>
        <v>0</v>
      </c>
      <c r="B2118" s="2">
        <v>42548.0529050926</v>
      </c>
      <c r="C2118">
        <v>85</v>
      </c>
      <c r="D2118">
        <v>34</v>
      </c>
      <c r="E2118" t="s">
        <v>2069</v>
      </c>
    </row>
    <row r="2119" spans="1:5">
      <c r="A2119">
        <f>HYPERLINK("http://www.twitter.com/FDNY/status/747194751410110464", "747194751410110464")</f>
        <v>0</v>
      </c>
      <c r="B2119" s="2">
        <v>42547.9361689815</v>
      </c>
      <c r="C2119">
        <v>0</v>
      </c>
      <c r="D2119">
        <v>5</v>
      </c>
      <c r="E2119" t="s">
        <v>2070</v>
      </c>
    </row>
    <row r="2120" spans="1:5">
      <c r="A2120">
        <f>HYPERLINK("http://www.twitter.com/FDNY/status/747187601321385984", "747187601321385984")</f>
        <v>0</v>
      </c>
      <c r="B2120" s="2">
        <v>42547.9164351852</v>
      </c>
      <c r="C2120">
        <v>47</v>
      </c>
      <c r="D2120">
        <v>24</v>
      </c>
      <c r="E2120" t="s">
        <v>2071</v>
      </c>
    </row>
    <row r="2121" spans="1:5">
      <c r="A2121">
        <f>HYPERLINK("http://www.twitter.com/FDNY/status/747151701971447808", "747151701971447808")</f>
        <v>0</v>
      </c>
      <c r="B2121" s="2">
        <v>42547.8173726852</v>
      </c>
      <c r="C2121">
        <v>0</v>
      </c>
      <c r="D2121">
        <v>10</v>
      </c>
      <c r="E2121" t="s">
        <v>2072</v>
      </c>
    </row>
    <row r="2122" spans="1:5">
      <c r="A2122">
        <f>HYPERLINK("http://www.twitter.com/FDNY/status/747131321374416896", "747131321374416896")</f>
        <v>0</v>
      </c>
      <c r="B2122" s="2">
        <v>42547.7611342593</v>
      </c>
      <c r="C2122">
        <v>37</v>
      </c>
      <c r="D2122">
        <v>10</v>
      </c>
      <c r="E2122" t="s">
        <v>2073</v>
      </c>
    </row>
    <row r="2123" spans="1:5">
      <c r="A2123">
        <f>HYPERLINK("http://www.twitter.com/FDNY/status/747128604132278272", "747128604132278272")</f>
        <v>0</v>
      </c>
      <c r="B2123" s="2">
        <v>42547.7536342593</v>
      </c>
      <c r="C2123">
        <v>0</v>
      </c>
      <c r="D2123">
        <v>20</v>
      </c>
      <c r="E2123" t="s">
        <v>2074</v>
      </c>
    </row>
    <row r="2124" spans="1:5">
      <c r="A2124">
        <f>HYPERLINK("http://www.twitter.com/FDNY/status/747124627416162304", "747124627416162304")</f>
        <v>0</v>
      </c>
      <c r="B2124" s="2">
        <v>42547.742662037</v>
      </c>
      <c r="C2124">
        <v>54</v>
      </c>
      <c r="D2124">
        <v>22</v>
      </c>
      <c r="E2124" t="s">
        <v>2075</v>
      </c>
    </row>
    <row r="2125" spans="1:5">
      <c r="A2125">
        <f>HYPERLINK("http://www.twitter.com/FDNY/status/747123653750439936", "747123653750439936")</f>
        <v>0</v>
      </c>
      <c r="B2125" s="2">
        <v>42547.7399768519</v>
      </c>
      <c r="C2125">
        <v>400</v>
      </c>
      <c r="D2125">
        <v>170</v>
      </c>
      <c r="E2125" t="s">
        <v>2076</v>
      </c>
    </row>
    <row r="2126" spans="1:5">
      <c r="A2126">
        <f>HYPERLINK("http://www.twitter.com/FDNY/status/747118737187278848", "747118737187278848")</f>
        <v>0</v>
      </c>
      <c r="B2126" s="2">
        <v>42547.726412037</v>
      </c>
      <c r="C2126">
        <v>0</v>
      </c>
      <c r="D2126">
        <v>20</v>
      </c>
      <c r="E2126" t="s">
        <v>2077</v>
      </c>
    </row>
    <row r="2127" spans="1:5">
      <c r="A2127">
        <f>HYPERLINK("http://www.twitter.com/FDNY/status/747118119898976256", "747118119898976256")</f>
        <v>0</v>
      </c>
      <c r="B2127" s="2">
        <v>42547.7247106481</v>
      </c>
      <c r="C2127">
        <v>85</v>
      </c>
      <c r="D2127">
        <v>43</v>
      </c>
      <c r="E2127" t="s">
        <v>2078</v>
      </c>
    </row>
    <row r="2128" spans="1:5">
      <c r="A2128">
        <f>HYPERLINK("http://www.twitter.com/FDNY/status/747104877671755776", "747104877671755776")</f>
        <v>0</v>
      </c>
      <c r="B2128" s="2">
        <v>42547.6881712963</v>
      </c>
      <c r="C2128">
        <v>49</v>
      </c>
      <c r="D2128">
        <v>24</v>
      </c>
      <c r="E2128" t="s">
        <v>2079</v>
      </c>
    </row>
    <row r="2129" spans="1:5">
      <c r="A2129">
        <f>HYPERLINK("http://www.twitter.com/FDNY/status/747087684972195841", "747087684972195841")</f>
        <v>0</v>
      </c>
      <c r="B2129" s="2">
        <v>42547.6407175926</v>
      </c>
      <c r="C2129">
        <v>0</v>
      </c>
      <c r="D2129">
        <v>19</v>
      </c>
      <c r="E2129" t="s">
        <v>2080</v>
      </c>
    </row>
    <row r="2130" spans="1:5">
      <c r="A2130">
        <f>HYPERLINK("http://www.twitter.com/FDNY/status/746881949751517184", "746881949751517184")</f>
        <v>0</v>
      </c>
      <c r="B2130" s="2">
        <v>42547.0729976852</v>
      </c>
      <c r="C2130">
        <v>61</v>
      </c>
      <c r="D2130">
        <v>31</v>
      </c>
      <c r="E2130" t="s">
        <v>2081</v>
      </c>
    </row>
    <row r="2131" spans="1:5">
      <c r="A2131">
        <f>HYPERLINK("http://www.twitter.com/FDNY/status/746881042708054016", "746881042708054016")</f>
        <v>0</v>
      </c>
      <c r="B2131" s="2">
        <v>42547.0704976852</v>
      </c>
      <c r="C2131">
        <v>0</v>
      </c>
      <c r="D2131">
        <v>6</v>
      </c>
      <c r="E2131" t="s">
        <v>2082</v>
      </c>
    </row>
    <row r="2132" spans="1:5">
      <c r="A2132">
        <f>HYPERLINK("http://www.twitter.com/FDNY/status/746819025808801792", "746819025808801792")</f>
        <v>0</v>
      </c>
      <c r="B2132" s="2">
        <v>42546.8993634259</v>
      </c>
      <c r="C2132">
        <v>0</v>
      </c>
      <c r="D2132">
        <v>9</v>
      </c>
      <c r="E2132" t="s">
        <v>2083</v>
      </c>
    </row>
    <row r="2133" spans="1:5">
      <c r="A2133">
        <f>HYPERLINK("http://www.twitter.com/FDNY/status/746717111838515200", "746717111838515200")</f>
        <v>0</v>
      </c>
      <c r="B2133" s="2">
        <v>42546.6181365741</v>
      </c>
      <c r="C2133">
        <v>47</v>
      </c>
      <c r="D2133">
        <v>16</v>
      </c>
      <c r="E2133" t="s">
        <v>2084</v>
      </c>
    </row>
    <row r="2134" spans="1:5">
      <c r="A2134">
        <f>HYPERLINK("http://www.twitter.com/FDNY/status/746712573890920448", "746712573890920448")</f>
        <v>0</v>
      </c>
      <c r="B2134" s="2">
        <v>42546.6056134259</v>
      </c>
      <c r="C2134">
        <v>18</v>
      </c>
      <c r="D2134">
        <v>5</v>
      </c>
      <c r="E2134" t="s">
        <v>2085</v>
      </c>
    </row>
    <row r="2135" spans="1:5">
      <c r="A2135">
        <f>HYPERLINK("http://www.twitter.com/FDNY/status/746690704127234048", "746690704127234048")</f>
        <v>0</v>
      </c>
      <c r="B2135" s="2">
        <v>42546.5452662037</v>
      </c>
      <c r="C2135">
        <v>7</v>
      </c>
      <c r="D2135">
        <v>9</v>
      </c>
      <c r="E2135" t="s">
        <v>2086</v>
      </c>
    </row>
    <row r="2136" spans="1:5">
      <c r="A2136">
        <f>HYPERLINK("http://www.twitter.com/FDNY/status/746520570477551617", "746520570477551617")</f>
        <v>0</v>
      </c>
      <c r="B2136" s="2">
        <v>42546.075787037</v>
      </c>
      <c r="C2136">
        <v>0</v>
      </c>
      <c r="D2136">
        <v>5</v>
      </c>
      <c r="E2136" t="s">
        <v>2087</v>
      </c>
    </row>
    <row r="2137" spans="1:5">
      <c r="A2137">
        <f>HYPERLINK("http://www.twitter.com/FDNY/status/746476360575647744", "746476360575647744")</f>
        <v>0</v>
      </c>
      <c r="B2137" s="2">
        <v>42545.9537847222</v>
      </c>
      <c r="C2137">
        <v>0</v>
      </c>
      <c r="D2137">
        <v>2</v>
      </c>
      <c r="E2137" t="s">
        <v>2088</v>
      </c>
    </row>
    <row r="2138" spans="1:5">
      <c r="A2138">
        <f>HYPERLINK("http://www.twitter.com/FDNY/status/746462818774487040", "746462818774487040")</f>
        <v>0</v>
      </c>
      <c r="B2138" s="2">
        <v>42545.9164236111</v>
      </c>
      <c r="C2138">
        <v>0</v>
      </c>
      <c r="D2138">
        <v>53</v>
      </c>
      <c r="E2138" t="s">
        <v>2089</v>
      </c>
    </row>
    <row r="2139" spans="1:5">
      <c r="A2139">
        <f>HYPERLINK("http://www.twitter.com/FDNY/status/746458038962388992", "746458038962388992")</f>
        <v>0</v>
      </c>
      <c r="B2139" s="2">
        <v>42545.9032291667</v>
      </c>
      <c r="C2139">
        <v>25</v>
      </c>
      <c r="D2139">
        <v>16</v>
      </c>
      <c r="E2139" t="s">
        <v>2090</v>
      </c>
    </row>
    <row r="2140" spans="1:5">
      <c r="A2140">
        <f>HYPERLINK("http://www.twitter.com/FDNY/status/746445439558422528", "746445439558422528")</f>
        <v>0</v>
      </c>
      <c r="B2140" s="2">
        <v>42545.8684606481</v>
      </c>
      <c r="C2140">
        <v>0</v>
      </c>
      <c r="D2140">
        <v>5</v>
      </c>
      <c r="E2140" t="s">
        <v>2091</v>
      </c>
    </row>
    <row r="2141" spans="1:5">
      <c r="A2141">
        <f>HYPERLINK("http://www.twitter.com/FDNY/status/746438501890146304", "746438501890146304")</f>
        <v>0</v>
      </c>
      <c r="B2141" s="2">
        <v>42545.8493171296</v>
      </c>
      <c r="C2141">
        <v>46</v>
      </c>
      <c r="D2141">
        <v>17</v>
      </c>
      <c r="E2141" t="s">
        <v>2092</v>
      </c>
    </row>
    <row r="2142" spans="1:5">
      <c r="A2142">
        <f>HYPERLINK("http://www.twitter.com/FDNY/status/746434903798079488", "746434903798079488")</f>
        <v>0</v>
      </c>
      <c r="B2142" s="2">
        <v>42545.8393865741</v>
      </c>
      <c r="C2142">
        <v>0</v>
      </c>
      <c r="D2142">
        <v>6</v>
      </c>
      <c r="E2142" t="s">
        <v>2093</v>
      </c>
    </row>
    <row r="2143" spans="1:5">
      <c r="A2143">
        <f>HYPERLINK("http://www.twitter.com/FDNY/status/746426404028489730", "746426404028489730")</f>
        <v>0</v>
      </c>
      <c r="B2143" s="2">
        <v>42545.8159375</v>
      </c>
      <c r="C2143">
        <v>35</v>
      </c>
      <c r="D2143">
        <v>12</v>
      </c>
      <c r="E2143" t="s">
        <v>2094</v>
      </c>
    </row>
    <row r="2144" spans="1:5">
      <c r="A2144">
        <f>HYPERLINK("http://www.twitter.com/FDNY/status/746418290776408064", "746418290776408064")</f>
        <v>0</v>
      </c>
      <c r="B2144" s="2">
        <v>42545.7935416667</v>
      </c>
      <c r="C2144">
        <v>17</v>
      </c>
      <c r="D2144">
        <v>7</v>
      </c>
      <c r="E2144" t="s">
        <v>2095</v>
      </c>
    </row>
    <row r="2145" spans="1:5">
      <c r="A2145">
        <f>HYPERLINK("http://www.twitter.com/FDNY/status/746416826461065216", "746416826461065216")</f>
        <v>0</v>
      </c>
      <c r="B2145" s="2">
        <v>42545.7895023148</v>
      </c>
      <c r="C2145">
        <v>48</v>
      </c>
      <c r="D2145">
        <v>18</v>
      </c>
      <c r="E2145" t="s">
        <v>2096</v>
      </c>
    </row>
    <row r="2146" spans="1:5">
      <c r="A2146">
        <f>HYPERLINK("http://www.twitter.com/FDNY/status/746416183428132864", "746416183428132864")</f>
        <v>0</v>
      </c>
      <c r="B2146" s="2">
        <v>42545.7877314815</v>
      </c>
      <c r="C2146">
        <v>37</v>
      </c>
      <c r="D2146">
        <v>19</v>
      </c>
      <c r="E2146" t="s">
        <v>2097</v>
      </c>
    </row>
    <row r="2147" spans="1:5">
      <c r="A2147">
        <f>HYPERLINK("http://www.twitter.com/FDNY/status/746390328878432256", "746390328878432256")</f>
        <v>0</v>
      </c>
      <c r="B2147" s="2">
        <v>42545.7163888889</v>
      </c>
      <c r="C2147">
        <v>0</v>
      </c>
      <c r="D2147">
        <v>2</v>
      </c>
      <c r="E2147" t="s">
        <v>2098</v>
      </c>
    </row>
    <row r="2148" spans="1:5">
      <c r="A2148">
        <f>HYPERLINK("http://www.twitter.com/FDNY/status/746388423154503680", "746388423154503680")</f>
        <v>0</v>
      </c>
      <c r="B2148" s="2">
        <v>42545.7111226852</v>
      </c>
      <c r="C2148">
        <v>14</v>
      </c>
      <c r="D2148">
        <v>6</v>
      </c>
      <c r="E2148" t="s">
        <v>2099</v>
      </c>
    </row>
    <row r="2149" spans="1:5">
      <c r="A2149">
        <f>HYPERLINK("http://www.twitter.com/FDNY/status/746386544215343105", "746386544215343105")</f>
        <v>0</v>
      </c>
      <c r="B2149" s="2">
        <v>42545.7059375</v>
      </c>
      <c r="C2149">
        <v>12</v>
      </c>
      <c r="D2149">
        <v>6</v>
      </c>
      <c r="E2149" t="s">
        <v>2100</v>
      </c>
    </row>
    <row r="2150" spans="1:5">
      <c r="A2150">
        <f>HYPERLINK("http://www.twitter.com/FDNY/status/746365309771186176", "746365309771186176")</f>
        <v>0</v>
      </c>
      <c r="B2150" s="2">
        <v>42545.647349537</v>
      </c>
      <c r="C2150">
        <v>0</v>
      </c>
      <c r="D2150">
        <v>1</v>
      </c>
      <c r="E2150" t="s">
        <v>2101</v>
      </c>
    </row>
    <row r="2151" spans="1:5">
      <c r="A2151">
        <f>HYPERLINK("http://www.twitter.com/FDNY/status/746351079298895872", "746351079298895872")</f>
        <v>0</v>
      </c>
      <c r="B2151" s="2">
        <v>42545.6080787037</v>
      </c>
      <c r="C2151">
        <v>9</v>
      </c>
      <c r="D2151">
        <v>1</v>
      </c>
      <c r="E2151" t="s">
        <v>2102</v>
      </c>
    </row>
    <row r="2152" spans="1:5">
      <c r="A2152">
        <f>HYPERLINK("http://www.twitter.com/FDNY/status/746350999917502464", "746350999917502464")</f>
        <v>0</v>
      </c>
      <c r="B2152" s="2">
        <v>42545.6078587963</v>
      </c>
      <c r="C2152">
        <v>6</v>
      </c>
      <c r="D2152">
        <v>1</v>
      </c>
      <c r="E2152" t="s">
        <v>2103</v>
      </c>
    </row>
    <row r="2153" spans="1:5">
      <c r="A2153">
        <f>HYPERLINK("http://www.twitter.com/FDNY/status/746350024137793536", "746350024137793536")</f>
        <v>0</v>
      </c>
      <c r="B2153" s="2">
        <v>42545.605162037</v>
      </c>
      <c r="C2153">
        <v>9</v>
      </c>
      <c r="D2153">
        <v>3</v>
      </c>
      <c r="E2153" t="s">
        <v>2104</v>
      </c>
    </row>
    <row r="2154" spans="1:5">
      <c r="A2154">
        <f>HYPERLINK("http://www.twitter.com/FDNY/status/746349862850007040", "746349862850007040")</f>
        <v>0</v>
      </c>
      <c r="B2154" s="2">
        <v>42545.6047222222</v>
      </c>
      <c r="C2154">
        <v>29</v>
      </c>
      <c r="D2154">
        <v>12</v>
      </c>
      <c r="E2154" t="s">
        <v>2105</v>
      </c>
    </row>
    <row r="2155" spans="1:5">
      <c r="A2155">
        <f>HYPERLINK("http://www.twitter.com/FDNY/status/746347827203293185", "746347827203293185")</f>
        <v>0</v>
      </c>
      <c r="B2155" s="2">
        <v>42545.5991087963</v>
      </c>
      <c r="C2155">
        <v>5</v>
      </c>
      <c r="D2155">
        <v>1</v>
      </c>
      <c r="E2155" t="s">
        <v>2106</v>
      </c>
    </row>
    <row r="2156" spans="1:5">
      <c r="A2156">
        <f>HYPERLINK("http://www.twitter.com/FDNY/status/746347703890755584", "746347703890755584")</f>
        <v>0</v>
      </c>
      <c r="B2156" s="2">
        <v>42545.5987615741</v>
      </c>
      <c r="C2156">
        <v>6</v>
      </c>
      <c r="D2156">
        <v>2</v>
      </c>
      <c r="E2156" t="s">
        <v>2107</v>
      </c>
    </row>
    <row r="2157" spans="1:5">
      <c r="A2157">
        <f>HYPERLINK("http://www.twitter.com/FDNY/status/746347591143665664", "746347591143665664")</f>
        <v>0</v>
      </c>
      <c r="B2157" s="2">
        <v>42545.5984490741</v>
      </c>
      <c r="C2157">
        <v>18</v>
      </c>
      <c r="D2157">
        <v>6</v>
      </c>
      <c r="E2157" t="s">
        <v>2108</v>
      </c>
    </row>
    <row r="2158" spans="1:5">
      <c r="A2158">
        <f>HYPERLINK("http://www.twitter.com/FDNY/status/746338914542227456", "746338914542227456")</f>
        <v>0</v>
      </c>
      <c r="B2158" s="2">
        <v>42545.5745138889</v>
      </c>
      <c r="C2158">
        <v>0</v>
      </c>
      <c r="D2158">
        <v>3</v>
      </c>
      <c r="E2158" t="s">
        <v>2109</v>
      </c>
    </row>
    <row r="2159" spans="1:5">
      <c r="A2159">
        <f>HYPERLINK("http://www.twitter.com/FDNY/status/746125176530739200", "746125176530739200")</f>
        <v>0</v>
      </c>
      <c r="B2159" s="2">
        <v>42544.9847106481</v>
      </c>
      <c r="C2159">
        <v>0</v>
      </c>
      <c r="D2159">
        <v>12</v>
      </c>
      <c r="E2159" t="s">
        <v>2110</v>
      </c>
    </row>
    <row r="2160" spans="1:5">
      <c r="A2160">
        <f>HYPERLINK("http://www.twitter.com/FDNY/status/746120741616226304", "746120741616226304")</f>
        <v>0</v>
      </c>
      <c r="B2160" s="2">
        <v>42544.9724652778</v>
      </c>
      <c r="C2160">
        <v>0</v>
      </c>
      <c r="D2160">
        <v>1</v>
      </c>
      <c r="E2160" t="s">
        <v>2111</v>
      </c>
    </row>
    <row r="2161" spans="1:5">
      <c r="A2161">
        <f>HYPERLINK("http://www.twitter.com/FDNY/status/746054772323651584", "746054772323651584")</f>
        <v>0</v>
      </c>
      <c r="B2161" s="2">
        <v>42544.7904282407</v>
      </c>
      <c r="C2161">
        <v>17</v>
      </c>
      <c r="D2161">
        <v>12</v>
      </c>
      <c r="E2161" t="s">
        <v>2112</v>
      </c>
    </row>
    <row r="2162" spans="1:5">
      <c r="A2162">
        <f>HYPERLINK("http://www.twitter.com/FDNY/status/746038316336812032", "746038316336812032")</f>
        <v>0</v>
      </c>
      <c r="B2162" s="2">
        <v>42544.7450115741</v>
      </c>
      <c r="C2162">
        <v>8</v>
      </c>
      <c r="D2162">
        <v>6</v>
      </c>
      <c r="E2162" t="s">
        <v>2113</v>
      </c>
    </row>
    <row r="2163" spans="1:5">
      <c r="A2163">
        <f>HYPERLINK("http://www.twitter.com/FDNY/status/746000096383369217", "746000096383369217")</f>
        <v>0</v>
      </c>
      <c r="B2163" s="2">
        <v>42544.6395486111</v>
      </c>
      <c r="C2163">
        <v>0</v>
      </c>
      <c r="D2163">
        <v>2</v>
      </c>
      <c r="E2163" t="s">
        <v>2114</v>
      </c>
    </row>
    <row r="2164" spans="1:5">
      <c r="A2164">
        <f>HYPERLINK("http://www.twitter.com/FDNY/status/745997134227472384", "745997134227472384")</f>
        <v>0</v>
      </c>
      <c r="B2164" s="2">
        <v>42544.6313773148</v>
      </c>
      <c r="C2164">
        <v>0</v>
      </c>
      <c r="D2164">
        <v>3</v>
      </c>
      <c r="E2164" t="s">
        <v>2115</v>
      </c>
    </row>
    <row r="2165" spans="1:5">
      <c r="A2165">
        <f>HYPERLINK("http://www.twitter.com/FDNY/status/745993945457524736", "745993945457524736")</f>
        <v>0</v>
      </c>
      <c r="B2165" s="2">
        <v>42544.6225810185</v>
      </c>
      <c r="C2165">
        <v>0</v>
      </c>
      <c r="D2165">
        <v>4</v>
      </c>
      <c r="E2165" t="s">
        <v>2116</v>
      </c>
    </row>
    <row r="2166" spans="1:5">
      <c r="A2166">
        <f>HYPERLINK("http://www.twitter.com/FDNY/status/745992487156736000", "745992487156736000")</f>
        <v>0</v>
      </c>
      <c r="B2166" s="2">
        <v>42544.6185532407</v>
      </c>
      <c r="C2166">
        <v>0</v>
      </c>
      <c r="D2166">
        <v>5</v>
      </c>
      <c r="E2166" t="s">
        <v>2117</v>
      </c>
    </row>
    <row r="2167" spans="1:5">
      <c r="A2167">
        <f>HYPERLINK("http://www.twitter.com/FDNY/status/745990080226004992", "745990080226004992")</f>
        <v>0</v>
      </c>
      <c r="B2167" s="2">
        <v>42544.6119097222</v>
      </c>
      <c r="C2167">
        <v>0</v>
      </c>
      <c r="D2167">
        <v>4</v>
      </c>
      <c r="E2167" t="s">
        <v>2118</v>
      </c>
    </row>
    <row r="2168" spans="1:5">
      <c r="A2168">
        <f>HYPERLINK("http://www.twitter.com/FDNY/status/745987344738750464", "745987344738750464")</f>
        <v>0</v>
      </c>
      <c r="B2168" s="2">
        <v>42544.6043634259</v>
      </c>
      <c r="C2168">
        <v>0</v>
      </c>
      <c r="D2168">
        <v>3</v>
      </c>
      <c r="E2168" t="s">
        <v>2119</v>
      </c>
    </row>
    <row r="2169" spans="1:5">
      <c r="A2169">
        <f>HYPERLINK("http://www.twitter.com/FDNY/status/745987312992010241", "745987312992010241")</f>
        <v>0</v>
      </c>
      <c r="B2169" s="2">
        <v>42544.6042708333</v>
      </c>
      <c r="C2169">
        <v>0</v>
      </c>
      <c r="D2169">
        <v>2</v>
      </c>
      <c r="E2169" t="s">
        <v>2120</v>
      </c>
    </row>
    <row r="2170" spans="1:5">
      <c r="A2170">
        <f>HYPERLINK("http://www.twitter.com/FDNY/status/745985284798582785", "745985284798582785")</f>
        <v>0</v>
      </c>
      <c r="B2170" s="2">
        <v>42544.5986805556</v>
      </c>
      <c r="C2170">
        <v>0</v>
      </c>
      <c r="D2170">
        <v>9</v>
      </c>
      <c r="E2170" t="s">
        <v>2121</v>
      </c>
    </row>
    <row r="2171" spans="1:5">
      <c r="A2171">
        <f>HYPERLINK("http://www.twitter.com/FDNY/status/745956676910649344", "745956676910649344")</f>
        <v>0</v>
      </c>
      <c r="B2171" s="2">
        <v>42544.5197337963</v>
      </c>
      <c r="C2171">
        <v>23</v>
      </c>
      <c r="D2171">
        <v>10</v>
      </c>
      <c r="E2171" t="s">
        <v>2122</v>
      </c>
    </row>
    <row r="2172" spans="1:5">
      <c r="A2172">
        <f>HYPERLINK("http://www.twitter.com/FDNY/status/745816770947190784", "745816770947190784")</f>
        <v>0</v>
      </c>
      <c r="B2172" s="2">
        <v>42544.1336689815</v>
      </c>
      <c r="C2172">
        <v>0</v>
      </c>
      <c r="D2172">
        <v>6</v>
      </c>
      <c r="E2172" t="s">
        <v>2123</v>
      </c>
    </row>
    <row r="2173" spans="1:5">
      <c r="A2173">
        <f>HYPERLINK("http://www.twitter.com/FDNY/status/745804653867204608", "745804653867204608")</f>
        <v>0</v>
      </c>
      <c r="B2173" s="2">
        <v>42544.1002314815</v>
      </c>
      <c r="C2173">
        <v>74</v>
      </c>
      <c r="D2173">
        <v>29</v>
      </c>
      <c r="E2173" t="s">
        <v>2124</v>
      </c>
    </row>
    <row r="2174" spans="1:5">
      <c r="A2174">
        <f>HYPERLINK("http://www.twitter.com/FDNY/status/745785655691706368", "745785655691706368")</f>
        <v>0</v>
      </c>
      <c r="B2174" s="2">
        <v>42544.0478125</v>
      </c>
      <c r="C2174">
        <v>0</v>
      </c>
      <c r="D2174">
        <v>8</v>
      </c>
      <c r="E2174" t="s">
        <v>2125</v>
      </c>
    </row>
    <row r="2175" spans="1:5">
      <c r="A2175">
        <f>HYPERLINK("http://www.twitter.com/FDNY/status/745728257748832256", "745728257748832256")</f>
        <v>0</v>
      </c>
      <c r="B2175" s="2">
        <v>42543.8894212963</v>
      </c>
      <c r="C2175">
        <v>0</v>
      </c>
      <c r="D2175">
        <v>9</v>
      </c>
      <c r="E2175" t="s">
        <v>2126</v>
      </c>
    </row>
    <row r="2176" spans="1:5">
      <c r="A2176">
        <f>HYPERLINK("http://www.twitter.com/FDNY/status/745623263632588802", "745623263632588802")</f>
        <v>0</v>
      </c>
      <c r="B2176" s="2">
        <v>42543.5996875</v>
      </c>
      <c r="C2176">
        <v>0</v>
      </c>
      <c r="D2176">
        <v>10</v>
      </c>
      <c r="E2176" t="s">
        <v>2127</v>
      </c>
    </row>
    <row r="2177" spans="1:5">
      <c r="A2177">
        <f>HYPERLINK("http://www.twitter.com/FDNY/status/745614150915743744", "745614150915743744")</f>
        <v>0</v>
      </c>
      <c r="B2177" s="2">
        <v>42543.5745486111</v>
      </c>
      <c r="C2177">
        <v>0</v>
      </c>
      <c r="D2177">
        <v>4</v>
      </c>
      <c r="E2177" t="s">
        <v>2128</v>
      </c>
    </row>
    <row r="2178" spans="1:5">
      <c r="A2178">
        <f>HYPERLINK("http://www.twitter.com/FDNY/status/745398007483490304", "745398007483490304")</f>
        <v>0</v>
      </c>
      <c r="B2178" s="2">
        <v>42542.9781018519</v>
      </c>
      <c r="C2178">
        <v>0</v>
      </c>
      <c r="D2178">
        <v>2</v>
      </c>
      <c r="E2178" t="s">
        <v>2129</v>
      </c>
    </row>
    <row r="2179" spans="1:5">
      <c r="A2179">
        <f>HYPERLINK("http://www.twitter.com/FDNY/status/745353250505883648", "745353250505883648")</f>
        <v>0</v>
      </c>
      <c r="B2179" s="2">
        <v>42542.8545949074</v>
      </c>
      <c r="C2179">
        <v>56</v>
      </c>
      <c r="D2179">
        <v>20</v>
      </c>
      <c r="E2179" t="s">
        <v>2130</v>
      </c>
    </row>
    <row r="2180" spans="1:5">
      <c r="A2180">
        <f>HYPERLINK("http://www.twitter.com/FDNY/status/745353032112738304", "745353032112738304")</f>
        <v>0</v>
      </c>
      <c r="B2180" s="2">
        <v>42542.8539930556</v>
      </c>
      <c r="C2180">
        <v>29</v>
      </c>
      <c r="D2180">
        <v>11</v>
      </c>
      <c r="E2180" t="s">
        <v>2131</v>
      </c>
    </row>
    <row r="2181" spans="1:5">
      <c r="A2181">
        <f>HYPERLINK("http://www.twitter.com/FDNY/status/745300472202936321", "745300472202936321")</f>
        <v>0</v>
      </c>
      <c r="B2181" s="2">
        <v>42542.7089583333</v>
      </c>
      <c r="C2181">
        <v>58</v>
      </c>
      <c r="D2181">
        <v>17</v>
      </c>
      <c r="E2181" t="s">
        <v>2132</v>
      </c>
    </row>
    <row r="2182" spans="1:5">
      <c r="A2182">
        <f>HYPERLINK("http://www.twitter.com/FDNY/status/745055457795018752", "745055457795018752")</f>
        <v>0</v>
      </c>
      <c r="B2182" s="2">
        <v>42542.0328472222</v>
      </c>
      <c r="C2182">
        <v>0</v>
      </c>
      <c r="D2182">
        <v>3</v>
      </c>
      <c r="E2182" t="s">
        <v>2133</v>
      </c>
    </row>
    <row r="2183" spans="1:5">
      <c r="A2183">
        <f>HYPERLINK("http://www.twitter.com/FDNY/status/744963006551965697", "744963006551965697")</f>
        <v>0</v>
      </c>
      <c r="B2183" s="2">
        <v>42541.7777314815</v>
      </c>
      <c r="C2183">
        <v>0</v>
      </c>
      <c r="D2183">
        <v>44</v>
      </c>
      <c r="E2183" t="s">
        <v>2134</v>
      </c>
    </row>
    <row r="2184" spans="1:5">
      <c r="A2184">
        <f>HYPERLINK("http://www.twitter.com/FDNY/status/744954096965165056", "744954096965165056")</f>
        <v>0</v>
      </c>
      <c r="B2184" s="2">
        <v>42541.7531365741</v>
      </c>
      <c r="C2184">
        <v>21</v>
      </c>
      <c r="D2184">
        <v>21</v>
      </c>
      <c r="E2184" t="s">
        <v>2135</v>
      </c>
    </row>
    <row r="2185" spans="1:5">
      <c r="A2185">
        <f>HYPERLINK("http://www.twitter.com/FDNY/status/744909602777628672", "744909602777628672")</f>
        <v>0</v>
      </c>
      <c r="B2185" s="2">
        <v>42541.6303587963</v>
      </c>
      <c r="C2185">
        <v>32</v>
      </c>
      <c r="D2185">
        <v>14</v>
      </c>
      <c r="E2185" t="s">
        <v>2136</v>
      </c>
    </row>
    <row r="2186" spans="1:5">
      <c r="A2186">
        <f>HYPERLINK("http://www.twitter.com/FDNY/status/744662844399026176", "744662844399026176")</f>
        <v>0</v>
      </c>
      <c r="B2186" s="2">
        <v>42540.9494328704</v>
      </c>
      <c r="C2186">
        <v>0</v>
      </c>
      <c r="D2186">
        <v>13</v>
      </c>
      <c r="E2186" t="s">
        <v>2137</v>
      </c>
    </row>
    <row r="2187" spans="1:5">
      <c r="A2187">
        <f>HYPERLINK("http://www.twitter.com/FDNY/status/744662803408109568", "744662803408109568")</f>
        <v>0</v>
      </c>
      <c r="B2187" s="2">
        <v>42540.9493287037</v>
      </c>
      <c r="C2187">
        <v>0</v>
      </c>
      <c r="D2187">
        <v>23</v>
      </c>
      <c r="E2187" t="s">
        <v>2138</v>
      </c>
    </row>
    <row r="2188" spans="1:5">
      <c r="A2188">
        <f>HYPERLINK("http://www.twitter.com/FDNY/status/744543930868502532", "744543930868502532")</f>
        <v>0</v>
      </c>
      <c r="B2188" s="2">
        <v>42540.6212962963</v>
      </c>
      <c r="C2188">
        <v>0</v>
      </c>
      <c r="D2188">
        <v>4</v>
      </c>
      <c r="E2188" t="s">
        <v>2139</v>
      </c>
    </row>
    <row r="2189" spans="1:5">
      <c r="A2189">
        <f>HYPERLINK("http://www.twitter.com/FDNY/status/744537357936898048", "744537357936898048")</f>
        <v>0</v>
      </c>
      <c r="B2189" s="2">
        <v>42540.6031597222</v>
      </c>
      <c r="C2189">
        <v>0</v>
      </c>
      <c r="D2189">
        <v>4</v>
      </c>
      <c r="E2189" t="s">
        <v>2140</v>
      </c>
    </row>
    <row r="2190" spans="1:5">
      <c r="A2190">
        <f>HYPERLINK("http://www.twitter.com/FDNY/status/744522833326444544", "744522833326444544")</f>
        <v>0</v>
      </c>
      <c r="B2190" s="2">
        <v>42540.5630787037</v>
      </c>
      <c r="C2190">
        <v>35</v>
      </c>
      <c r="D2190">
        <v>20</v>
      </c>
      <c r="E2190" t="s">
        <v>2141</v>
      </c>
    </row>
    <row r="2191" spans="1:5">
      <c r="A2191">
        <f>HYPERLINK("http://www.twitter.com/FDNY/status/744517672965128192", "744517672965128192")</f>
        <v>0</v>
      </c>
      <c r="B2191" s="2">
        <v>42540.5488425926</v>
      </c>
      <c r="C2191">
        <v>51</v>
      </c>
      <c r="D2191">
        <v>22</v>
      </c>
      <c r="E2191" t="s">
        <v>2142</v>
      </c>
    </row>
    <row r="2192" spans="1:5">
      <c r="A2192">
        <f>HYPERLINK("http://www.twitter.com/FDNY/status/744277329552216064", "744277329552216064")</f>
        <v>0</v>
      </c>
      <c r="B2192" s="2">
        <v>42539.885625</v>
      </c>
      <c r="C2192">
        <v>191</v>
      </c>
      <c r="D2192">
        <v>35</v>
      </c>
      <c r="E2192" t="s">
        <v>2143</v>
      </c>
    </row>
    <row r="2193" spans="1:5">
      <c r="A2193">
        <f>HYPERLINK("http://www.twitter.com/FDNY/status/744200359321677824", "744200359321677824")</f>
        <v>0</v>
      </c>
      <c r="B2193" s="2">
        <v>42539.6732175926</v>
      </c>
      <c r="C2193">
        <v>17</v>
      </c>
      <c r="D2193">
        <v>10</v>
      </c>
      <c r="E2193" t="s">
        <v>2144</v>
      </c>
    </row>
    <row r="2194" spans="1:5">
      <c r="A2194">
        <f>HYPERLINK("http://www.twitter.com/FDNY/status/744200023462772737", "744200023462772737")</f>
        <v>0</v>
      </c>
      <c r="B2194" s="2">
        <v>42539.6722916667</v>
      </c>
      <c r="C2194">
        <v>0</v>
      </c>
      <c r="D2194">
        <v>5</v>
      </c>
      <c r="E2194" t="s">
        <v>2145</v>
      </c>
    </row>
    <row r="2195" spans="1:5">
      <c r="A2195">
        <f>HYPERLINK("http://www.twitter.com/FDNY/status/744199267443740673", "744199267443740673")</f>
        <v>0</v>
      </c>
      <c r="B2195" s="2">
        <v>42539.6702083333</v>
      </c>
      <c r="C2195">
        <v>56</v>
      </c>
      <c r="D2195">
        <v>19</v>
      </c>
      <c r="E2195" t="s">
        <v>2146</v>
      </c>
    </row>
    <row r="2196" spans="1:5">
      <c r="A2196">
        <f>HYPERLINK("http://www.twitter.com/FDNY/status/744157803858780161", "744157803858780161")</f>
        <v>0</v>
      </c>
      <c r="B2196" s="2">
        <v>42539.555787037</v>
      </c>
      <c r="C2196">
        <v>44</v>
      </c>
      <c r="D2196">
        <v>27</v>
      </c>
      <c r="E2196" t="s">
        <v>2147</v>
      </c>
    </row>
    <row r="2197" spans="1:5">
      <c r="A2197">
        <f>HYPERLINK("http://www.twitter.com/FDNY/status/744155157362020353", "744155157362020353")</f>
        <v>0</v>
      </c>
      <c r="B2197" s="2">
        <v>42539.5484837963</v>
      </c>
      <c r="C2197">
        <v>0</v>
      </c>
      <c r="D2197">
        <v>4</v>
      </c>
      <c r="E2197" t="s">
        <v>2148</v>
      </c>
    </row>
    <row r="2198" spans="1:5">
      <c r="A2198">
        <f>HYPERLINK("http://www.twitter.com/FDNY/status/743963320567349248", "743963320567349248")</f>
        <v>0</v>
      </c>
      <c r="B2198" s="2">
        <v>42539.0191203704</v>
      </c>
      <c r="C2198">
        <v>0</v>
      </c>
      <c r="D2198">
        <v>16</v>
      </c>
      <c r="E2198" t="s">
        <v>2149</v>
      </c>
    </row>
    <row r="2199" spans="1:5">
      <c r="A2199">
        <f>HYPERLINK("http://www.twitter.com/FDNY/status/743963263885578240", "743963263885578240")</f>
        <v>0</v>
      </c>
      <c r="B2199" s="2">
        <v>42539.0189583333</v>
      </c>
      <c r="C2199">
        <v>0</v>
      </c>
      <c r="D2199">
        <v>4</v>
      </c>
      <c r="E2199" t="s">
        <v>2150</v>
      </c>
    </row>
    <row r="2200" spans="1:5">
      <c r="A2200">
        <f>HYPERLINK("http://www.twitter.com/FDNY/status/743933133775605760", "743933133775605760")</f>
        <v>0</v>
      </c>
      <c r="B2200" s="2">
        <v>42538.9358217593</v>
      </c>
      <c r="C2200">
        <v>0</v>
      </c>
      <c r="D2200">
        <v>5</v>
      </c>
      <c r="E2200" t="s">
        <v>2151</v>
      </c>
    </row>
    <row r="2201" spans="1:5">
      <c r="A2201">
        <f>HYPERLINK("http://www.twitter.com/FDNY/status/743902306131976192", "743902306131976192")</f>
        <v>0</v>
      </c>
      <c r="B2201" s="2">
        <v>42538.8507523148</v>
      </c>
      <c r="C2201">
        <v>35</v>
      </c>
      <c r="D2201">
        <v>22</v>
      </c>
      <c r="E2201" t="s">
        <v>2152</v>
      </c>
    </row>
    <row r="2202" spans="1:5">
      <c r="A2202">
        <f>HYPERLINK("http://www.twitter.com/FDNY/status/743901156276080640", "743901156276080640")</f>
        <v>0</v>
      </c>
      <c r="B2202" s="2">
        <v>42538.8475810185</v>
      </c>
      <c r="C2202">
        <v>57</v>
      </c>
      <c r="D2202">
        <v>27</v>
      </c>
      <c r="E2202" t="s">
        <v>2153</v>
      </c>
    </row>
    <row r="2203" spans="1:5">
      <c r="A2203">
        <f>HYPERLINK("http://www.twitter.com/FDNY/status/743892788585107456", "743892788585107456")</f>
        <v>0</v>
      </c>
      <c r="B2203" s="2">
        <v>42538.8244907407</v>
      </c>
      <c r="C2203">
        <v>45</v>
      </c>
      <c r="D2203">
        <v>24</v>
      </c>
      <c r="E2203" t="s">
        <v>2154</v>
      </c>
    </row>
    <row r="2204" spans="1:5">
      <c r="A2204">
        <f>HYPERLINK("http://www.twitter.com/FDNY/status/743889257417351169", "743889257417351169")</f>
        <v>0</v>
      </c>
      <c r="B2204" s="2">
        <v>42538.8147453704</v>
      </c>
      <c r="C2204">
        <v>83</v>
      </c>
      <c r="D2204">
        <v>35</v>
      </c>
      <c r="E2204" t="s">
        <v>2155</v>
      </c>
    </row>
    <row r="2205" spans="1:5">
      <c r="A2205">
        <f>HYPERLINK("http://www.twitter.com/FDNY/status/743827022875594752", "743827022875594752")</f>
        <v>0</v>
      </c>
      <c r="B2205" s="2">
        <v>42538.6430092593</v>
      </c>
      <c r="C2205">
        <v>91</v>
      </c>
      <c r="D2205">
        <v>45</v>
      </c>
      <c r="E2205" t="s">
        <v>2156</v>
      </c>
    </row>
    <row r="2206" spans="1:5">
      <c r="A2206">
        <f>HYPERLINK("http://www.twitter.com/FDNY/status/743821945653858304", "743821945653858304")</f>
        <v>0</v>
      </c>
      <c r="B2206" s="2">
        <v>42538.6290046296</v>
      </c>
      <c r="C2206">
        <v>61</v>
      </c>
      <c r="D2206">
        <v>35</v>
      </c>
      <c r="E2206" t="s">
        <v>2157</v>
      </c>
    </row>
    <row r="2207" spans="1:5">
      <c r="A2207">
        <f>HYPERLINK("http://www.twitter.com/FDNY/status/743816775196884993", "743816775196884993")</f>
        <v>0</v>
      </c>
      <c r="B2207" s="2">
        <v>42538.6147337963</v>
      </c>
      <c r="C2207">
        <v>59</v>
      </c>
      <c r="D2207">
        <v>30</v>
      </c>
      <c r="E2207" t="s">
        <v>2158</v>
      </c>
    </row>
    <row r="2208" spans="1:5">
      <c r="A2208">
        <f>HYPERLINK("http://www.twitter.com/FDNY/status/743775489089748992", "743775489089748992")</f>
        <v>0</v>
      </c>
      <c r="B2208" s="2">
        <v>42538.5007986111</v>
      </c>
      <c r="C2208">
        <v>435</v>
      </c>
      <c r="D2208">
        <v>208</v>
      </c>
      <c r="E2208" t="s">
        <v>2159</v>
      </c>
    </row>
    <row r="2209" spans="1:5">
      <c r="A2209">
        <f>HYPERLINK("http://www.twitter.com/FDNY/status/743760975371735040", "743760975371735040")</f>
        <v>0</v>
      </c>
      <c r="B2209" s="2">
        <v>42538.4607523148</v>
      </c>
      <c r="C2209">
        <v>142</v>
      </c>
      <c r="D2209">
        <v>115</v>
      </c>
      <c r="E2209" t="s">
        <v>2160</v>
      </c>
    </row>
    <row r="2210" spans="1:5">
      <c r="A2210">
        <f>HYPERLINK("http://www.twitter.com/FDNY/status/743547983795466244", "743547983795466244")</f>
        <v>0</v>
      </c>
      <c r="B2210" s="2">
        <v>42537.8730092593</v>
      </c>
      <c r="C2210">
        <v>61</v>
      </c>
      <c r="D2210">
        <v>42</v>
      </c>
      <c r="E2210" t="s">
        <v>2161</v>
      </c>
    </row>
    <row r="2211" spans="1:5">
      <c r="A2211">
        <f>HYPERLINK("http://www.twitter.com/FDNY/status/743525549415538692", "743525549415538692")</f>
        <v>0</v>
      </c>
      <c r="B2211" s="2">
        <v>42537.811099537</v>
      </c>
      <c r="C2211">
        <v>0</v>
      </c>
      <c r="D2211">
        <v>31</v>
      </c>
      <c r="E2211" t="s">
        <v>2162</v>
      </c>
    </row>
    <row r="2212" spans="1:5">
      <c r="A2212">
        <f>HYPERLINK("http://www.twitter.com/FDNY/status/743515517462384640", "743515517462384640")</f>
        <v>0</v>
      </c>
      <c r="B2212" s="2">
        <v>42537.7834143518</v>
      </c>
      <c r="C2212">
        <v>75</v>
      </c>
      <c r="D2212">
        <v>32</v>
      </c>
      <c r="E2212" t="s">
        <v>2163</v>
      </c>
    </row>
    <row r="2213" spans="1:5">
      <c r="A2213">
        <f>HYPERLINK("http://www.twitter.com/FDNY/status/743491538265714688", "743491538265714688")</f>
        <v>0</v>
      </c>
      <c r="B2213" s="2">
        <v>42537.7172453704</v>
      </c>
      <c r="C2213">
        <v>86</v>
      </c>
      <c r="D2213">
        <v>40</v>
      </c>
      <c r="E2213" t="s">
        <v>2164</v>
      </c>
    </row>
    <row r="2214" spans="1:5">
      <c r="A2214">
        <f>HYPERLINK("http://www.twitter.com/FDNY/status/743491259365470208", "743491259365470208")</f>
        <v>0</v>
      </c>
      <c r="B2214" s="2">
        <v>42537.7164814815</v>
      </c>
      <c r="C2214">
        <v>0</v>
      </c>
      <c r="D2214">
        <v>1</v>
      </c>
      <c r="E2214" t="s">
        <v>2165</v>
      </c>
    </row>
    <row r="2215" spans="1:5">
      <c r="A2215">
        <f>HYPERLINK("http://www.twitter.com/FDNY/status/743471485478645760", "743471485478645760")</f>
        <v>0</v>
      </c>
      <c r="B2215" s="2">
        <v>42537.6619097222</v>
      </c>
      <c r="C2215">
        <v>0</v>
      </c>
      <c r="D2215">
        <v>6</v>
      </c>
      <c r="E2215" t="s">
        <v>2166</v>
      </c>
    </row>
    <row r="2216" spans="1:5">
      <c r="A2216">
        <f>HYPERLINK("http://www.twitter.com/FDNY/status/743461952274436096", "743461952274436096")</f>
        <v>0</v>
      </c>
      <c r="B2216" s="2">
        <v>42537.6356018518</v>
      </c>
      <c r="C2216">
        <v>21</v>
      </c>
      <c r="D2216">
        <v>12</v>
      </c>
      <c r="E2216" t="s">
        <v>2167</v>
      </c>
    </row>
    <row r="2217" spans="1:5">
      <c r="A2217">
        <f>HYPERLINK("http://www.twitter.com/FDNY/status/743229191005609984", "743229191005609984")</f>
        <v>0</v>
      </c>
      <c r="B2217" s="2">
        <v>42536.9933101852</v>
      </c>
      <c r="C2217">
        <v>25</v>
      </c>
      <c r="D2217">
        <v>10</v>
      </c>
      <c r="E2217" t="s">
        <v>2168</v>
      </c>
    </row>
    <row r="2218" spans="1:5">
      <c r="A2218">
        <f>HYPERLINK("http://www.twitter.com/FDNY/status/743140809558663168", "743140809558663168")</f>
        <v>0</v>
      </c>
      <c r="B2218" s="2">
        <v>42536.7494212963</v>
      </c>
      <c r="C2218">
        <v>0</v>
      </c>
      <c r="D2218">
        <v>4</v>
      </c>
      <c r="E2218" t="s">
        <v>2169</v>
      </c>
    </row>
    <row r="2219" spans="1:5">
      <c r="A2219">
        <f>HYPERLINK("http://www.twitter.com/FDNY/status/743123481580167168", "743123481580167168")</f>
        <v>0</v>
      </c>
      <c r="B2219" s="2">
        <v>42536.7016087963</v>
      </c>
      <c r="C2219">
        <v>0</v>
      </c>
      <c r="D2219">
        <v>7</v>
      </c>
      <c r="E2219" t="s">
        <v>2170</v>
      </c>
    </row>
    <row r="2220" spans="1:5">
      <c r="A2220">
        <f>HYPERLINK("http://www.twitter.com/FDNY/status/743101948828782597", "743101948828782597")</f>
        <v>0</v>
      </c>
      <c r="B2220" s="2">
        <v>42536.6421875</v>
      </c>
      <c r="C2220">
        <v>0</v>
      </c>
      <c r="D2220">
        <v>12</v>
      </c>
      <c r="E2220" t="s">
        <v>2171</v>
      </c>
    </row>
    <row r="2221" spans="1:5">
      <c r="A2221">
        <f>HYPERLINK("http://www.twitter.com/FDNY/status/743078175694065664", "743078175694065664")</f>
        <v>0</v>
      </c>
      <c r="B2221" s="2">
        <v>42536.5765856481</v>
      </c>
      <c r="C2221">
        <v>0</v>
      </c>
      <c r="D2221">
        <v>2</v>
      </c>
      <c r="E2221" t="s">
        <v>2172</v>
      </c>
    </row>
    <row r="2222" spans="1:5">
      <c r="A2222">
        <f>HYPERLINK("http://www.twitter.com/FDNY/status/743078134128513025", "743078134128513025")</f>
        <v>0</v>
      </c>
      <c r="B2222" s="2">
        <v>42536.5764699074</v>
      </c>
      <c r="C2222">
        <v>0</v>
      </c>
      <c r="D2222">
        <v>3</v>
      </c>
      <c r="E2222" t="s">
        <v>2173</v>
      </c>
    </row>
    <row r="2223" spans="1:5">
      <c r="A2223">
        <f>HYPERLINK("http://www.twitter.com/FDNY/status/743077344387158017", "743077344387158017")</f>
        <v>0</v>
      </c>
      <c r="B2223" s="2">
        <v>42536.5742939815</v>
      </c>
      <c r="C2223">
        <v>6</v>
      </c>
      <c r="D2223">
        <v>8</v>
      </c>
      <c r="E2223" t="s">
        <v>2174</v>
      </c>
    </row>
    <row r="2224" spans="1:5">
      <c r="A2224">
        <f>HYPERLINK("http://www.twitter.com/FDNY/status/742839294314881025", "742839294314881025")</f>
        <v>0</v>
      </c>
      <c r="B2224" s="2">
        <v>42535.9173958333</v>
      </c>
      <c r="C2224">
        <v>0</v>
      </c>
      <c r="D2224">
        <v>6</v>
      </c>
      <c r="E2224" t="s">
        <v>2175</v>
      </c>
    </row>
    <row r="2225" spans="1:5">
      <c r="A2225">
        <f>HYPERLINK("http://www.twitter.com/FDNY/status/742818990679068672", "742818990679068672")</f>
        <v>0</v>
      </c>
      <c r="B2225" s="2">
        <v>42535.8613657407</v>
      </c>
      <c r="C2225">
        <v>0</v>
      </c>
      <c r="D2225">
        <v>19</v>
      </c>
      <c r="E2225" t="s">
        <v>2176</v>
      </c>
    </row>
    <row r="2226" spans="1:5">
      <c r="A2226">
        <f>HYPERLINK("http://www.twitter.com/FDNY/status/742810994641096704", "742810994641096704")</f>
        <v>0</v>
      </c>
      <c r="B2226" s="2">
        <v>42535.8393055556</v>
      </c>
      <c r="C2226">
        <v>34</v>
      </c>
      <c r="D2226">
        <v>13</v>
      </c>
      <c r="E2226" t="s">
        <v>2177</v>
      </c>
    </row>
    <row r="2227" spans="1:5">
      <c r="A2227">
        <f>HYPERLINK("http://www.twitter.com/FDNY/status/742804799108845568", "742804799108845568")</f>
        <v>0</v>
      </c>
      <c r="B2227" s="2">
        <v>42535.8222106481</v>
      </c>
      <c r="C2227">
        <v>22</v>
      </c>
      <c r="D2227">
        <v>4</v>
      </c>
      <c r="E2227" t="s">
        <v>2178</v>
      </c>
    </row>
    <row r="2228" spans="1:5">
      <c r="A2228">
        <f>HYPERLINK("http://www.twitter.com/FDNY/status/742779080383303680", "742779080383303680")</f>
        <v>0</v>
      </c>
      <c r="B2228" s="2">
        <v>42535.7512384259</v>
      </c>
      <c r="C2228">
        <v>21</v>
      </c>
      <c r="D2228">
        <v>12</v>
      </c>
      <c r="E2228" t="s">
        <v>2179</v>
      </c>
    </row>
    <row r="2229" spans="1:5">
      <c r="A2229">
        <f>HYPERLINK("http://www.twitter.com/FDNY/status/742768205198954496", "742768205198954496")</f>
        <v>0</v>
      </c>
      <c r="B2229" s="2">
        <v>42535.7212268518</v>
      </c>
      <c r="C2229">
        <v>18</v>
      </c>
      <c r="D2229">
        <v>7</v>
      </c>
      <c r="E2229" t="s">
        <v>2180</v>
      </c>
    </row>
    <row r="2230" spans="1:5">
      <c r="A2230">
        <f>HYPERLINK("http://www.twitter.com/FDNY/status/742767735239774209", "742767735239774209")</f>
        <v>0</v>
      </c>
      <c r="B2230" s="2">
        <v>42535.7199305556</v>
      </c>
      <c r="C2230">
        <v>0</v>
      </c>
      <c r="D2230">
        <v>4</v>
      </c>
      <c r="E2230" t="s">
        <v>2181</v>
      </c>
    </row>
    <row r="2231" spans="1:5">
      <c r="A2231">
        <f>HYPERLINK("http://www.twitter.com/FDNY/status/742764680003899393", "742764680003899393")</f>
        <v>0</v>
      </c>
      <c r="B2231" s="2">
        <v>42535.7115046296</v>
      </c>
      <c r="C2231">
        <v>38</v>
      </c>
      <c r="D2231">
        <v>15</v>
      </c>
      <c r="E2231" t="s">
        <v>2182</v>
      </c>
    </row>
    <row r="2232" spans="1:5">
      <c r="A2232">
        <f>HYPERLINK("http://www.twitter.com/FDNY/status/742763626537357312", "742763626537357312")</f>
        <v>0</v>
      </c>
      <c r="B2232" s="2">
        <v>42535.708599537</v>
      </c>
      <c r="C2232">
        <v>0</v>
      </c>
      <c r="D2232">
        <v>103</v>
      </c>
      <c r="E2232" t="s">
        <v>2183</v>
      </c>
    </row>
    <row r="2233" spans="1:5">
      <c r="A2233">
        <f>HYPERLINK("http://www.twitter.com/FDNY/status/742759346434625536", "742759346434625536")</f>
        <v>0</v>
      </c>
      <c r="B2233" s="2">
        <v>42535.6967824074</v>
      </c>
      <c r="C2233">
        <v>0</v>
      </c>
      <c r="D2233">
        <v>8</v>
      </c>
      <c r="E2233" t="s">
        <v>2184</v>
      </c>
    </row>
    <row r="2234" spans="1:5">
      <c r="A2234">
        <f>HYPERLINK("http://www.twitter.com/FDNY/status/742730713347334144", "742730713347334144")</f>
        <v>0</v>
      </c>
      <c r="B2234" s="2">
        <v>42535.6177662037</v>
      </c>
      <c r="C2234">
        <v>142</v>
      </c>
      <c r="D2234">
        <v>79</v>
      </c>
      <c r="E2234" t="s">
        <v>2185</v>
      </c>
    </row>
    <row r="2235" spans="1:5">
      <c r="A2235">
        <f>HYPERLINK("http://www.twitter.com/FDNY/status/742719561070432256", "742719561070432256")</f>
        <v>0</v>
      </c>
      <c r="B2235" s="2">
        <v>42535.5870023148</v>
      </c>
      <c r="C2235">
        <v>8</v>
      </c>
      <c r="D2235">
        <v>5</v>
      </c>
      <c r="E2235" t="s">
        <v>2186</v>
      </c>
    </row>
    <row r="2236" spans="1:5">
      <c r="A2236">
        <f>HYPERLINK("http://www.twitter.com/FDNY/status/742716214041022465", "742716214041022465")</f>
        <v>0</v>
      </c>
      <c r="B2236" s="2">
        <v>42535.5777662037</v>
      </c>
      <c r="C2236">
        <v>9</v>
      </c>
      <c r="D2236">
        <v>5</v>
      </c>
      <c r="E2236" t="s">
        <v>2187</v>
      </c>
    </row>
    <row r="2237" spans="1:5">
      <c r="A2237">
        <f>HYPERLINK("http://www.twitter.com/FDNY/status/742715679107846144", "742715679107846144")</f>
        <v>0</v>
      </c>
      <c r="B2237" s="2">
        <v>42535.5762847222</v>
      </c>
      <c r="C2237">
        <v>27</v>
      </c>
      <c r="D2237">
        <v>9</v>
      </c>
      <c r="E2237" t="s">
        <v>2188</v>
      </c>
    </row>
    <row r="2238" spans="1:5">
      <c r="A2238">
        <f>HYPERLINK("http://www.twitter.com/FDNY/status/742518808657727488", "742518808657727488")</f>
        <v>0</v>
      </c>
      <c r="B2238" s="2">
        <v>42535.0330208333</v>
      </c>
      <c r="C2238">
        <v>0</v>
      </c>
      <c r="D2238">
        <v>3</v>
      </c>
      <c r="E2238" t="s">
        <v>2189</v>
      </c>
    </row>
    <row r="2239" spans="1:5">
      <c r="A2239">
        <f>HYPERLINK("http://www.twitter.com/FDNY/status/742513664029274113", "742513664029274113")</f>
        <v>0</v>
      </c>
      <c r="B2239" s="2">
        <v>42535.0188310185</v>
      </c>
      <c r="C2239">
        <v>0</v>
      </c>
      <c r="D2239">
        <v>13</v>
      </c>
      <c r="E2239" t="s">
        <v>2190</v>
      </c>
    </row>
    <row r="2240" spans="1:5">
      <c r="A2240">
        <f>HYPERLINK("http://www.twitter.com/FDNY/status/742508939829518336", "742508939829518336")</f>
        <v>0</v>
      </c>
      <c r="B2240" s="2">
        <v>42535.0057986111</v>
      </c>
      <c r="C2240">
        <v>13</v>
      </c>
      <c r="D2240">
        <v>5</v>
      </c>
      <c r="E2240" t="s">
        <v>2191</v>
      </c>
    </row>
    <row r="2241" spans="1:5">
      <c r="A2241">
        <f>HYPERLINK("http://www.twitter.com/FDNY/status/742506762461413376", "742506762461413376")</f>
        <v>0</v>
      </c>
      <c r="B2241" s="2">
        <v>42534.9997800926</v>
      </c>
      <c r="C2241">
        <v>18</v>
      </c>
      <c r="D2241">
        <v>11</v>
      </c>
      <c r="E2241" t="s">
        <v>2192</v>
      </c>
    </row>
    <row r="2242" spans="1:5">
      <c r="A2242">
        <f>HYPERLINK("http://www.twitter.com/FDNY/status/742505696667799552", "742505696667799552")</f>
        <v>0</v>
      </c>
      <c r="B2242" s="2">
        <v>42534.9968402778</v>
      </c>
      <c r="C2242">
        <v>0</v>
      </c>
      <c r="D2242">
        <v>17</v>
      </c>
      <c r="E2242" t="s">
        <v>2193</v>
      </c>
    </row>
    <row r="2243" spans="1:5">
      <c r="A2243">
        <f>HYPERLINK("http://www.twitter.com/FDNY/status/742501363427508225", "742501363427508225")</f>
        <v>0</v>
      </c>
      <c r="B2243" s="2">
        <v>42534.9848842593</v>
      </c>
      <c r="C2243">
        <v>24</v>
      </c>
      <c r="D2243">
        <v>15</v>
      </c>
      <c r="E2243" t="s">
        <v>2194</v>
      </c>
    </row>
    <row r="2244" spans="1:5">
      <c r="A2244">
        <f>HYPERLINK("http://www.twitter.com/FDNY/status/742497858960674816", "742497858960674816")</f>
        <v>0</v>
      </c>
      <c r="B2244" s="2">
        <v>42534.9752199074</v>
      </c>
      <c r="C2244">
        <v>0</v>
      </c>
      <c r="D2244">
        <v>10</v>
      </c>
      <c r="E2244" t="s">
        <v>2195</v>
      </c>
    </row>
    <row r="2245" spans="1:5">
      <c r="A2245">
        <f>HYPERLINK("http://www.twitter.com/FDNY/status/742497808087961600", "742497808087961600")</f>
        <v>0</v>
      </c>
      <c r="B2245" s="2">
        <v>42534.9750810185</v>
      </c>
      <c r="C2245">
        <v>11</v>
      </c>
      <c r="D2245">
        <v>12</v>
      </c>
      <c r="E2245" t="s">
        <v>2196</v>
      </c>
    </row>
    <row r="2246" spans="1:5">
      <c r="A2246">
        <f>HYPERLINK("http://www.twitter.com/FDNY/status/742496657162567680", "742496657162567680")</f>
        <v>0</v>
      </c>
      <c r="B2246" s="2">
        <v>42534.9718981481</v>
      </c>
      <c r="C2246">
        <v>0</v>
      </c>
      <c r="D2246">
        <v>30</v>
      </c>
      <c r="E2246" t="s">
        <v>2197</v>
      </c>
    </row>
    <row r="2247" spans="1:5">
      <c r="A2247">
        <f>HYPERLINK("http://www.twitter.com/FDNY/status/742496157742596096", "742496157742596096")</f>
        <v>0</v>
      </c>
      <c r="B2247" s="2">
        <v>42534.9705208333</v>
      </c>
      <c r="C2247">
        <v>8</v>
      </c>
      <c r="D2247">
        <v>3</v>
      </c>
      <c r="E2247" t="s">
        <v>2198</v>
      </c>
    </row>
    <row r="2248" spans="1:5">
      <c r="A2248">
        <f>HYPERLINK("http://www.twitter.com/FDNY/status/742486811033894912", "742486811033894912")</f>
        <v>0</v>
      </c>
      <c r="B2248" s="2">
        <v>42534.9447337963</v>
      </c>
      <c r="C2248">
        <v>29</v>
      </c>
      <c r="D2248">
        <v>6</v>
      </c>
      <c r="E2248" t="s">
        <v>2199</v>
      </c>
    </row>
    <row r="2249" spans="1:5">
      <c r="A2249">
        <f>HYPERLINK("http://www.twitter.com/FDNY/status/742486684990877696", "742486684990877696")</f>
        <v>0</v>
      </c>
      <c r="B2249" s="2">
        <v>42534.9443865741</v>
      </c>
      <c r="C2249">
        <v>30</v>
      </c>
      <c r="D2249">
        <v>19</v>
      </c>
      <c r="E2249" t="s">
        <v>2200</v>
      </c>
    </row>
    <row r="2250" spans="1:5">
      <c r="A2250">
        <f>HYPERLINK("http://www.twitter.com/FDNY/status/742486501834002432", "742486501834002432")</f>
        <v>0</v>
      </c>
      <c r="B2250" s="2">
        <v>42534.9438773148</v>
      </c>
      <c r="C2250">
        <v>34</v>
      </c>
      <c r="D2250">
        <v>14</v>
      </c>
      <c r="E2250" t="s">
        <v>2201</v>
      </c>
    </row>
    <row r="2251" spans="1:5">
      <c r="A2251">
        <f>HYPERLINK("http://www.twitter.com/FDNY/status/742486337123721216", "742486337123721216")</f>
        <v>0</v>
      </c>
      <c r="B2251" s="2">
        <v>42534.9434259259</v>
      </c>
      <c r="C2251">
        <v>26</v>
      </c>
      <c r="D2251">
        <v>6</v>
      </c>
      <c r="E2251" t="s">
        <v>2202</v>
      </c>
    </row>
    <row r="2252" spans="1:5">
      <c r="A2252">
        <f>HYPERLINK("http://www.twitter.com/FDNY/status/742486065873883137", "742486065873883137")</f>
        <v>0</v>
      </c>
      <c r="B2252" s="2">
        <v>42534.9426736111</v>
      </c>
      <c r="C2252">
        <v>34</v>
      </c>
      <c r="D2252">
        <v>16</v>
      </c>
      <c r="E2252" t="s">
        <v>2203</v>
      </c>
    </row>
    <row r="2253" spans="1:5">
      <c r="A2253">
        <f>HYPERLINK("http://www.twitter.com/FDNY/status/742485194045808641", "742485194045808641")</f>
        <v>0</v>
      </c>
      <c r="B2253" s="2">
        <v>42534.9402662037</v>
      </c>
      <c r="C2253">
        <v>47</v>
      </c>
      <c r="D2253">
        <v>24</v>
      </c>
      <c r="E2253" t="s">
        <v>2204</v>
      </c>
    </row>
    <row r="2254" spans="1:5">
      <c r="A2254">
        <f>HYPERLINK("http://www.twitter.com/FDNY/status/742478231136305152", "742478231136305152")</f>
        <v>0</v>
      </c>
      <c r="B2254" s="2">
        <v>42534.9210532407</v>
      </c>
      <c r="C2254">
        <v>43</v>
      </c>
      <c r="D2254">
        <v>28</v>
      </c>
      <c r="E2254" t="s">
        <v>2205</v>
      </c>
    </row>
    <row r="2255" spans="1:5">
      <c r="A2255">
        <f>HYPERLINK("http://www.twitter.com/FDNY/status/742477851258191872", "742477851258191872")</f>
        <v>0</v>
      </c>
      <c r="B2255" s="2">
        <v>42534.92</v>
      </c>
      <c r="C2255">
        <v>96</v>
      </c>
      <c r="D2255">
        <v>53</v>
      </c>
      <c r="E2255" t="s">
        <v>2206</v>
      </c>
    </row>
    <row r="2256" spans="1:5">
      <c r="A2256">
        <f>HYPERLINK("http://www.twitter.com/FDNY/status/742421716098486273", "742421716098486273")</f>
        <v>0</v>
      </c>
      <c r="B2256" s="2">
        <v>42534.7651041667</v>
      </c>
      <c r="C2256">
        <v>0</v>
      </c>
      <c r="D2256">
        <v>6</v>
      </c>
      <c r="E2256" t="s">
        <v>2207</v>
      </c>
    </row>
    <row r="2257" spans="1:5">
      <c r="A2257">
        <f>HYPERLINK("http://www.twitter.com/FDNY/status/742154536853331968", "742154536853331968")</f>
        <v>0</v>
      </c>
      <c r="B2257" s="2">
        <v>42534.0278240741</v>
      </c>
      <c r="C2257">
        <v>95</v>
      </c>
      <c r="D2257">
        <v>64</v>
      </c>
      <c r="E2257" t="s">
        <v>2208</v>
      </c>
    </row>
    <row r="2258" spans="1:5">
      <c r="A2258">
        <f>HYPERLINK("http://www.twitter.com/FDNY/status/742119761815973888", "742119761815973888")</f>
        <v>0</v>
      </c>
      <c r="B2258" s="2">
        <v>42533.9318634259</v>
      </c>
      <c r="C2258">
        <v>0</v>
      </c>
      <c r="D2258">
        <v>16</v>
      </c>
      <c r="E2258" t="s">
        <v>2209</v>
      </c>
    </row>
    <row r="2259" spans="1:5">
      <c r="A2259">
        <f>HYPERLINK("http://www.twitter.com/FDNY/status/742101336863461376", "742101336863461376")</f>
        <v>0</v>
      </c>
      <c r="B2259" s="2">
        <v>42533.8810185185</v>
      </c>
      <c r="C2259">
        <v>0</v>
      </c>
      <c r="D2259">
        <v>11</v>
      </c>
      <c r="E2259" t="s">
        <v>2210</v>
      </c>
    </row>
    <row r="2260" spans="1:5">
      <c r="A2260">
        <f>HYPERLINK("http://www.twitter.com/FDNY/status/742101190914248704", "742101190914248704")</f>
        <v>0</v>
      </c>
      <c r="B2260" s="2">
        <v>42533.880625</v>
      </c>
      <c r="C2260">
        <v>64</v>
      </c>
      <c r="D2260">
        <v>38</v>
      </c>
      <c r="E2260" t="s">
        <v>2211</v>
      </c>
    </row>
    <row r="2261" spans="1:5">
      <c r="A2261">
        <f>HYPERLINK("http://www.twitter.com/FDNY/status/742096142381527040", "742096142381527040")</f>
        <v>0</v>
      </c>
      <c r="B2261" s="2">
        <v>42533.8666898148</v>
      </c>
      <c r="C2261">
        <v>50</v>
      </c>
      <c r="D2261">
        <v>29</v>
      </c>
      <c r="E2261" t="s">
        <v>2212</v>
      </c>
    </row>
    <row r="2262" spans="1:5">
      <c r="A2262">
        <f>HYPERLINK("http://www.twitter.com/FDNY/status/742095452418498560", "742095452418498560")</f>
        <v>0</v>
      </c>
      <c r="B2262" s="2">
        <v>42533.8647800926</v>
      </c>
      <c r="C2262">
        <v>0</v>
      </c>
      <c r="D2262">
        <v>18</v>
      </c>
      <c r="E2262" t="s">
        <v>2213</v>
      </c>
    </row>
    <row r="2263" spans="1:5">
      <c r="A2263">
        <f>HYPERLINK("http://www.twitter.com/FDNY/status/742084680674070529", "742084680674070529")</f>
        <v>0</v>
      </c>
      <c r="B2263" s="2">
        <v>42533.8350578704</v>
      </c>
      <c r="C2263">
        <v>39</v>
      </c>
      <c r="D2263">
        <v>34</v>
      </c>
      <c r="E2263" t="s">
        <v>2214</v>
      </c>
    </row>
    <row r="2264" spans="1:5">
      <c r="A2264">
        <f>HYPERLINK("http://www.twitter.com/FDNY/status/742076646593822720", "742076646593822720")</f>
        <v>0</v>
      </c>
      <c r="B2264" s="2">
        <v>42533.8128935185</v>
      </c>
      <c r="C2264">
        <v>0</v>
      </c>
      <c r="D2264">
        <v>18</v>
      </c>
      <c r="E2264" t="s">
        <v>2215</v>
      </c>
    </row>
    <row r="2265" spans="1:5">
      <c r="A2265">
        <f>HYPERLINK("http://www.twitter.com/FDNY/status/742068980123336704", "742068980123336704")</f>
        <v>0</v>
      </c>
      <c r="B2265" s="2">
        <v>42533.7917361111</v>
      </c>
      <c r="C2265">
        <v>47</v>
      </c>
      <c r="D2265">
        <v>37</v>
      </c>
      <c r="E2265" t="s">
        <v>2216</v>
      </c>
    </row>
    <row r="2266" spans="1:5">
      <c r="A2266">
        <f>HYPERLINK("http://www.twitter.com/FDNY/status/742065732561862657", "742065732561862657")</f>
        <v>0</v>
      </c>
      <c r="B2266" s="2">
        <v>42533.7827777778</v>
      </c>
      <c r="C2266">
        <v>0</v>
      </c>
      <c r="D2266">
        <v>11</v>
      </c>
      <c r="E2266" t="s">
        <v>2217</v>
      </c>
    </row>
    <row r="2267" spans="1:5">
      <c r="A2267">
        <f>HYPERLINK("http://www.twitter.com/FDNY/status/742053537224527872", "742053537224527872")</f>
        <v>0</v>
      </c>
      <c r="B2267" s="2">
        <v>42533.7491203704</v>
      </c>
      <c r="C2267">
        <v>0</v>
      </c>
      <c r="D2267">
        <v>6</v>
      </c>
      <c r="E2267" t="s">
        <v>2218</v>
      </c>
    </row>
    <row r="2268" spans="1:5">
      <c r="A2268">
        <f>HYPERLINK("http://www.twitter.com/FDNY/status/742050277986054144", "742050277986054144")</f>
        <v>0</v>
      </c>
      <c r="B2268" s="2">
        <v>42533.7401273148</v>
      </c>
      <c r="C2268">
        <v>0</v>
      </c>
      <c r="D2268">
        <v>233</v>
      </c>
      <c r="E2268" t="s">
        <v>2219</v>
      </c>
    </row>
    <row r="2269" spans="1:5">
      <c r="A2269">
        <f>HYPERLINK("http://www.twitter.com/FDNY/status/742050238429560840", "742050238429560840")</f>
        <v>0</v>
      </c>
      <c r="B2269" s="2">
        <v>42533.7400231482</v>
      </c>
      <c r="C2269">
        <v>0</v>
      </c>
      <c r="D2269">
        <v>113</v>
      </c>
      <c r="E2269" t="s">
        <v>2220</v>
      </c>
    </row>
    <row r="2270" spans="1:5">
      <c r="A2270">
        <f>HYPERLINK("http://www.twitter.com/FDNY/status/742045423985119232", "742045423985119232")</f>
        <v>0</v>
      </c>
      <c r="B2270" s="2">
        <v>42533.7267361111</v>
      </c>
      <c r="C2270">
        <v>0</v>
      </c>
      <c r="D2270">
        <v>6</v>
      </c>
      <c r="E2270" t="s">
        <v>2221</v>
      </c>
    </row>
    <row r="2271" spans="1:5">
      <c r="A2271">
        <f>HYPERLINK("http://www.twitter.com/FDNY/status/742036909988425728", "742036909988425728")</f>
        <v>0</v>
      </c>
      <c r="B2271" s="2">
        <v>42533.7032407407</v>
      </c>
      <c r="C2271">
        <v>39</v>
      </c>
      <c r="D2271">
        <v>21</v>
      </c>
      <c r="E2271" t="s">
        <v>2222</v>
      </c>
    </row>
    <row r="2272" spans="1:5">
      <c r="A2272">
        <f>HYPERLINK("http://www.twitter.com/FDNY/status/742028358469472257", "742028358469472257")</f>
        <v>0</v>
      </c>
      <c r="B2272" s="2">
        <v>42533.6796412037</v>
      </c>
      <c r="C2272">
        <v>27</v>
      </c>
      <c r="D2272">
        <v>14</v>
      </c>
      <c r="E2272" t="s">
        <v>2223</v>
      </c>
    </row>
    <row r="2273" spans="1:5">
      <c r="A2273">
        <f>HYPERLINK("http://www.twitter.com/FDNY/status/741975178184380418", "741975178184380418")</f>
        <v>0</v>
      </c>
      <c r="B2273" s="2">
        <v>42533.5328935185</v>
      </c>
      <c r="C2273">
        <v>6</v>
      </c>
      <c r="D2273">
        <v>8</v>
      </c>
      <c r="E2273" t="s">
        <v>2224</v>
      </c>
    </row>
    <row r="2274" spans="1:5">
      <c r="A2274">
        <f>HYPERLINK("http://www.twitter.com/FDNY/status/741973305238949888", "741973305238949888")</f>
        <v>0</v>
      </c>
      <c r="B2274" s="2">
        <v>42533.5277199074</v>
      </c>
      <c r="C2274">
        <v>19</v>
      </c>
      <c r="D2274">
        <v>8</v>
      </c>
      <c r="E2274" t="s">
        <v>2225</v>
      </c>
    </row>
    <row r="2275" spans="1:5">
      <c r="A2275">
        <f>HYPERLINK("http://www.twitter.com/FDNY/status/741832541708165121", "741832541708165121")</f>
        <v>0</v>
      </c>
      <c r="B2275" s="2">
        <v>42533.1392939815</v>
      </c>
      <c r="C2275">
        <v>0</v>
      </c>
      <c r="D2275">
        <v>2</v>
      </c>
      <c r="E2275" t="s">
        <v>2145</v>
      </c>
    </row>
    <row r="2276" spans="1:5">
      <c r="A2276">
        <f>HYPERLINK("http://www.twitter.com/FDNY/status/741832521739079680", "741832521739079680")</f>
        <v>0</v>
      </c>
      <c r="B2276" s="2">
        <v>42533.1392361111</v>
      </c>
      <c r="C2276">
        <v>0</v>
      </c>
      <c r="D2276">
        <v>8</v>
      </c>
      <c r="E2276" t="s">
        <v>2226</v>
      </c>
    </row>
    <row r="2277" spans="1:5">
      <c r="A2277">
        <f>HYPERLINK("http://www.twitter.com/FDNY/status/741832504156512256", "741832504156512256")</f>
        <v>0</v>
      </c>
      <c r="B2277" s="2">
        <v>42533.1391898148</v>
      </c>
      <c r="C2277">
        <v>0</v>
      </c>
      <c r="D2277">
        <v>3</v>
      </c>
      <c r="E2277" t="s">
        <v>2227</v>
      </c>
    </row>
    <row r="2278" spans="1:5">
      <c r="A2278">
        <f>HYPERLINK("http://www.twitter.com/FDNY/status/741832489879080961", "741832489879080961")</f>
        <v>0</v>
      </c>
      <c r="B2278" s="2">
        <v>42533.1391435185</v>
      </c>
      <c r="C2278">
        <v>0</v>
      </c>
      <c r="D2278">
        <v>12</v>
      </c>
      <c r="E2278" t="s">
        <v>2228</v>
      </c>
    </row>
    <row r="2279" spans="1:5">
      <c r="A2279">
        <f>HYPERLINK("http://www.twitter.com/FDNY/status/741745448533299200", "741745448533299200")</f>
        <v>0</v>
      </c>
      <c r="B2279" s="2">
        <v>42532.8989583333</v>
      </c>
      <c r="C2279">
        <v>0</v>
      </c>
      <c r="D2279">
        <v>5</v>
      </c>
      <c r="E2279" t="s">
        <v>2229</v>
      </c>
    </row>
    <row r="2280" spans="1:5">
      <c r="A2280">
        <f>HYPERLINK("http://www.twitter.com/FDNY/status/741708968834281472", "741708968834281472")</f>
        <v>0</v>
      </c>
      <c r="B2280" s="2">
        <v>42532.7982986111</v>
      </c>
      <c r="C2280">
        <v>15</v>
      </c>
      <c r="D2280">
        <v>11</v>
      </c>
      <c r="E2280" t="s">
        <v>2230</v>
      </c>
    </row>
    <row r="2281" spans="1:5">
      <c r="A2281">
        <f>HYPERLINK("http://www.twitter.com/FDNY/status/741660930786918400", "741660930786918400")</f>
        <v>0</v>
      </c>
      <c r="B2281" s="2">
        <v>42532.6657291667</v>
      </c>
      <c r="C2281">
        <v>16</v>
      </c>
      <c r="D2281">
        <v>7</v>
      </c>
      <c r="E2281" t="s">
        <v>2231</v>
      </c>
    </row>
    <row r="2282" spans="1:5">
      <c r="A2282">
        <f>HYPERLINK("http://www.twitter.com/FDNY/status/741658369245773826", "741658369245773826")</f>
        <v>0</v>
      </c>
      <c r="B2282" s="2">
        <v>42532.6586689815</v>
      </c>
      <c r="C2282">
        <v>0</v>
      </c>
      <c r="D2282">
        <v>4</v>
      </c>
      <c r="E2282" t="s">
        <v>2232</v>
      </c>
    </row>
    <row r="2283" spans="1:5">
      <c r="A2283">
        <f>HYPERLINK("http://www.twitter.com/FDNY/status/741658266900533248", "741658266900533248")</f>
        <v>0</v>
      </c>
      <c r="B2283" s="2">
        <v>42532.6583796296</v>
      </c>
      <c r="C2283">
        <v>18</v>
      </c>
      <c r="D2283">
        <v>8</v>
      </c>
      <c r="E2283" t="s">
        <v>2233</v>
      </c>
    </row>
    <row r="2284" spans="1:5">
      <c r="A2284">
        <f>HYPERLINK("http://www.twitter.com/FDNY/status/741658143663460352", "741658143663460352")</f>
        <v>0</v>
      </c>
      <c r="B2284" s="2">
        <v>42532.6580439815</v>
      </c>
      <c r="C2284">
        <v>7</v>
      </c>
      <c r="D2284">
        <v>5</v>
      </c>
      <c r="E2284" t="s">
        <v>2234</v>
      </c>
    </row>
    <row r="2285" spans="1:5">
      <c r="A2285">
        <f>HYPERLINK("http://www.twitter.com/FDNY/status/741656988908683265", "741656988908683265")</f>
        <v>0</v>
      </c>
      <c r="B2285" s="2">
        <v>42532.6548611111</v>
      </c>
      <c r="C2285">
        <v>22</v>
      </c>
      <c r="D2285">
        <v>15</v>
      </c>
      <c r="E2285" t="s">
        <v>2235</v>
      </c>
    </row>
    <row r="2286" spans="1:5">
      <c r="A2286">
        <f>HYPERLINK("http://www.twitter.com/FDNY/status/741654491901100034", "741654491901100034")</f>
        <v>0</v>
      </c>
      <c r="B2286" s="2">
        <v>42532.647962963</v>
      </c>
      <c r="C2286">
        <v>38</v>
      </c>
      <c r="D2286">
        <v>19</v>
      </c>
      <c r="E2286" t="s">
        <v>2236</v>
      </c>
    </row>
    <row r="2287" spans="1:5">
      <c r="A2287">
        <f>HYPERLINK("http://www.twitter.com/FDNY/status/741643718445387776", "741643718445387776")</f>
        <v>0</v>
      </c>
      <c r="B2287" s="2">
        <v>42532.6182407407</v>
      </c>
      <c r="C2287">
        <v>47</v>
      </c>
      <c r="D2287">
        <v>18</v>
      </c>
      <c r="E2287" t="s">
        <v>2237</v>
      </c>
    </row>
    <row r="2288" spans="1:5">
      <c r="A2288">
        <f>HYPERLINK("http://www.twitter.com/FDNY/status/741435660809211904", "741435660809211904")</f>
        <v>0</v>
      </c>
      <c r="B2288" s="2">
        <v>42532.0441087963</v>
      </c>
      <c r="C2288">
        <v>29</v>
      </c>
      <c r="D2288">
        <v>10</v>
      </c>
      <c r="E2288" t="s">
        <v>2238</v>
      </c>
    </row>
    <row r="2289" spans="1:5">
      <c r="A2289">
        <f>HYPERLINK("http://www.twitter.com/FDNY/status/741392840534691840", "741392840534691840")</f>
        <v>0</v>
      </c>
      <c r="B2289" s="2">
        <v>42531.9259490741</v>
      </c>
      <c r="C2289">
        <v>0</v>
      </c>
      <c r="D2289">
        <v>9</v>
      </c>
      <c r="E2289" t="s">
        <v>2239</v>
      </c>
    </row>
    <row r="2290" spans="1:5">
      <c r="A2290">
        <f>HYPERLINK("http://www.twitter.com/FDNY/status/741372010903830531", "741372010903830531")</f>
        <v>0</v>
      </c>
      <c r="B2290" s="2">
        <v>42531.8684722222</v>
      </c>
      <c r="C2290">
        <v>13</v>
      </c>
      <c r="D2290">
        <v>9</v>
      </c>
      <c r="E2290" t="s">
        <v>2240</v>
      </c>
    </row>
    <row r="2291" spans="1:5">
      <c r="A2291">
        <f>HYPERLINK("http://www.twitter.com/FDNY/status/741322065937063936", "741322065937063936")</f>
        <v>0</v>
      </c>
      <c r="B2291" s="2">
        <v>42531.7306481482</v>
      </c>
      <c r="C2291">
        <v>14</v>
      </c>
      <c r="D2291">
        <v>13</v>
      </c>
      <c r="E2291" t="s">
        <v>2241</v>
      </c>
    </row>
    <row r="2292" spans="1:5">
      <c r="A2292">
        <f>HYPERLINK("http://www.twitter.com/FDNY/status/741300311537635329", "741300311537635329")</f>
        <v>0</v>
      </c>
      <c r="B2292" s="2">
        <v>42531.6706134259</v>
      </c>
      <c r="C2292">
        <v>45</v>
      </c>
      <c r="D2292">
        <v>14</v>
      </c>
      <c r="E2292" t="s">
        <v>2242</v>
      </c>
    </row>
    <row r="2293" spans="1:5">
      <c r="A2293">
        <f>HYPERLINK("http://www.twitter.com/FDNY/status/741059487319109632", "741059487319109632")</f>
        <v>0</v>
      </c>
      <c r="B2293" s="2">
        <v>42531.0060648148</v>
      </c>
      <c r="C2293">
        <v>0</v>
      </c>
      <c r="D2293">
        <v>5</v>
      </c>
      <c r="E2293" t="s">
        <v>2243</v>
      </c>
    </row>
    <row r="2294" spans="1:5">
      <c r="A2294">
        <f>HYPERLINK("http://www.twitter.com/FDNY/status/741059425373421568", "741059425373421568")</f>
        <v>0</v>
      </c>
      <c r="B2294" s="2">
        <v>42531.0058912037</v>
      </c>
      <c r="C2294">
        <v>0</v>
      </c>
      <c r="D2294">
        <v>3</v>
      </c>
      <c r="E2294" t="s">
        <v>2244</v>
      </c>
    </row>
    <row r="2295" spans="1:5">
      <c r="A2295">
        <f>HYPERLINK("http://www.twitter.com/FDNY/status/741023468574154752", "741023468574154752")</f>
        <v>0</v>
      </c>
      <c r="B2295" s="2">
        <v>42530.9066782407</v>
      </c>
      <c r="C2295">
        <v>0</v>
      </c>
      <c r="D2295">
        <v>7</v>
      </c>
      <c r="E2295" t="s">
        <v>2245</v>
      </c>
    </row>
    <row r="2296" spans="1:5">
      <c r="A2296">
        <f>HYPERLINK("http://www.twitter.com/FDNY/status/740997282523426816", "740997282523426816")</f>
        <v>0</v>
      </c>
      <c r="B2296" s="2">
        <v>42530.8344097222</v>
      </c>
      <c r="C2296">
        <v>43</v>
      </c>
      <c r="D2296">
        <v>15</v>
      </c>
      <c r="E2296" t="s">
        <v>2246</v>
      </c>
    </row>
    <row r="2297" spans="1:5">
      <c r="A2297">
        <f>HYPERLINK("http://www.twitter.com/FDNY/status/740994456229449730", "740994456229449730")</f>
        <v>0</v>
      </c>
      <c r="B2297" s="2">
        <v>42530.8266203704</v>
      </c>
      <c r="C2297">
        <v>5</v>
      </c>
      <c r="D2297">
        <v>11</v>
      </c>
      <c r="E2297" t="s">
        <v>2247</v>
      </c>
    </row>
    <row r="2298" spans="1:5">
      <c r="A2298">
        <f>HYPERLINK("http://www.twitter.com/FDNY/status/740967157148884995", "740967157148884995")</f>
        <v>0</v>
      </c>
      <c r="B2298" s="2">
        <v>42530.7512847222</v>
      </c>
      <c r="C2298">
        <v>0</v>
      </c>
      <c r="D2298">
        <v>6</v>
      </c>
      <c r="E2298" t="s">
        <v>2248</v>
      </c>
    </row>
    <row r="2299" spans="1:5">
      <c r="A2299">
        <f>HYPERLINK("http://www.twitter.com/FDNY/status/740966767464460288", "740966767464460288")</f>
        <v>0</v>
      </c>
      <c r="B2299" s="2">
        <v>42530.7502083333</v>
      </c>
      <c r="C2299">
        <v>0</v>
      </c>
      <c r="D2299">
        <v>6</v>
      </c>
      <c r="E2299" t="s">
        <v>2249</v>
      </c>
    </row>
    <row r="2300" spans="1:5">
      <c r="A2300">
        <f>HYPERLINK("http://www.twitter.com/FDNY/status/740966653597515776", "740966653597515776")</f>
        <v>0</v>
      </c>
      <c r="B2300" s="2">
        <v>42530.7498958333</v>
      </c>
      <c r="C2300">
        <v>0</v>
      </c>
      <c r="D2300">
        <v>5</v>
      </c>
      <c r="E2300" t="s">
        <v>2250</v>
      </c>
    </row>
    <row r="2301" spans="1:5">
      <c r="A2301">
        <f>HYPERLINK("http://www.twitter.com/FDNY/status/740940393349517312", "740940393349517312")</f>
        <v>0</v>
      </c>
      <c r="B2301" s="2">
        <v>42530.6774305556</v>
      </c>
      <c r="C2301">
        <v>14</v>
      </c>
      <c r="D2301">
        <v>19</v>
      </c>
      <c r="E2301" t="s">
        <v>2251</v>
      </c>
    </row>
    <row r="2302" spans="1:5">
      <c r="A2302">
        <f>HYPERLINK("http://www.twitter.com/FDNY/status/740915756456652800", "740915756456652800")</f>
        <v>0</v>
      </c>
      <c r="B2302" s="2">
        <v>42530.6094444444</v>
      </c>
      <c r="C2302">
        <v>0</v>
      </c>
      <c r="D2302">
        <v>7</v>
      </c>
      <c r="E2302" t="s">
        <v>2252</v>
      </c>
    </row>
    <row r="2303" spans="1:5">
      <c r="A2303">
        <f>HYPERLINK("http://www.twitter.com/FDNY/status/740911883557982208", "740911883557982208")</f>
        <v>0</v>
      </c>
      <c r="B2303" s="2">
        <v>42530.5987615741</v>
      </c>
      <c r="C2303">
        <v>0</v>
      </c>
      <c r="D2303">
        <v>8</v>
      </c>
      <c r="E2303" t="s">
        <v>2253</v>
      </c>
    </row>
    <row r="2304" spans="1:5">
      <c r="A2304">
        <f>HYPERLINK("http://www.twitter.com/FDNY/status/740907264501030912", "740907264501030912")</f>
        <v>0</v>
      </c>
      <c r="B2304" s="2">
        <v>42530.5860069444</v>
      </c>
      <c r="C2304">
        <v>0</v>
      </c>
      <c r="D2304">
        <v>27</v>
      </c>
      <c r="E2304" t="s">
        <v>2254</v>
      </c>
    </row>
    <row r="2305" spans="1:5">
      <c r="A2305">
        <f>HYPERLINK("http://www.twitter.com/FDNY/status/740906659728502784", "740906659728502784")</f>
        <v>0</v>
      </c>
      <c r="B2305" s="2">
        <v>42530.5843402778</v>
      </c>
      <c r="C2305">
        <v>23</v>
      </c>
      <c r="D2305">
        <v>11</v>
      </c>
      <c r="E2305" t="s">
        <v>2255</v>
      </c>
    </row>
    <row r="2306" spans="1:5">
      <c r="A2306">
        <f>HYPERLINK("http://www.twitter.com/FDNY/status/740715395150143492", "740715395150143492")</f>
        <v>0</v>
      </c>
      <c r="B2306" s="2">
        <v>42530.0565509259</v>
      </c>
      <c r="C2306">
        <v>114</v>
      </c>
      <c r="D2306">
        <v>21</v>
      </c>
      <c r="E2306" t="s">
        <v>2256</v>
      </c>
    </row>
    <row r="2307" spans="1:5">
      <c r="A2307">
        <f>HYPERLINK("http://www.twitter.com/FDNY/status/740634199376470021", "740634199376470021")</f>
        <v>0</v>
      </c>
      <c r="B2307" s="2">
        <v>42529.8325</v>
      </c>
      <c r="C2307">
        <v>0</v>
      </c>
      <c r="D2307">
        <v>2</v>
      </c>
      <c r="E2307" t="s">
        <v>2257</v>
      </c>
    </row>
    <row r="2308" spans="1:5">
      <c r="A2308">
        <f>HYPERLINK("http://www.twitter.com/FDNY/status/740599391787044864", "740599391787044864")</f>
        <v>0</v>
      </c>
      <c r="B2308" s="2">
        <v>42529.7364467593</v>
      </c>
      <c r="C2308">
        <v>21</v>
      </c>
      <c r="D2308">
        <v>8</v>
      </c>
      <c r="E2308" t="s">
        <v>2258</v>
      </c>
    </row>
    <row r="2309" spans="1:5">
      <c r="A2309">
        <f>HYPERLINK("http://www.twitter.com/FDNY/status/740549077570596864", "740549077570596864")</f>
        <v>0</v>
      </c>
      <c r="B2309" s="2">
        <v>42529.5976041667</v>
      </c>
      <c r="C2309">
        <v>5</v>
      </c>
      <c r="D2309">
        <v>6</v>
      </c>
      <c r="E2309" t="s">
        <v>2259</v>
      </c>
    </row>
    <row r="2310" spans="1:5">
      <c r="A2310">
        <f>HYPERLINK("http://www.twitter.com/FDNY/status/740543579605630976", "740543579605630976")</f>
        <v>0</v>
      </c>
      <c r="B2310" s="2">
        <v>42529.5824305556</v>
      </c>
      <c r="C2310">
        <v>8</v>
      </c>
      <c r="D2310">
        <v>10</v>
      </c>
      <c r="E2310" t="s">
        <v>2260</v>
      </c>
    </row>
    <row r="2311" spans="1:5">
      <c r="A2311">
        <f>HYPERLINK("http://www.twitter.com/FDNY/status/740375400182878208", "740375400182878208")</f>
        <v>0</v>
      </c>
      <c r="B2311" s="2">
        <v>42529.1183449074</v>
      </c>
      <c r="C2311">
        <v>0</v>
      </c>
      <c r="D2311">
        <v>7</v>
      </c>
      <c r="E2311" t="s">
        <v>2261</v>
      </c>
    </row>
    <row r="2312" spans="1:5">
      <c r="A2312">
        <f>HYPERLINK("http://www.twitter.com/FDNY/status/740258681636442113", "740258681636442113")</f>
        <v>0</v>
      </c>
      <c r="B2312" s="2">
        <v>42528.7962615741</v>
      </c>
      <c r="C2312">
        <v>137</v>
      </c>
      <c r="D2312">
        <v>63</v>
      </c>
      <c r="E2312" t="s">
        <v>2262</v>
      </c>
    </row>
    <row r="2313" spans="1:5">
      <c r="A2313">
        <f>HYPERLINK("http://www.twitter.com/FDNY/status/740232889737064450", "740232889737064450")</f>
        <v>0</v>
      </c>
      <c r="B2313" s="2">
        <v>42528.7250925926</v>
      </c>
      <c r="C2313">
        <v>7</v>
      </c>
      <c r="D2313">
        <v>5</v>
      </c>
      <c r="E2313" t="s">
        <v>2263</v>
      </c>
    </row>
    <row r="2314" spans="1:5">
      <c r="A2314">
        <f>HYPERLINK("http://www.twitter.com/FDNY/status/740228808960266240", "740228808960266240")</f>
        <v>0</v>
      </c>
      <c r="B2314" s="2">
        <v>42528.7138310185</v>
      </c>
      <c r="C2314">
        <v>10</v>
      </c>
      <c r="D2314">
        <v>11</v>
      </c>
      <c r="E2314" t="s">
        <v>2264</v>
      </c>
    </row>
    <row r="2315" spans="1:5">
      <c r="A2315">
        <f>HYPERLINK("http://www.twitter.com/FDNY/status/740224422473302016", "740224422473302016")</f>
        <v>0</v>
      </c>
      <c r="B2315" s="2">
        <v>42528.701724537</v>
      </c>
      <c r="C2315">
        <v>4</v>
      </c>
      <c r="D2315">
        <v>8</v>
      </c>
      <c r="E2315" t="s">
        <v>2265</v>
      </c>
    </row>
    <row r="2316" spans="1:5">
      <c r="A2316">
        <f>HYPERLINK("http://www.twitter.com/FDNY/status/740203199823532032", "740203199823532032")</f>
        <v>0</v>
      </c>
      <c r="B2316" s="2">
        <v>42528.6431597222</v>
      </c>
      <c r="C2316">
        <v>0</v>
      </c>
      <c r="D2316">
        <v>7</v>
      </c>
      <c r="E2316" t="s">
        <v>2145</v>
      </c>
    </row>
    <row r="2317" spans="1:5">
      <c r="A2317">
        <f>HYPERLINK("http://www.twitter.com/FDNY/status/740171589870845952", "740171589870845952")</f>
        <v>0</v>
      </c>
      <c r="B2317" s="2">
        <v>42528.5559375</v>
      </c>
      <c r="C2317">
        <v>9</v>
      </c>
      <c r="D2317">
        <v>8</v>
      </c>
      <c r="E2317" t="s">
        <v>2266</v>
      </c>
    </row>
    <row r="2318" spans="1:5">
      <c r="A2318">
        <f>HYPERLINK("http://www.twitter.com/FDNY/status/739943298199134210", "739943298199134210")</f>
        <v>0</v>
      </c>
      <c r="B2318" s="2">
        <v>42527.9259722222</v>
      </c>
      <c r="C2318">
        <v>14</v>
      </c>
      <c r="D2318">
        <v>6</v>
      </c>
      <c r="E2318" t="s">
        <v>2267</v>
      </c>
    </row>
    <row r="2319" spans="1:5">
      <c r="A2319">
        <f>HYPERLINK("http://www.twitter.com/FDNY/status/739919667565875202", "739919667565875202")</f>
        <v>0</v>
      </c>
      <c r="B2319" s="2">
        <v>42527.8607638889</v>
      </c>
      <c r="C2319">
        <v>0</v>
      </c>
      <c r="D2319">
        <v>0</v>
      </c>
      <c r="E2319" t="s">
        <v>2268</v>
      </c>
    </row>
    <row r="2320" spans="1:5">
      <c r="A2320">
        <f>HYPERLINK("http://www.twitter.com/FDNY/status/739894965824847873", "739894965824847873")</f>
        <v>0</v>
      </c>
      <c r="B2320" s="2">
        <v>42527.7926041667</v>
      </c>
      <c r="C2320">
        <v>21</v>
      </c>
      <c r="D2320">
        <v>11</v>
      </c>
      <c r="E2320" t="s">
        <v>2269</v>
      </c>
    </row>
    <row r="2321" spans="1:5">
      <c r="A2321">
        <f>HYPERLINK("http://www.twitter.com/FDNY/status/739894006608465921", "739894006608465921")</f>
        <v>0</v>
      </c>
      <c r="B2321" s="2">
        <v>42527.7899537037</v>
      </c>
      <c r="C2321">
        <v>10</v>
      </c>
      <c r="D2321">
        <v>8</v>
      </c>
      <c r="E2321" t="s">
        <v>2270</v>
      </c>
    </row>
    <row r="2322" spans="1:5">
      <c r="A2322">
        <f>HYPERLINK("http://www.twitter.com/FDNY/status/739888519280201729", "739888519280201729")</f>
        <v>0</v>
      </c>
      <c r="B2322" s="2">
        <v>42527.7748148148</v>
      </c>
      <c r="C2322">
        <v>10</v>
      </c>
      <c r="D2322">
        <v>4</v>
      </c>
      <c r="E2322" t="s">
        <v>2271</v>
      </c>
    </row>
    <row r="2323" spans="1:5">
      <c r="A2323">
        <f>HYPERLINK("http://www.twitter.com/FDNY/status/739886625837223937", "739886625837223937")</f>
        <v>0</v>
      </c>
      <c r="B2323" s="2">
        <v>42527.7695833333</v>
      </c>
      <c r="C2323">
        <v>0</v>
      </c>
      <c r="D2323">
        <v>4</v>
      </c>
      <c r="E2323" t="s">
        <v>2229</v>
      </c>
    </row>
    <row r="2324" spans="1:5">
      <c r="A2324">
        <f>HYPERLINK("http://www.twitter.com/FDNY/status/739870100946358272", "739870100946358272")</f>
        <v>0</v>
      </c>
      <c r="B2324" s="2">
        <v>42527.7239814815</v>
      </c>
      <c r="C2324">
        <v>11</v>
      </c>
      <c r="D2324">
        <v>7</v>
      </c>
      <c r="E2324" t="s">
        <v>2272</v>
      </c>
    </row>
    <row r="2325" spans="1:5">
      <c r="A2325">
        <f>HYPERLINK("http://www.twitter.com/FDNY/status/739868138548924416", "739868138548924416")</f>
        <v>0</v>
      </c>
      <c r="B2325" s="2">
        <v>42527.7185648148</v>
      </c>
      <c r="C2325">
        <v>0</v>
      </c>
      <c r="D2325">
        <v>3</v>
      </c>
      <c r="E2325" t="s">
        <v>2273</v>
      </c>
    </row>
    <row r="2326" spans="1:5">
      <c r="A2326">
        <f>HYPERLINK("http://www.twitter.com/FDNY/status/739858846492024832", "739858846492024832")</f>
        <v>0</v>
      </c>
      <c r="B2326" s="2">
        <v>42527.6929282407</v>
      </c>
      <c r="C2326">
        <v>0</v>
      </c>
      <c r="D2326">
        <v>4</v>
      </c>
      <c r="E2326" t="s">
        <v>2274</v>
      </c>
    </row>
    <row r="2327" spans="1:5">
      <c r="A2327">
        <f>HYPERLINK("http://www.twitter.com/FDNY/status/739841362632314880", "739841362632314880")</f>
        <v>0</v>
      </c>
      <c r="B2327" s="2">
        <v>42527.6446875</v>
      </c>
      <c r="C2327">
        <v>108</v>
      </c>
      <c r="D2327">
        <v>15</v>
      </c>
      <c r="E2327" t="s">
        <v>2275</v>
      </c>
    </row>
    <row r="2328" spans="1:5">
      <c r="A2328">
        <f>HYPERLINK("http://www.twitter.com/FDNY/status/739825606481829888", "739825606481829888")</f>
        <v>0</v>
      </c>
      <c r="B2328" s="2">
        <v>42527.6012037037</v>
      </c>
      <c r="C2328">
        <v>11</v>
      </c>
      <c r="D2328">
        <v>11</v>
      </c>
      <c r="E2328" t="s">
        <v>2276</v>
      </c>
    </row>
    <row r="2329" spans="1:5">
      <c r="A2329">
        <f>HYPERLINK("http://www.twitter.com/FDNY/status/739821782392274944", "739821782392274944")</f>
        <v>0</v>
      </c>
      <c r="B2329" s="2">
        <v>42527.5906481482</v>
      </c>
      <c r="C2329">
        <v>10</v>
      </c>
      <c r="D2329">
        <v>6</v>
      </c>
      <c r="E2329" t="s">
        <v>2277</v>
      </c>
    </row>
    <row r="2330" spans="1:5">
      <c r="A2330">
        <f>HYPERLINK("http://www.twitter.com/FDNY/status/739569347375566848", "739569347375566848")</f>
        <v>0</v>
      </c>
      <c r="B2330" s="2">
        <v>42526.8940625</v>
      </c>
      <c r="C2330">
        <v>41</v>
      </c>
      <c r="D2330">
        <v>10</v>
      </c>
      <c r="E2330" t="s">
        <v>2278</v>
      </c>
    </row>
    <row r="2331" spans="1:5">
      <c r="A2331">
        <f>HYPERLINK("http://www.twitter.com/FDNY/status/739551195933626368", "739551195933626368")</f>
        <v>0</v>
      </c>
      <c r="B2331" s="2">
        <v>42526.8439699074</v>
      </c>
      <c r="C2331">
        <v>25</v>
      </c>
      <c r="D2331">
        <v>16</v>
      </c>
      <c r="E2331" t="s">
        <v>2279</v>
      </c>
    </row>
    <row r="2332" spans="1:5">
      <c r="A2332">
        <f>HYPERLINK("http://www.twitter.com/FDNY/status/739514163404234752", "739514163404234752")</f>
        <v>0</v>
      </c>
      <c r="B2332" s="2">
        <v>42526.7417824074</v>
      </c>
      <c r="C2332">
        <v>49</v>
      </c>
      <c r="D2332">
        <v>19</v>
      </c>
      <c r="E2332" t="s">
        <v>2280</v>
      </c>
    </row>
    <row r="2333" spans="1:5">
      <c r="A2333">
        <f>HYPERLINK("http://www.twitter.com/FDNY/status/739513234210848769", "739513234210848769")</f>
        <v>0</v>
      </c>
      <c r="B2333" s="2">
        <v>42526.739224537</v>
      </c>
      <c r="C2333">
        <v>0</v>
      </c>
      <c r="D2333">
        <v>13</v>
      </c>
      <c r="E2333" t="s">
        <v>2281</v>
      </c>
    </row>
    <row r="2334" spans="1:5">
      <c r="A2334">
        <f>HYPERLINK("http://www.twitter.com/FDNY/status/739472916329418755", "739472916329418755")</f>
        <v>0</v>
      </c>
      <c r="B2334" s="2">
        <v>42526.627962963</v>
      </c>
      <c r="C2334">
        <v>0</v>
      </c>
      <c r="D2334">
        <v>11</v>
      </c>
      <c r="E2334" t="s">
        <v>2282</v>
      </c>
    </row>
    <row r="2335" spans="1:5">
      <c r="A2335">
        <f>HYPERLINK("http://www.twitter.com/FDNY/status/739287109069066240", "739287109069066240")</f>
        <v>0</v>
      </c>
      <c r="B2335" s="2">
        <v>42526.1152314815</v>
      </c>
      <c r="C2335">
        <v>0</v>
      </c>
      <c r="D2335">
        <v>6</v>
      </c>
      <c r="E2335" t="s">
        <v>2283</v>
      </c>
    </row>
    <row r="2336" spans="1:5">
      <c r="A2336">
        <f>HYPERLINK("http://www.twitter.com/FDNY/status/739287082288451584", "739287082288451584")</f>
        <v>0</v>
      </c>
      <c r="B2336" s="2">
        <v>42526.115162037</v>
      </c>
      <c r="C2336">
        <v>0</v>
      </c>
      <c r="D2336">
        <v>2</v>
      </c>
      <c r="E2336" t="s">
        <v>2284</v>
      </c>
    </row>
    <row r="2337" spans="1:5">
      <c r="A2337">
        <f>HYPERLINK("http://www.twitter.com/FDNY/status/739167170987479040", "739167170987479040")</f>
        <v>0</v>
      </c>
      <c r="B2337" s="2">
        <v>42525.7842708333</v>
      </c>
      <c r="C2337">
        <v>22</v>
      </c>
      <c r="D2337">
        <v>8</v>
      </c>
      <c r="E2337" t="s">
        <v>2285</v>
      </c>
    </row>
    <row r="2338" spans="1:5">
      <c r="A2338">
        <f>HYPERLINK("http://www.twitter.com/FDNY/status/739166964644499456", "739166964644499456")</f>
        <v>0</v>
      </c>
      <c r="B2338" s="2">
        <v>42525.7837037037</v>
      </c>
      <c r="C2338">
        <v>43</v>
      </c>
      <c r="D2338">
        <v>6</v>
      </c>
      <c r="E2338" t="s">
        <v>2286</v>
      </c>
    </row>
    <row r="2339" spans="1:5">
      <c r="A2339">
        <f>HYPERLINK("http://www.twitter.com/FDNY/status/739166754581155844", "739166754581155844")</f>
        <v>0</v>
      </c>
      <c r="B2339" s="2">
        <v>42525.783125</v>
      </c>
      <c r="C2339">
        <v>83</v>
      </c>
      <c r="D2339">
        <v>24</v>
      </c>
      <c r="E2339" t="s">
        <v>2287</v>
      </c>
    </row>
    <row r="2340" spans="1:5">
      <c r="A2340">
        <f>HYPERLINK("http://www.twitter.com/FDNY/status/739166364598951936", "739166364598951936")</f>
        <v>0</v>
      </c>
      <c r="B2340" s="2">
        <v>42525.7820486111</v>
      </c>
      <c r="C2340">
        <v>64</v>
      </c>
      <c r="D2340">
        <v>21</v>
      </c>
      <c r="E2340" t="s">
        <v>2288</v>
      </c>
    </row>
    <row r="2341" spans="1:5">
      <c r="A2341">
        <f>HYPERLINK("http://www.twitter.com/FDNY/status/739164775612067840", "739164775612067840")</f>
        <v>0</v>
      </c>
      <c r="B2341" s="2">
        <v>42525.777662037</v>
      </c>
      <c r="C2341">
        <v>30</v>
      </c>
      <c r="D2341">
        <v>14</v>
      </c>
      <c r="E2341" t="s">
        <v>2289</v>
      </c>
    </row>
    <row r="2342" spans="1:5">
      <c r="A2342">
        <f>HYPERLINK("http://www.twitter.com/FDNY/status/739117740447956992", "739117740447956992")</f>
        <v>0</v>
      </c>
      <c r="B2342" s="2">
        <v>42525.6478703704</v>
      </c>
      <c r="C2342">
        <v>0</v>
      </c>
      <c r="D2342">
        <v>8</v>
      </c>
      <c r="E2342" t="s">
        <v>2290</v>
      </c>
    </row>
    <row r="2343" spans="1:5">
      <c r="A2343">
        <f>HYPERLINK("http://www.twitter.com/FDNY/status/739103208191184896", "739103208191184896")</f>
        <v>0</v>
      </c>
      <c r="B2343" s="2">
        <v>42525.6077662037</v>
      </c>
      <c r="C2343">
        <v>9</v>
      </c>
      <c r="D2343">
        <v>11</v>
      </c>
      <c r="E2343" t="s">
        <v>2291</v>
      </c>
    </row>
    <row r="2344" spans="1:5">
      <c r="A2344">
        <f>HYPERLINK("http://www.twitter.com/FDNY/status/738877992923987969", "738877992923987969")</f>
        <v>0</v>
      </c>
      <c r="B2344" s="2">
        <v>42524.9862847222</v>
      </c>
      <c r="C2344">
        <v>16</v>
      </c>
      <c r="D2344">
        <v>16</v>
      </c>
      <c r="E2344" t="s">
        <v>2292</v>
      </c>
    </row>
    <row r="2345" spans="1:5">
      <c r="A2345">
        <f>HYPERLINK("http://www.twitter.com/FDNY/status/738843733182013440", "738843733182013440")</f>
        <v>0</v>
      </c>
      <c r="B2345" s="2">
        <v>42524.8917476852</v>
      </c>
      <c r="C2345">
        <v>53</v>
      </c>
      <c r="D2345">
        <v>59</v>
      </c>
      <c r="E2345" t="s">
        <v>2293</v>
      </c>
    </row>
    <row r="2346" spans="1:5">
      <c r="A2346">
        <f>HYPERLINK("http://www.twitter.com/FDNY/status/738840554537111552", "738840554537111552")</f>
        <v>0</v>
      </c>
      <c r="B2346" s="2">
        <v>42524.882974537</v>
      </c>
      <c r="C2346">
        <v>0</v>
      </c>
      <c r="D2346">
        <v>4</v>
      </c>
      <c r="E2346" t="s">
        <v>2294</v>
      </c>
    </row>
    <row r="2347" spans="1:5">
      <c r="A2347">
        <f>HYPERLINK("http://www.twitter.com/FDNY/status/738808315510202368", "738808315510202368")</f>
        <v>0</v>
      </c>
      <c r="B2347" s="2">
        <v>42524.7940162037</v>
      </c>
      <c r="C2347">
        <v>17</v>
      </c>
      <c r="D2347">
        <v>12</v>
      </c>
      <c r="E2347" t="s">
        <v>2295</v>
      </c>
    </row>
    <row r="2348" spans="1:5">
      <c r="A2348">
        <f>HYPERLINK("http://www.twitter.com/FDNY/status/738799208732471297", "738799208732471297")</f>
        <v>0</v>
      </c>
      <c r="B2348" s="2">
        <v>42524.7688888889</v>
      </c>
      <c r="C2348">
        <v>25</v>
      </c>
      <c r="D2348">
        <v>8</v>
      </c>
      <c r="E2348" t="s">
        <v>2296</v>
      </c>
    </row>
    <row r="2349" spans="1:5">
      <c r="A2349">
        <f>HYPERLINK("http://www.twitter.com/FDNY/status/738798768603205632", "738798768603205632")</f>
        <v>0</v>
      </c>
      <c r="B2349" s="2">
        <v>42524.7676736111</v>
      </c>
      <c r="C2349">
        <v>0</v>
      </c>
      <c r="D2349">
        <v>8</v>
      </c>
      <c r="E2349" t="s">
        <v>2297</v>
      </c>
    </row>
    <row r="2350" spans="1:5">
      <c r="A2350">
        <f>HYPERLINK("http://www.twitter.com/FDNY/status/738766567513690116", "738766567513690116")</f>
        <v>0</v>
      </c>
      <c r="B2350" s="2">
        <v>42524.6788078704</v>
      </c>
      <c r="C2350">
        <v>20</v>
      </c>
      <c r="D2350">
        <v>9</v>
      </c>
      <c r="E2350" t="s">
        <v>2298</v>
      </c>
    </row>
    <row r="2351" spans="1:5">
      <c r="A2351">
        <f>HYPERLINK("http://www.twitter.com/FDNY/status/738766105951502340", "738766105951502340")</f>
        <v>0</v>
      </c>
      <c r="B2351" s="2">
        <v>42524.6775347222</v>
      </c>
      <c r="C2351">
        <v>6</v>
      </c>
      <c r="D2351">
        <v>6</v>
      </c>
      <c r="E2351" t="s">
        <v>2299</v>
      </c>
    </row>
    <row r="2352" spans="1:5">
      <c r="A2352">
        <f>HYPERLINK("http://www.twitter.com/FDNY/status/738751819900391424", "738751819900391424")</f>
        <v>0</v>
      </c>
      <c r="B2352" s="2">
        <v>42524.6381134259</v>
      </c>
      <c r="C2352">
        <v>0</v>
      </c>
      <c r="D2352">
        <v>15</v>
      </c>
      <c r="E2352" t="s">
        <v>2300</v>
      </c>
    </row>
    <row r="2353" spans="1:5">
      <c r="A2353">
        <f>HYPERLINK("http://www.twitter.com/FDNY/status/738741395343704064", "738741395343704064")</f>
        <v>0</v>
      </c>
      <c r="B2353" s="2">
        <v>42524.6093518519</v>
      </c>
      <c r="C2353">
        <v>21</v>
      </c>
      <c r="D2353">
        <v>15</v>
      </c>
      <c r="E2353" t="s">
        <v>2301</v>
      </c>
    </row>
    <row r="2354" spans="1:5">
      <c r="A2354">
        <f>HYPERLINK("http://www.twitter.com/FDNY/status/738732017395830784", "738732017395830784")</f>
        <v>0</v>
      </c>
      <c r="B2354" s="2">
        <v>42524.5834722222</v>
      </c>
      <c r="C2354">
        <v>13</v>
      </c>
      <c r="D2354">
        <v>13</v>
      </c>
      <c r="E2354" t="s">
        <v>2302</v>
      </c>
    </row>
    <row r="2355" spans="1:5">
      <c r="A2355">
        <f>HYPERLINK("http://www.twitter.com/FDNY/status/738710202925613056", "738710202925613056")</f>
        <v>0</v>
      </c>
      <c r="B2355" s="2">
        <v>42524.523275463</v>
      </c>
      <c r="C2355">
        <v>13</v>
      </c>
      <c r="D2355">
        <v>3</v>
      </c>
      <c r="E2355" t="s">
        <v>2303</v>
      </c>
    </row>
    <row r="2356" spans="1:5">
      <c r="A2356">
        <f>HYPERLINK("http://www.twitter.com/FDNY/status/738705624784076800", "738705624784076800")</f>
        <v>0</v>
      </c>
      <c r="B2356" s="2">
        <v>42524.5106481481</v>
      </c>
      <c r="C2356">
        <v>128</v>
      </c>
      <c r="D2356">
        <v>45</v>
      </c>
      <c r="E2356" t="s">
        <v>2304</v>
      </c>
    </row>
    <row r="2357" spans="1:5">
      <c r="A2357">
        <f>HYPERLINK("http://www.twitter.com/FDNY/status/738573719090692096", "738573719090692096")</f>
        <v>0</v>
      </c>
      <c r="B2357" s="2">
        <v>42524.1466550926</v>
      </c>
      <c r="C2357">
        <v>0</v>
      </c>
      <c r="D2357">
        <v>3</v>
      </c>
      <c r="E2357" t="s">
        <v>2305</v>
      </c>
    </row>
    <row r="2358" spans="1:5">
      <c r="A2358">
        <f>HYPERLINK("http://www.twitter.com/FDNY/status/738573681992044545", "738573681992044545")</f>
        <v>0</v>
      </c>
      <c r="B2358" s="2">
        <v>42524.1465509259</v>
      </c>
      <c r="C2358">
        <v>0</v>
      </c>
      <c r="D2358">
        <v>4</v>
      </c>
      <c r="E2358" t="s">
        <v>2306</v>
      </c>
    </row>
    <row r="2359" spans="1:5">
      <c r="A2359">
        <f>HYPERLINK("http://www.twitter.com/FDNY/status/738479271363158017", "738479271363158017")</f>
        <v>0</v>
      </c>
      <c r="B2359" s="2">
        <v>42523.8860300926</v>
      </c>
      <c r="C2359">
        <v>63</v>
      </c>
      <c r="D2359">
        <v>11</v>
      </c>
      <c r="E2359" t="s">
        <v>2307</v>
      </c>
    </row>
    <row r="2360" spans="1:5">
      <c r="A2360">
        <f>HYPERLINK("http://www.twitter.com/FDNY/status/738470141990731776", "738470141990731776")</f>
        <v>0</v>
      </c>
      <c r="B2360" s="2">
        <v>42523.8608333333</v>
      </c>
      <c r="C2360">
        <v>35</v>
      </c>
      <c r="D2360">
        <v>9</v>
      </c>
      <c r="E2360" t="s">
        <v>2308</v>
      </c>
    </row>
    <row r="2361" spans="1:5">
      <c r="A2361">
        <f>HYPERLINK("http://www.twitter.com/FDNY/status/738459946891808768", "738459946891808768")</f>
        <v>0</v>
      </c>
      <c r="B2361" s="2">
        <v>42523.8326967593</v>
      </c>
      <c r="C2361">
        <v>44</v>
      </c>
      <c r="D2361">
        <v>9</v>
      </c>
      <c r="E2361" t="s">
        <v>2309</v>
      </c>
    </row>
    <row r="2362" spans="1:5">
      <c r="A2362">
        <f>HYPERLINK("http://www.twitter.com/FDNY/status/738429984918900742", "738429984918900742")</f>
        <v>0</v>
      </c>
      <c r="B2362" s="2">
        <v>42523.7500231481</v>
      </c>
      <c r="C2362">
        <v>41</v>
      </c>
      <c r="D2362">
        <v>7</v>
      </c>
      <c r="E2362" t="s">
        <v>2310</v>
      </c>
    </row>
    <row r="2363" spans="1:5">
      <c r="A2363">
        <f>HYPERLINK("http://www.twitter.com/FDNY/status/738412935932973056", "738412935932973056")</f>
        <v>0</v>
      </c>
      <c r="B2363" s="2">
        <v>42523.702974537</v>
      </c>
      <c r="C2363">
        <v>24</v>
      </c>
      <c r="D2363">
        <v>7</v>
      </c>
      <c r="E2363" t="s">
        <v>2311</v>
      </c>
    </row>
    <row r="2364" spans="1:5">
      <c r="A2364">
        <f>HYPERLINK("http://www.twitter.com/FDNY/status/738388191791681536", "738388191791681536")</f>
        <v>0</v>
      </c>
      <c r="B2364" s="2">
        <v>42523.6346990741</v>
      </c>
      <c r="C2364">
        <v>27</v>
      </c>
      <c r="D2364">
        <v>18</v>
      </c>
      <c r="E2364" t="s">
        <v>2312</v>
      </c>
    </row>
    <row r="2365" spans="1:5">
      <c r="A2365">
        <f>HYPERLINK("http://www.twitter.com/FDNY/status/738386209291010048", "738386209291010048")</f>
        <v>0</v>
      </c>
      <c r="B2365" s="2">
        <v>42523.629224537</v>
      </c>
      <c r="C2365">
        <v>28</v>
      </c>
      <c r="D2365">
        <v>5</v>
      </c>
      <c r="E2365" t="s">
        <v>2313</v>
      </c>
    </row>
    <row r="2366" spans="1:5">
      <c r="A2366">
        <f>HYPERLINK("http://www.twitter.com/FDNY/status/738372663425536000", "738372663425536000")</f>
        <v>0</v>
      </c>
      <c r="B2366" s="2">
        <v>42523.5918402778</v>
      </c>
      <c r="C2366">
        <v>6</v>
      </c>
      <c r="D2366">
        <v>2</v>
      </c>
      <c r="E2366" t="s">
        <v>2314</v>
      </c>
    </row>
    <row r="2367" spans="1:5">
      <c r="A2367">
        <f>HYPERLINK("http://www.twitter.com/FDNY/status/738364970417672192", "738364970417672192")</f>
        <v>0</v>
      </c>
      <c r="B2367" s="2">
        <v>42523.5706134259</v>
      </c>
      <c r="C2367">
        <v>0</v>
      </c>
      <c r="D2367">
        <v>1</v>
      </c>
      <c r="E2367" t="s">
        <v>2315</v>
      </c>
    </row>
    <row r="2368" spans="1:5">
      <c r="A2368">
        <f>HYPERLINK("http://www.twitter.com/FDNY/status/738364719954853889", "738364719954853889")</f>
        <v>0</v>
      </c>
      <c r="B2368" s="2">
        <v>42523.5699305556</v>
      </c>
      <c r="C2368">
        <v>25</v>
      </c>
      <c r="D2368">
        <v>9</v>
      </c>
      <c r="E2368" t="s">
        <v>2316</v>
      </c>
    </row>
    <row r="2369" spans="1:5">
      <c r="A2369">
        <f>HYPERLINK("http://www.twitter.com/FDNY/status/738357095481872385", "738357095481872385")</f>
        <v>0</v>
      </c>
      <c r="B2369" s="2">
        <v>42523.5488888889</v>
      </c>
      <c r="C2369">
        <v>7</v>
      </c>
      <c r="D2369">
        <v>7</v>
      </c>
      <c r="E2369" t="s">
        <v>2317</v>
      </c>
    </row>
    <row r="2370" spans="1:5">
      <c r="A2370">
        <f>HYPERLINK("http://www.twitter.com/FDNY/status/738175563056046080", "738175563056046080")</f>
        <v>0</v>
      </c>
      <c r="B2370" s="2">
        <v>42523.0479513889</v>
      </c>
      <c r="C2370">
        <v>0</v>
      </c>
      <c r="D2370">
        <v>7</v>
      </c>
      <c r="E2370" t="s">
        <v>2318</v>
      </c>
    </row>
    <row r="2371" spans="1:5">
      <c r="A2371">
        <f>HYPERLINK("http://www.twitter.com/FDNY/status/738175548933840897", "738175548933840897")</f>
        <v>0</v>
      </c>
      <c r="B2371" s="2">
        <v>42523.0479166667</v>
      </c>
      <c r="C2371">
        <v>0</v>
      </c>
      <c r="D2371">
        <v>6</v>
      </c>
      <c r="E2371" t="s">
        <v>2319</v>
      </c>
    </row>
    <row r="2372" spans="1:5">
      <c r="A2372">
        <f>HYPERLINK("http://www.twitter.com/FDNY/status/738175523059163137", "738175523059163137")</f>
        <v>0</v>
      </c>
      <c r="B2372" s="2">
        <v>42523.0478356481</v>
      </c>
      <c r="C2372">
        <v>0</v>
      </c>
      <c r="D2372">
        <v>5</v>
      </c>
      <c r="E2372" t="s">
        <v>2320</v>
      </c>
    </row>
    <row r="2373" spans="1:5">
      <c r="A2373">
        <f>HYPERLINK("http://www.twitter.com/FDNY/status/738155261811171328", "738155261811171328")</f>
        <v>0</v>
      </c>
      <c r="B2373" s="2">
        <v>42522.9919328704</v>
      </c>
      <c r="C2373">
        <v>0</v>
      </c>
      <c r="D2373">
        <v>14</v>
      </c>
      <c r="E2373" t="s">
        <v>2321</v>
      </c>
    </row>
    <row r="2374" spans="1:5">
      <c r="A2374">
        <f>HYPERLINK("http://www.twitter.com/FDNY/status/738142899343220737", "738142899343220737")</f>
        <v>0</v>
      </c>
      <c r="B2374" s="2">
        <v>42522.9578125</v>
      </c>
      <c r="C2374">
        <v>23</v>
      </c>
      <c r="D2374">
        <v>17</v>
      </c>
      <c r="E2374" t="s">
        <v>2322</v>
      </c>
    </row>
    <row r="2375" spans="1:5">
      <c r="A2375">
        <f>HYPERLINK("http://www.twitter.com/FDNY/status/738133224786776065", "738133224786776065")</f>
        <v>0</v>
      </c>
      <c r="B2375" s="2">
        <v>42522.9311226852</v>
      </c>
      <c r="C2375">
        <v>10</v>
      </c>
      <c r="D2375">
        <v>8</v>
      </c>
      <c r="E2375" t="s">
        <v>2323</v>
      </c>
    </row>
    <row r="2376" spans="1:5">
      <c r="A2376">
        <f>HYPERLINK("http://www.twitter.com/FDNY/status/738128241429499904", "738128241429499904")</f>
        <v>0</v>
      </c>
      <c r="B2376" s="2">
        <v>42522.9173726852</v>
      </c>
      <c r="C2376">
        <v>0</v>
      </c>
      <c r="D2376">
        <v>7</v>
      </c>
      <c r="E2376" t="s">
        <v>2324</v>
      </c>
    </row>
    <row r="2377" spans="1:5">
      <c r="A2377">
        <f>HYPERLINK("http://www.twitter.com/FDNY/status/738128222026600448", "738128222026600448")</f>
        <v>0</v>
      </c>
      <c r="B2377" s="2">
        <v>42522.9173148148</v>
      </c>
      <c r="C2377">
        <v>22</v>
      </c>
      <c r="D2377">
        <v>11</v>
      </c>
      <c r="E2377" t="s">
        <v>2325</v>
      </c>
    </row>
    <row r="2378" spans="1:5">
      <c r="A2378">
        <f>HYPERLINK("http://www.twitter.com/FDNY/status/738123697572188160", "738123697572188160")</f>
        <v>0</v>
      </c>
      <c r="B2378" s="2">
        <v>42522.9048263889</v>
      </c>
      <c r="C2378">
        <v>0</v>
      </c>
      <c r="D2378">
        <v>5</v>
      </c>
      <c r="E2378" t="s">
        <v>2326</v>
      </c>
    </row>
    <row r="2379" spans="1:5">
      <c r="A2379">
        <f>HYPERLINK("http://www.twitter.com/FDNY/status/738123476360388609", "738123476360388609")</f>
        <v>0</v>
      </c>
      <c r="B2379" s="2">
        <v>42522.904224537</v>
      </c>
      <c r="C2379">
        <v>13</v>
      </c>
      <c r="D2379">
        <v>11</v>
      </c>
      <c r="E2379" t="s">
        <v>2327</v>
      </c>
    </row>
    <row r="2380" spans="1:5">
      <c r="A2380">
        <f>HYPERLINK("http://www.twitter.com/FDNY/status/738105856697487360", "738105856697487360")</f>
        <v>0</v>
      </c>
      <c r="B2380" s="2">
        <v>42522.8556018519</v>
      </c>
      <c r="C2380">
        <v>59</v>
      </c>
      <c r="D2380">
        <v>20</v>
      </c>
      <c r="E2380" t="s">
        <v>2328</v>
      </c>
    </row>
    <row r="2381" spans="1:5">
      <c r="A2381">
        <f>HYPERLINK("http://www.twitter.com/FDNY/status/738088326763323392", "738088326763323392")</f>
        <v>0</v>
      </c>
      <c r="B2381" s="2">
        <v>42522.8072222222</v>
      </c>
      <c r="C2381">
        <v>50</v>
      </c>
      <c r="D2381">
        <v>30</v>
      </c>
      <c r="E2381" t="s">
        <v>2329</v>
      </c>
    </row>
    <row r="2382" spans="1:5">
      <c r="A2382">
        <f>HYPERLINK("http://www.twitter.com/FDNY/status/738084748879396864", "738084748879396864")</f>
        <v>0</v>
      </c>
      <c r="B2382" s="2">
        <v>42522.797349537</v>
      </c>
      <c r="C2382">
        <v>0</v>
      </c>
      <c r="D2382">
        <v>9</v>
      </c>
      <c r="E2382" t="s">
        <v>2330</v>
      </c>
    </row>
    <row r="2383" spans="1:5">
      <c r="A2383">
        <f>HYPERLINK("http://www.twitter.com/FDNY/status/738083821489430529", "738083821489430529")</f>
        <v>0</v>
      </c>
      <c r="B2383" s="2">
        <v>42522.7947916667</v>
      </c>
      <c r="C2383">
        <v>16</v>
      </c>
      <c r="D2383">
        <v>14</v>
      </c>
      <c r="E2383" t="s">
        <v>2331</v>
      </c>
    </row>
    <row r="2384" spans="1:5">
      <c r="A2384">
        <f>HYPERLINK("http://www.twitter.com/FDNY/status/738077938093051908", "738077938093051908")</f>
        <v>0</v>
      </c>
      <c r="B2384" s="2">
        <v>42522.7785532407</v>
      </c>
      <c r="C2384">
        <v>45</v>
      </c>
      <c r="D2384">
        <v>22</v>
      </c>
      <c r="E2384" t="s">
        <v>2332</v>
      </c>
    </row>
    <row r="2385" spans="1:5">
      <c r="A2385">
        <f>HYPERLINK("http://www.twitter.com/FDNY/status/738058003031687168", "738058003031687168")</f>
        <v>0</v>
      </c>
      <c r="B2385" s="2">
        <v>42522.7235532407</v>
      </c>
      <c r="C2385">
        <v>38</v>
      </c>
      <c r="D2385">
        <v>11</v>
      </c>
      <c r="E2385" t="s">
        <v>2333</v>
      </c>
    </row>
    <row r="2386" spans="1:5">
      <c r="A2386">
        <f>HYPERLINK("http://www.twitter.com/FDNY/status/738043920198819841", "738043920198819841")</f>
        <v>0</v>
      </c>
      <c r="B2386" s="2">
        <v>42522.6846875</v>
      </c>
      <c r="C2386">
        <v>21</v>
      </c>
      <c r="D2386">
        <v>11</v>
      </c>
      <c r="E2386" t="s">
        <v>2334</v>
      </c>
    </row>
    <row r="2387" spans="1:5">
      <c r="A2387">
        <f>HYPERLINK("http://www.twitter.com/FDNY/status/738041139312402432", "738041139312402432")</f>
        <v>0</v>
      </c>
      <c r="B2387" s="2">
        <v>42522.6770138889</v>
      </c>
      <c r="C2387">
        <v>41</v>
      </c>
      <c r="D2387">
        <v>12</v>
      </c>
      <c r="E2387" t="s">
        <v>2335</v>
      </c>
    </row>
    <row r="2388" spans="1:5">
      <c r="A2388">
        <f>HYPERLINK("http://www.twitter.com/FDNY/status/738040491372105728", "738040491372105728")</f>
        <v>0</v>
      </c>
      <c r="B2388" s="2">
        <v>42522.6752199074</v>
      </c>
      <c r="C2388">
        <v>31</v>
      </c>
      <c r="D2388">
        <v>12</v>
      </c>
      <c r="E2388" t="s">
        <v>2336</v>
      </c>
    </row>
    <row r="2389" spans="1:5">
      <c r="A2389">
        <f>HYPERLINK("http://www.twitter.com/FDNY/status/738032403273424896", "738032403273424896")</f>
        <v>0</v>
      </c>
      <c r="B2389" s="2">
        <v>42522.6529050926</v>
      </c>
      <c r="C2389">
        <v>10</v>
      </c>
      <c r="D2389">
        <v>5</v>
      </c>
      <c r="E2389" t="s">
        <v>2337</v>
      </c>
    </row>
    <row r="2390" spans="1:5">
      <c r="A2390">
        <f>HYPERLINK("http://www.twitter.com/FDNY/status/738030272826970112", "738030272826970112")</f>
        <v>0</v>
      </c>
      <c r="B2390" s="2">
        <v>42522.647025463</v>
      </c>
      <c r="C2390">
        <v>28</v>
      </c>
      <c r="D2390">
        <v>8</v>
      </c>
      <c r="E2390" t="s">
        <v>2338</v>
      </c>
    </row>
    <row r="2391" spans="1:5">
      <c r="A2391">
        <f>HYPERLINK("http://www.twitter.com/FDNY/status/738029290772647936", "738029290772647936")</f>
        <v>0</v>
      </c>
      <c r="B2391" s="2">
        <v>42522.6443171296</v>
      </c>
      <c r="C2391">
        <v>92</v>
      </c>
      <c r="D2391">
        <v>47</v>
      </c>
      <c r="E2391" t="s">
        <v>2339</v>
      </c>
    </row>
    <row r="2392" spans="1:5">
      <c r="A2392">
        <f>HYPERLINK("http://www.twitter.com/FDNY/status/738027205209554944", "738027205209554944")</f>
        <v>0</v>
      </c>
      <c r="B2392" s="2">
        <v>42522.6385648148</v>
      </c>
      <c r="C2392">
        <v>15</v>
      </c>
      <c r="D2392">
        <v>5</v>
      </c>
      <c r="E2392" t="s">
        <v>2340</v>
      </c>
    </row>
    <row r="2393" spans="1:5">
      <c r="A2393">
        <f>HYPERLINK("http://www.twitter.com/FDNY/status/738027154315829252", "738027154315829252")</f>
        <v>0</v>
      </c>
      <c r="B2393" s="2">
        <v>42522.6384259259</v>
      </c>
      <c r="C2393">
        <v>16</v>
      </c>
      <c r="D2393">
        <v>8</v>
      </c>
      <c r="E2393" t="s">
        <v>2341</v>
      </c>
    </row>
    <row r="2394" spans="1:5">
      <c r="A2394">
        <f>HYPERLINK("http://www.twitter.com/FDNY/status/738024387585159168", "738024387585159168")</f>
        <v>0</v>
      </c>
      <c r="B2394" s="2">
        <v>42522.630787037</v>
      </c>
      <c r="C2394">
        <v>5</v>
      </c>
      <c r="D2394">
        <v>5</v>
      </c>
      <c r="E2394" t="s">
        <v>2342</v>
      </c>
    </row>
    <row r="2395" spans="1:5">
      <c r="A2395">
        <f>HYPERLINK("http://www.twitter.com/FDNY/status/738024029794271232", "738024029794271232")</f>
        <v>0</v>
      </c>
      <c r="B2395" s="2">
        <v>42522.6298032407</v>
      </c>
      <c r="C2395">
        <v>7</v>
      </c>
      <c r="D2395">
        <v>3</v>
      </c>
      <c r="E2395" t="s">
        <v>2343</v>
      </c>
    </row>
    <row r="2396" spans="1:5">
      <c r="A2396">
        <f>HYPERLINK("http://www.twitter.com/FDNY/status/738023216460005377", "738023216460005377")</f>
        <v>0</v>
      </c>
      <c r="B2396" s="2">
        <v>42522.6275578704</v>
      </c>
      <c r="C2396">
        <v>41</v>
      </c>
      <c r="D2396">
        <v>18</v>
      </c>
      <c r="E2396" t="s">
        <v>2344</v>
      </c>
    </row>
    <row r="2397" spans="1:5">
      <c r="A2397">
        <f>HYPERLINK("http://www.twitter.com/FDNY/status/738021426180067328", "738021426180067328")</f>
        <v>0</v>
      </c>
      <c r="B2397" s="2">
        <v>42522.6226157407</v>
      </c>
      <c r="C2397">
        <v>8</v>
      </c>
      <c r="D2397">
        <v>14</v>
      </c>
      <c r="E2397" t="s">
        <v>2345</v>
      </c>
    </row>
    <row r="2398" spans="1:5">
      <c r="A2398">
        <f>HYPERLINK("http://www.twitter.com/FDNY/status/738021108847378433", "738021108847378433")</f>
        <v>0</v>
      </c>
      <c r="B2398" s="2">
        <v>42522.6217361111</v>
      </c>
      <c r="C2398">
        <v>8</v>
      </c>
      <c r="D2398">
        <v>14</v>
      </c>
      <c r="E2398" t="s">
        <v>2346</v>
      </c>
    </row>
    <row r="2399" spans="1:5">
      <c r="A2399">
        <f>HYPERLINK("http://www.twitter.com/FDNY/status/737833320323665920", "737833320323665920")</f>
        <v>0</v>
      </c>
      <c r="B2399" s="2">
        <v>42522.1035416667</v>
      </c>
      <c r="C2399">
        <v>0</v>
      </c>
      <c r="D2399">
        <v>3</v>
      </c>
      <c r="E2399" t="s">
        <v>2347</v>
      </c>
    </row>
    <row r="2400" spans="1:5">
      <c r="A2400">
        <f>HYPERLINK("http://www.twitter.com/FDNY/status/737759652306427904", "737759652306427904")</f>
        <v>0</v>
      </c>
      <c r="B2400" s="2">
        <v>42521.9002546296</v>
      </c>
      <c r="C2400">
        <v>60</v>
      </c>
      <c r="D2400">
        <v>25</v>
      </c>
      <c r="E2400" t="s">
        <v>2348</v>
      </c>
    </row>
    <row r="2401" spans="1:5">
      <c r="A2401">
        <f>HYPERLINK("http://www.twitter.com/FDNY/status/737742641924845569", "737742641924845569")</f>
        <v>0</v>
      </c>
      <c r="B2401" s="2">
        <v>42521.8533217593</v>
      </c>
      <c r="C2401">
        <v>37</v>
      </c>
      <c r="D2401">
        <v>21</v>
      </c>
      <c r="E2401" t="s">
        <v>2349</v>
      </c>
    </row>
    <row r="2402" spans="1:5">
      <c r="A2402">
        <f>HYPERLINK("http://www.twitter.com/FDNY/status/737730959940980738", "737730959940980738")</f>
        <v>0</v>
      </c>
      <c r="B2402" s="2">
        <v>42521.8210763889</v>
      </c>
      <c r="C2402">
        <v>30</v>
      </c>
      <c r="D2402">
        <v>14</v>
      </c>
      <c r="E2402" t="s">
        <v>2350</v>
      </c>
    </row>
    <row r="2403" spans="1:5">
      <c r="A2403">
        <f>HYPERLINK("http://www.twitter.com/FDNY/status/737707458584563713", "737707458584563713")</f>
        <v>0</v>
      </c>
      <c r="B2403" s="2">
        <v>42521.7562268519</v>
      </c>
      <c r="C2403">
        <v>71</v>
      </c>
      <c r="D2403">
        <v>30</v>
      </c>
      <c r="E2403" t="s">
        <v>2351</v>
      </c>
    </row>
    <row r="2404" spans="1:5">
      <c r="A2404">
        <f>HYPERLINK("http://www.twitter.com/FDNY/status/737706115476160513", "737706115476160513")</f>
        <v>0</v>
      </c>
      <c r="B2404" s="2">
        <v>42521.7525231481</v>
      </c>
      <c r="C2404">
        <v>0</v>
      </c>
      <c r="D2404">
        <v>4</v>
      </c>
      <c r="E2404" t="s">
        <v>2352</v>
      </c>
    </row>
    <row r="2405" spans="1:5">
      <c r="A2405">
        <f>HYPERLINK("http://www.twitter.com/FDNY/status/737661776700002304", "737661776700002304")</f>
        <v>0</v>
      </c>
      <c r="B2405" s="2">
        <v>42521.6301736111</v>
      </c>
      <c r="C2405">
        <v>141</v>
      </c>
      <c r="D2405">
        <v>43</v>
      </c>
      <c r="E2405" t="s">
        <v>2353</v>
      </c>
    </row>
    <row r="2406" spans="1:5">
      <c r="A2406">
        <f>HYPERLINK("http://www.twitter.com/FDNY/status/737402847487262721", "737402847487262721")</f>
        <v>0</v>
      </c>
      <c r="B2406" s="2">
        <v>42520.9156597222</v>
      </c>
      <c r="C2406">
        <v>0</v>
      </c>
      <c r="D2406">
        <v>23</v>
      </c>
      <c r="E2406" t="s">
        <v>2354</v>
      </c>
    </row>
    <row r="2407" spans="1:5">
      <c r="A2407">
        <f>HYPERLINK("http://www.twitter.com/FDNY/status/737402587775897604", "737402587775897604")</f>
        <v>0</v>
      </c>
      <c r="B2407" s="2">
        <v>42520.9149421296</v>
      </c>
      <c r="C2407">
        <v>0</v>
      </c>
      <c r="D2407">
        <v>5</v>
      </c>
      <c r="E2407" t="s">
        <v>2355</v>
      </c>
    </row>
    <row r="2408" spans="1:5">
      <c r="A2408">
        <f>HYPERLINK("http://www.twitter.com/FDNY/status/737336760372453376", "737336760372453376")</f>
        <v>0</v>
      </c>
      <c r="B2408" s="2">
        <v>42520.7332986111</v>
      </c>
      <c r="C2408">
        <v>0</v>
      </c>
      <c r="D2408">
        <v>4</v>
      </c>
      <c r="E2408" t="s">
        <v>2356</v>
      </c>
    </row>
    <row r="2409" spans="1:5">
      <c r="A2409">
        <f>HYPERLINK("http://www.twitter.com/FDNY/status/737308045315825664", "737308045315825664")</f>
        <v>0</v>
      </c>
      <c r="B2409" s="2">
        <v>42520.6540625</v>
      </c>
      <c r="C2409">
        <v>0</v>
      </c>
      <c r="D2409">
        <v>14</v>
      </c>
      <c r="E2409" t="s">
        <v>2357</v>
      </c>
    </row>
    <row r="2410" spans="1:5">
      <c r="A2410">
        <f>HYPERLINK("http://www.twitter.com/FDNY/status/737267913946726400", "737267913946726400")</f>
        <v>0</v>
      </c>
      <c r="B2410" s="2">
        <v>42520.5433217593</v>
      </c>
      <c r="C2410">
        <v>297</v>
      </c>
      <c r="D2410">
        <v>207</v>
      </c>
      <c r="E2410" t="s">
        <v>2358</v>
      </c>
    </row>
    <row r="2411" spans="1:5">
      <c r="A2411">
        <f>HYPERLINK("http://www.twitter.com/FDNY/status/737096001903833088", "737096001903833088")</f>
        <v>0</v>
      </c>
      <c r="B2411" s="2">
        <v>42520.0689351852</v>
      </c>
      <c r="C2411">
        <v>0</v>
      </c>
      <c r="D2411">
        <v>24</v>
      </c>
      <c r="E2411" t="s">
        <v>2359</v>
      </c>
    </row>
    <row r="2412" spans="1:5">
      <c r="A2412">
        <f>HYPERLINK("http://www.twitter.com/FDNY/status/736971667096936450", "736971667096936450")</f>
        <v>0</v>
      </c>
      <c r="B2412" s="2">
        <v>42519.7258333333</v>
      </c>
      <c r="C2412">
        <v>29</v>
      </c>
      <c r="D2412">
        <v>14</v>
      </c>
      <c r="E2412" t="s">
        <v>2360</v>
      </c>
    </row>
    <row r="2413" spans="1:5">
      <c r="A2413">
        <f>HYPERLINK("http://www.twitter.com/FDNY/status/736941915539681284", "736941915539681284")</f>
        <v>0</v>
      </c>
      <c r="B2413" s="2">
        <v>42519.6437384259</v>
      </c>
      <c r="C2413">
        <v>0</v>
      </c>
      <c r="D2413">
        <v>2</v>
      </c>
      <c r="E2413" t="s">
        <v>2361</v>
      </c>
    </row>
    <row r="2414" spans="1:5">
      <c r="A2414">
        <f>HYPERLINK("http://www.twitter.com/FDNY/status/736921367564668928", "736921367564668928")</f>
        <v>0</v>
      </c>
      <c r="B2414" s="2">
        <v>42519.587037037</v>
      </c>
      <c r="C2414">
        <v>39</v>
      </c>
      <c r="D2414">
        <v>15</v>
      </c>
      <c r="E2414" t="s">
        <v>2362</v>
      </c>
    </row>
    <row r="2415" spans="1:5">
      <c r="A2415">
        <f>HYPERLINK("http://www.twitter.com/FDNY/status/736612619608547332", "736612619608547332")</f>
        <v>0</v>
      </c>
      <c r="B2415" s="2">
        <v>42518.7350462963</v>
      </c>
      <c r="C2415">
        <v>167</v>
      </c>
      <c r="D2415">
        <v>78</v>
      </c>
      <c r="E2415" t="s">
        <v>2363</v>
      </c>
    </row>
    <row r="2416" spans="1:5">
      <c r="A2416">
        <f>HYPERLINK("http://www.twitter.com/FDNY/status/736608059817086981", "736608059817086981")</f>
        <v>0</v>
      </c>
      <c r="B2416" s="2">
        <v>42518.7224652778</v>
      </c>
      <c r="C2416">
        <v>41</v>
      </c>
      <c r="D2416">
        <v>51</v>
      </c>
      <c r="E2416" t="s">
        <v>2364</v>
      </c>
    </row>
    <row r="2417" spans="1:5">
      <c r="A2417">
        <f>HYPERLINK("http://www.twitter.com/FDNY/status/736534768947503104", "736534768947503104")</f>
        <v>0</v>
      </c>
      <c r="B2417" s="2">
        <v>42518.5202199074</v>
      </c>
      <c r="C2417">
        <v>0</v>
      </c>
      <c r="D2417">
        <v>10</v>
      </c>
      <c r="E2417" t="s">
        <v>2365</v>
      </c>
    </row>
    <row r="2418" spans="1:5">
      <c r="A2418">
        <f>HYPERLINK("http://www.twitter.com/FDNY/status/736356858680737792", "736356858680737792")</f>
        <v>0</v>
      </c>
      <c r="B2418" s="2">
        <v>42518.0292824074</v>
      </c>
      <c r="C2418">
        <v>0</v>
      </c>
      <c r="D2418">
        <v>153</v>
      </c>
      <c r="E2418" t="s">
        <v>2366</v>
      </c>
    </row>
    <row r="2419" spans="1:5">
      <c r="A2419">
        <f>HYPERLINK("http://www.twitter.com/FDNY/status/736355831445393409", "736355831445393409")</f>
        <v>0</v>
      </c>
      <c r="B2419" s="2">
        <v>42518.0264467593</v>
      </c>
      <c r="C2419">
        <v>0</v>
      </c>
      <c r="D2419">
        <v>23</v>
      </c>
      <c r="E2419" t="s">
        <v>2367</v>
      </c>
    </row>
    <row r="2420" spans="1:5">
      <c r="A2420">
        <f>HYPERLINK("http://www.twitter.com/FDNY/status/736253736910217218", "736253736910217218")</f>
        <v>0</v>
      </c>
      <c r="B2420" s="2">
        <v>42517.7447222222</v>
      </c>
      <c r="C2420">
        <v>72</v>
      </c>
      <c r="D2420">
        <v>25</v>
      </c>
      <c r="E2420" t="s">
        <v>2368</v>
      </c>
    </row>
    <row r="2421" spans="1:5">
      <c r="A2421">
        <f>HYPERLINK("http://www.twitter.com/FDNY/status/736238307047288835", "736238307047288835")</f>
        <v>0</v>
      </c>
      <c r="B2421" s="2">
        <v>42517.7021412037</v>
      </c>
      <c r="C2421">
        <v>0</v>
      </c>
      <c r="D2421">
        <v>3</v>
      </c>
      <c r="E2421" t="s">
        <v>2369</v>
      </c>
    </row>
    <row r="2422" spans="1:5">
      <c r="A2422">
        <f>HYPERLINK("http://www.twitter.com/FDNY/status/736236372340658176", "736236372340658176")</f>
        <v>0</v>
      </c>
      <c r="B2422" s="2">
        <v>42517.6968055556</v>
      </c>
      <c r="C2422">
        <v>11</v>
      </c>
      <c r="D2422">
        <v>8</v>
      </c>
      <c r="E2422" t="s">
        <v>2370</v>
      </c>
    </row>
    <row r="2423" spans="1:5">
      <c r="A2423">
        <f>HYPERLINK("http://www.twitter.com/FDNY/status/736224560014594049", "736224560014594049")</f>
        <v>0</v>
      </c>
      <c r="B2423" s="2">
        <v>42517.664212963</v>
      </c>
      <c r="C2423">
        <v>11</v>
      </c>
      <c r="D2423">
        <v>4</v>
      </c>
      <c r="E2423" t="s">
        <v>2371</v>
      </c>
    </row>
    <row r="2424" spans="1:5">
      <c r="A2424">
        <f>HYPERLINK("http://www.twitter.com/FDNY/status/736222721282039808", "736222721282039808")</f>
        <v>0</v>
      </c>
      <c r="B2424" s="2">
        <v>42517.6591319444</v>
      </c>
      <c r="C2424">
        <v>260</v>
      </c>
      <c r="D2424">
        <v>131</v>
      </c>
      <c r="E2424" t="s">
        <v>2372</v>
      </c>
    </row>
    <row r="2425" spans="1:5">
      <c r="A2425">
        <f>HYPERLINK("http://www.twitter.com/FDNY/status/736172702826893312", "736172702826893312")</f>
        <v>0</v>
      </c>
      <c r="B2425" s="2">
        <v>42517.5211111111</v>
      </c>
      <c r="C2425">
        <v>0</v>
      </c>
      <c r="D2425">
        <v>6</v>
      </c>
      <c r="E2425" t="s">
        <v>2373</v>
      </c>
    </row>
    <row r="2426" spans="1:5">
      <c r="A2426">
        <f>HYPERLINK("http://www.twitter.com/FDNY/status/736172561457946624", "736172561457946624")</f>
        <v>0</v>
      </c>
      <c r="B2426" s="2">
        <v>42517.5207175926</v>
      </c>
      <c r="C2426">
        <v>114</v>
      </c>
      <c r="D2426">
        <v>63</v>
      </c>
      <c r="E2426" t="s">
        <v>2374</v>
      </c>
    </row>
    <row r="2427" spans="1:5">
      <c r="A2427">
        <f>HYPERLINK("http://www.twitter.com/FDNY/status/736018926459576320", "736018926459576320")</f>
        <v>0</v>
      </c>
      <c r="B2427" s="2">
        <v>42517.0967708333</v>
      </c>
      <c r="C2427">
        <v>0</v>
      </c>
      <c r="D2427">
        <v>7</v>
      </c>
      <c r="E2427" t="s">
        <v>2375</v>
      </c>
    </row>
    <row r="2428" spans="1:5">
      <c r="A2428">
        <f>HYPERLINK("http://www.twitter.com/FDNY/status/736001136625364993", "736001136625364993")</f>
        <v>0</v>
      </c>
      <c r="B2428" s="2">
        <v>42517.0476736111</v>
      </c>
      <c r="C2428">
        <v>0</v>
      </c>
      <c r="D2428">
        <v>18</v>
      </c>
      <c r="E2428" t="s">
        <v>2376</v>
      </c>
    </row>
    <row r="2429" spans="1:5">
      <c r="A2429">
        <f>HYPERLINK("http://www.twitter.com/FDNY/status/735963103641391105", "735963103641391105")</f>
        <v>0</v>
      </c>
      <c r="B2429" s="2">
        <v>42516.9427314815</v>
      </c>
      <c r="C2429">
        <v>0</v>
      </c>
      <c r="D2429">
        <v>73</v>
      </c>
      <c r="E2429" t="s">
        <v>2377</v>
      </c>
    </row>
    <row r="2430" spans="1:5">
      <c r="A2430">
        <f>HYPERLINK("http://www.twitter.com/FDNY/status/735955207520161792", "735955207520161792")</f>
        <v>0</v>
      </c>
      <c r="B2430" s="2">
        <v>42516.9209375</v>
      </c>
      <c r="C2430">
        <v>0</v>
      </c>
      <c r="D2430">
        <v>51</v>
      </c>
      <c r="E2430" t="s">
        <v>2378</v>
      </c>
    </row>
    <row r="2431" spans="1:5">
      <c r="A2431">
        <f>HYPERLINK("http://www.twitter.com/FDNY/status/735955170031505408", "735955170031505408")</f>
        <v>0</v>
      </c>
      <c r="B2431" s="2">
        <v>42516.9208333333</v>
      </c>
      <c r="C2431">
        <v>0</v>
      </c>
      <c r="D2431">
        <v>3</v>
      </c>
      <c r="E2431" t="s">
        <v>2379</v>
      </c>
    </row>
    <row r="2432" spans="1:5">
      <c r="A2432">
        <f>HYPERLINK("http://www.twitter.com/FDNY/status/735939458772652032", "735939458772652032")</f>
        <v>0</v>
      </c>
      <c r="B2432" s="2">
        <v>42516.8774768518</v>
      </c>
      <c r="C2432">
        <v>0</v>
      </c>
      <c r="D2432">
        <v>3</v>
      </c>
      <c r="E2432" t="s">
        <v>2380</v>
      </c>
    </row>
    <row r="2433" spans="1:5">
      <c r="A2433">
        <f>HYPERLINK("http://www.twitter.com/FDNY/status/735938423526195200", "735938423526195200")</f>
        <v>0</v>
      </c>
      <c r="B2433" s="2">
        <v>42516.8746180556</v>
      </c>
      <c r="C2433">
        <v>24</v>
      </c>
      <c r="D2433">
        <v>10</v>
      </c>
      <c r="E2433" t="s">
        <v>2381</v>
      </c>
    </row>
    <row r="2434" spans="1:5">
      <c r="A2434">
        <f>HYPERLINK("http://www.twitter.com/FDNY/status/735920595376955393", "735920595376955393")</f>
        <v>0</v>
      </c>
      <c r="B2434" s="2">
        <v>42516.8254282407</v>
      </c>
      <c r="C2434">
        <v>34</v>
      </c>
      <c r="D2434">
        <v>4</v>
      </c>
      <c r="E2434" t="s">
        <v>2382</v>
      </c>
    </row>
    <row r="2435" spans="1:5">
      <c r="A2435">
        <f>HYPERLINK("http://www.twitter.com/FDNY/status/735879405906612224", "735879405906612224")</f>
        <v>0</v>
      </c>
      <c r="B2435" s="2">
        <v>42516.7117708333</v>
      </c>
      <c r="C2435">
        <v>20</v>
      </c>
      <c r="D2435">
        <v>13</v>
      </c>
      <c r="E2435" t="s">
        <v>2383</v>
      </c>
    </row>
    <row r="2436" spans="1:5">
      <c r="A2436">
        <f>HYPERLINK("http://www.twitter.com/FDNY/status/735862623531601920", "735862623531601920")</f>
        <v>0</v>
      </c>
      <c r="B2436" s="2">
        <v>42516.6654513889</v>
      </c>
      <c r="C2436">
        <v>0</v>
      </c>
      <c r="D2436">
        <v>26</v>
      </c>
      <c r="E2436" t="s">
        <v>2384</v>
      </c>
    </row>
    <row r="2437" spans="1:5">
      <c r="A2437">
        <f>HYPERLINK("http://www.twitter.com/FDNY/status/735833240792117248", "735833240792117248")</f>
        <v>0</v>
      </c>
      <c r="B2437" s="2">
        <v>42516.584375</v>
      </c>
      <c r="C2437">
        <v>50</v>
      </c>
      <c r="D2437">
        <v>22</v>
      </c>
      <c r="E2437" t="s">
        <v>2385</v>
      </c>
    </row>
    <row r="2438" spans="1:5">
      <c r="A2438">
        <f>HYPERLINK("http://www.twitter.com/FDNY/status/735669431532199937", "735669431532199937")</f>
        <v>0</v>
      </c>
      <c r="B2438" s="2">
        <v>42516.132349537</v>
      </c>
      <c r="C2438">
        <v>0</v>
      </c>
      <c r="D2438">
        <v>85</v>
      </c>
      <c r="E2438" t="s">
        <v>2386</v>
      </c>
    </row>
    <row r="2439" spans="1:5">
      <c r="A2439">
        <f>HYPERLINK("http://www.twitter.com/FDNY/status/735496918256787457", "735496918256787457")</f>
        <v>0</v>
      </c>
      <c r="B2439" s="2">
        <v>42515.6562962963</v>
      </c>
      <c r="C2439">
        <v>0</v>
      </c>
      <c r="D2439">
        <v>6</v>
      </c>
      <c r="E2439" t="s">
        <v>2387</v>
      </c>
    </row>
    <row r="2440" spans="1:5">
      <c r="A2440">
        <f>HYPERLINK("http://www.twitter.com/FDNY/status/735209180445958144", "735209180445958144")</f>
        <v>0</v>
      </c>
      <c r="B2440" s="2">
        <v>42514.8622916667</v>
      </c>
      <c r="C2440">
        <v>43</v>
      </c>
      <c r="D2440">
        <v>36</v>
      </c>
      <c r="E2440" t="s">
        <v>2388</v>
      </c>
    </row>
    <row r="2441" spans="1:5">
      <c r="A2441">
        <f>HYPERLINK("http://www.twitter.com/FDNY/status/735176422562631681", "735176422562631681")</f>
        <v>0</v>
      </c>
      <c r="B2441" s="2">
        <v>42514.7718981481</v>
      </c>
      <c r="C2441">
        <v>2</v>
      </c>
      <c r="D2441">
        <v>0</v>
      </c>
      <c r="E2441" t="s">
        <v>2389</v>
      </c>
    </row>
    <row r="2442" spans="1:5">
      <c r="A2442">
        <f>HYPERLINK("http://www.twitter.com/FDNY/status/735126871294246913", "735126871294246913")</f>
        <v>0</v>
      </c>
      <c r="B2442" s="2">
        <v>42514.635162037</v>
      </c>
      <c r="C2442">
        <v>17</v>
      </c>
      <c r="D2442">
        <v>4</v>
      </c>
      <c r="E2442" t="s">
        <v>2390</v>
      </c>
    </row>
    <row r="2443" spans="1:5">
      <c r="A2443">
        <f>HYPERLINK("http://www.twitter.com/FDNY/status/734948513256181760", "734948513256181760")</f>
        <v>0</v>
      </c>
      <c r="B2443" s="2">
        <v>42514.1429861111</v>
      </c>
      <c r="C2443">
        <v>0</v>
      </c>
      <c r="D2443">
        <v>5</v>
      </c>
      <c r="E2443" t="s">
        <v>2391</v>
      </c>
    </row>
    <row r="2444" spans="1:5">
      <c r="A2444">
        <f>HYPERLINK("http://www.twitter.com/FDNY/status/734904759681961984", "734904759681961984")</f>
        <v>0</v>
      </c>
      <c r="B2444" s="2">
        <v>42514.0222569444</v>
      </c>
      <c r="C2444">
        <v>0</v>
      </c>
      <c r="D2444">
        <v>10</v>
      </c>
      <c r="E2444" t="s">
        <v>2392</v>
      </c>
    </row>
    <row r="2445" spans="1:5">
      <c r="A2445">
        <f>HYPERLINK("http://www.twitter.com/FDNY/status/734814798538526721", "734814798538526721")</f>
        <v>0</v>
      </c>
      <c r="B2445" s="2">
        <v>42513.7740046296</v>
      </c>
      <c r="C2445">
        <v>19</v>
      </c>
      <c r="D2445">
        <v>9</v>
      </c>
      <c r="E2445" t="s">
        <v>2393</v>
      </c>
    </row>
    <row r="2446" spans="1:5">
      <c r="A2446">
        <f>HYPERLINK("http://www.twitter.com/FDNY/status/734781739323805698", "734781739323805698")</f>
        <v>0</v>
      </c>
      <c r="B2446" s="2">
        <v>42513.6827777778</v>
      </c>
      <c r="C2446">
        <v>22</v>
      </c>
      <c r="D2446">
        <v>11</v>
      </c>
      <c r="E2446" t="s">
        <v>2394</v>
      </c>
    </row>
    <row r="2447" spans="1:5">
      <c r="A2447">
        <f>HYPERLINK("http://www.twitter.com/FDNY/status/734756792178225154", "734756792178225154")</f>
        <v>0</v>
      </c>
      <c r="B2447" s="2">
        <v>42513.6139467593</v>
      </c>
      <c r="C2447">
        <v>0</v>
      </c>
      <c r="D2447">
        <v>37</v>
      </c>
      <c r="E2447" t="s">
        <v>2395</v>
      </c>
    </row>
    <row r="2448" spans="1:5">
      <c r="A2448">
        <f>HYPERLINK("http://www.twitter.com/FDNY/status/734747543352029184", "734747543352029184")</f>
        <v>0</v>
      </c>
      <c r="B2448" s="2">
        <v>42513.5884143518</v>
      </c>
      <c r="C2448">
        <v>17</v>
      </c>
      <c r="D2448">
        <v>9</v>
      </c>
      <c r="E2448" t="s">
        <v>2396</v>
      </c>
    </row>
    <row r="2449" spans="1:5">
      <c r="A2449">
        <f>HYPERLINK("http://www.twitter.com/FDNY/status/734746244447358977", "734746244447358977")</f>
        <v>0</v>
      </c>
      <c r="B2449" s="2">
        <v>42513.584837963</v>
      </c>
      <c r="C2449">
        <v>2</v>
      </c>
      <c r="D2449">
        <v>3</v>
      </c>
      <c r="E2449" t="s">
        <v>2397</v>
      </c>
    </row>
    <row r="2450" spans="1:5">
      <c r="A2450">
        <f>HYPERLINK("http://www.twitter.com/FDNY/status/734453812010835972", "734453812010835972")</f>
        <v>0</v>
      </c>
      <c r="B2450" s="2">
        <v>42512.7778703704</v>
      </c>
      <c r="C2450">
        <v>59</v>
      </c>
      <c r="D2450">
        <v>15</v>
      </c>
      <c r="E2450" t="s">
        <v>2398</v>
      </c>
    </row>
    <row r="2451" spans="1:5">
      <c r="A2451">
        <f>HYPERLINK("http://www.twitter.com/FDNY/status/734452166858002433", "734452166858002433")</f>
        <v>0</v>
      </c>
      <c r="B2451" s="2">
        <v>42512.7733333333</v>
      </c>
      <c r="C2451">
        <v>0</v>
      </c>
      <c r="D2451">
        <v>20</v>
      </c>
      <c r="E2451" t="s">
        <v>2399</v>
      </c>
    </row>
    <row r="2452" spans="1:5">
      <c r="A2452">
        <f>HYPERLINK("http://www.twitter.com/FDNY/status/734432131083075585", "734432131083075585")</f>
        <v>0</v>
      </c>
      <c r="B2452" s="2">
        <v>42512.7180439815</v>
      </c>
      <c r="C2452">
        <v>60</v>
      </c>
      <c r="D2452">
        <v>7</v>
      </c>
      <c r="E2452" t="s">
        <v>2400</v>
      </c>
    </row>
    <row r="2453" spans="1:5">
      <c r="A2453">
        <f>HYPERLINK("http://www.twitter.com/FDNY/status/734410975613444097", "734410975613444097")</f>
        <v>0</v>
      </c>
      <c r="B2453" s="2">
        <v>42512.6596643518</v>
      </c>
      <c r="C2453">
        <v>46</v>
      </c>
      <c r="D2453">
        <v>15</v>
      </c>
      <c r="E2453" t="s">
        <v>2401</v>
      </c>
    </row>
    <row r="2454" spans="1:5">
      <c r="A2454">
        <f>HYPERLINK("http://www.twitter.com/FDNY/status/734401489788096514", "734401489788096514")</f>
        <v>0</v>
      </c>
      <c r="B2454" s="2">
        <v>42512.6334953704</v>
      </c>
      <c r="C2454">
        <v>34</v>
      </c>
      <c r="D2454">
        <v>13</v>
      </c>
      <c r="E2454" t="s">
        <v>2402</v>
      </c>
    </row>
    <row r="2455" spans="1:5">
      <c r="A2455">
        <f>HYPERLINK("http://www.twitter.com/FDNY/status/734380870866501632", "734380870866501632")</f>
        <v>0</v>
      </c>
      <c r="B2455" s="2">
        <v>42512.5765972222</v>
      </c>
      <c r="C2455">
        <v>23</v>
      </c>
      <c r="D2455">
        <v>11</v>
      </c>
      <c r="E2455" t="s">
        <v>2403</v>
      </c>
    </row>
    <row r="2456" spans="1:5">
      <c r="A2456">
        <f>HYPERLINK("http://www.twitter.com/FDNY/status/734182668221480960", "734182668221480960")</f>
        <v>0</v>
      </c>
      <c r="B2456" s="2">
        <v>42512.0296643519</v>
      </c>
      <c r="C2456">
        <v>0</v>
      </c>
      <c r="D2456">
        <v>29</v>
      </c>
      <c r="E2456" t="s">
        <v>2404</v>
      </c>
    </row>
    <row r="2457" spans="1:5">
      <c r="A2457">
        <f>HYPERLINK("http://www.twitter.com/FDNY/status/734182574466142208", "734182574466142208")</f>
        <v>0</v>
      </c>
      <c r="B2457" s="2">
        <v>42512.0293981481</v>
      </c>
      <c r="C2457">
        <v>73</v>
      </c>
      <c r="D2457">
        <v>35</v>
      </c>
      <c r="E2457" t="s">
        <v>2405</v>
      </c>
    </row>
    <row r="2458" spans="1:5">
      <c r="A2458">
        <f>HYPERLINK("http://www.twitter.com/FDNY/status/734043805888983040", "734043805888983040")</f>
        <v>0</v>
      </c>
      <c r="B2458" s="2">
        <v>42511.6464699074</v>
      </c>
      <c r="C2458">
        <v>15</v>
      </c>
      <c r="D2458">
        <v>11</v>
      </c>
      <c r="E2458" t="s">
        <v>2406</v>
      </c>
    </row>
    <row r="2459" spans="1:5">
      <c r="A2459">
        <f>HYPERLINK("http://www.twitter.com/FDNY/status/734039492588359680", "734039492588359680")</f>
        <v>0</v>
      </c>
      <c r="B2459" s="2">
        <v>42511.6345717593</v>
      </c>
      <c r="C2459">
        <v>0</v>
      </c>
      <c r="D2459">
        <v>3</v>
      </c>
      <c r="E2459" t="s">
        <v>2407</v>
      </c>
    </row>
    <row r="2460" spans="1:5">
      <c r="A2460">
        <f>HYPERLINK("http://www.twitter.com/FDNY/status/734038168115290112", "734038168115290112")</f>
        <v>0</v>
      </c>
      <c r="B2460" s="2">
        <v>42511.6309143519</v>
      </c>
      <c r="C2460">
        <v>37</v>
      </c>
      <c r="D2460">
        <v>11</v>
      </c>
      <c r="E2460" t="s">
        <v>2408</v>
      </c>
    </row>
    <row r="2461" spans="1:5">
      <c r="A2461">
        <f>HYPERLINK("http://www.twitter.com/FDNY/status/733999736970174464", "733999736970174464")</f>
        <v>0</v>
      </c>
      <c r="B2461" s="2">
        <v>42511.5248726852</v>
      </c>
      <c r="C2461">
        <v>0</v>
      </c>
      <c r="D2461">
        <v>3</v>
      </c>
      <c r="E2461" t="s">
        <v>2409</v>
      </c>
    </row>
    <row r="2462" spans="1:5">
      <c r="A2462">
        <f>HYPERLINK("http://www.twitter.com/FDNY/status/733837728157040642", "733837728157040642")</f>
        <v>0</v>
      </c>
      <c r="B2462" s="2">
        <v>42511.0778125</v>
      </c>
      <c r="C2462">
        <v>0</v>
      </c>
      <c r="D2462">
        <v>36</v>
      </c>
      <c r="E2462" t="s">
        <v>2410</v>
      </c>
    </row>
    <row r="2463" spans="1:5">
      <c r="A2463">
        <f>HYPERLINK("http://www.twitter.com/FDNY/status/733809346719690752", "733809346719690752")</f>
        <v>0</v>
      </c>
      <c r="B2463" s="2">
        <v>42510.9994907407</v>
      </c>
      <c r="C2463">
        <v>88</v>
      </c>
      <c r="D2463">
        <v>30</v>
      </c>
      <c r="E2463" t="s">
        <v>2411</v>
      </c>
    </row>
    <row r="2464" spans="1:5">
      <c r="A2464">
        <f>HYPERLINK("http://www.twitter.com/FDNY/status/733804577913442308", "733804577913442308")</f>
        <v>0</v>
      </c>
      <c r="B2464" s="2">
        <v>42510.9863310185</v>
      </c>
      <c r="C2464">
        <v>61</v>
      </c>
      <c r="D2464">
        <v>20</v>
      </c>
      <c r="E2464" t="s">
        <v>2412</v>
      </c>
    </row>
    <row r="2465" spans="1:5">
      <c r="A2465">
        <f>HYPERLINK("http://www.twitter.com/FDNY/status/733729715870142468", "733729715870142468")</f>
        <v>0</v>
      </c>
      <c r="B2465" s="2">
        <v>42510.7797453704</v>
      </c>
      <c r="C2465">
        <v>198</v>
      </c>
      <c r="D2465">
        <v>49</v>
      </c>
      <c r="E2465" t="s">
        <v>2413</v>
      </c>
    </row>
    <row r="2466" spans="1:5">
      <c r="A2466">
        <f>HYPERLINK("http://www.twitter.com/FDNY/status/733725560669646849", "733725560669646849")</f>
        <v>0</v>
      </c>
      <c r="B2466" s="2">
        <v>42510.768287037</v>
      </c>
      <c r="C2466">
        <v>0</v>
      </c>
      <c r="D2466">
        <v>15</v>
      </c>
      <c r="E2466" t="s">
        <v>2414</v>
      </c>
    </row>
    <row r="2467" spans="1:5">
      <c r="A2467">
        <f>HYPERLINK("http://www.twitter.com/FDNY/status/733691262990229504", "733691262990229504")</f>
        <v>0</v>
      </c>
      <c r="B2467" s="2">
        <v>42510.6736458333</v>
      </c>
      <c r="C2467">
        <v>189</v>
      </c>
      <c r="D2467">
        <v>91</v>
      </c>
      <c r="E2467" t="s">
        <v>2415</v>
      </c>
    </row>
    <row r="2468" spans="1:5">
      <c r="A2468">
        <f>HYPERLINK("http://www.twitter.com/FDNY/status/733676759103733761", "733676759103733761")</f>
        <v>0</v>
      </c>
      <c r="B2468" s="2">
        <v>42510.6336226852</v>
      </c>
      <c r="C2468">
        <v>0</v>
      </c>
      <c r="D2468">
        <v>0</v>
      </c>
      <c r="E2468" t="s">
        <v>2416</v>
      </c>
    </row>
    <row r="2469" spans="1:5">
      <c r="A2469">
        <f>HYPERLINK("http://www.twitter.com/FDNY/status/733673619855937537", "733673619855937537")</f>
        <v>0</v>
      </c>
      <c r="B2469" s="2">
        <v>42510.6249537037</v>
      </c>
      <c r="C2469">
        <v>0</v>
      </c>
      <c r="D2469">
        <v>3</v>
      </c>
      <c r="E2469" t="s">
        <v>2417</v>
      </c>
    </row>
    <row r="2470" spans="1:5">
      <c r="A2470">
        <f>HYPERLINK("http://www.twitter.com/FDNY/status/733669928927125505", "733669928927125505")</f>
        <v>0</v>
      </c>
      <c r="B2470" s="2">
        <v>42510.6147685185</v>
      </c>
      <c r="C2470">
        <v>0</v>
      </c>
      <c r="D2470">
        <v>5</v>
      </c>
      <c r="E2470" t="s">
        <v>2418</v>
      </c>
    </row>
    <row r="2471" spans="1:5">
      <c r="A2471">
        <f>HYPERLINK("http://www.twitter.com/FDNY/status/733668930078801924", "733668930078801924")</f>
        <v>0</v>
      </c>
      <c r="B2471" s="2">
        <v>42510.6120138889</v>
      </c>
      <c r="C2471">
        <v>19</v>
      </c>
      <c r="D2471">
        <v>6</v>
      </c>
      <c r="E2471" t="s">
        <v>2419</v>
      </c>
    </row>
    <row r="2472" spans="1:5">
      <c r="A2472">
        <f>HYPERLINK("http://www.twitter.com/FDNY/status/733666156649828352", "733666156649828352")</f>
        <v>0</v>
      </c>
      <c r="B2472" s="2">
        <v>42510.6043634259</v>
      </c>
      <c r="C2472">
        <v>0</v>
      </c>
      <c r="D2472">
        <v>2</v>
      </c>
      <c r="E2472" t="s">
        <v>2420</v>
      </c>
    </row>
    <row r="2473" spans="1:5">
      <c r="A2473">
        <f>HYPERLINK("http://www.twitter.com/FDNY/status/733666137997770752", "733666137997770752")</f>
        <v>0</v>
      </c>
      <c r="B2473" s="2">
        <v>42510.6043055556</v>
      </c>
      <c r="C2473">
        <v>0</v>
      </c>
      <c r="D2473">
        <v>3</v>
      </c>
      <c r="E2473" t="s">
        <v>2421</v>
      </c>
    </row>
    <row r="2474" spans="1:5">
      <c r="A2474">
        <f>HYPERLINK("http://www.twitter.com/FDNY/status/733666109929459712", "733666109929459712")</f>
        <v>0</v>
      </c>
      <c r="B2474" s="2">
        <v>42510.6042361111</v>
      </c>
      <c r="C2474">
        <v>0</v>
      </c>
      <c r="D2474">
        <v>1</v>
      </c>
      <c r="E2474" t="s">
        <v>2422</v>
      </c>
    </row>
    <row r="2475" spans="1:5">
      <c r="A2475">
        <f>HYPERLINK("http://www.twitter.com/FDNY/status/733657348133257216", "733657348133257216")</f>
        <v>0</v>
      </c>
      <c r="B2475" s="2">
        <v>42510.5800578704</v>
      </c>
      <c r="C2475">
        <v>13</v>
      </c>
      <c r="D2475">
        <v>5</v>
      </c>
      <c r="E2475" t="s">
        <v>2423</v>
      </c>
    </row>
    <row r="2476" spans="1:5">
      <c r="A2476">
        <f>HYPERLINK("http://www.twitter.com/FDNY/status/733635850710487040", "733635850710487040")</f>
        <v>0</v>
      </c>
      <c r="B2476" s="2">
        <v>42510.5207291667</v>
      </c>
      <c r="C2476">
        <v>0</v>
      </c>
      <c r="D2476">
        <v>8</v>
      </c>
      <c r="E2476" t="s">
        <v>2424</v>
      </c>
    </row>
    <row r="2477" spans="1:5">
      <c r="A2477">
        <f>HYPERLINK("http://www.twitter.com/FDNY/status/733462061619896321", "733462061619896321")</f>
        <v>0</v>
      </c>
      <c r="B2477" s="2">
        <v>42510.0411689815</v>
      </c>
      <c r="C2477">
        <v>59</v>
      </c>
      <c r="D2477">
        <v>23</v>
      </c>
      <c r="E2477" t="s">
        <v>2425</v>
      </c>
    </row>
    <row r="2478" spans="1:5">
      <c r="A2478">
        <f>HYPERLINK("http://www.twitter.com/FDNY/status/733461078466695168", "733461078466695168")</f>
        <v>0</v>
      </c>
      <c r="B2478" s="2">
        <v>42510.0384490741</v>
      </c>
      <c r="C2478">
        <v>21</v>
      </c>
      <c r="D2478">
        <v>5</v>
      </c>
      <c r="E2478" t="s">
        <v>2426</v>
      </c>
    </row>
    <row r="2479" spans="1:5">
      <c r="A2479">
        <f>HYPERLINK("http://www.twitter.com/FDNY/status/733459041473552385", "733459041473552385")</f>
        <v>0</v>
      </c>
      <c r="B2479" s="2">
        <v>42510.0328356481</v>
      </c>
      <c r="C2479">
        <v>20</v>
      </c>
      <c r="D2479">
        <v>6</v>
      </c>
      <c r="E2479" t="s">
        <v>2427</v>
      </c>
    </row>
    <row r="2480" spans="1:5">
      <c r="A2480">
        <f>HYPERLINK("http://www.twitter.com/FDNY/status/733391107007086598", "733391107007086598")</f>
        <v>0</v>
      </c>
      <c r="B2480" s="2">
        <v>42509.8453703704</v>
      </c>
      <c r="C2480">
        <v>7</v>
      </c>
      <c r="D2480">
        <v>5</v>
      </c>
      <c r="E2480" t="s">
        <v>2428</v>
      </c>
    </row>
    <row r="2481" spans="1:5">
      <c r="A2481">
        <f>HYPERLINK("http://www.twitter.com/FDNY/status/733390815620411392", "733390815620411392")</f>
        <v>0</v>
      </c>
      <c r="B2481" s="2">
        <v>42509.8445601852</v>
      </c>
      <c r="C2481">
        <v>32</v>
      </c>
      <c r="D2481">
        <v>19</v>
      </c>
      <c r="E2481" t="s">
        <v>2429</v>
      </c>
    </row>
    <row r="2482" spans="1:5">
      <c r="A2482">
        <f>HYPERLINK("http://www.twitter.com/FDNY/status/733386161142530048", "733386161142530048")</f>
        <v>0</v>
      </c>
      <c r="B2482" s="2">
        <v>42509.831724537</v>
      </c>
      <c r="C2482">
        <v>54</v>
      </c>
      <c r="D2482">
        <v>10</v>
      </c>
      <c r="E2482" t="s">
        <v>2430</v>
      </c>
    </row>
    <row r="2483" spans="1:5">
      <c r="A2483">
        <f>HYPERLINK("http://www.twitter.com/FDNY/status/733380098011729920", "733380098011729920")</f>
        <v>0</v>
      </c>
      <c r="B2483" s="2">
        <v>42509.8149884259</v>
      </c>
      <c r="C2483">
        <v>0</v>
      </c>
      <c r="D2483">
        <v>6</v>
      </c>
      <c r="E2483" t="s">
        <v>2431</v>
      </c>
    </row>
    <row r="2484" spans="1:5">
      <c r="A2484">
        <f>HYPERLINK("http://www.twitter.com/FDNY/status/733361436047638528", "733361436047638528")</f>
        <v>0</v>
      </c>
      <c r="B2484" s="2">
        <v>42509.7634953704</v>
      </c>
      <c r="C2484">
        <v>15</v>
      </c>
      <c r="D2484">
        <v>4</v>
      </c>
      <c r="E2484" t="s">
        <v>2432</v>
      </c>
    </row>
    <row r="2485" spans="1:5">
      <c r="A2485">
        <f>HYPERLINK("http://www.twitter.com/FDNY/status/733358211504427008", "733358211504427008")</f>
        <v>0</v>
      </c>
      <c r="B2485" s="2">
        <v>42509.7545949074</v>
      </c>
      <c r="C2485">
        <v>0</v>
      </c>
      <c r="D2485">
        <v>12</v>
      </c>
      <c r="E2485" t="s">
        <v>2433</v>
      </c>
    </row>
    <row r="2486" spans="1:5">
      <c r="A2486">
        <f>HYPERLINK("http://www.twitter.com/FDNY/status/733357449047093248", "733357449047093248")</f>
        <v>0</v>
      </c>
      <c r="B2486" s="2">
        <v>42509.7524884259</v>
      </c>
      <c r="C2486">
        <v>38</v>
      </c>
      <c r="D2486">
        <v>16</v>
      </c>
      <c r="E2486" t="s">
        <v>2434</v>
      </c>
    </row>
    <row r="2487" spans="1:5">
      <c r="A2487">
        <f>HYPERLINK("http://www.twitter.com/FDNY/status/733342639471353858", "733342639471353858")</f>
        <v>0</v>
      </c>
      <c r="B2487" s="2">
        <v>42509.7116203704</v>
      </c>
      <c r="C2487">
        <v>13</v>
      </c>
      <c r="D2487">
        <v>5</v>
      </c>
      <c r="E2487" t="s">
        <v>2435</v>
      </c>
    </row>
    <row r="2488" spans="1:5">
      <c r="A2488">
        <f>HYPERLINK("http://www.twitter.com/FDNY/status/733335600389033984", "733335600389033984")</f>
        <v>0</v>
      </c>
      <c r="B2488" s="2">
        <v>42509.6921990741</v>
      </c>
      <c r="C2488">
        <v>27</v>
      </c>
      <c r="D2488">
        <v>10</v>
      </c>
      <c r="E2488" t="s">
        <v>2436</v>
      </c>
    </row>
    <row r="2489" spans="1:5">
      <c r="A2489">
        <f>HYPERLINK("http://www.twitter.com/FDNY/status/733331778866384896", "733331778866384896")</f>
        <v>0</v>
      </c>
      <c r="B2489" s="2">
        <v>42509.6816550926</v>
      </c>
      <c r="C2489">
        <v>11</v>
      </c>
      <c r="D2489">
        <v>10</v>
      </c>
      <c r="E2489" t="s">
        <v>2437</v>
      </c>
    </row>
    <row r="2490" spans="1:5">
      <c r="A2490">
        <f>HYPERLINK("http://www.twitter.com/FDNY/status/733312232659030016", "733312232659030016")</f>
        <v>0</v>
      </c>
      <c r="B2490" s="2">
        <v>42509.6277199074</v>
      </c>
      <c r="C2490">
        <v>2</v>
      </c>
      <c r="D2490">
        <v>3</v>
      </c>
      <c r="E2490" t="s">
        <v>2438</v>
      </c>
    </row>
    <row r="2491" spans="1:5">
      <c r="A2491">
        <f>HYPERLINK("http://www.twitter.com/FDNY/status/733309335821033472", "733309335821033472")</f>
        <v>0</v>
      </c>
      <c r="B2491" s="2">
        <v>42509.6197222222</v>
      </c>
      <c r="C2491">
        <v>21</v>
      </c>
      <c r="D2491">
        <v>9</v>
      </c>
      <c r="E2491" t="s">
        <v>2439</v>
      </c>
    </row>
    <row r="2492" spans="1:5">
      <c r="A2492">
        <f>HYPERLINK("http://www.twitter.com/FDNY/status/733307343509803009", "733307343509803009")</f>
        <v>0</v>
      </c>
      <c r="B2492" s="2">
        <v>42509.614224537</v>
      </c>
      <c r="C2492">
        <v>0</v>
      </c>
      <c r="D2492">
        <v>10</v>
      </c>
      <c r="E2492" t="s">
        <v>2440</v>
      </c>
    </row>
    <row r="2493" spans="1:5">
      <c r="A2493">
        <f>HYPERLINK("http://www.twitter.com/FDNY/status/733307328913674240", "733307328913674240")</f>
        <v>0</v>
      </c>
      <c r="B2493" s="2">
        <v>42509.6141898148</v>
      </c>
      <c r="C2493">
        <v>0</v>
      </c>
      <c r="D2493">
        <v>10</v>
      </c>
      <c r="E2493" t="s">
        <v>2441</v>
      </c>
    </row>
    <row r="2494" spans="1:5">
      <c r="A2494">
        <f>HYPERLINK("http://www.twitter.com/FDNY/status/733306447807819776", "733306447807819776")</f>
        <v>0</v>
      </c>
      <c r="B2494" s="2">
        <v>42509.6117476852</v>
      </c>
      <c r="C2494">
        <v>26</v>
      </c>
      <c r="D2494">
        <v>15</v>
      </c>
      <c r="E2494" t="s">
        <v>2442</v>
      </c>
    </row>
    <row r="2495" spans="1:5">
      <c r="A2495">
        <f>HYPERLINK("http://www.twitter.com/FDNY/status/733303673074405378", "733303673074405378")</f>
        <v>0</v>
      </c>
      <c r="B2495" s="2">
        <v>42509.6040972222</v>
      </c>
      <c r="C2495">
        <v>0</v>
      </c>
      <c r="D2495">
        <v>10</v>
      </c>
      <c r="E2495" t="s">
        <v>2443</v>
      </c>
    </row>
    <row r="2496" spans="1:5">
      <c r="A2496">
        <f>HYPERLINK("http://www.twitter.com/FDNY/status/733303178805030912", "733303178805030912")</f>
        <v>0</v>
      </c>
      <c r="B2496" s="2">
        <v>42509.6027314815</v>
      </c>
      <c r="C2496">
        <v>0</v>
      </c>
      <c r="D2496">
        <v>19</v>
      </c>
      <c r="E2496" t="s">
        <v>2444</v>
      </c>
    </row>
    <row r="2497" spans="1:5">
      <c r="A2497">
        <f>HYPERLINK("http://www.twitter.com/FDNY/status/733283350077669376", "733283350077669376")</f>
        <v>0</v>
      </c>
      <c r="B2497" s="2">
        <v>42509.5480208333</v>
      </c>
      <c r="C2497">
        <v>81</v>
      </c>
      <c r="D2497">
        <v>38</v>
      </c>
      <c r="E2497" t="s">
        <v>2445</v>
      </c>
    </row>
    <row r="2498" spans="1:5">
      <c r="A2498">
        <f>HYPERLINK("http://www.twitter.com/FDNY/status/733280772011008001", "733280772011008001")</f>
        <v>0</v>
      </c>
      <c r="B2498" s="2">
        <v>42509.5409027778</v>
      </c>
      <c r="C2498">
        <v>68</v>
      </c>
      <c r="D2498">
        <v>21</v>
      </c>
      <c r="E2498" t="s">
        <v>2446</v>
      </c>
    </row>
    <row r="2499" spans="1:5">
      <c r="A2499">
        <f>HYPERLINK("http://www.twitter.com/FDNY/status/733279398728720384", "733279398728720384")</f>
        <v>0</v>
      </c>
      <c r="B2499" s="2">
        <v>42509.5371064815</v>
      </c>
      <c r="C2499">
        <v>21</v>
      </c>
      <c r="D2499">
        <v>9</v>
      </c>
      <c r="E2499" t="s">
        <v>2447</v>
      </c>
    </row>
    <row r="2500" spans="1:5">
      <c r="A2500">
        <f>HYPERLINK("http://www.twitter.com/FDNY/status/733278469119967232", "733278469119967232")</f>
        <v>0</v>
      </c>
      <c r="B2500" s="2">
        <v>42509.5345486111</v>
      </c>
      <c r="C2500">
        <v>0</v>
      </c>
      <c r="D2500">
        <v>26</v>
      </c>
      <c r="E2500" t="s">
        <v>2410</v>
      </c>
    </row>
    <row r="2501" spans="1:5">
      <c r="A2501">
        <f>HYPERLINK("http://www.twitter.com/FDNY/status/733102683469557760", "733102683469557760")</f>
        <v>0</v>
      </c>
      <c r="B2501" s="2">
        <v>42509.0494675926</v>
      </c>
      <c r="C2501">
        <v>25</v>
      </c>
      <c r="D2501">
        <v>9</v>
      </c>
      <c r="E2501" t="s">
        <v>2448</v>
      </c>
    </row>
    <row r="2502" spans="1:5">
      <c r="A2502">
        <f>HYPERLINK("http://www.twitter.com/FDNY/status/733068599590584321", "733068599590584321")</f>
        <v>0</v>
      </c>
      <c r="B2502" s="2">
        <v>42508.9554166667</v>
      </c>
      <c r="C2502">
        <v>19</v>
      </c>
      <c r="D2502">
        <v>8</v>
      </c>
      <c r="E2502" t="s">
        <v>2449</v>
      </c>
    </row>
    <row r="2503" spans="1:5">
      <c r="A2503">
        <f>HYPERLINK("http://www.twitter.com/FDNY/status/733051770524536834", "733051770524536834")</f>
        <v>0</v>
      </c>
      <c r="B2503" s="2">
        <v>42508.9089814815</v>
      </c>
      <c r="C2503">
        <v>27</v>
      </c>
      <c r="D2503">
        <v>7</v>
      </c>
      <c r="E2503" t="s">
        <v>2450</v>
      </c>
    </row>
    <row r="2504" spans="1:5">
      <c r="A2504">
        <f>HYPERLINK("http://www.twitter.com/FDNY/status/733050334734655488", "733050334734655488")</f>
        <v>0</v>
      </c>
      <c r="B2504" s="2">
        <v>42508.9050115741</v>
      </c>
      <c r="C2504">
        <v>3</v>
      </c>
      <c r="D2504">
        <v>3</v>
      </c>
      <c r="E2504" t="s">
        <v>2451</v>
      </c>
    </row>
    <row r="2505" spans="1:5">
      <c r="A2505">
        <f>HYPERLINK("http://www.twitter.com/FDNY/status/733043065158533120", "733043065158533120")</f>
        <v>0</v>
      </c>
      <c r="B2505" s="2">
        <v>42508.8849537037</v>
      </c>
      <c r="C2505">
        <v>0</v>
      </c>
      <c r="D2505">
        <v>7</v>
      </c>
      <c r="E2505" t="s">
        <v>2452</v>
      </c>
    </row>
    <row r="2506" spans="1:5">
      <c r="A2506">
        <f>HYPERLINK("http://www.twitter.com/FDNY/status/733032569432838144", "733032569432838144")</f>
        <v>0</v>
      </c>
      <c r="B2506" s="2">
        <v>42508.8559953704</v>
      </c>
      <c r="C2506">
        <v>20</v>
      </c>
      <c r="D2506">
        <v>10</v>
      </c>
      <c r="E2506" t="s">
        <v>2453</v>
      </c>
    </row>
    <row r="2507" spans="1:5">
      <c r="A2507">
        <f>HYPERLINK("http://www.twitter.com/FDNY/status/733022505179488260", "733022505179488260")</f>
        <v>0</v>
      </c>
      <c r="B2507" s="2">
        <v>42508.8282175926</v>
      </c>
      <c r="C2507">
        <v>0</v>
      </c>
      <c r="D2507">
        <v>6</v>
      </c>
      <c r="E2507" t="s">
        <v>2454</v>
      </c>
    </row>
    <row r="2508" spans="1:5">
      <c r="A2508">
        <f>HYPERLINK("http://www.twitter.com/FDNY/status/733015648629035008", "733015648629035008")</f>
        <v>0</v>
      </c>
      <c r="B2508" s="2">
        <v>42508.8093055556</v>
      </c>
      <c r="C2508">
        <v>26</v>
      </c>
      <c r="D2508">
        <v>8</v>
      </c>
      <c r="E2508" t="s">
        <v>2455</v>
      </c>
    </row>
    <row r="2509" spans="1:5">
      <c r="A2509">
        <f>HYPERLINK("http://www.twitter.com/FDNY/status/733013516521721860", "733013516521721860")</f>
        <v>0</v>
      </c>
      <c r="B2509" s="2">
        <v>42508.8034143519</v>
      </c>
      <c r="C2509">
        <v>20</v>
      </c>
      <c r="D2509">
        <v>9</v>
      </c>
      <c r="E2509" t="s">
        <v>2456</v>
      </c>
    </row>
    <row r="2510" spans="1:5">
      <c r="A2510">
        <f>HYPERLINK("http://www.twitter.com/FDNY/status/733004985491935233", "733004985491935233")</f>
        <v>0</v>
      </c>
      <c r="B2510" s="2">
        <v>42508.7798726852</v>
      </c>
      <c r="C2510">
        <v>7</v>
      </c>
      <c r="D2510">
        <v>8</v>
      </c>
      <c r="E2510" t="s">
        <v>2457</v>
      </c>
    </row>
    <row r="2511" spans="1:5">
      <c r="A2511">
        <f>HYPERLINK("http://www.twitter.com/FDNY/status/732991821933117440", "732991821933117440")</f>
        <v>0</v>
      </c>
      <c r="B2511" s="2">
        <v>42508.7435532407</v>
      </c>
      <c r="C2511">
        <v>30</v>
      </c>
      <c r="D2511">
        <v>7</v>
      </c>
      <c r="E2511" t="s">
        <v>2458</v>
      </c>
    </row>
    <row r="2512" spans="1:5">
      <c r="A2512">
        <f>HYPERLINK("http://www.twitter.com/FDNY/status/732973669069258752", "732973669069258752")</f>
        <v>0</v>
      </c>
      <c r="B2512" s="2">
        <v>42508.6934606481</v>
      </c>
      <c r="C2512">
        <v>22</v>
      </c>
      <c r="D2512">
        <v>9</v>
      </c>
      <c r="E2512" t="s">
        <v>2459</v>
      </c>
    </row>
    <row r="2513" spans="1:5">
      <c r="A2513">
        <f>HYPERLINK("http://www.twitter.com/FDNY/status/732968523023126528", "732968523023126528")</f>
        <v>0</v>
      </c>
      <c r="B2513" s="2">
        <v>42508.6792592593</v>
      </c>
      <c r="C2513">
        <v>0</v>
      </c>
      <c r="D2513">
        <v>2</v>
      </c>
      <c r="E2513" t="s">
        <v>2460</v>
      </c>
    </row>
    <row r="2514" spans="1:5">
      <c r="A2514">
        <f>HYPERLINK("http://www.twitter.com/FDNY/status/732968488730562561", "732968488730562561")</f>
        <v>0</v>
      </c>
      <c r="B2514" s="2">
        <v>42508.6791666667</v>
      </c>
      <c r="C2514">
        <v>0</v>
      </c>
      <c r="D2514">
        <v>2</v>
      </c>
      <c r="E2514" t="s">
        <v>2461</v>
      </c>
    </row>
    <row r="2515" spans="1:5">
      <c r="A2515">
        <f>HYPERLINK("http://www.twitter.com/FDNY/status/732966356975558656", "732966356975558656")</f>
        <v>0</v>
      </c>
      <c r="B2515" s="2">
        <v>42508.673287037</v>
      </c>
      <c r="C2515">
        <v>0</v>
      </c>
      <c r="D2515">
        <v>4</v>
      </c>
      <c r="E2515" t="s">
        <v>2462</v>
      </c>
    </row>
    <row r="2516" spans="1:5">
      <c r="A2516">
        <f>HYPERLINK("http://www.twitter.com/FDNY/status/732948457468645377", "732948457468645377")</f>
        <v>0</v>
      </c>
      <c r="B2516" s="2">
        <v>42508.6238888889</v>
      </c>
      <c r="C2516">
        <v>7</v>
      </c>
      <c r="D2516">
        <v>8</v>
      </c>
      <c r="E2516" t="s">
        <v>2463</v>
      </c>
    </row>
    <row r="2517" spans="1:5">
      <c r="A2517">
        <f>HYPERLINK("http://www.twitter.com/FDNY/status/732948309485178880", "732948309485178880")</f>
        <v>0</v>
      </c>
      <c r="B2517" s="2">
        <v>42508.6234837963</v>
      </c>
      <c r="C2517">
        <v>6</v>
      </c>
      <c r="D2517">
        <v>7</v>
      </c>
      <c r="E2517" t="s">
        <v>2464</v>
      </c>
    </row>
    <row r="2518" spans="1:5">
      <c r="A2518">
        <f>HYPERLINK("http://www.twitter.com/FDNY/status/732948069583605760", "732948069583605760")</f>
        <v>0</v>
      </c>
      <c r="B2518" s="2">
        <v>42508.6228125</v>
      </c>
      <c r="C2518">
        <v>27</v>
      </c>
      <c r="D2518">
        <v>19</v>
      </c>
      <c r="E2518" t="s">
        <v>2465</v>
      </c>
    </row>
    <row r="2519" spans="1:5">
      <c r="A2519">
        <f>HYPERLINK("http://www.twitter.com/FDNY/status/732947210263011330", "732947210263011330")</f>
        <v>0</v>
      </c>
      <c r="B2519" s="2">
        <v>42508.6204513889</v>
      </c>
      <c r="C2519">
        <v>7</v>
      </c>
      <c r="D2519">
        <v>4</v>
      </c>
      <c r="E2519" t="s">
        <v>2466</v>
      </c>
    </row>
    <row r="2520" spans="1:5">
      <c r="A2520">
        <f>HYPERLINK("http://www.twitter.com/FDNY/status/732947189505359874", "732947189505359874")</f>
        <v>0</v>
      </c>
      <c r="B2520" s="2">
        <v>42508.6203935185</v>
      </c>
      <c r="C2520">
        <v>7</v>
      </c>
      <c r="D2520">
        <v>6</v>
      </c>
      <c r="E2520" t="s">
        <v>2467</v>
      </c>
    </row>
    <row r="2521" spans="1:5">
      <c r="A2521">
        <f>HYPERLINK("http://www.twitter.com/FDNY/status/732908065561972736", "732908065561972736")</f>
        <v>0</v>
      </c>
      <c r="B2521" s="2">
        <v>42508.5124305556</v>
      </c>
      <c r="C2521">
        <v>44</v>
      </c>
      <c r="D2521">
        <v>13</v>
      </c>
      <c r="E2521" t="s">
        <v>2468</v>
      </c>
    </row>
    <row r="2522" spans="1:5">
      <c r="A2522">
        <f>HYPERLINK("http://www.twitter.com/FDNY/status/732902622185848832", "732902622185848832")</f>
        <v>0</v>
      </c>
      <c r="B2522" s="2">
        <v>42508.4974074074</v>
      </c>
      <c r="C2522">
        <v>50</v>
      </c>
      <c r="D2522">
        <v>25</v>
      </c>
      <c r="E2522" t="s">
        <v>2469</v>
      </c>
    </row>
    <row r="2523" spans="1:5">
      <c r="A2523">
        <f>HYPERLINK("http://www.twitter.com/FDNY/status/732749046390087681", "732749046390087681")</f>
        <v>0</v>
      </c>
      <c r="B2523" s="2">
        <v>42508.0736226852</v>
      </c>
      <c r="C2523">
        <v>0</v>
      </c>
      <c r="D2523">
        <v>12</v>
      </c>
      <c r="E2523" t="s">
        <v>2470</v>
      </c>
    </row>
    <row r="2524" spans="1:5">
      <c r="A2524">
        <f>HYPERLINK("http://www.twitter.com/FDNY/status/732745951316705281", "732745951316705281")</f>
        <v>0</v>
      </c>
      <c r="B2524" s="2">
        <v>42508.0650810185</v>
      </c>
      <c r="C2524">
        <v>0</v>
      </c>
      <c r="D2524">
        <v>22</v>
      </c>
      <c r="E2524" t="s">
        <v>2471</v>
      </c>
    </row>
    <row r="2525" spans="1:5">
      <c r="A2525">
        <f>HYPERLINK("http://www.twitter.com/FDNY/status/732723027536977920", "732723027536977920")</f>
        <v>0</v>
      </c>
      <c r="B2525" s="2">
        <v>42508.0018171296</v>
      </c>
      <c r="C2525">
        <v>0</v>
      </c>
      <c r="D2525">
        <v>22</v>
      </c>
      <c r="E2525" t="s">
        <v>2472</v>
      </c>
    </row>
    <row r="2526" spans="1:5">
      <c r="A2526">
        <f>HYPERLINK("http://www.twitter.com/FDNY/status/732714747888599040", "732714747888599040")</f>
        <v>0</v>
      </c>
      <c r="B2526" s="2">
        <v>42507.9789699074</v>
      </c>
      <c r="C2526">
        <v>0</v>
      </c>
      <c r="D2526">
        <v>14</v>
      </c>
      <c r="E2526" t="s">
        <v>2473</v>
      </c>
    </row>
    <row r="2527" spans="1:5">
      <c r="A2527">
        <f>HYPERLINK("http://www.twitter.com/FDNY/status/732714407042686976", "732714407042686976")</f>
        <v>0</v>
      </c>
      <c r="B2527" s="2">
        <v>42507.9780324074</v>
      </c>
      <c r="C2527">
        <v>59</v>
      </c>
      <c r="D2527">
        <v>35</v>
      </c>
      <c r="E2527" t="s">
        <v>2474</v>
      </c>
    </row>
    <row r="2528" spans="1:5">
      <c r="A2528">
        <f>HYPERLINK("http://www.twitter.com/FDNY/status/732704779844079616", "732704779844079616")</f>
        <v>0</v>
      </c>
      <c r="B2528" s="2">
        <v>42507.9514699074</v>
      </c>
      <c r="C2528">
        <v>17</v>
      </c>
      <c r="D2528">
        <v>15</v>
      </c>
      <c r="E2528" t="s">
        <v>2475</v>
      </c>
    </row>
    <row r="2529" spans="1:5">
      <c r="A2529">
        <f>HYPERLINK("http://www.twitter.com/FDNY/status/732691941662556160", "732691941662556160")</f>
        <v>0</v>
      </c>
      <c r="B2529" s="2">
        <v>42507.9160416667</v>
      </c>
      <c r="C2529">
        <v>28</v>
      </c>
      <c r="D2529">
        <v>14</v>
      </c>
      <c r="E2529" t="s">
        <v>2476</v>
      </c>
    </row>
    <row r="2530" spans="1:5">
      <c r="A2530">
        <f>HYPERLINK("http://www.twitter.com/FDNY/status/732635079592321024", "732635079592321024")</f>
        <v>0</v>
      </c>
      <c r="B2530" s="2">
        <v>42507.7591319444</v>
      </c>
      <c r="C2530">
        <v>10</v>
      </c>
      <c r="D2530">
        <v>5</v>
      </c>
      <c r="E2530" t="s">
        <v>2477</v>
      </c>
    </row>
    <row r="2531" spans="1:5">
      <c r="A2531">
        <f>HYPERLINK("http://www.twitter.com/FDNY/status/732608851871203328", "732608851871203328")</f>
        <v>0</v>
      </c>
      <c r="B2531" s="2">
        <v>42507.6867592593</v>
      </c>
      <c r="C2531">
        <v>37</v>
      </c>
      <c r="D2531">
        <v>10</v>
      </c>
      <c r="E2531" t="s">
        <v>2478</v>
      </c>
    </row>
    <row r="2532" spans="1:5">
      <c r="A2532">
        <f>HYPERLINK("http://www.twitter.com/FDNY/status/732605589096910848", "732605589096910848")</f>
        <v>0</v>
      </c>
      <c r="B2532" s="2">
        <v>42507.6777546296</v>
      </c>
      <c r="C2532">
        <v>0</v>
      </c>
      <c r="D2532">
        <v>4</v>
      </c>
      <c r="E2532" t="s">
        <v>2479</v>
      </c>
    </row>
    <row r="2533" spans="1:5">
      <c r="A2533">
        <f>HYPERLINK("http://www.twitter.com/FDNY/status/732560229850832896", "732560229850832896")</f>
        <v>0</v>
      </c>
      <c r="B2533" s="2">
        <v>42507.5525810185</v>
      </c>
      <c r="C2533">
        <v>0</v>
      </c>
      <c r="D2533">
        <v>3</v>
      </c>
      <c r="E2533" t="s">
        <v>2480</v>
      </c>
    </row>
    <row r="2534" spans="1:5">
      <c r="A2534">
        <f>HYPERLINK("http://www.twitter.com/FDNY/status/732327729773809664", "732327729773809664")</f>
        <v>0</v>
      </c>
      <c r="B2534" s="2">
        <v>42506.9110069444</v>
      </c>
      <c r="C2534">
        <v>0</v>
      </c>
      <c r="D2534">
        <v>15</v>
      </c>
      <c r="E2534" t="s">
        <v>2481</v>
      </c>
    </row>
    <row r="2535" spans="1:5">
      <c r="A2535">
        <f>HYPERLINK("http://www.twitter.com/FDNY/status/732304974366035969", "732304974366035969")</f>
        <v>0</v>
      </c>
      <c r="B2535" s="2">
        <v>42506.8482175926</v>
      </c>
      <c r="C2535">
        <v>0</v>
      </c>
      <c r="D2535">
        <v>5</v>
      </c>
      <c r="E2535" t="s">
        <v>2482</v>
      </c>
    </row>
    <row r="2536" spans="1:5">
      <c r="A2536">
        <f>HYPERLINK("http://www.twitter.com/FDNY/status/732288676357656577", "732288676357656577")</f>
        <v>0</v>
      </c>
      <c r="B2536" s="2">
        <v>42506.8032407407</v>
      </c>
      <c r="C2536">
        <v>25</v>
      </c>
      <c r="D2536">
        <v>13</v>
      </c>
      <c r="E2536" t="s">
        <v>2483</v>
      </c>
    </row>
    <row r="2537" spans="1:5">
      <c r="A2537">
        <f>HYPERLINK("http://www.twitter.com/FDNY/status/732282253779316736", "732282253779316736")</f>
        <v>0</v>
      </c>
      <c r="B2537" s="2">
        <v>42506.7855208333</v>
      </c>
      <c r="C2537">
        <v>24</v>
      </c>
      <c r="D2537">
        <v>13</v>
      </c>
      <c r="E2537" t="s">
        <v>2484</v>
      </c>
    </row>
    <row r="2538" spans="1:5">
      <c r="A2538">
        <f>HYPERLINK("http://www.twitter.com/FDNY/status/732277208832724992", "732277208832724992")</f>
        <v>0</v>
      </c>
      <c r="B2538" s="2">
        <v>42506.7715972222</v>
      </c>
      <c r="C2538">
        <v>0</v>
      </c>
      <c r="D2538">
        <v>15</v>
      </c>
      <c r="E2538" t="s">
        <v>2485</v>
      </c>
    </row>
    <row r="2539" spans="1:5">
      <c r="A2539">
        <f>HYPERLINK("http://www.twitter.com/FDNY/status/732271360613994496", "732271360613994496")</f>
        <v>0</v>
      </c>
      <c r="B2539" s="2">
        <v>42506.7554513889</v>
      </c>
      <c r="C2539">
        <v>33</v>
      </c>
      <c r="D2539">
        <v>11</v>
      </c>
      <c r="E2539" t="s">
        <v>2486</v>
      </c>
    </row>
    <row r="2540" spans="1:5">
      <c r="A2540">
        <f>HYPERLINK("http://www.twitter.com/FDNY/status/732266648581902338", "732266648581902338")</f>
        <v>0</v>
      </c>
      <c r="B2540" s="2">
        <v>42506.7424537037</v>
      </c>
      <c r="C2540">
        <v>0</v>
      </c>
      <c r="D2540">
        <v>4</v>
      </c>
      <c r="E2540" t="s">
        <v>2487</v>
      </c>
    </row>
    <row r="2541" spans="1:5">
      <c r="A2541">
        <f>HYPERLINK("http://www.twitter.com/FDNY/status/732266068954238976", "732266068954238976")</f>
        <v>0</v>
      </c>
      <c r="B2541" s="2">
        <v>42506.7408564815</v>
      </c>
      <c r="C2541">
        <v>0</v>
      </c>
      <c r="D2541">
        <v>9</v>
      </c>
      <c r="E2541" t="s">
        <v>2488</v>
      </c>
    </row>
    <row r="2542" spans="1:5">
      <c r="A2542">
        <f>HYPERLINK("http://www.twitter.com/FDNY/status/732260306920062976", "732260306920062976")</f>
        <v>0</v>
      </c>
      <c r="B2542" s="2">
        <v>42506.7249537037</v>
      </c>
      <c r="C2542">
        <v>23</v>
      </c>
      <c r="D2542">
        <v>7</v>
      </c>
      <c r="E2542" t="s">
        <v>2489</v>
      </c>
    </row>
    <row r="2543" spans="1:5">
      <c r="A2543">
        <f>HYPERLINK("http://www.twitter.com/FDNY/status/732232326130880512", "732232326130880512")</f>
        <v>0</v>
      </c>
      <c r="B2543" s="2">
        <v>42506.6477430556</v>
      </c>
      <c r="C2543">
        <v>28</v>
      </c>
      <c r="D2543">
        <v>10</v>
      </c>
      <c r="E2543" t="s">
        <v>2490</v>
      </c>
    </row>
    <row r="2544" spans="1:5">
      <c r="A2544">
        <f>HYPERLINK("http://www.twitter.com/FDNY/status/732230922796466176", "732230922796466176")</f>
        <v>0</v>
      </c>
      <c r="B2544" s="2">
        <v>42506.6438657407</v>
      </c>
      <c r="C2544">
        <v>0</v>
      </c>
      <c r="D2544">
        <v>3</v>
      </c>
      <c r="E2544" t="s">
        <v>2491</v>
      </c>
    </row>
    <row r="2545" spans="1:5">
      <c r="A2545">
        <f>HYPERLINK("http://www.twitter.com/FDNY/status/732229552899035136", "732229552899035136")</f>
        <v>0</v>
      </c>
      <c r="B2545" s="2">
        <v>42506.6400925926</v>
      </c>
      <c r="C2545">
        <v>42</v>
      </c>
      <c r="D2545">
        <v>26</v>
      </c>
      <c r="E2545" t="s">
        <v>2492</v>
      </c>
    </row>
    <row r="2546" spans="1:5">
      <c r="A2546">
        <f>HYPERLINK("http://www.twitter.com/FDNY/status/732227801991008258", "732227801991008258")</f>
        <v>0</v>
      </c>
      <c r="B2546" s="2">
        <v>42506.6352546296</v>
      </c>
      <c r="C2546">
        <v>29</v>
      </c>
      <c r="D2546">
        <v>8</v>
      </c>
      <c r="E2546" t="s">
        <v>2493</v>
      </c>
    </row>
    <row r="2547" spans="1:5">
      <c r="A2547">
        <f>HYPERLINK("http://www.twitter.com/FDNY/status/732226562188267520", "732226562188267520")</f>
        <v>0</v>
      </c>
      <c r="B2547" s="2">
        <v>42506.6318402778</v>
      </c>
      <c r="C2547">
        <v>25</v>
      </c>
      <c r="D2547">
        <v>12</v>
      </c>
      <c r="E2547" t="s">
        <v>2494</v>
      </c>
    </row>
    <row r="2548" spans="1:5">
      <c r="A2548">
        <f>HYPERLINK("http://www.twitter.com/FDNY/status/732225184858578944", "732225184858578944")</f>
        <v>0</v>
      </c>
      <c r="B2548" s="2">
        <v>42506.6280324074</v>
      </c>
      <c r="C2548">
        <v>27</v>
      </c>
      <c r="D2548">
        <v>13</v>
      </c>
      <c r="E2548" t="s">
        <v>2495</v>
      </c>
    </row>
    <row r="2549" spans="1:5">
      <c r="A2549">
        <f>HYPERLINK("http://www.twitter.com/FDNY/status/732222029814960129", "732222029814960129")</f>
        <v>0</v>
      </c>
      <c r="B2549" s="2">
        <v>42506.6193287037</v>
      </c>
      <c r="C2549">
        <v>58</v>
      </c>
      <c r="D2549">
        <v>27</v>
      </c>
      <c r="E2549" t="s">
        <v>2496</v>
      </c>
    </row>
    <row r="2550" spans="1:5">
      <c r="A2550">
        <f>HYPERLINK("http://www.twitter.com/FDNY/status/732219545889480705", "732219545889480705")</f>
        <v>0</v>
      </c>
      <c r="B2550" s="2">
        <v>42506.6124768518</v>
      </c>
      <c r="C2550">
        <v>24</v>
      </c>
      <c r="D2550">
        <v>9</v>
      </c>
      <c r="E2550" t="s">
        <v>2497</v>
      </c>
    </row>
    <row r="2551" spans="1:5">
      <c r="A2551">
        <f>HYPERLINK("http://www.twitter.com/FDNY/status/732212585483898880", "732212585483898880")</f>
        <v>0</v>
      </c>
      <c r="B2551" s="2">
        <v>42506.5932638889</v>
      </c>
      <c r="C2551">
        <v>10</v>
      </c>
      <c r="D2551">
        <v>9</v>
      </c>
      <c r="E2551" t="s">
        <v>2498</v>
      </c>
    </row>
    <row r="2552" spans="1:5">
      <c r="A2552">
        <f>HYPERLINK("http://www.twitter.com/FDNY/status/732199607539802112", "732199607539802112")</f>
        <v>0</v>
      </c>
      <c r="B2552" s="2">
        <v>42506.5574537037</v>
      </c>
      <c r="C2552">
        <v>0</v>
      </c>
      <c r="D2552">
        <v>47</v>
      </c>
      <c r="E2552" t="s">
        <v>2499</v>
      </c>
    </row>
    <row r="2553" spans="1:5">
      <c r="A2553">
        <f>HYPERLINK("http://www.twitter.com/FDNY/status/732199559070416896", "732199559070416896")</f>
        <v>0</v>
      </c>
      <c r="B2553" s="2">
        <v>42506.5573263889</v>
      </c>
      <c r="C2553">
        <v>0</v>
      </c>
      <c r="D2553">
        <v>7</v>
      </c>
      <c r="E2553" t="s">
        <v>2500</v>
      </c>
    </row>
    <row r="2554" spans="1:5">
      <c r="A2554">
        <f>HYPERLINK("http://www.twitter.com/FDNY/status/732199535414525953", "732199535414525953")</f>
        <v>0</v>
      </c>
      <c r="B2554" s="2">
        <v>42506.5572569444</v>
      </c>
      <c r="C2554">
        <v>0</v>
      </c>
      <c r="D2554">
        <v>122</v>
      </c>
      <c r="E2554" t="s">
        <v>2501</v>
      </c>
    </row>
    <row r="2555" spans="1:5">
      <c r="A2555">
        <f>HYPERLINK("http://www.twitter.com/FDNY/status/732027650307411968", "732027650307411968")</f>
        <v>0</v>
      </c>
      <c r="B2555" s="2">
        <v>42506.0829398148</v>
      </c>
      <c r="C2555">
        <v>143</v>
      </c>
      <c r="D2555">
        <v>58</v>
      </c>
      <c r="E2555" t="s">
        <v>2502</v>
      </c>
    </row>
    <row r="2556" spans="1:5">
      <c r="A2556">
        <f>HYPERLINK("http://www.twitter.com/FDNY/status/732027546104147970", "732027546104147970")</f>
        <v>0</v>
      </c>
      <c r="B2556" s="2">
        <v>42506.082662037</v>
      </c>
      <c r="C2556">
        <v>190</v>
      </c>
      <c r="D2556">
        <v>103</v>
      </c>
      <c r="E2556" t="s">
        <v>2503</v>
      </c>
    </row>
    <row r="2557" spans="1:5">
      <c r="A2557">
        <f>HYPERLINK("http://www.twitter.com/FDNY/status/731862191230554115", "731862191230554115")</f>
        <v>0</v>
      </c>
      <c r="B2557" s="2">
        <v>42505.6263657407</v>
      </c>
      <c r="C2557">
        <v>0</v>
      </c>
      <c r="D2557">
        <v>5</v>
      </c>
      <c r="E2557" t="s">
        <v>2504</v>
      </c>
    </row>
    <row r="2558" spans="1:5">
      <c r="A2558">
        <f>HYPERLINK("http://www.twitter.com/FDNY/status/731862113916964864", "731862113916964864")</f>
        <v>0</v>
      </c>
      <c r="B2558" s="2">
        <v>42505.6261458333</v>
      </c>
      <c r="C2558">
        <v>0</v>
      </c>
      <c r="D2558">
        <v>6</v>
      </c>
      <c r="E2558" t="s">
        <v>2505</v>
      </c>
    </row>
    <row r="2559" spans="1:5">
      <c r="A2559">
        <f>HYPERLINK("http://www.twitter.com/FDNY/status/731862026679652352", "731862026679652352")</f>
        <v>0</v>
      </c>
      <c r="B2559" s="2">
        <v>42505.6259143519</v>
      </c>
      <c r="C2559">
        <v>0</v>
      </c>
      <c r="D2559">
        <v>6</v>
      </c>
      <c r="E2559" t="s">
        <v>2506</v>
      </c>
    </row>
    <row r="2560" spans="1:5">
      <c r="A2560">
        <f>HYPERLINK("http://www.twitter.com/FDNY/status/731861945578557440", "731861945578557440")</f>
        <v>0</v>
      </c>
      <c r="B2560" s="2">
        <v>42505.6256828704</v>
      </c>
      <c r="C2560">
        <v>0</v>
      </c>
      <c r="D2560">
        <v>78</v>
      </c>
      <c r="E2560" t="s">
        <v>2507</v>
      </c>
    </row>
    <row r="2561" spans="1:5">
      <c r="A2561">
        <f>HYPERLINK("http://www.twitter.com/FDNY/status/731861808773013504", "731861808773013504")</f>
        <v>0</v>
      </c>
      <c r="B2561" s="2">
        <v>42505.6253125</v>
      </c>
      <c r="C2561">
        <v>95</v>
      </c>
      <c r="D2561">
        <v>41</v>
      </c>
      <c r="E2561" t="s">
        <v>2508</v>
      </c>
    </row>
    <row r="2562" spans="1:5">
      <c r="A2562">
        <f>HYPERLINK("http://www.twitter.com/FDNY/status/731859709234401280", "731859709234401280")</f>
        <v>0</v>
      </c>
      <c r="B2562" s="2">
        <v>42505.6195138889</v>
      </c>
      <c r="C2562">
        <v>0</v>
      </c>
      <c r="D2562">
        <v>65</v>
      </c>
      <c r="E2562" t="s">
        <v>2509</v>
      </c>
    </row>
    <row r="2563" spans="1:5">
      <c r="A2563">
        <f>HYPERLINK("http://www.twitter.com/FDNY/status/731859668499333120", "731859668499333120")</f>
        <v>0</v>
      </c>
      <c r="B2563" s="2">
        <v>42505.6193981481</v>
      </c>
      <c r="C2563">
        <v>0</v>
      </c>
      <c r="D2563">
        <v>62</v>
      </c>
      <c r="E2563" t="s">
        <v>2510</v>
      </c>
    </row>
    <row r="2564" spans="1:5">
      <c r="A2564">
        <f>HYPERLINK("http://www.twitter.com/FDNY/status/731859636924600321", "731859636924600321")</f>
        <v>0</v>
      </c>
      <c r="B2564" s="2">
        <v>42505.6193171296</v>
      </c>
      <c r="C2564">
        <v>0</v>
      </c>
      <c r="D2564">
        <v>109</v>
      </c>
      <c r="E2564" t="s">
        <v>2511</v>
      </c>
    </row>
    <row r="2565" spans="1:5">
      <c r="A2565">
        <f>HYPERLINK("http://www.twitter.com/FDNY/status/731859616036990976", "731859616036990976")</f>
        <v>0</v>
      </c>
      <c r="B2565" s="2">
        <v>42505.6192592593</v>
      </c>
      <c r="C2565">
        <v>0</v>
      </c>
      <c r="D2565">
        <v>51</v>
      </c>
      <c r="E2565" t="s">
        <v>2512</v>
      </c>
    </row>
    <row r="2566" spans="1:5">
      <c r="A2566">
        <f>HYPERLINK("http://www.twitter.com/FDNY/status/731699840258834432", "731699840258834432")</f>
        <v>0</v>
      </c>
      <c r="B2566" s="2">
        <v>42505.1783564815</v>
      </c>
      <c r="C2566">
        <v>0</v>
      </c>
      <c r="D2566">
        <v>10</v>
      </c>
      <c r="E2566" t="s">
        <v>2513</v>
      </c>
    </row>
    <row r="2567" spans="1:5">
      <c r="A2567">
        <f>HYPERLINK("http://www.twitter.com/FDNY/status/731669404459601920", "731669404459601920")</f>
        <v>0</v>
      </c>
      <c r="B2567" s="2">
        <v>42505.094375</v>
      </c>
      <c r="C2567">
        <v>28</v>
      </c>
      <c r="D2567">
        <v>7</v>
      </c>
      <c r="E2567" t="s">
        <v>2514</v>
      </c>
    </row>
    <row r="2568" spans="1:5">
      <c r="A2568">
        <f>HYPERLINK("http://www.twitter.com/FDNY/status/731668184118525952", "731668184118525952")</f>
        <v>0</v>
      </c>
      <c r="B2568" s="2">
        <v>42505.0910069444</v>
      </c>
      <c r="C2568">
        <v>0</v>
      </c>
      <c r="D2568">
        <v>2</v>
      </c>
      <c r="E2568" t="s">
        <v>2515</v>
      </c>
    </row>
    <row r="2569" spans="1:5">
      <c r="A2569">
        <f>HYPERLINK("http://www.twitter.com/FDNY/status/731654995553177600", "731654995553177600")</f>
        <v>0</v>
      </c>
      <c r="B2569" s="2">
        <v>42505.0546180556</v>
      </c>
      <c r="C2569">
        <v>0</v>
      </c>
      <c r="D2569">
        <v>8</v>
      </c>
      <c r="E2569" t="s">
        <v>2516</v>
      </c>
    </row>
    <row r="2570" spans="1:5">
      <c r="A2570">
        <f>HYPERLINK("http://www.twitter.com/FDNY/status/731654626131447808", "731654626131447808")</f>
        <v>0</v>
      </c>
      <c r="B2570" s="2">
        <v>42505.053599537</v>
      </c>
      <c r="C2570">
        <v>0</v>
      </c>
      <c r="D2570">
        <v>6</v>
      </c>
      <c r="E2570" t="s">
        <v>2517</v>
      </c>
    </row>
    <row r="2571" spans="1:5">
      <c r="A2571">
        <f>HYPERLINK("http://www.twitter.com/FDNY/status/731654581747384321", "731654581747384321")</f>
        <v>0</v>
      </c>
      <c r="B2571" s="2">
        <v>42505.0534722222</v>
      </c>
      <c r="C2571">
        <v>0</v>
      </c>
      <c r="D2571">
        <v>8</v>
      </c>
      <c r="E2571" t="s">
        <v>2518</v>
      </c>
    </row>
    <row r="2572" spans="1:5">
      <c r="A2572">
        <f>HYPERLINK("http://www.twitter.com/FDNY/status/731615545288581120", "731615545288581120")</f>
        <v>0</v>
      </c>
      <c r="B2572" s="2">
        <v>42504.9457523148</v>
      </c>
      <c r="C2572">
        <v>14</v>
      </c>
      <c r="D2572">
        <v>9</v>
      </c>
      <c r="E2572" t="s">
        <v>2519</v>
      </c>
    </row>
    <row r="2573" spans="1:5">
      <c r="A2573">
        <f>HYPERLINK("http://www.twitter.com/FDNY/status/731615399457005569", "731615399457005569")</f>
        <v>0</v>
      </c>
      <c r="B2573" s="2">
        <v>42504.9453472222</v>
      </c>
      <c r="C2573">
        <v>15</v>
      </c>
      <c r="D2573">
        <v>9</v>
      </c>
      <c r="E2573" t="s">
        <v>2520</v>
      </c>
    </row>
    <row r="2574" spans="1:5">
      <c r="A2574">
        <f>HYPERLINK("http://www.twitter.com/FDNY/status/731613844695613440", "731613844695613440")</f>
        <v>0</v>
      </c>
      <c r="B2574" s="2">
        <v>42504.9410532407</v>
      </c>
      <c r="C2574">
        <v>0</v>
      </c>
      <c r="D2574">
        <v>0</v>
      </c>
      <c r="E2574" t="s">
        <v>2521</v>
      </c>
    </row>
    <row r="2575" spans="1:5">
      <c r="A2575">
        <f>HYPERLINK("http://www.twitter.com/FDNY/status/731586713349439490", "731586713349439490")</f>
        <v>0</v>
      </c>
      <c r="B2575" s="2">
        <v>42504.8661921296</v>
      </c>
      <c r="C2575">
        <v>6</v>
      </c>
      <c r="D2575">
        <v>3</v>
      </c>
      <c r="E2575" t="s">
        <v>2522</v>
      </c>
    </row>
    <row r="2576" spans="1:5">
      <c r="A2576">
        <f>HYPERLINK("http://www.twitter.com/FDNY/status/731571715428454400", "731571715428454400")</f>
        <v>0</v>
      </c>
      <c r="B2576" s="2">
        <v>42504.8248032407</v>
      </c>
      <c r="C2576">
        <v>11</v>
      </c>
      <c r="D2576">
        <v>9</v>
      </c>
      <c r="E2576" t="s">
        <v>2523</v>
      </c>
    </row>
    <row r="2577" spans="1:5">
      <c r="A2577">
        <f>HYPERLINK("http://www.twitter.com/FDNY/status/731571591172263941", "731571591172263941")</f>
        <v>0</v>
      </c>
      <c r="B2577" s="2">
        <v>42504.8244560185</v>
      </c>
      <c r="C2577">
        <v>0</v>
      </c>
      <c r="D2577">
        <v>9</v>
      </c>
      <c r="E2577" t="s">
        <v>2524</v>
      </c>
    </row>
    <row r="2578" spans="1:5">
      <c r="A2578">
        <f>HYPERLINK("http://www.twitter.com/FDNY/status/731567847969828865", "731567847969828865")</f>
        <v>0</v>
      </c>
      <c r="B2578" s="2">
        <v>42504.8141319444</v>
      </c>
      <c r="C2578">
        <v>24</v>
      </c>
      <c r="D2578">
        <v>15</v>
      </c>
      <c r="E2578" t="s">
        <v>2525</v>
      </c>
    </row>
    <row r="2579" spans="1:5">
      <c r="A2579">
        <f>HYPERLINK("http://www.twitter.com/FDNY/status/731563355547308034", "731563355547308034")</f>
        <v>0</v>
      </c>
      <c r="B2579" s="2">
        <v>42504.8017361111</v>
      </c>
      <c r="C2579">
        <v>43</v>
      </c>
      <c r="D2579">
        <v>18</v>
      </c>
      <c r="E2579" t="s">
        <v>2526</v>
      </c>
    </row>
    <row r="2580" spans="1:5">
      <c r="A2580">
        <f>HYPERLINK("http://www.twitter.com/FDNY/status/731563166501601280", "731563166501601280")</f>
        <v>0</v>
      </c>
      <c r="B2580" s="2">
        <v>42504.8012152778</v>
      </c>
      <c r="C2580">
        <v>0</v>
      </c>
      <c r="D2580">
        <v>11</v>
      </c>
      <c r="E2580" t="s">
        <v>2527</v>
      </c>
    </row>
    <row r="2581" spans="1:5">
      <c r="A2581">
        <f>HYPERLINK("http://www.twitter.com/FDNY/status/731558431988035586", "731558431988035586")</f>
        <v>0</v>
      </c>
      <c r="B2581" s="2">
        <v>42504.7881481481</v>
      </c>
      <c r="C2581">
        <v>25</v>
      </c>
      <c r="D2581">
        <v>7</v>
      </c>
      <c r="E2581" t="s">
        <v>2528</v>
      </c>
    </row>
    <row r="2582" spans="1:5">
      <c r="A2582">
        <f>HYPERLINK("http://www.twitter.com/FDNY/status/731552537736826880", "731552537736826880")</f>
        <v>0</v>
      </c>
      <c r="B2582" s="2">
        <v>42504.7718865741</v>
      </c>
      <c r="C2582">
        <v>66</v>
      </c>
      <c r="D2582">
        <v>21</v>
      </c>
      <c r="E2582" t="s">
        <v>2529</v>
      </c>
    </row>
    <row r="2583" spans="1:5">
      <c r="A2583">
        <f>HYPERLINK("http://www.twitter.com/FDNY/status/731551068082049024", "731551068082049024")</f>
        <v>0</v>
      </c>
      <c r="B2583" s="2">
        <v>42504.7678240741</v>
      </c>
      <c r="C2583">
        <v>23</v>
      </c>
      <c r="D2583">
        <v>7</v>
      </c>
      <c r="E2583" t="s">
        <v>2530</v>
      </c>
    </row>
    <row r="2584" spans="1:5">
      <c r="A2584">
        <f>HYPERLINK("http://www.twitter.com/FDNY/status/731550590690570243", "731550590690570243")</f>
        <v>0</v>
      </c>
      <c r="B2584" s="2">
        <v>42504.7665162037</v>
      </c>
      <c r="C2584">
        <v>0</v>
      </c>
      <c r="D2584">
        <v>6</v>
      </c>
      <c r="E2584" t="s">
        <v>2531</v>
      </c>
    </row>
    <row r="2585" spans="1:5">
      <c r="A2585">
        <f>HYPERLINK("http://www.twitter.com/FDNY/status/731549427920453633", "731549427920453633")</f>
        <v>0</v>
      </c>
      <c r="B2585" s="2">
        <v>42504.7632986111</v>
      </c>
      <c r="C2585">
        <v>0</v>
      </c>
      <c r="D2585">
        <v>9</v>
      </c>
      <c r="E2585" t="s">
        <v>2532</v>
      </c>
    </row>
    <row r="2586" spans="1:5">
      <c r="A2586">
        <f>HYPERLINK("http://www.twitter.com/FDNY/status/731547192255778820", "731547192255778820")</f>
        <v>0</v>
      </c>
      <c r="B2586" s="2">
        <v>42504.7571296296</v>
      </c>
      <c r="C2586">
        <v>26</v>
      </c>
      <c r="D2586">
        <v>7</v>
      </c>
      <c r="E2586" t="s">
        <v>2533</v>
      </c>
    </row>
    <row r="2587" spans="1:5">
      <c r="A2587">
        <f>HYPERLINK("http://www.twitter.com/FDNY/status/731545664014942212", "731545664014942212")</f>
        <v>0</v>
      </c>
      <c r="B2587" s="2">
        <v>42504.7529166667</v>
      </c>
      <c r="C2587">
        <v>18</v>
      </c>
      <c r="D2587">
        <v>7</v>
      </c>
      <c r="E2587" t="s">
        <v>2534</v>
      </c>
    </row>
    <row r="2588" spans="1:5">
      <c r="A2588">
        <f>HYPERLINK("http://www.twitter.com/FDNY/status/731545344232837120", "731545344232837120")</f>
        <v>0</v>
      </c>
      <c r="B2588" s="2">
        <v>42504.752037037</v>
      </c>
      <c r="C2588">
        <v>11</v>
      </c>
      <c r="D2588">
        <v>9</v>
      </c>
      <c r="E2588" t="s">
        <v>2535</v>
      </c>
    </row>
    <row r="2589" spans="1:5">
      <c r="A2589">
        <f>HYPERLINK("http://www.twitter.com/FDNY/status/731545163936481280", "731545163936481280")</f>
        <v>0</v>
      </c>
      <c r="B2589" s="2">
        <v>42504.7515393519</v>
      </c>
      <c r="C2589">
        <v>0</v>
      </c>
      <c r="D2589">
        <v>6</v>
      </c>
      <c r="E2589" t="s">
        <v>2536</v>
      </c>
    </row>
    <row r="2590" spans="1:5">
      <c r="A2590">
        <f>HYPERLINK("http://www.twitter.com/FDNY/status/731543776473321473", "731543776473321473")</f>
        <v>0</v>
      </c>
      <c r="B2590" s="2">
        <v>42504.7477083333</v>
      </c>
      <c r="C2590">
        <v>12</v>
      </c>
      <c r="D2590">
        <v>6</v>
      </c>
      <c r="E2590" t="s">
        <v>2537</v>
      </c>
    </row>
    <row r="2591" spans="1:5">
      <c r="A2591">
        <f>HYPERLINK("http://www.twitter.com/FDNY/status/731541800851136512", "731541800851136512")</f>
        <v>0</v>
      </c>
      <c r="B2591" s="2">
        <v>42504.7422569444</v>
      </c>
      <c r="C2591">
        <v>0</v>
      </c>
      <c r="D2591">
        <v>6</v>
      </c>
      <c r="E2591" t="s">
        <v>2538</v>
      </c>
    </row>
    <row r="2592" spans="1:5">
      <c r="A2592">
        <f>HYPERLINK("http://www.twitter.com/FDNY/status/731541726356226048", "731541726356226048")</f>
        <v>0</v>
      </c>
      <c r="B2592" s="2">
        <v>42504.7420486111</v>
      </c>
      <c r="C2592">
        <v>25</v>
      </c>
      <c r="D2592">
        <v>13</v>
      </c>
      <c r="E2592" t="s">
        <v>2539</v>
      </c>
    </row>
    <row r="2593" spans="1:5">
      <c r="A2593">
        <f>HYPERLINK("http://www.twitter.com/FDNY/status/731540812790673408", "731540812790673408")</f>
        <v>0</v>
      </c>
      <c r="B2593" s="2">
        <v>42504.739525463</v>
      </c>
      <c r="C2593">
        <v>7</v>
      </c>
      <c r="D2593">
        <v>3</v>
      </c>
      <c r="E2593" t="s">
        <v>2540</v>
      </c>
    </row>
    <row r="2594" spans="1:5">
      <c r="A2594">
        <f>HYPERLINK("http://www.twitter.com/FDNY/status/731539697277734912", "731539697277734912")</f>
        <v>0</v>
      </c>
      <c r="B2594" s="2">
        <v>42504.7364467593</v>
      </c>
      <c r="C2594">
        <v>17</v>
      </c>
      <c r="D2594">
        <v>6</v>
      </c>
      <c r="E2594" t="s">
        <v>2541</v>
      </c>
    </row>
    <row r="2595" spans="1:5">
      <c r="A2595">
        <f>HYPERLINK("http://www.twitter.com/FDNY/status/731536695401848832", "731536695401848832")</f>
        <v>0</v>
      </c>
      <c r="B2595" s="2">
        <v>42504.7281712963</v>
      </c>
      <c r="C2595">
        <v>0</v>
      </c>
      <c r="D2595">
        <v>6</v>
      </c>
      <c r="E2595" t="s">
        <v>2542</v>
      </c>
    </row>
    <row r="2596" spans="1:5">
      <c r="A2596">
        <f>HYPERLINK("http://www.twitter.com/FDNY/status/731534286202019840", "731534286202019840")</f>
        <v>0</v>
      </c>
      <c r="B2596" s="2">
        <v>42504.7215162037</v>
      </c>
      <c r="C2596">
        <v>0</v>
      </c>
      <c r="D2596">
        <v>10</v>
      </c>
      <c r="E2596" t="s">
        <v>2543</v>
      </c>
    </row>
    <row r="2597" spans="1:5">
      <c r="A2597">
        <f>HYPERLINK("http://www.twitter.com/FDNY/status/731534155419357184", "731534155419357184")</f>
        <v>0</v>
      </c>
      <c r="B2597" s="2">
        <v>42504.7211574074</v>
      </c>
      <c r="C2597">
        <v>0</v>
      </c>
      <c r="D2597">
        <v>9</v>
      </c>
      <c r="E2597" t="s">
        <v>2544</v>
      </c>
    </row>
    <row r="2598" spans="1:5">
      <c r="A2598">
        <f>HYPERLINK("http://www.twitter.com/FDNY/status/731534116978589696", "731534116978589696")</f>
        <v>0</v>
      </c>
      <c r="B2598" s="2">
        <v>42504.7210532407</v>
      </c>
      <c r="C2598">
        <v>0</v>
      </c>
      <c r="D2598">
        <v>12</v>
      </c>
      <c r="E2598" t="s">
        <v>2545</v>
      </c>
    </row>
    <row r="2599" spans="1:5">
      <c r="A2599">
        <f>HYPERLINK("http://www.twitter.com/FDNY/status/731534085357748224", "731534085357748224")</f>
        <v>0</v>
      </c>
      <c r="B2599" s="2">
        <v>42504.7209606481</v>
      </c>
      <c r="C2599">
        <v>0</v>
      </c>
      <c r="D2599">
        <v>12</v>
      </c>
      <c r="E2599" t="s">
        <v>2546</v>
      </c>
    </row>
    <row r="2600" spans="1:5">
      <c r="A2600">
        <f>HYPERLINK("http://www.twitter.com/FDNY/status/731534038184398850", "731534038184398850")</f>
        <v>0</v>
      </c>
      <c r="B2600" s="2">
        <v>42504.7208333333</v>
      </c>
      <c r="C2600">
        <v>0</v>
      </c>
      <c r="D2600">
        <v>9</v>
      </c>
      <c r="E2600" t="s">
        <v>2547</v>
      </c>
    </row>
    <row r="2601" spans="1:5">
      <c r="A2601">
        <f>HYPERLINK("http://www.twitter.com/FDNY/status/731534006362198017", "731534006362198017")</f>
        <v>0</v>
      </c>
      <c r="B2601" s="2">
        <v>42504.7207523148</v>
      </c>
      <c r="C2601">
        <v>0</v>
      </c>
      <c r="D2601">
        <v>6</v>
      </c>
      <c r="E2601" t="s">
        <v>2548</v>
      </c>
    </row>
    <row r="2602" spans="1:5">
      <c r="A2602">
        <f>HYPERLINK("http://www.twitter.com/FDNY/status/731530811640561668", "731530811640561668")</f>
        <v>0</v>
      </c>
      <c r="B2602" s="2">
        <v>42504.7119328704</v>
      </c>
      <c r="C2602">
        <v>35</v>
      </c>
      <c r="D2602">
        <v>20</v>
      </c>
      <c r="E2602" t="s">
        <v>2549</v>
      </c>
    </row>
    <row r="2603" spans="1:5">
      <c r="A2603">
        <f>HYPERLINK("http://www.twitter.com/FDNY/status/731530665754251264", "731530665754251264")</f>
        <v>0</v>
      </c>
      <c r="B2603" s="2">
        <v>42504.7115277778</v>
      </c>
      <c r="C2603">
        <v>25</v>
      </c>
      <c r="D2603">
        <v>9</v>
      </c>
      <c r="E2603" t="s">
        <v>2550</v>
      </c>
    </row>
    <row r="2604" spans="1:5">
      <c r="A2604">
        <f>HYPERLINK("http://www.twitter.com/FDNY/status/731529784161910784", "731529784161910784")</f>
        <v>0</v>
      </c>
      <c r="B2604" s="2">
        <v>42504.7090972222</v>
      </c>
      <c r="C2604">
        <v>22</v>
      </c>
      <c r="D2604">
        <v>9</v>
      </c>
      <c r="E2604" t="s">
        <v>2551</v>
      </c>
    </row>
    <row r="2605" spans="1:5">
      <c r="A2605">
        <f>HYPERLINK("http://www.twitter.com/FDNY/status/731526163483512832", "731526163483512832")</f>
        <v>0</v>
      </c>
      <c r="B2605" s="2">
        <v>42504.6991087963</v>
      </c>
      <c r="C2605">
        <v>26</v>
      </c>
      <c r="D2605">
        <v>13</v>
      </c>
      <c r="E2605" t="s">
        <v>2552</v>
      </c>
    </row>
    <row r="2606" spans="1:5">
      <c r="A2606">
        <f>HYPERLINK("http://www.twitter.com/FDNY/status/731521705496195073", "731521705496195073")</f>
        <v>0</v>
      </c>
      <c r="B2606" s="2">
        <v>42504.6868055556</v>
      </c>
      <c r="C2606">
        <v>8</v>
      </c>
      <c r="D2606">
        <v>5</v>
      </c>
      <c r="E2606" t="s">
        <v>2553</v>
      </c>
    </row>
    <row r="2607" spans="1:5">
      <c r="A2607">
        <f>HYPERLINK("http://www.twitter.com/FDNY/status/731520777544192001", "731520777544192001")</f>
        <v>0</v>
      </c>
      <c r="B2607" s="2">
        <v>42504.6842476852</v>
      </c>
      <c r="C2607">
        <v>26</v>
      </c>
      <c r="D2607">
        <v>13</v>
      </c>
      <c r="E2607" t="s">
        <v>2554</v>
      </c>
    </row>
    <row r="2608" spans="1:5">
      <c r="A2608">
        <f>HYPERLINK("http://www.twitter.com/FDNY/status/731519160753266688", "731519160753266688")</f>
        <v>0</v>
      </c>
      <c r="B2608" s="2">
        <v>42504.6797800926</v>
      </c>
      <c r="C2608">
        <v>20</v>
      </c>
      <c r="D2608">
        <v>10</v>
      </c>
      <c r="E2608" t="s">
        <v>2555</v>
      </c>
    </row>
    <row r="2609" spans="1:5">
      <c r="A2609">
        <f>HYPERLINK("http://www.twitter.com/FDNY/status/731518137426968577", "731518137426968577")</f>
        <v>0</v>
      </c>
      <c r="B2609" s="2">
        <v>42504.6769560185</v>
      </c>
      <c r="C2609">
        <v>24</v>
      </c>
      <c r="D2609">
        <v>12</v>
      </c>
      <c r="E2609" t="s">
        <v>2556</v>
      </c>
    </row>
    <row r="2610" spans="1:5">
      <c r="A2610">
        <f>HYPERLINK("http://www.twitter.com/FDNY/status/731515530021109760", "731515530021109760")</f>
        <v>0</v>
      </c>
      <c r="B2610" s="2">
        <v>42504.6697569444</v>
      </c>
      <c r="C2610">
        <v>32</v>
      </c>
      <c r="D2610">
        <v>15</v>
      </c>
      <c r="E2610" t="s">
        <v>2557</v>
      </c>
    </row>
    <row r="2611" spans="1:5">
      <c r="A2611">
        <f>HYPERLINK("http://www.twitter.com/FDNY/status/731514647258501120", "731514647258501120")</f>
        <v>0</v>
      </c>
      <c r="B2611" s="2">
        <v>42504.6673263889</v>
      </c>
      <c r="C2611">
        <v>18</v>
      </c>
      <c r="D2611">
        <v>5</v>
      </c>
      <c r="E2611" t="s">
        <v>2558</v>
      </c>
    </row>
    <row r="2612" spans="1:5">
      <c r="A2612">
        <f>HYPERLINK("http://www.twitter.com/FDNY/status/731513311540449281", "731513311540449281")</f>
        <v>0</v>
      </c>
      <c r="B2612" s="2">
        <v>42504.6636342593</v>
      </c>
      <c r="C2612">
        <v>14</v>
      </c>
      <c r="D2612">
        <v>7</v>
      </c>
      <c r="E2612" t="s">
        <v>2559</v>
      </c>
    </row>
    <row r="2613" spans="1:5">
      <c r="A2613">
        <f>HYPERLINK("http://www.twitter.com/FDNY/status/731511915818684416", "731511915818684416")</f>
        <v>0</v>
      </c>
      <c r="B2613" s="2">
        <v>42504.6597916667</v>
      </c>
      <c r="C2613">
        <v>26</v>
      </c>
      <c r="D2613">
        <v>15</v>
      </c>
      <c r="E2613" t="s">
        <v>2560</v>
      </c>
    </row>
    <row r="2614" spans="1:5">
      <c r="A2614">
        <f>HYPERLINK("http://www.twitter.com/FDNY/status/731509798554980352", "731509798554980352")</f>
        <v>0</v>
      </c>
      <c r="B2614" s="2">
        <v>42504.6539467593</v>
      </c>
      <c r="C2614">
        <v>16</v>
      </c>
      <c r="D2614">
        <v>14</v>
      </c>
      <c r="E2614" t="s">
        <v>2561</v>
      </c>
    </row>
    <row r="2615" spans="1:5">
      <c r="A2615">
        <f>HYPERLINK("http://www.twitter.com/FDNY/status/731507758990819328", "731507758990819328")</f>
        <v>0</v>
      </c>
      <c r="B2615" s="2">
        <v>42504.6483217593</v>
      </c>
      <c r="C2615">
        <v>29</v>
      </c>
      <c r="D2615">
        <v>16</v>
      </c>
      <c r="E2615" t="s">
        <v>2562</v>
      </c>
    </row>
    <row r="2616" spans="1:5">
      <c r="A2616">
        <f>HYPERLINK("http://www.twitter.com/FDNY/status/731506584333996033", "731506584333996033")</f>
        <v>0</v>
      </c>
      <c r="B2616" s="2">
        <v>42504.6450810185</v>
      </c>
      <c r="C2616">
        <v>43</v>
      </c>
      <c r="D2616">
        <v>30</v>
      </c>
      <c r="E2616" t="s">
        <v>2563</v>
      </c>
    </row>
    <row r="2617" spans="1:5">
      <c r="A2617">
        <f>HYPERLINK("http://www.twitter.com/FDNY/status/731505349174411264", "731505349174411264")</f>
        <v>0</v>
      </c>
      <c r="B2617" s="2">
        <v>42504.6416666667</v>
      </c>
      <c r="C2617">
        <v>9</v>
      </c>
      <c r="D2617">
        <v>6</v>
      </c>
      <c r="E2617" t="s">
        <v>2564</v>
      </c>
    </row>
    <row r="2618" spans="1:5">
      <c r="A2618">
        <f>HYPERLINK("http://www.twitter.com/FDNY/status/731500786652483585", "731500786652483585")</f>
        <v>0</v>
      </c>
      <c r="B2618" s="2">
        <v>42504.6290740741</v>
      </c>
      <c r="C2618">
        <v>4</v>
      </c>
      <c r="D2618">
        <v>4</v>
      </c>
      <c r="E2618" t="s">
        <v>2565</v>
      </c>
    </row>
    <row r="2619" spans="1:5">
      <c r="A2619">
        <f>HYPERLINK("http://www.twitter.com/FDNY/status/731500165442510848", "731500165442510848")</f>
        <v>0</v>
      </c>
      <c r="B2619" s="2">
        <v>42504.6273611111</v>
      </c>
      <c r="C2619">
        <v>34</v>
      </c>
      <c r="D2619">
        <v>16</v>
      </c>
      <c r="E2619" t="s">
        <v>2566</v>
      </c>
    </row>
    <row r="2620" spans="1:5">
      <c r="A2620">
        <f>HYPERLINK("http://www.twitter.com/FDNY/status/731498904521478145", "731498904521478145")</f>
        <v>0</v>
      </c>
      <c r="B2620" s="2">
        <v>42504.6238888889</v>
      </c>
      <c r="C2620">
        <v>33</v>
      </c>
      <c r="D2620">
        <v>18</v>
      </c>
      <c r="E2620" t="s">
        <v>2567</v>
      </c>
    </row>
    <row r="2621" spans="1:5">
      <c r="A2621">
        <f>HYPERLINK("http://www.twitter.com/FDNY/status/731498119234486276", "731498119234486276")</f>
        <v>0</v>
      </c>
      <c r="B2621" s="2">
        <v>42504.621712963</v>
      </c>
      <c r="C2621">
        <v>14</v>
      </c>
      <c r="D2621">
        <v>14</v>
      </c>
      <c r="E2621" t="s">
        <v>2568</v>
      </c>
    </row>
    <row r="2622" spans="1:5">
      <c r="A2622">
        <f>HYPERLINK("http://www.twitter.com/FDNY/status/731496157826940929", "731496157826940929")</f>
        <v>0</v>
      </c>
      <c r="B2622" s="2">
        <v>42504.6163078704</v>
      </c>
      <c r="C2622">
        <v>20</v>
      </c>
      <c r="D2622">
        <v>15</v>
      </c>
      <c r="E2622" t="s">
        <v>2569</v>
      </c>
    </row>
    <row r="2623" spans="1:5">
      <c r="A2623">
        <f>HYPERLINK("http://www.twitter.com/FDNY/status/731489201359884288", "731489201359884288")</f>
        <v>0</v>
      </c>
      <c r="B2623" s="2">
        <v>42504.5971064815</v>
      </c>
      <c r="C2623">
        <v>45</v>
      </c>
      <c r="D2623">
        <v>23</v>
      </c>
      <c r="E2623" t="s">
        <v>2570</v>
      </c>
    </row>
    <row r="2624" spans="1:5">
      <c r="A2624">
        <f>HYPERLINK("http://www.twitter.com/FDNY/status/731485574519984130", "731485574519984130")</f>
        <v>0</v>
      </c>
      <c r="B2624" s="2">
        <v>42504.5870949074</v>
      </c>
      <c r="C2624">
        <v>12</v>
      </c>
      <c r="D2624">
        <v>8</v>
      </c>
      <c r="E2624" t="s">
        <v>2571</v>
      </c>
    </row>
    <row r="2625" spans="1:5">
      <c r="A2625">
        <f>HYPERLINK("http://www.twitter.com/FDNY/status/731464162631684096", "731464162631684096")</f>
        <v>0</v>
      </c>
      <c r="B2625" s="2">
        <v>42504.5280092593</v>
      </c>
      <c r="C2625">
        <v>33</v>
      </c>
      <c r="D2625">
        <v>26</v>
      </c>
      <c r="E2625" t="s">
        <v>2572</v>
      </c>
    </row>
    <row r="2626" spans="1:5">
      <c r="A2626">
        <f>HYPERLINK("http://www.twitter.com/FDNY/status/731252762684604416", "731252762684604416")</f>
        <v>0</v>
      </c>
      <c r="B2626" s="2">
        <v>42503.9446643519</v>
      </c>
      <c r="C2626">
        <v>14</v>
      </c>
      <c r="D2626">
        <v>9</v>
      </c>
      <c r="E2626" t="s">
        <v>2573</v>
      </c>
    </row>
    <row r="2627" spans="1:5">
      <c r="A2627">
        <f>HYPERLINK("http://www.twitter.com/FDNY/status/731242214169382912", "731242214169382912")</f>
        <v>0</v>
      </c>
      <c r="B2627" s="2">
        <v>42503.9155555556</v>
      </c>
      <c r="C2627">
        <v>13</v>
      </c>
      <c r="D2627">
        <v>7</v>
      </c>
      <c r="E2627" t="s">
        <v>2574</v>
      </c>
    </row>
    <row r="2628" spans="1:5">
      <c r="A2628">
        <f>HYPERLINK("http://www.twitter.com/FDNY/status/731226485936291841", "731226485936291841")</f>
        <v>0</v>
      </c>
      <c r="B2628" s="2">
        <v>42503.8721527778</v>
      </c>
      <c r="C2628">
        <v>19</v>
      </c>
      <c r="D2628">
        <v>12</v>
      </c>
      <c r="E2628" t="s">
        <v>2575</v>
      </c>
    </row>
    <row r="2629" spans="1:5">
      <c r="A2629">
        <f>HYPERLINK("http://www.twitter.com/FDNY/status/731192415432912896", "731192415432912896")</f>
        <v>0</v>
      </c>
      <c r="B2629" s="2">
        <v>42503.7781365741</v>
      </c>
      <c r="C2629">
        <v>18</v>
      </c>
      <c r="D2629">
        <v>15</v>
      </c>
      <c r="E2629" t="s">
        <v>2576</v>
      </c>
    </row>
    <row r="2630" spans="1:5">
      <c r="A2630">
        <f>HYPERLINK("http://www.twitter.com/FDNY/status/731183564830674944", "731183564830674944")</f>
        <v>0</v>
      </c>
      <c r="B2630" s="2">
        <v>42503.7537152778</v>
      </c>
      <c r="C2630">
        <v>19</v>
      </c>
      <c r="D2630">
        <v>8</v>
      </c>
      <c r="E2630" t="s">
        <v>2577</v>
      </c>
    </row>
    <row r="2631" spans="1:5">
      <c r="A2631">
        <f>HYPERLINK("http://www.twitter.com/FDNY/status/731176435130470400", "731176435130470400")</f>
        <v>0</v>
      </c>
      <c r="B2631" s="2">
        <v>42503.7340393519</v>
      </c>
      <c r="C2631">
        <v>0</v>
      </c>
      <c r="D2631">
        <v>7</v>
      </c>
      <c r="E2631" t="s">
        <v>2578</v>
      </c>
    </row>
    <row r="2632" spans="1:5">
      <c r="A2632">
        <f>HYPERLINK("http://www.twitter.com/FDNY/status/731160937873461248", "731160937873461248")</f>
        <v>0</v>
      </c>
      <c r="B2632" s="2">
        <v>42503.6912731481</v>
      </c>
      <c r="C2632">
        <v>13</v>
      </c>
      <c r="D2632">
        <v>12</v>
      </c>
      <c r="E2632" t="s">
        <v>2579</v>
      </c>
    </row>
    <row r="2633" spans="1:5">
      <c r="A2633">
        <f>HYPERLINK("http://www.twitter.com/FDNY/status/731144335450877952", "731144335450877952")</f>
        <v>0</v>
      </c>
      <c r="B2633" s="2">
        <v>42503.645462963</v>
      </c>
      <c r="C2633">
        <v>6</v>
      </c>
      <c r="D2633">
        <v>5</v>
      </c>
      <c r="E2633" t="s">
        <v>2580</v>
      </c>
    </row>
    <row r="2634" spans="1:5">
      <c r="A2634">
        <f>HYPERLINK("http://www.twitter.com/FDNY/status/731132023843237888", "731132023843237888")</f>
        <v>0</v>
      </c>
      <c r="B2634" s="2">
        <v>42503.6114814815</v>
      </c>
      <c r="C2634">
        <v>23</v>
      </c>
      <c r="D2634">
        <v>14</v>
      </c>
      <c r="E2634" t="s">
        <v>2581</v>
      </c>
    </row>
    <row r="2635" spans="1:5">
      <c r="A2635">
        <f>HYPERLINK("http://www.twitter.com/FDNY/status/731130778046869504", "731130778046869504")</f>
        <v>0</v>
      </c>
      <c r="B2635" s="2">
        <v>42503.6080439815</v>
      </c>
      <c r="C2635">
        <v>15</v>
      </c>
      <c r="D2635">
        <v>9</v>
      </c>
      <c r="E2635" t="s">
        <v>2582</v>
      </c>
    </row>
    <row r="2636" spans="1:5">
      <c r="A2636">
        <f>HYPERLINK("http://www.twitter.com/FDNY/status/731129598059106304", "731129598059106304")</f>
        <v>0</v>
      </c>
      <c r="B2636" s="2">
        <v>42503.6047916667</v>
      </c>
      <c r="C2636">
        <v>20</v>
      </c>
      <c r="D2636">
        <v>10</v>
      </c>
      <c r="E2636" t="s">
        <v>2583</v>
      </c>
    </row>
    <row r="2637" spans="1:5">
      <c r="A2637">
        <f>HYPERLINK("http://www.twitter.com/FDNY/status/731127160061218816", "731127160061218816")</f>
        <v>0</v>
      </c>
      <c r="B2637" s="2">
        <v>42503.5980671296</v>
      </c>
      <c r="C2637">
        <v>25</v>
      </c>
      <c r="D2637">
        <v>4</v>
      </c>
      <c r="E2637" t="s">
        <v>2584</v>
      </c>
    </row>
    <row r="2638" spans="1:5">
      <c r="A2638">
        <f>HYPERLINK("http://www.twitter.com/FDNY/status/731127046970212352", "731127046970212352")</f>
        <v>0</v>
      </c>
      <c r="B2638" s="2">
        <v>42503.5977546296</v>
      </c>
      <c r="C2638">
        <v>17</v>
      </c>
      <c r="D2638">
        <v>9</v>
      </c>
      <c r="E2638" t="s">
        <v>2585</v>
      </c>
    </row>
    <row r="2639" spans="1:5">
      <c r="A2639">
        <f>HYPERLINK("http://www.twitter.com/FDNY/status/731101804600119296", "731101804600119296")</f>
        <v>0</v>
      </c>
      <c r="B2639" s="2">
        <v>42503.5281018519</v>
      </c>
      <c r="C2639">
        <v>10</v>
      </c>
      <c r="D2639">
        <v>15</v>
      </c>
      <c r="E2639" t="s">
        <v>2586</v>
      </c>
    </row>
    <row r="2640" spans="1:5">
      <c r="A2640">
        <f>HYPERLINK("http://www.twitter.com/FDNY/status/730879054929367041", "730879054929367041")</f>
        <v>0</v>
      </c>
      <c r="B2640" s="2">
        <v>42502.9134259259</v>
      </c>
      <c r="C2640">
        <v>60</v>
      </c>
      <c r="D2640">
        <v>32</v>
      </c>
      <c r="E2640" t="s">
        <v>2587</v>
      </c>
    </row>
    <row r="2641" spans="1:5">
      <c r="A2641">
        <f>HYPERLINK("http://www.twitter.com/FDNY/status/730876352048603140", "730876352048603140")</f>
        <v>0</v>
      </c>
      <c r="B2641" s="2">
        <v>42502.9059722222</v>
      </c>
      <c r="C2641">
        <v>30</v>
      </c>
      <c r="D2641">
        <v>14</v>
      </c>
      <c r="E2641" t="s">
        <v>2588</v>
      </c>
    </row>
    <row r="2642" spans="1:5">
      <c r="A2642">
        <f>HYPERLINK("http://www.twitter.com/FDNY/status/730869481124335617", "730869481124335617")</f>
        <v>0</v>
      </c>
      <c r="B2642" s="2">
        <v>42502.8870023148</v>
      </c>
      <c r="C2642">
        <v>7</v>
      </c>
      <c r="D2642">
        <v>3</v>
      </c>
      <c r="E2642" t="s">
        <v>2589</v>
      </c>
    </row>
    <row r="2643" spans="1:5">
      <c r="A2643">
        <f>HYPERLINK("http://www.twitter.com/FDNY/status/730865565263368192", "730865565263368192")</f>
        <v>0</v>
      </c>
      <c r="B2643" s="2">
        <v>42502.8762037037</v>
      </c>
      <c r="C2643">
        <v>166</v>
      </c>
      <c r="D2643">
        <v>68</v>
      </c>
      <c r="E2643" t="s">
        <v>2590</v>
      </c>
    </row>
    <row r="2644" spans="1:5">
      <c r="A2644">
        <f>HYPERLINK("http://www.twitter.com/FDNY/status/730856873818095616", "730856873818095616")</f>
        <v>0</v>
      </c>
      <c r="B2644" s="2">
        <v>42502.8522222222</v>
      </c>
      <c r="C2644">
        <v>0</v>
      </c>
      <c r="D2644">
        <v>3</v>
      </c>
      <c r="E2644" t="s">
        <v>2591</v>
      </c>
    </row>
    <row r="2645" spans="1:5">
      <c r="A2645">
        <f>HYPERLINK("http://www.twitter.com/FDNY/status/730855277004787713", "730855277004787713")</f>
        <v>0</v>
      </c>
      <c r="B2645" s="2">
        <v>42502.8478125</v>
      </c>
      <c r="C2645">
        <v>8</v>
      </c>
      <c r="D2645">
        <v>3</v>
      </c>
      <c r="E2645" t="s">
        <v>2592</v>
      </c>
    </row>
    <row r="2646" spans="1:5">
      <c r="A2646">
        <f>HYPERLINK("http://www.twitter.com/FDNY/status/730855071160930306", "730855071160930306")</f>
        <v>0</v>
      </c>
      <c r="B2646" s="2">
        <v>42502.8472453704</v>
      </c>
      <c r="C2646">
        <v>0</v>
      </c>
      <c r="D2646">
        <v>6</v>
      </c>
      <c r="E2646" t="s">
        <v>2593</v>
      </c>
    </row>
    <row r="2647" spans="1:5">
      <c r="A2647">
        <f>HYPERLINK("http://www.twitter.com/FDNY/status/730852502497808384", "730852502497808384")</f>
        <v>0</v>
      </c>
      <c r="B2647" s="2">
        <v>42502.840150463</v>
      </c>
      <c r="C2647">
        <v>21</v>
      </c>
      <c r="D2647">
        <v>11</v>
      </c>
      <c r="E2647" t="s">
        <v>2594</v>
      </c>
    </row>
    <row r="2648" spans="1:5">
      <c r="A2648">
        <f>HYPERLINK("http://www.twitter.com/FDNY/status/730821550866354176", "730821550866354176")</f>
        <v>0</v>
      </c>
      <c r="B2648" s="2">
        <v>42502.7547453704</v>
      </c>
      <c r="C2648">
        <v>18</v>
      </c>
      <c r="D2648">
        <v>11</v>
      </c>
      <c r="E2648" t="s">
        <v>2595</v>
      </c>
    </row>
    <row r="2649" spans="1:5">
      <c r="A2649">
        <f>HYPERLINK("http://www.twitter.com/FDNY/status/730787287311785984", "730787287311785984")</f>
        <v>0</v>
      </c>
      <c r="B2649" s="2">
        <v>42502.6601967593</v>
      </c>
      <c r="C2649">
        <v>14</v>
      </c>
      <c r="D2649">
        <v>16</v>
      </c>
      <c r="E2649" t="s">
        <v>2596</v>
      </c>
    </row>
    <row r="2650" spans="1:5">
      <c r="A2650">
        <f>HYPERLINK("http://www.twitter.com/FDNY/status/730772965198069760", "730772965198069760")</f>
        <v>0</v>
      </c>
      <c r="B2650" s="2">
        <v>42502.6206712963</v>
      </c>
      <c r="C2650">
        <v>0</v>
      </c>
      <c r="D2650">
        <v>9</v>
      </c>
      <c r="E2650" t="s">
        <v>2597</v>
      </c>
    </row>
    <row r="2651" spans="1:5">
      <c r="A2651">
        <f>HYPERLINK("http://www.twitter.com/FDNY/status/730772876966658048", "730772876966658048")</f>
        <v>0</v>
      </c>
      <c r="B2651" s="2">
        <v>42502.6204282407</v>
      </c>
      <c r="C2651">
        <v>0</v>
      </c>
      <c r="D2651">
        <v>15</v>
      </c>
      <c r="E2651" t="s">
        <v>2598</v>
      </c>
    </row>
    <row r="2652" spans="1:5">
      <c r="A2652">
        <f>HYPERLINK("http://www.twitter.com/FDNY/status/730772844246929408", "730772844246929408")</f>
        <v>0</v>
      </c>
      <c r="B2652" s="2">
        <v>42502.6203356481</v>
      </c>
      <c r="C2652">
        <v>0</v>
      </c>
      <c r="D2652">
        <v>5</v>
      </c>
      <c r="E2652" t="s">
        <v>2599</v>
      </c>
    </row>
    <row r="2653" spans="1:5">
      <c r="A2653">
        <f>HYPERLINK("http://www.twitter.com/FDNY/status/730740707812646912", "730740707812646912")</f>
        <v>0</v>
      </c>
      <c r="B2653" s="2">
        <v>42502.5316550926</v>
      </c>
      <c r="C2653">
        <v>38</v>
      </c>
      <c r="D2653">
        <v>30</v>
      </c>
      <c r="E2653" t="s">
        <v>2600</v>
      </c>
    </row>
    <row r="2654" spans="1:5">
      <c r="A2654">
        <f>HYPERLINK("http://www.twitter.com/FDNY/status/730569401196527616", "730569401196527616")</f>
        <v>0</v>
      </c>
      <c r="B2654" s="2">
        <v>42502.0589467593</v>
      </c>
      <c r="C2654">
        <v>0</v>
      </c>
      <c r="D2654">
        <v>7</v>
      </c>
      <c r="E2654" t="s">
        <v>2601</v>
      </c>
    </row>
    <row r="2655" spans="1:5">
      <c r="A2655">
        <f>HYPERLINK("http://www.twitter.com/FDNY/status/730568895405404160", "730568895405404160")</f>
        <v>0</v>
      </c>
      <c r="B2655" s="2">
        <v>42502.0575462963</v>
      </c>
      <c r="C2655">
        <v>0</v>
      </c>
      <c r="D2655">
        <v>9</v>
      </c>
      <c r="E2655" t="s">
        <v>2602</v>
      </c>
    </row>
    <row r="2656" spans="1:5">
      <c r="A2656">
        <f>HYPERLINK("http://www.twitter.com/FDNY/status/730568887511699457", "730568887511699457")</f>
        <v>0</v>
      </c>
      <c r="B2656" s="2">
        <v>42502.0575231481</v>
      </c>
      <c r="C2656">
        <v>0</v>
      </c>
      <c r="D2656">
        <v>5</v>
      </c>
      <c r="E2656" t="s">
        <v>2603</v>
      </c>
    </row>
    <row r="2657" spans="1:5">
      <c r="A2657">
        <f>HYPERLINK("http://www.twitter.com/FDNY/status/730567844598038528", "730567844598038528")</f>
        <v>0</v>
      </c>
      <c r="B2657" s="2">
        <v>42502.0546527778</v>
      </c>
      <c r="C2657">
        <v>0</v>
      </c>
      <c r="D2657">
        <v>9</v>
      </c>
      <c r="E2657" t="s">
        <v>2604</v>
      </c>
    </row>
    <row r="2658" spans="1:5">
      <c r="A2658">
        <f>HYPERLINK("http://www.twitter.com/FDNY/status/730566751960829952", "730566751960829952")</f>
        <v>0</v>
      </c>
      <c r="B2658" s="2">
        <v>42502.0516319444</v>
      </c>
      <c r="C2658">
        <v>0</v>
      </c>
      <c r="D2658">
        <v>5</v>
      </c>
      <c r="E2658" t="s">
        <v>2605</v>
      </c>
    </row>
    <row r="2659" spans="1:5">
      <c r="A2659">
        <f>HYPERLINK("http://www.twitter.com/FDNY/status/730551724046491648", "730551724046491648")</f>
        <v>0</v>
      </c>
      <c r="B2659" s="2">
        <v>42502.010162037</v>
      </c>
      <c r="C2659">
        <v>0</v>
      </c>
      <c r="D2659">
        <v>4</v>
      </c>
      <c r="E2659" t="s">
        <v>2606</v>
      </c>
    </row>
    <row r="2660" spans="1:5">
      <c r="A2660">
        <f>HYPERLINK("http://www.twitter.com/FDNY/status/730550054688325632", "730550054688325632")</f>
        <v>0</v>
      </c>
      <c r="B2660" s="2">
        <v>42502.0055555556</v>
      </c>
      <c r="C2660">
        <v>0</v>
      </c>
      <c r="D2660">
        <v>3</v>
      </c>
      <c r="E2660" t="s">
        <v>2607</v>
      </c>
    </row>
    <row r="2661" spans="1:5">
      <c r="A2661">
        <f>HYPERLINK("http://www.twitter.com/FDNY/status/730549998312652801", "730549998312652801")</f>
        <v>0</v>
      </c>
      <c r="B2661" s="2">
        <v>42502.0054050926</v>
      </c>
      <c r="C2661">
        <v>0</v>
      </c>
      <c r="D2661">
        <v>4</v>
      </c>
      <c r="E2661" t="s">
        <v>2608</v>
      </c>
    </row>
    <row r="2662" spans="1:5">
      <c r="A2662">
        <f>HYPERLINK("http://www.twitter.com/FDNY/status/730548539651166208", "730548539651166208")</f>
        <v>0</v>
      </c>
      <c r="B2662" s="2">
        <v>42502.0013773148</v>
      </c>
      <c r="C2662">
        <v>0</v>
      </c>
      <c r="D2662">
        <v>4</v>
      </c>
      <c r="E2662" t="s">
        <v>2609</v>
      </c>
    </row>
    <row r="2663" spans="1:5">
      <c r="A2663">
        <f>HYPERLINK("http://www.twitter.com/FDNY/status/730547442341576705", "730547442341576705")</f>
        <v>0</v>
      </c>
      <c r="B2663" s="2">
        <v>42501.9983449074</v>
      </c>
      <c r="C2663">
        <v>0</v>
      </c>
      <c r="D2663">
        <v>3</v>
      </c>
      <c r="E2663" t="s">
        <v>2610</v>
      </c>
    </row>
    <row r="2664" spans="1:5">
      <c r="A2664">
        <f>HYPERLINK("http://www.twitter.com/FDNY/status/730546590612660225", "730546590612660225")</f>
        <v>0</v>
      </c>
      <c r="B2664" s="2">
        <v>42501.9959953704</v>
      </c>
      <c r="C2664">
        <v>0</v>
      </c>
      <c r="D2664">
        <v>2</v>
      </c>
      <c r="E2664" t="s">
        <v>2611</v>
      </c>
    </row>
    <row r="2665" spans="1:5">
      <c r="A2665">
        <f>HYPERLINK("http://www.twitter.com/FDNY/status/730545480447500288", "730545480447500288")</f>
        <v>0</v>
      </c>
      <c r="B2665" s="2">
        <v>42501.9929398148</v>
      </c>
      <c r="C2665">
        <v>0</v>
      </c>
      <c r="D2665">
        <v>4</v>
      </c>
      <c r="E2665" t="s">
        <v>2612</v>
      </c>
    </row>
    <row r="2666" spans="1:5">
      <c r="A2666">
        <f>HYPERLINK("http://www.twitter.com/FDNY/status/730544174953603072", "730544174953603072")</f>
        <v>0</v>
      </c>
      <c r="B2666" s="2">
        <v>42501.9893287037</v>
      </c>
      <c r="C2666">
        <v>0</v>
      </c>
      <c r="D2666">
        <v>4</v>
      </c>
      <c r="E2666" t="s">
        <v>2613</v>
      </c>
    </row>
    <row r="2667" spans="1:5">
      <c r="A2667">
        <f>HYPERLINK("http://www.twitter.com/FDNY/status/730541339528531968", "730541339528531968")</f>
        <v>0</v>
      </c>
      <c r="B2667" s="2">
        <v>42501.9815046296</v>
      </c>
      <c r="C2667">
        <v>0</v>
      </c>
      <c r="D2667">
        <v>6</v>
      </c>
      <c r="E2667" t="s">
        <v>2614</v>
      </c>
    </row>
    <row r="2668" spans="1:5">
      <c r="A2668">
        <f>HYPERLINK("http://www.twitter.com/FDNY/status/730541317978263552", "730541317978263552")</f>
        <v>0</v>
      </c>
      <c r="B2668" s="2">
        <v>42501.9814467593</v>
      </c>
      <c r="C2668">
        <v>0</v>
      </c>
      <c r="D2668">
        <v>7</v>
      </c>
      <c r="E2668" t="s">
        <v>2615</v>
      </c>
    </row>
    <row r="2669" spans="1:5">
      <c r="A2669">
        <f>HYPERLINK("http://www.twitter.com/FDNY/status/730490676174049280", "730490676174049280")</f>
        <v>0</v>
      </c>
      <c r="B2669" s="2">
        <v>42501.8417013889</v>
      </c>
      <c r="C2669">
        <v>9</v>
      </c>
      <c r="D2669">
        <v>10</v>
      </c>
      <c r="E2669" t="s">
        <v>2616</v>
      </c>
    </row>
    <row r="2670" spans="1:5">
      <c r="A2670">
        <f>HYPERLINK("http://www.twitter.com/FDNY/status/730449100219535360", "730449100219535360")</f>
        <v>0</v>
      </c>
      <c r="B2670" s="2">
        <v>42501.7269791667</v>
      </c>
      <c r="C2670">
        <v>16</v>
      </c>
      <c r="D2670">
        <v>5</v>
      </c>
      <c r="E2670" t="s">
        <v>2617</v>
      </c>
    </row>
    <row r="2671" spans="1:5">
      <c r="A2671">
        <f>HYPERLINK("http://www.twitter.com/FDNY/status/730448674694778880", "730448674694778880")</f>
        <v>0</v>
      </c>
      <c r="B2671" s="2">
        <v>42501.7257986111</v>
      </c>
      <c r="C2671">
        <v>78</v>
      </c>
      <c r="D2671">
        <v>39</v>
      </c>
      <c r="E2671" t="s">
        <v>2618</v>
      </c>
    </row>
    <row r="2672" spans="1:5">
      <c r="A2672">
        <f>HYPERLINK("http://www.twitter.com/FDNY/status/730435936719405058", "730435936719405058")</f>
        <v>0</v>
      </c>
      <c r="B2672" s="2">
        <v>42501.6906481481</v>
      </c>
      <c r="C2672">
        <v>40</v>
      </c>
      <c r="D2672">
        <v>22</v>
      </c>
      <c r="E2672" t="s">
        <v>2619</v>
      </c>
    </row>
    <row r="2673" spans="1:5">
      <c r="A2673">
        <f>HYPERLINK("http://www.twitter.com/FDNY/status/730399173401579521", "730399173401579521")</f>
        <v>0</v>
      </c>
      <c r="B2673" s="2">
        <v>42501.5892013889</v>
      </c>
      <c r="C2673">
        <v>10</v>
      </c>
      <c r="D2673">
        <v>13</v>
      </c>
      <c r="E2673" t="s">
        <v>2620</v>
      </c>
    </row>
    <row r="2674" spans="1:5">
      <c r="A2674">
        <f>HYPERLINK("http://www.twitter.com/FDNY/status/730390854267981826", "730390854267981826")</f>
        <v>0</v>
      </c>
      <c r="B2674" s="2">
        <v>42501.56625</v>
      </c>
      <c r="C2674">
        <v>18</v>
      </c>
      <c r="D2674">
        <v>10</v>
      </c>
      <c r="E2674" t="s">
        <v>2621</v>
      </c>
    </row>
    <row r="2675" spans="1:5">
      <c r="A2675">
        <f>HYPERLINK("http://www.twitter.com/FDNY/status/730200842746400768", "730200842746400768")</f>
        <v>0</v>
      </c>
      <c r="B2675" s="2">
        <v>42501.0419212963</v>
      </c>
      <c r="C2675">
        <v>51</v>
      </c>
      <c r="D2675">
        <v>19</v>
      </c>
      <c r="E2675" t="s">
        <v>2622</v>
      </c>
    </row>
    <row r="2676" spans="1:5">
      <c r="A2676">
        <f>HYPERLINK("http://www.twitter.com/FDNY/status/730189467189956608", "730189467189956608")</f>
        <v>0</v>
      </c>
      <c r="B2676" s="2">
        <v>42501.0105208333</v>
      </c>
      <c r="C2676">
        <v>62</v>
      </c>
      <c r="D2676">
        <v>27</v>
      </c>
      <c r="E2676" t="s">
        <v>2623</v>
      </c>
    </row>
    <row r="2677" spans="1:5">
      <c r="A2677">
        <f>HYPERLINK("http://www.twitter.com/FDNY/status/730173104228569088", "730173104228569088")</f>
        <v>0</v>
      </c>
      <c r="B2677" s="2">
        <v>42500.9653703704</v>
      </c>
      <c r="C2677">
        <v>18</v>
      </c>
      <c r="D2677">
        <v>6</v>
      </c>
      <c r="E2677" t="s">
        <v>2624</v>
      </c>
    </row>
    <row r="2678" spans="1:5">
      <c r="A2678">
        <f>HYPERLINK("http://www.twitter.com/FDNY/status/730157050756517888", "730157050756517888")</f>
        <v>0</v>
      </c>
      <c r="B2678" s="2">
        <v>42500.9210763889</v>
      </c>
      <c r="C2678">
        <v>0</v>
      </c>
      <c r="D2678">
        <v>24</v>
      </c>
      <c r="E2678" t="s">
        <v>2625</v>
      </c>
    </row>
    <row r="2679" spans="1:5">
      <c r="A2679">
        <f>HYPERLINK("http://www.twitter.com/FDNY/status/730143669383254016", "730143669383254016")</f>
        <v>0</v>
      </c>
      <c r="B2679" s="2">
        <v>42500.8841435185</v>
      </c>
      <c r="C2679">
        <v>13</v>
      </c>
      <c r="D2679">
        <v>7</v>
      </c>
      <c r="E2679" t="s">
        <v>2626</v>
      </c>
    </row>
    <row r="2680" spans="1:5">
      <c r="A2680">
        <f>HYPERLINK("http://www.twitter.com/FDNY/status/730130755741986819", "730130755741986819")</f>
        <v>0</v>
      </c>
      <c r="B2680" s="2">
        <v>42500.8485069444</v>
      </c>
      <c r="C2680">
        <v>49</v>
      </c>
      <c r="D2680">
        <v>18</v>
      </c>
      <c r="E2680" t="s">
        <v>2627</v>
      </c>
    </row>
    <row r="2681" spans="1:5">
      <c r="A2681">
        <f>HYPERLINK("http://www.twitter.com/FDNY/status/730129852494417920", "730129852494417920")</f>
        <v>0</v>
      </c>
      <c r="B2681" s="2">
        <v>42500.8460185185</v>
      </c>
      <c r="C2681">
        <v>18</v>
      </c>
      <c r="D2681">
        <v>12</v>
      </c>
      <c r="E2681" t="s">
        <v>2628</v>
      </c>
    </row>
    <row r="2682" spans="1:5">
      <c r="A2682">
        <f>HYPERLINK("http://www.twitter.com/FDNY/status/730098105102831616", "730098105102831616")</f>
        <v>0</v>
      </c>
      <c r="B2682" s="2">
        <v>42500.7584143519</v>
      </c>
      <c r="C2682">
        <v>25</v>
      </c>
      <c r="D2682">
        <v>15</v>
      </c>
      <c r="E2682" t="s">
        <v>2629</v>
      </c>
    </row>
    <row r="2683" spans="1:5">
      <c r="A2683">
        <f>HYPERLINK("http://www.twitter.com/FDNY/status/730080238818996224", "730080238818996224")</f>
        <v>0</v>
      </c>
      <c r="B2683" s="2">
        <v>42500.7091087963</v>
      </c>
      <c r="C2683">
        <v>0</v>
      </c>
      <c r="D2683">
        <v>4</v>
      </c>
      <c r="E2683" t="s">
        <v>2630</v>
      </c>
    </row>
    <row r="2684" spans="1:5">
      <c r="A2684">
        <f>HYPERLINK("http://www.twitter.com/FDNY/status/730069978108547073", "730069978108547073")</f>
        <v>0</v>
      </c>
      <c r="B2684" s="2">
        <v>42500.6807986111</v>
      </c>
      <c r="C2684">
        <v>2</v>
      </c>
      <c r="D2684">
        <v>3</v>
      </c>
      <c r="E2684" t="s">
        <v>2631</v>
      </c>
    </row>
    <row r="2685" spans="1:5">
      <c r="A2685">
        <f>HYPERLINK("http://www.twitter.com/FDNY/status/730015218487709696", "730015218487709696")</f>
        <v>0</v>
      </c>
      <c r="B2685" s="2">
        <v>42500.5296875</v>
      </c>
      <c r="C2685">
        <v>9</v>
      </c>
      <c r="D2685">
        <v>3</v>
      </c>
      <c r="E2685" t="s">
        <v>2632</v>
      </c>
    </row>
    <row r="2686" spans="1:5">
      <c r="A2686">
        <f>HYPERLINK("http://www.twitter.com/FDNY/status/730015171180171264", "730015171180171264")</f>
        <v>0</v>
      </c>
      <c r="B2686" s="2">
        <v>42500.5295601852</v>
      </c>
      <c r="C2686">
        <v>11</v>
      </c>
      <c r="D2686">
        <v>4</v>
      </c>
      <c r="E2686" t="s">
        <v>2633</v>
      </c>
    </row>
    <row r="2687" spans="1:5">
      <c r="A2687">
        <f>HYPERLINK("http://www.twitter.com/FDNY/status/730015029756612608", "730015029756612608")</f>
        <v>0</v>
      </c>
      <c r="B2687" s="2">
        <v>42500.5291666667</v>
      </c>
      <c r="C2687">
        <v>19</v>
      </c>
      <c r="D2687">
        <v>7</v>
      </c>
      <c r="E2687" t="s">
        <v>2634</v>
      </c>
    </row>
    <row r="2688" spans="1:5">
      <c r="A2688">
        <f>HYPERLINK("http://www.twitter.com/FDNY/status/730009590105030656", "730009590105030656")</f>
        <v>0</v>
      </c>
      <c r="B2688" s="2">
        <v>42500.5141550926</v>
      </c>
      <c r="C2688">
        <v>25</v>
      </c>
      <c r="D2688">
        <v>7</v>
      </c>
      <c r="E2688" t="s">
        <v>2635</v>
      </c>
    </row>
    <row r="2689" spans="1:5">
      <c r="A2689">
        <f>HYPERLINK("http://www.twitter.com/FDNY/status/730005819778011141", "730005819778011141")</f>
        <v>0</v>
      </c>
      <c r="B2689" s="2">
        <v>42500.50375</v>
      </c>
      <c r="C2689">
        <v>15</v>
      </c>
      <c r="D2689">
        <v>12</v>
      </c>
      <c r="E2689" t="s">
        <v>2636</v>
      </c>
    </row>
    <row r="2690" spans="1:5">
      <c r="A2690">
        <f>HYPERLINK("http://www.twitter.com/FDNY/status/729828308343500801", "729828308343500801")</f>
        <v>0</v>
      </c>
      <c r="B2690" s="2">
        <v>42500.013912037</v>
      </c>
      <c r="C2690">
        <v>0</v>
      </c>
      <c r="D2690">
        <v>6</v>
      </c>
      <c r="E2690" t="s">
        <v>2637</v>
      </c>
    </row>
    <row r="2691" spans="1:5">
      <c r="A2691">
        <f>HYPERLINK("http://www.twitter.com/FDNY/status/729779465614692352", "729779465614692352")</f>
        <v>0</v>
      </c>
      <c r="B2691" s="2">
        <v>42499.8791319444</v>
      </c>
      <c r="C2691">
        <v>18</v>
      </c>
      <c r="D2691">
        <v>13</v>
      </c>
      <c r="E2691" t="s">
        <v>2638</v>
      </c>
    </row>
    <row r="2692" spans="1:5">
      <c r="A2692">
        <f>HYPERLINK("http://www.twitter.com/FDNY/status/729773036266790913", "729773036266790913")</f>
        <v>0</v>
      </c>
      <c r="B2692" s="2">
        <v>42499.861400463</v>
      </c>
      <c r="C2692">
        <v>12</v>
      </c>
      <c r="D2692">
        <v>12</v>
      </c>
      <c r="E2692" t="s">
        <v>2639</v>
      </c>
    </row>
    <row r="2693" spans="1:5">
      <c r="A2693">
        <f>HYPERLINK("http://www.twitter.com/FDNY/status/729720908554899458", "729720908554899458")</f>
        <v>0</v>
      </c>
      <c r="B2693" s="2">
        <v>42499.7175462963</v>
      </c>
      <c r="C2693">
        <v>6</v>
      </c>
      <c r="D2693">
        <v>6</v>
      </c>
      <c r="E2693" t="s">
        <v>2640</v>
      </c>
    </row>
    <row r="2694" spans="1:5">
      <c r="A2694">
        <f>HYPERLINK("http://www.twitter.com/FDNY/status/729719863795695616", "729719863795695616")</f>
        <v>0</v>
      </c>
      <c r="B2694" s="2">
        <v>42499.7146643518</v>
      </c>
      <c r="C2694">
        <v>6</v>
      </c>
      <c r="D2694">
        <v>5</v>
      </c>
      <c r="E2694" t="s">
        <v>2641</v>
      </c>
    </row>
    <row r="2695" spans="1:5">
      <c r="A2695">
        <f>HYPERLINK("http://www.twitter.com/FDNY/status/729718947537428482", "729718947537428482")</f>
        <v>0</v>
      </c>
      <c r="B2695" s="2">
        <v>42499.7121412037</v>
      </c>
      <c r="C2695">
        <v>10</v>
      </c>
      <c r="D2695">
        <v>5</v>
      </c>
      <c r="E2695" t="s">
        <v>2642</v>
      </c>
    </row>
    <row r="2696" spans="1:5">
      <c r="A2696">
        <f>HYPERLINK("http://www.twitter.com/FDNY/status/729695277309890562", "729695277309890562")</f>
        <v>0</v>
      </c>
      <c r="B2696" s="2">
        <v>42499.6468171296</v>
      </c>
      <c r="C2696">
        <v>0</v>
      </c>
      <c r="D2696">
        <v>8</v>
      </c>
      <c r="E2696" t="s">
        <v>2643</v>
      </c>
    </row>
    <row r="2697" spans="1:5">
      <c r="A2697">
        <f>HYPERLINK("http://www.twitter.com/FDNY/status/729679396974514176", "729679396974514176")</f>
        <v>0</v>
      </c>
      <c r="B2697" s="2">
        <v>42499.6029976852</v>
      </c>
      <c r="C2697">
        <v>12</v>
      </c>
      <c r="D2697">
        <v>4</v>
      </c>
      <c r="E2697" t="s">
        <v>2644</v>
      </c>
    </row>
    <row r="2698" spans="1:5">
      <c r="A2698">
        <f>HYPERLINK("http://www.twitter.com/FDNY/status/729675062715006976", "729675062715006976")</f>
        <v>0</v>
      </c>
      <c r="B2698" s="2">
        <v>42499.5910416667</v>
      </c>
      <c r="C2698">
        <v>0</v>
      </c>
      <c r="D2698">
        <v>3</v>
      </c>
      <c r="E2698" t="s">
        <v>2645</v>
      </c>
    </row>
    <row r="2699" spans="1:5">
      <c r="A2699">
        <f>HYPERLINK("http://www.twitter.com/FDNY/status/729656002711326720", "729656002711326720")</f>
        <v>0</v>
      </c>
      <c r="B2699" s="2">
        <v>42499.5384490741</v>
      </c>
      <c r="C2699">
        <v>23</v>
      </c>
      <c r="D2699">
        <v>11</v>
      </c>
      <c r="E2699" t="s">
        <v>2646</v>
      </c>
    </row>
    <row r="2700" spans="1:5">
      <c r="A2700">
        <f>HYPERLINK("http://www.twitter.com/FDNY/status/729438356313116674", "729438356313116674")</f>
        <v>0</v>
      </c>
      <c r="B2700" s="2">
        <v>42498.9378587963</v>
      </c>
      <c r="C2700">
        <v>24</v>
      </c>
      <c r="D2700">
        <v>20</v>
      </c>
      <c r="E2700" t="s">
        <v>2647</v>
      </c>
    </row>
    <row r="2701" spans="1:5">
      <c r="A2701">
        <f>HYPERLINK("http://www.twitter.com/FDNY/status/729401923087024128", "729401923087024128")</f>
        <v>0</v>
      </c>
      <c r="B2701" s="2">
        <v>42498.8373148148</v>
      </c>
      <c r="C2701">
        <v>10</v>
      </c>
      <c r="D2701">
        <v>5</v>
      </c>
      <c r="E2701" t="s">
        <v>2648</v>
      </c>
    </row>
    <row r="2702" spans="1:5">
      <c r="A2702">
        <f>HYPERLINK("http://www.twitter.com/FDNY/status/729303111748222976", "729303111748222976")</f>
        <v>0</v>
      </c>
      <c r="B2702" s="2">
        <v>42498.5646527778</v>
      </c>
      <c r="C2702">
        <v>44</v>
      </c>
      <c r="D2702">
        <v>17</v>
      </c>
      <c r="E2702" t="s">
        <v>2649</v>
      </c>
    </row>
    <row r="2703" spans="1:5">
      <c r="A2703">
        <f>HYPERLINK("http://www.twitter.com/FDNY/status/729301139477409794", "729301139477409794")</f>
        <v>0</v>
      </c>
      <c r="B2703" s="2">
        <v>42498.559212963</v>
      </c>
      <c r="C2703">
        <v>94</v>
      </c>
      <c r="D2703">
        <v>39</v>
      </c>
      <c r="E2703" t="s">
        <v>2650</v>
      </c>
    </row>
    <row r="2704" spans="1:5">
      <c r="A2704">
        <f>HYPERLINK("http://www.twitter.com/FDNY/status/729299882918465537", "729299882918465537")</f>
        <v>0</v>
      </c>
      <c r="B2704" s="2">
        <v>42498.5557407407</v>
      </c>
      <c r="C2704">
        <v>74</v>
      </c>
      <c r="D2704">
        <v>22</v>
      </c>
      <c r="E2704" t="s">
        <v>2651</v>
      </c>
    </row>
    <row r="2705" spans="1:5">
      <c r="A2705">
        <f>HYPERLINK("http://www.twitter.com/FDNY/status/729298638040616960", "729298638040616960")</f>
        <v>0</v>
      </c>
      <c r="B2705" s="2">
        <v>42498.5523032407</v>
      </c>
      <c r="C2705">
        <v>99</v>
      </c>
      <c r="D2705">
        <v>42</v>
      </c>
      <c r="E2705" t="s">
        <v>2652</v>
      </c>
    </row>
    <row r="2706" spans="1:5">
      <c r="A2706">
        <f>HYPERLINK("http://www.twitter.com/FDNY/status/729297370232541185", "729297370232541185")</f>
        <v>0</v>
      </c>
      <c r="B2706" s="2">
        <v>42498.5488078704</v>
      </c>
      <c r="C2706">
        <v>52</v>
      </c>
      <c r="D2706">
        <v>23</v>
      </c>
      <c r="E2706" t="s">
        <v>2653</v>
      </c>
    </row>
    <row r="2707" spans="1:5">
      <c r="A2707">
        <f>HYPERLINK("http://www.twitter.com/FDNY/status/729296100499312640", "729296100499312640")</f>
        <v>0</v>
      </c>
      <c r="B2707" s="2">
        <v>42498.5453009259</v>
      </c>
      <c r="C2707">
        <v>172</v>
      </c>
      <c r="D2707">
        <v>47</v>
      </c>
      <c r="E2707" t="s">
        <v>2654</v>
      </c>
    </row>
    <row r="2708" spans="1:5">
      <c r="A2708">
        <f>HYPERLINK("http://www.twitter.com/FDNY/status/729295095929962496", "729295095929962496")</f>
        <v>0</v>
      </c>
      <c r="B2708" s="2">
        <v>42498.5425347222</v>
      </c>
      <c r="C2708">
        <v>131</v>
      </c>
      <c r="D2708">
        <v>51</v>
      </c>
      <c r="E2708" t="s">
        <v>2655</v>
      </c>
    </row>
    <row r="2709" spans="1:5">
      <c r="A2709">
        <f>HYPERLINK("http://www.twitter.com/FDNY/status/729143883037315073", "729143883037315073")</f>
        <v>0</v>
      </c>
      <c r="B2709" s="2">
        <v>42498.1252662037</v>
      </c>
      <c r="C2709">
        <v>0</v>
      </c>
      <c r="D2709">
        <v>2927</v>
      </c>
      <c r="E2709" t="s">
        <v>2656</v>
      </c>
    </row>
    <row r="2710" spans="1:5">
      <c r="A2710">
        <f>HYPERLINK("http://www.twitter.com/FDNY/status/729142928136867841", "729142928136867841")</f>
        <v>0</v>
      </c>
      <c r="B2710" s="2">
        <v>42498.1226273148</v>
      </c>
      <c r="C2710">
        <v>111</v>
      </c>
      <c r="D2710">
        <v>73</v>
      </c>
      <c r="E2710" t="s">
        <v>2657</v>
      </c>
    </row>
    <row r="2711" spans="1:5">
      <c r="A2711">
        <f>HYPERLINK("http://www.twitter.com/FDNY/status/729091061944078336", "729091061944078336")</f>
        <v>0</v>
      </c>
      <c r="B2711" s="2">
        <v>42497.9795023148</v>
      </c>
      <c r="C2711">
        <v>23</v>
      </c>
      <c r="D2711">
        <v>19</v>
      </c>
      <c r="E2711" t="s">
        <v>2658</v>
      </c>
    </row>
    <row r="2712" spans="1:5">
      <c r="A2712">
        <f>HYPERLINK("http://www.twitter.com/FDNY/status/728970334913888256", "728970334913888256")</f>
        <v>0</v>
      </c>
      <c r="B2712" s="2">
        <v>42497.6463657407</v>
      </c>
      <c r="C2712">
        <v>37</v>
      </c>
      <c r="D2712">
        <v>26</v>
      </c>
      <c r="E2712" t="s">
        <v>2659</v>
      </c>
    </row>
    <row r="2713" spans="1:5">
      <c r="A2713">
        <f>HYPERLINK("http://www.twitter.com/FDNY/status/728689608138035201", "728689608138035201")</f>
        <v>0</v>
      </c>
      <c r="B2713" s="2">
        <v>42496.8717013889</v>
      </c>
      <c r="C2713">
        <v>24</v>
      </c>
      <c r="D2713">
        <v>16</v>
      </c>
      <c r="E2713" t="s">
        <v>2660</v>
      </c>
    </row>
    <row r="2714" spans="1:5">
      <c r="A2714">
        <f>HYPERLINK("http://www.twitter.com/FDNY/status/728677263189921792", "728677263189921792")</f>
        <v>0</v>
      </c>
      <c r="B2714" s="2">
        <v>42496.8376388889</v>
      </c>
      <c r="C2714">
        <v>0</v>
      </c>
      <c r="D2714">
        <v>5</v>
      </c>
      <c r="E2714" t="s">
        <v>2661</v>
      </c>
    </row>
    <row r="2715" spans="1:5">
      <c r="A2715">
        <f>HYPERLINK("http://www.twitter.com/FDNY/status/728639174316851200", "728639174316851200")</f>
        <v>0</v>
      </c>
      <c r="B2715" s="2">
        <v>42496.7325347222</v>
      </c>
      <c r="C2715">
        <v>24</v>
      </c>
      <c r="D2715">
        <v>17</v>
      </c>
      <c r="E2715" t="s">
        <v>2662</v>
      </c>
    </row>
    <row r="2716" spans="1:5">
      <c r="A2716">
        <f>HYPERLINK("http://www.twitter.com/FDNY/status/728623485040365569", "728623485040365569")</f>
        <v>0</v>
      </c>
      <c r="B2716" s="2">
        <v>42496.6892361111</v>
      </c>
      <c r="C2716">
        <v>10</v>
      </c>
      <c r="D2716">
        <v>7</v>
      </c>
      <c r="E2716" t="s">
        <v>2663</v>
      </c>
    </row>
    <row r="2717" spans="1:5">
      <c r="A2717">
        <f>HYPERLINK("http://www.twitter.com/FDNY/status/728620461861515264", "728620461861515264")</f>
        <v>0</v>
      </c>
      <c r="B2717" s="2">
        <v>42496.6808912037</v>
      </c>
      <c r="C2717">
        <v>47</v>
      </c>
      <c r="D2717">
        <v>20</v>
      </c>
      <c r="E2717" t="s">
        <v>2664</v>
      </c>
    </row>
    <row r="2718" spans="1:5">
      <c r="A2718">
        <f>HYPERLINK("http://www.twitter.com/FDNY/status/728611231439917056", "728611231439917056")</f>
        <v>0</v>
      </c>
      <c r="B2718" s="2">
        <v>42496.6554282407</v>
      </c>
      <c r="C2718">
        <v>82</v>
      </c>
      <c r="D2718">
        <v>19</v>
      </c>
      <c r="E2718" t="s">
        <v>2665</v>
      </c>
    </row>
    <row r="2719" spans="1:5">
      <c r="A2719">
        <f>HYPERLINK("http://www.twitter.com/FDNY/status/728583422214590464", "728583422214590464")</f>
        <v>0</v>
      </c>
      <c r="B2719" s="2">
        <v>42496.5786805556</v>
      </c>
      <c r="C2719">
        <v>0</v>
      </c>
      <c r="D2719">
        <v>109</v>
      </c>
      <c r="E2719" t="s">
        <v>2666</v>
      </c>
    </row>
    <row r="2720" spans="1:5">
      <c r="A2720">
        <f>HYPERLINK("http://www.twitter.com/FDNY/status/728583235781939200", "728583235781939200")</f>
        <v>0</v>
      </c>
      <c r="B2720" s="2">
        <v>42496.5781712963</v>
      </c>
      <c r="C2720">
        <v>0</v>
      </c>
      <c r="D2720">
        <v>33</v>
      </c>
      <c r="E2720" t="s">
        <v>2667</v>
      </c>
    </row>
    <row r="2721" spans="1:5">
      <c r="A2721">
        <f>HYPERLINK("http://www.twitter.com/FDNY/status/728575133347098628", "728575133347098628")</f>
        <v>0</v>
      </c>
      <c r="B2721" s="2">
        <v>42496.5558101852</v>
      </c>
      <c r="C2721">
        <v>18</v>
      </c>
      <c r="D2721">
        <v>7</v>
      </c>
      <c r="E2721" t="s">
        <v>2668</v>
      </c>
    </row>
    <row r="2722" spans="1:5">
      <c r="A2722">
        <f>HYPERLINK("http://www.twitter.com/FDNY/status/728348609037602816", "728348609037602816")</f>
        <v>0</v>
      </c>
      <c r="B2722" s="2">
        <v>42495.9307291667</v>
      </c>
      <c r="C2722">
        <v>15</v>
      </c>
      <c r="D2722">
        <v>13</v>
      </c>
      <c r="E2722" t="s">
        <v>2669</v>
      </c>
    </row>
    <row r="2723" spans="1:5">
      <c r="A2723">
        <f>HYPERLINK("http://www.twitter.com/FDNY/status/728348022300651520", "728348022300651520")</f>
        <v>0</v>
      </c>
      <c r="B2723" s="2">
        <v>42495.9291087963</v>
      </c>
      <c r="C2723">
        <v>0</v>
      </c>
      <c r="D2723">
        <v>3</v>
      </c>
      <c r="E2723" t="s">
        <v>2670</v>
      </c>
    </row>
    <row r="2724" spans="1:5">
      <c r="A2724">
        <f>HYPERLINK("http://www.twitter.com/FDNY/status/728336884083130369", "728336884083130369")</f>
        <v>0</v>
      </c>
      <c r="B2724" s="2">
        <v>42495.8983680556</v>
      </c>
      <c r="C2724">
        <v>0</v>
      </c>
      <c r="D2724">
        <v>5</v>
      </c>
      <c r="E2724" t="s">
        <v>2671</v>
      </c>
    </row>
    <row r="2725" spans="1:5">
      <c r="A2725">
        <f>HYPERLINK("http://www.twitter.com/FDNY/status/728334737203408896", "728334737203408896")</f>
        <v>0</v>
      </c>
      <c r="B2725" s="2">
        <v>42495.8924421296</v>
      </c>
      <c r="C2725">
        <v>22</v>
      </c>
      <c r="D2725">
        <v>6</v>
      </c>
      <c r="E2725" t="s">
        <v>2672</v>
      </c>
    </row>
    <row r="2726" spans="1:5">
      <c r="A2726">
        <f>HYPERLINK("http://www.twitter.com/FDNY/status/728321159029239810", "728321159029239810")</f>
        <v>0</v>
      </c>
      <c r="B2726" s="2">
        <v>42495.8549768518</v>
      </c>
      <c r="C2726">
        <v>17</v>
      </c>
      <c r="D2726">
        <v>14</v>
      </c>
      <c r="E2726" t="s">
        <v>2673</v>
      </c>
    </row>
    <row r="2727" spans="1:5">
      <c r="A2727">
        <f>HYPERLINK("http://www.twitter.com/FDNY/status/728274375133282304", "728274375133282304")</f>
        <v>0</v>
      </c>
      <c r="B2727" s="2">
        <v>42495.7258796296</v>
      </c>
      <c r="C2727">
        <v>31</v>
      </c>
      <c r="D2727">
        <v>23</v>
      </c>
      <c r="E2727" t="s">
        <v>2674</v>
      </c>
    </row>
    <row r="2728" spans="1:5">
      <c r="A2728">
        <f>HYPERLINK("http://www.twitter.com/FDNY/status/728257575817449472", "728257575817449472")</f>
        <v>0</v>
      </c>
      <c r="B2728" s="2">
        <v>42495.679525463</v>
      </c>
      <c r="C2728">
        <v>0</v>
      </c>
      <c r="D2728">
        <v>7</v>
      </c>
      <c r="E2728" t="s">
        <v>2675</v>
      </c>
    </row>
    <row r="2729" spans="1:5">
      <c r="A2729">
        <f>HYPERLINK("http://www.twitter.com/FDNY/status/728245718910173184", "728245718910173184")</f>
        <v>0</v>
      </c>
      <c r="B2729" s="2">
        <v>42495.6468055556</v>
      </c>
      <c r="C2729">
        <v>0</v>
      </c>
      <c r="D2729">
        <v>13</v>
      </c>
      <c r="E2729" t="s">
        <v>2676</v>
      </c>
    </row>
    <row r="2730" spans="1:5">
      <c r="A2730">
        <f>HYPERLINK("http://www.twitter.com/FDNY/status/728227304997044224", "728227304997044224")</f>
        <v>0</v>
      </c>
      <c r="B2730" s="2">
        <v>42495.5959837963</v>
      </c>
      <c r="C2730">
        <v>30</v>
      </c>
      <c r="D2730">
        <v>7</v>
      </c>
      <c r="E2730" t="s">
        <v>2677</v>
      </c>
    </row>
    <row r="2731" spans="1:5">
      <c r="A2731">
        <f>HYPERLINK("http://www.twitter.com/FDNY/status/728223052958404608", "728223052958404608")</f>
        <v>0</v>
      </c>
      <c r="B2731" s="2">
        <v>42495.5842592593</v>
      </c>
      <c r="C2731">
        <v>25</v>
      </c>
      <c r="D2731">
        <v>15</v>
      </c>
      <c r="E2731" t="s">
        <v>2678</v>
      </c>
    </row>
    <row r="2732" spans="1:5">
      <c r="A2732">
        <f>HYPERLINK("http://www.twitter.com/FDNY/status/728206425823055872", "728206425823055872")</f>
        <v>0</v>
      </c>
      <c r="B2732" s="2">
        <v>42495.5383680556</v>
      </c>
      <c r="C2732">
        <v>20</v>
      </c>
      <c r="D2732">
        <v>17</v>
      </c>
      <c r="E2732" t="s">
        <v>2679</v>
      </c>
    </row>
    <row r="2733" spans="1:5">
      <c r="A2733">
        <f>HYPERLINK("http://www.twitter.com/FDNY/status/728058413733810177", "728058413733810177")</f>
        <v>0</v>
      </c>
      <c r="B2733" s="2">
        <v>42495.1299421296</v>
      </c>
      <c r="C2733">
        <v>0</v>
      </c>
      <c r="D2733">
        <v>18</v>
      </c>
      <c r="E2733" t="s">
        <v>2680</v>
      </c>
    </row>
    <row r="2734" spans="1:5">
      <c r="A2734">
        <f>HYPERLINK("http://www.twitter.com/FDNY/status/727981428483493890", "727981428483493890")</f>
        <v>0</v>
      </c>
      <c r="B2734" s="2">
        <v>42494.9175</v>
      </c>
      <c r="C2734">
        <v>0</v>
      </c>
      <c r="D2734">
        <v>26</v>
      </c>
      <c r="E2734" t="s">
        <v>2681</v>
      </c>
    </row>
    <row r="2735" spans="1:5">
      <c r="A2735">
        <f>HYPERLINK("http://www.twitter.com/FDNY/status/727975955080335362", "727975955080335362")</f>
        <v>0</v>
      </c>
      <c r="B2735" s="2">
        <v>42494.9023958333</v>
      </c>
      <c r="C2735">
        <v>34</v>
      </c>
      <c r="D2735">
        <v>11</v>
      </c>
      <c r="E2735" t="s">
        <v>2682</v>
      </c>
    </row>
    <row r="2736" spans="1:5">
      <c r="A2736">
        <f>HYPERLINK("http://www.twitter.com/FDNY/status/727973243911606279", "727973243911606279")</f>
        <v>0</v>
      </c>
      <c r="B2736" s="2">
        <v>42494.8949189815</v>
      </c>
      <c r="C2736">
        <v>53</v>
      </c>
      <c r="D2736">
        <v>26</v>
      </c>
      <c r="E2736" t="s">
        <v>2683</v>
      </c>
    </row>
    <row r="2737" spans="1:5">
      <c r="A2737">
        <f>HYPERLINK("http://www.twitter.com/FDNY/status/727972800020029440", "727972800020029440")</f>
        <v>0</v>
      </c>
      <c r="B2737" s="2">
        <v>42494.8936921296</v>
      </c>
      <c r="C2737">
        <v>0</v>
      </c>
      <c r="D2737">
        <v>135</v>
      </c>
      <c r="E2737" t="s">
        <v>2684</v>
      </c>
    </row>
    <row r="2738" spans="1:5">
      <c r="A2738">
        <f>HYPERLINK("http://www.twitter.com/FDNY/status/727969529897324545", "727969529897324545")</f>
        <v>0</v>
      </c>
      <c r="B2738" s="2">
        <v>42494.8846643519</v>
      </c>
      <c r="C2738">
        <v>14</v>
      </c>
      <c r="D2738">
        <v>8</v>
      </c>
      <c r="E2738" t="s">
        <v>2685</v>
      </c>
    </row>
    <row r="2739" spans="1:5">
      <c r="A2739">
        <f>HYPERLINK("http://www.twitter.com/FDNY/status/727967335424897024", "727967335424897024")</f>
        <v>0</v>
      </c>
      <c r="B2739" s="2">
        <v>42494.8786111111</v>
      </c>
      <c r="C2739">
        <v>16</v>
      </c>
      <c r="D2739">
        <v>11</v>
      </c>
      <c r="E2739" t="s">
        <v>2686</v>
      </c>
    </row>
    <row r="2740" spans="1:5">
      <c r="A2740">
        <f>HYPERLINK("http://www.twitter.com/FDNY/status/727953278592520193", "727953278592520193")</f>
        <v>0</v>
      </c>
      <c r="B2740" s="2">
        <v>42494.8398148148</v>
      </c>
      <c r="C2740">
        <v>0</v>
      </c>
      <c r="D2740">
        <v>42</v>
      </c>
      <c r="E2740" t="s">
        <v>2687</v>
      </c>
    </row>
    <row r="2741" spans="1:5">
      <c r="A2741">
        <f>HYPERLINK("http://www.twitter.com/FDNY/status/727930155029639168", "727930155029639168")</f>
        <v>0</v>
      </c>
      <c r="B2741" s="2">
        <v>42494.7760069444</v>
      </c>
      <c r="C2741">
        <v>0</v>
      </c>
      <c r="D2741">
        <v>4</v>
      </c>
      <c r="E2741" t="s">
        <v>2688</v>
      </c>
    </row>
    <row r="2742" spans="1:5">
      <c r="A2742">
        <f>HYPERLINK("http://www.twitter.com/FDNY/status/727930037555630080", "727930037555630080")</f>
        <v>0</v>
      </c>
      <c r="B2742" s="2">
        <v>42494.7756828704</v>
      </c>
      <c r="C2742">
        <v>0</v>
      </c>
      <c r="D2742">
        <v>5</v>
      </c>
      <c r="E2742" t="s">
        <v>2689</v>
      </c>
    </row>
    <row r="2743" spans="1:5">
      <c r="A2743">
        <f>HYPERLINK("http://www.twitter.com/FDNY/status/727928262907793409", "727928262907793409")</f>
        <v>0</v>
      </c>
      <c r="B2743" s="2">
        <v>42494.770787037</v>
      </c>
      <c r="C2743">
        <v>27</v>
      </c>
      <c r="D2743">
        <v>13</v>
      </c>
      <c r="E2743" t="s">
        <v>2690</v>
      </c>
    </row>
    <row r="2744" spans="1:5">
      <c r="A2744">
        <f>HYPERLINK("http://www.twitter.com/FDNY/status/727620738216251392", "727620738216251392")</f>
        <v>0</v>
      </c>
      <c r="B2744" s="2">
        <v>42493.9221875</v>
      </c>
      <c r="C2744">
        <v>0</v>
      </c>
      <c r="D2744">
        <v>4</v>
      </c>
      <c r="E2744" t="s">
        <v>2691</v>
      </c>
    </row>
    <row r="2745" spans="1:5">
      <c r="A2745">
        <f>HYPERLINK("http://www.twitter.com/FDNY/status/727604925308518402", "727604925308518402")</f>
        <v>0</v>
      </c>
      <c r="B2745" s="2">
        <v>42493.8785532407</v>
      </c>
      <c r="C2745">
        <v>52</v>
      </c>
      <c r="D2745">
        <v>17</v>
      </c>
      <c r="E2745" t="s">
        <v>2692</v>
      </c>
    </row>
    <row r="2746" spans="1:5">
      <c r="A2746">
        <f>HYPERLINK("http://www.twitter.com/FDNY/status/727571520525086720", "727571520525086720")</f>
        <v>0</v>
      </c>
      <c r="B2746" s="2">
        <v>42493.7863657407</v>
      </c>
      <c r="C2746">
        <v>0</v>
      </c>
      <c r="D2746">
        <v>4</v>
      </c>
      <c r="E2746" t="s">
        <v>2693</v>
      </c>
    </row>
    <row r="2747" spans="1:5">
      <c r="A2747">
        <f>HYPERLINK("http://www.twitter.com/FDNY/status/727554379679682560", "727554379679682560")</f>
        <v>0</v>
      </c>
      <c r="B2747" s="2">
        <v>42493.7390740741</v>
      </c>
      <c r="C2747">
        <v>90</v>
      </c>
      <c r="D2747">
        <v>26</v>
      </c>
      <c r="E2747" t="s">
        <v>2694</v>
      </c>
    </row>
    <row r="2748" spans="1:5">
      <c r="A2748">
        <f>HYPERLINK("http://www.twitter.com/FDNY/status/727545773399937025", "727545773399937025")</f>
        <v>0</v>
      </c>
      <c r="B2748" s="2">
        <v>42493.7153240741</v>
      </c>
      <c r="C2748">
        <v>194</v>
      </c>
      <c r="D2748">
        <v>98</v>
      </c>
      <c r="E2748" t="s">
        <v>2695</v>
      </c>
    </row>
    <row r="2749" spans="1:5">
      <c r="A2749">
        <f>HYPERLINK("http://www.twitter.com/FDNY/status/727524915109347328", "727524915109347328")</f>
        <v>0</v>
      </c>
      <c r="B2749" s="2">
        <v>42493.6577662037</v>
      </c>
      <c r="C2749">
        <v>102</v>
      </c>
      <c r="D2749">
        <v>30</v>
      </c>
      <c r="E2749" t="s">
        <v>2696</v>
      </c>
    </row>
    <row r="2750" spans="1:5">
      <c r="A2750">
        <f>HYPERLINK("http://www.twitter.com/FDNY/status/727520698965565440", "727520698965565440")</f>
        <v>0</v>
      </c>
      <c r="B2750" s="2">
        <v>42493.6461226852</v>
      </c>
      <c r="C2750">
        <v>91</v>
      </c>
      <c r="D2750">
        <v>38</v>
      </c>
      <c r="E2750" t="s">
        <v>2697</v>
      </c>
    </row>
    <row r="2751" spans="1:5">
      <c r="A2751">
        <f>HYPERLINK("http://www.twitter.com/FDNY/status/727520362313998340", "727520362313998340")</f>
        <v>0</v>
      </c>
      <c r="B2751" s="2">
        <v>42493.6451967593</v>
      </c>
      <c r="C2751">
        <v>59</v>
      </c>
      <c r="D2751">
        <v>22</v>
      </c>
      <c r="E2751" t="s">
        <v>2698</v>
      </c>
    </row>
    <row r="2752" spans="1:5">
      <c r="A2752">
        <f>HYPERLINK("http://www.twitter.com/FDNY/status/727509941825732608", "727509941825732608")</f>
        <v>0</v>
      </c>
      <c r="B2752" s="2">
        <v>42493.6164467593</v>
      </c>
      <c r="C2752">
        <v>128</v>
      </c>
      <c r="D2752">
        <v>52</v>
      </c>
      <c r="E2752" t="s">
        <v>2699</v>
      </c>
    </row>
    <row r="2753" spans="1:5">
      <c r="A2753">
        <f>HYPERLINK("http://www.twitter.com/FDNY/status/727507759047008256", "727507759047008256")</f>
        <v>0</v>
      </c>
      <c r="B2753" s="2">
        <v>42493.6104166667</v>
      </c>
      <c r="C2753">
        <v>81</v>
      </c>
      <c r="D2753">
        <v>25</v>
      </c>
      <c r="E2753" t="s">
        <v>2700</v>
      </c>
    </row>
    <row r="2754" spans="1:5">
      <c r="A2754">
        <f>HYPERLINK("http://www.twitter.com/FDNY/status/727504695518973952", "727504695518973952")</f>
        <v>0</v>
      </c>
      <c r="B2754" s="2">
        <v>42493.6019675926</v>
      </c>
      <c r="C2754">
        <v>59</v>
      </c>
      <c r="D2754">
        <v>14</v>
      </c>
      <c r="E2754" t="s">
        <v>2701</v>
      </c>
    </row>
    <row r="2755" spans="1:5">
      <c r="A2755">
        <f>HYPERLINK("http://www.twitter.com/FDNY/status/727503270260924416", "727503270260924416")</f>
        <v>0</v>
      </c>
      <c r="B2755" s="2">
        <v>42493.5980324074</v>
      </c>
      <c r="C2755">
        <v>86</v>
      </c>
      <c r="D2755">
        <v>26</v>
      </c>
      <c r="E2755" t="s">
        <v>2702</v>
      </c>
    </row>
    <row r="2756" spans="1:5">
      <c r="A2756">
        <f>HYPERLINK("http://www.twitter.com/FDNY/status/727501235625033728", "727501235625033728")</f>
        <v>0</v>
      </c>
      <c r="B2756" s="2">
        <v>42493.5924189815</v>
      </c>
      <c r="C2756">
        <v>37</v>
      </c>
      <c r="D2756">
        <v>15</v>
      </c>
      <c r="E2756" t="s">
        <v>2703</v>
      </c>
    </row>
    <row r="2757" spans="1:5">
      <c r="A2757">
        <f>HYPERLINK("http://www.twitter.com/FDNY/status/727500187447508992", "727500187447508992")</f>
        <v>0</v>
      </c>
      <c r="B2757" s="2">
        <v>42493.589525463</v>
      </c>
      <c r="C2757">
        <v>341</v>
      </c>
      <c r="D2757">
        <v>86</v>
      </c>
      <c r="E2757" t="s">
        <v>2704</v>
      </c>
    </row>
    <row r="2758" spans="1:5">
      <c r="A2758">
        <f>HYPERLINK("http://www.twitter.com/FDNY/status/727471647322705921", "727471647322705921")</f>
        <v>0</v>
      </c>
      <c r="B2758" s="2">
        <v>42493.510775463</v>
      </c>
      <c r="C2758">
        <v>6</v>
      </c>
      <c r="D2758">
        <v>10</v>
      </c>
      <c r="E2758" t="s">
        <v>2705</v>
      </c>
    </row>
    <row r="2759" spans="1:5">
      <c r="A2759">
        <f>HYPERLINK("http://www.twitter.com/FDNY/status/727338889841676288", "727338889841676288")</f>
        <v>0</v>
      </c>
      <c r="B2759" s="2">
        <v>42493.1444328704</v>
      </c>
      <c r="C2759">
        <v>0</v>
      </c>
      <c r="D2759">
        <v>5</v>
      </c>
      <c r="E2759" t="s">
        <v>2706</v>
      </c>
    </row>
    <row r="2760" spans="1:5">
      <c r="A2760">
        <f>HYPERLINK("http://www.twitter.com/FDNY/status/727317984239296514", "727317984239296514")</f>
        <v>0</v>
      </c>
      <c r="B2760" s="2">
        <v>42493.0867476852</v>
      </c>
      <c r="C2760">
        <v>0</v>
      </c>
      <c r="D2760">
        <v>51</v>
      </c>
      <c r="E2760" t="s">
        <v>2707</v>
      </c>
    </row>
    <row r="2761" spans="1:5">
      <c r="A2761">
        <f>HYPERLINK("http://www.twitter.com/FDNY/status/727285069908443136", "727285069908443136")</f>
        <v>0</v>
      </c>
      <c r="B2761" s="2">
        <v>42492.9959143518</v>
      </c>
      <c r="C2761">
        <v>22</v>
      </c>
      <c r="D2761">
        <v>11</v>
      </c>
      <c r="E2761" t="s">
        <v>2708</v>
      </c>
    </row>
    <row r="2762" spans="1:5">
      <c r="A2762">
        <f>HYPERLINK("http://www.twitter.com/FDNY/status/727229424416993281", "727229424416993281")</f>
        <v>0</v>
      </c>
      <c r="B2762" s="2">
        <v>42492.8423611111</v>
      </c>
      <c r="C2762">
        <v>66</v>
      </c>
      <c r="D2762">
        <v>25</v>
      </c>
      <c r="E2762" t="s">
        <v>2709</v>
      </c>
    </row>
    <row r="2763" spans="1:5">
      <c r="A2763">
        <f>HYPERLINK("http://www.twitter.com/FDNY/status/727111846214422528", "727111846214422528")</f>
        <v>0</v>
      </c>
      <c r="B2763" s="2">
        <v>42492.5179050926</v>
      </c>
      <c r="C2763">
        <v>61</v>
      </c>
      <c r="D2763">
        <v>19</v>
      </c>
      <c r="E2763" t="s">
        <v>2710</v>
      </c>
    </row>
    <row r="2764" spans="1:5">
      <c r="A2764">
        <f>HYPERLINK("http://www.twitter.com/FDNY/status/726950733652889601", "726950733652889601")</f>
        <v>0</v>
      </c>
      <c r="B2764" s="2">
        <v>42492.0733217593</v>
      </c>
      <c r="C2764">
        <v>0</v>
      </c>
      <c r="D2764">
        <v>100</v>
      </c>
      <c r="E2764" t="s">
        <v>2711</v>
      </c>
    </row>
    <row r="2765" spans="1:5">
      <c r="A2765">
        <f>HYPERLINK("http://www.twitter.com/FDNY/status/726950703814578177", "726950703814578177")</f>
        <v>0</v>
      </c>
      <c r="B2765" s="2">
        <v>42492.0732407407</v>
      </c>
      <c r="C2765">
        <v>0</v>
      </c>
      <c r="D2765">
        <v>61</v>
      </c>
      <c r="E2765" t="s">
        <v>2712</v>
      </c>
    </row>
    <row r="2766" spans="1:5">
      <c r="A2766">
        <f>HYPERLINK("http://www.twitter.com/FDNY/status/726950506518700033", "726950506518700033")</f>
        <v>0</v>
      </c>
      <c r="B2766" s="2">
        <v>42492.0726967593</v>
      </c>
      <c r="C2766">
        <v>0</v>
      </c>
      <c r="D2766">
        <v>45</v>
      </c>
      <c r="E2766" t="s">
        <v>2713</v>
      </c>
    </row>
    <row r="2767" spans="1:5">
      <c r="A2767">
        <f>HYPERLINK("http://www.twitter.com/FDNY/status/726923352921792513", "726923352921792513")</f>
        <v>0</v>
      </c>
      <c r="B2767" s="2">
        <v>42491.9977662037</v>
      </c>
      <c r="C2767">
        <v>608</v>
      </c>
      <c r="D2767">
        <v>1056</v>
      </c>
      <c r="E2767" t="s">
        <v>2714</v>
      </c>
    </row>
    <row r="2768" spans="1:5">
      <c r="A2768">
        <f>HYPERLINK("http://www.twitter.com/FDNY/status/726922126482149378", "726922126482149378")</f>
        <v>0</v>
      </c>
      <c r="B2768" s="2">
        <v>42491.9943865741</v>
      </c>
      <c r="C2768">
        <v>307</v>
      </c>
      <c r="D2768">
        <v>562</v>
      </c>
      <c r="E2768" t="s">
        <v>2715</v>
      </c>
    </row>
    <row r="2769" spans="1:5">
      <c r="A2769">
        <f>HYPERLINK("http://www.twitter.com/FDNY/status/726919736299249664", "726919736299249664")</f>
        <v>0</v>
      </c>
      <c r="B2769" s="2">
        <v>42491.9877893518</v>
      </c>
      <c r="C2769">
        <v>26</v>
      </c>
      <c r="D2769">
        <v>33</v>
      </c>
      <c r="E2769" t="s">
        <v>2716</v>
      </c>
    </row>
    <row r="2770" spans="1:5">
      <c r="A2770">
        <f>HYPERLINK("http://www.twitter.com/FDNY/status/726918194133385217", "726918194133385217")</f>
        <v>0</v>
      </c>
      <c r="B2770" s="2">
        <v>42491.9835300926</v>
      </c>
      <c r="C2770">
        <v>70</v>
      </c>
      <c r="D2770">
        <v>85</v>
      </c>
      <c r="E2770" t="s">
        <v>2717</v>
      </c>
    </row>
    <row r="2771" spans="1:5">
      <c r="A2771">
        <f>HYPERLINK("http://www.twitter.com/FDNY/status/726917433529929728", "726917433529929728")</f>
        <v>0</v>
      </c>
      <c r="B2771" s="2">
        <v>42491.9814351852</v>
      </c>
      <c r="C2771">
        <v>100</v>
      </c>
      <c r="D2771">
        <v>238</v>
      </c>
      <c r="E2771" t="s">
        <v>2718</v>
      </c>
    </row>
    <row r="2772" spans="1:5">
      <c r="A2772">
        <f>HYPERLINK("http://www.twitter.com/FDNY/status/726911258348388356", "726911258348388356")</f>
        <v>0</v>
      </c>
      <c r="B2772" s="2">
        <v>42491.9643981481</v>
      </c>
      <c r="C2772">
        <v>0</v>
      </c>
      <c r="D2772">
        <v>33</v>
      </c>
      <c r="E2772" t="s">
        <v>2719</v>
      </c>
    </row>
    <row r="2773" spans="1:5">
      <c r="A2773">
        <f>HYPERLINK("http://www.twitter.com/FDNY/status/726877085030043649", "726877085030043649")</f>
        <v>0</v>
      </c>
      <c r="B2773" s="2">
        <v>42491.8700925926</v>
      </c>
      <c r="C2773">
        <v>0</v>
      </c>
      <c r="D2773">
        <v>8</v>
      </c>
      <c r="E2773" t="s">
        <v>2720</v>
      </c>
    </row>
    <row r="2774" spans="1:5">
      <c r="A2774">
        <f>HYPERLINK("http://www.twitter.com/FDNY/status/726877074061967360", "726877074061967360")</f>
        <v>0</v>
      </c>
      <c r="B2774" s="2">
        <v>42491.8700578704</v>
      </c>
      <c r="C2774">
        <v>0</v>
      </c>
      <c r="D2774">
        <v>17</v>
      </c>
      <c r="E2774" t="s">
        <v>2721</v>
      </c>
    </row>
    <row r="2775" spans="1:5">
      <c r="A2775">
        <f>HYPERLINK("http://www.twitter.com/FDNY/status/726877063500685313", "726877063500685313")</f>
        <v>0</v>
      </c>
      <c r="B2775" s="2">
        <v>42491.8700347222</v>
      </c>
      <c r="C2775">
        <v>0</v>
      </c>
      <c r="D2775">
        <v>7</v>
      </c>
      <c r="E2775" t="s">
        <v>2722</v>
      </c>
    </row>
    <row r="2776" spans="1:5">
      <c r="A2776">
        <f>HYPERLINK("http://www.twitter.com/FDNY/status/726863650682769408", "726863650682769408")</f>
        <v>0</v>
      </c>
      <c r="B2776" s="2">
        <v>42491.8330208333</v>
      </c>
      <c r="C2776">
        <v>0</v>
      </c>
      <c r="D2776">
        <v>11</v>
      </c>
      <c r="E2776" t="s">
        <v>2723</v>
      </c>
    </row>
    <row r="2777" spans="1:5">
      <c r="A2777">
        <f>HYPERLINK("http://www.twitter.com/FDNY/status/726863640268292096", "726863640268292096")</f>
        <v>0</v>
      </c>
      <c r="B2777" s="2">
        <v>42491.8329861111</v>
      </c>
      <c r="C2777">
        <v>0</v>
      </c>
      <c r="D2777">
        <v>11</v>
      </c>
      <c r="E2777" t="s">
        <v>2724</v>
      </c>
    </row>
    <row r="2778" spans="1:5">
      <c r="A2778">
        <f>HYPERLINK("http://www.twitter.com/FDNY/status/726863630424236033", "726863630424236033")</f>
        <v>0</v>
      </c>
      <c r="B2778" s="2">
        <v>42491.832962963</v>
      </c>
      <c r="C2778">
        <v>0</v>
      </c>
      <c r="D2778">
        <v>11</v>
      </c>
      <c r="E2778" t="s">
        <v>2725</v>
      </c>
    </row>
    <row r="2779" spans="1:5">
      <c r="A2779">
        <f>HYPERLINK("http://www.twitter.com/FDNY/status/726816461755420672", "726816461755420672")</f>
        <v>0</v>
      </c>
      <c r="B2779" s="2">
        <v>42491.7028009259</v>
      </c>
      <c r="C2779">
        <v>0</v>
      </c>
      <c r="D2779">
        <v>3</v>
      </c>
      <c r="E2779" t="s">
        <v>2726</v>
      </c>
    </row>
    <row r="2780" spans="1:5">
      <c r="A2780">
        <f>HYPERLINK("http://www.twitter.com/FDNY/status/726816447943561220", "726816447943561220")</f>
        <v>0</v>
      </c>
      <c r="B2780" s="2">
        <v>42491.7027662037</v>
      </c>
      <c r="C2780">
        <v>0</v>
      </c>
      <c r="D2780">
        <v>2</v>
      </c>
      <c r="E2780" t="s">
        <v>2727</v>
      </c>
    </row>
    <row r="2781" spans="1:5">
      <c r="A2781">
        <f>HYPERLINK("http://www.twitter.com/FDNY/status/726816427102093312", "726816427102093312")</f>
        <v>0</v>
      </c>
      <c r="B2781" s="2">
        <v>42491.7027083333</v>
      </c>
      <c r="C2781">
        <v>0</v>
      </c>
      <c r="D2781">
        <v>4</v>
      </c>
      <c r="E2781" t="s">
        <v>2728</v>
      </c>
    </row>
    <row r="2782" spans="1:5">
      <c r="A2782">
        <f>HYPERLINK("http://www.twitter.com/FDNY/status/726613693543407620", "726613693543407620")</f>
        <v>0</v>
      </c>
      <c r="B2782" s="2">
        <v>42491.143275463</v>
      </c>
      <c r="C2782">
        <v>0</v>
      </c>
      <c r="D2782">
        <v>9</v>
      </c>
      <c r="E2782" t="s">
        <v>2729</v>
      </c>
    </row>
    <row r="2783" spans="1:5">
      <c r="A2783">
        <f>HYPERLINK("http://www.twitter.com/FDNY/status/726613682843734016", "726613682843734016")</f>
        <v>0</v>
      </c>
      <c r="B2783" s="2">
        <v>42491.1432407407</v>
      </c>
      <c r="C2783">
        <v>0</v>
      </c>
      <c r="D2783">
        <v>5</v>
      </c>
      <c r="E2783" t="s">
        <v>2730</v>
      </c>
    </row>
    <row r="2784" spans="1:5">
      <c r="A2784">
        <f>HYPERLINK("http://www.twitter.com/FDNY/status/726613667660349440", "726613667660349440")</f>
        <v>0</v>
      </c>
      <c r="B2784" s="2">
        <v>42491.1431944444</v>
      </c>
      <c r="C2784">
        <v>0</v>
      </c>
      <c r="D2784">
        <v>6</v>
      </c>
      <c r="E2784" t="s">
        <v>2731</v>
      </c>
    </row>
    <row r="2785" spans="1:5">
      <c r="A2785">
        <f>HYPERLINK("http://www.twitter.com/FDNY/status/726613623834075136", "726613623834075136")</f>
        <v>0</v>
      </c>
      <c r="B2785" s="2">
        <v>42491.1430787037</v>
      </c>
      <c r="C2785">
        <v>0</v>
      </c>
      <c r="D2785">
        <v>4</v>
      </c>
      <c r="E2785" t="s">
        <v>2732</v>
      </c>
    </row>
    <row r="2786" spans="1:5">
      <c r="A2786">
        <f>HYPERLINK("http://www.twitter.com/FDNY/status/726613576711032837", "726613576711032837")</f>
        <v>0</v>
      </c>
      <c r="B2786" s="2">
        <v>42491.1429513889</v>
      </c>
      <c r="C2786">
        <v>0</v>
      </c>
      <c r="D2786">
        <v>54</v>
      </c>
      <c r="E2786" t="s">
        <v>2707</v>
      </c>
    </row>
    <row r="2787" spans="1:5">
      <c r="A2787">
        <f>HYPERLINK("http://www.twitter.com/FDNY/status/726476857705652224", "726476857705652224")</f>
        <v>0</v>
      </c>
      <c r="B2787" s="2">
        <v>42490.7656712963</v>
      </c>
      <c r="C2787">
        <v>0</v>
      </c>
      <c r="D2787">
        <v>3</v>
      </c>
      <c r="E2787" t="s">
        <v>2733</v>
      </c>
    </row>
    <row r="2788" spans="1:5">
      <c r="A2788">
        <f>HYPERLINK("http://www.twitter.com/FDNY/status/726476846641123329", "726476846641123329")</f>
        <v>0</v>
      </c>
      <c r="B2788" s="2">
        <v>42490.7656481481</v>
      </c>
      <c r="C2788">
        <v>0</v>
      </c>
      <c r="D2788">
        <v>4</v>
      </c>
      <c r="E2788" t="s">
        <v>2734</v>
      </c>
    </row>
    <row r="2789" spans="1:5">
      <c r="A2789">
        <f>HYPERLINK("http://www.twitter.com/FDNY/status/726476832665640960", "726476832665640960")</f>
        <v>0</v>
      </c>
      <c r="B2789" s="2">
        <v>42490.7656018519</v>
      </c>
      <c r="C2789">
        <v>0</v>
      </c>
      <c r="D2789">
        <v>17</v>
      </c>
      <c r="E2789" t="s">
        <v>2735</v>
      </c>
    </row>
    <row r="2790" spans="1:5">
      <c r="A2790">
        <f>HYPERLINK("http://www.twitter.com/FDNY/status/726459974122110976", "726459974122110976")</f>
        <v>0</v>
      </c>
      <c r="B2790" s="2">
        <v>42490.7190856481</v>
      </c>
      <c r="C2790">
        <v>16</v>
      </c>
      <c r="D2790">
        <v>14</v>
      </c>
      <c r="E2790" t="s">
        <v>2736</v>
      </c>
    </row>
    <row r="2791" spans="1:5">
      <c r="A2791">
        <f>HYPERLINK("http://www.twitter.com/FDNY/status/726456931326545920", "726456931326545920")</f>
        <v>0</v>
      </c>
      <c r="B2791" s="2">
        <v>42490.7106944444</v>
      </c>
      <c r="C2791">
        <v>0</v>
      </c>
      <c r="D2791">
        <v>7</v>
      </c>
      <c r="E2791" t="s">
        <v>2737</v>
      </c>
    </row>
    <row r="2792" spans="1:5">
      <c r="A2792">
        <f>HYPERLINK("http://www.twitter.com/FDNY/status/726456916231262208", "726456916231262208")</f>
        <v>0</v>
      </c>
      <c r="B2792" s="2">
        <v>42490.7106481481</v>
      </c>
      <c r="C2792">
        <v>0</v>
      </c>
      <c r="D2792">
        <v>5</v>
      </c>
      <c r="E2792" t="s">
        <v>2738</v>
      </c>
    </row>
    <row r="2793" spans="1:5">
      <c r="A2793">
        <f>HYPERLINK("http://www.twitter.com/FDNY/status/726430192047108097", "726430192047108097")</f>
        <v>0</v>
      </c>
      <c r="B2793" s="2">
        <v>42490.6368981482</v>
      </c>
      <c r="C2793">
        <v>0</v>
      </c>
      <c r="D2793">
        <v>8</v>
      </c>
      <c r="E2793" t="s">
        <v>2739</v>
      </c>
    </row>
    <row r="2794" spans="1:5">
      <c r="A2794">
        <f>HYPERLINK("http://www.twitter.com/FDNY/status/726404492070113283", "726404492070113283")</f>
        <v>0</v>
      </c>
      <c r="B2794" s="2">
        <v>42490.5659837963</v>
      </c>
      <c r="C2794">
        <v>0</v>
      </c>
      <c r="D2794">
        <v>4</v>
      </c>
      <c r="E2794" t="s">
        <v>2740</v>
      </c>
    </row>
    <row r="2795" spans="1:5">
      <c r="A2795">
        <f>HYPERLINK("http://www.twitter.com/FDNY/status/726223287009837056", "726223287009837056")</f>
        <v>0</v>
      </c>
      <c r="B2795" s="2">
        <v>42490.0659490741</v>
      </c>
      <c r="C2795">
        <v>0</v>
      </c>
      <c r="D2795">
        <v>8</v>
      </c>
      <c r="E2795" t="s">
        <v>2741</v>
      </c>
    </row>
    <row r="2796" spans="1:5">
      <c r="A2796">
        <f>HYPERLINK("http://www.twitter.com/FDNY/status/726203270838939648", "726203270838939648")</f>
        <v>0</v>
      </c>
      <c r="B2796" s="2">
        <v>42490.0107175926</v>
      </c>
      <c r="C2796">
        <v>0</v>
      </c>
      <c r="D2796">
        <v>10</v>
      </c>
      <c r="E2796" t="s">
        <v>2742</v>
      </c>
    </row>
    <row r="2797" spans="1:5">
      <c r="A2797">
        <f>HYPERLINK("http://www.twitter.com/FDNY/status/726186951976599552", "726186951976599552")</f>
        <v>0</v>
      </c>
      <c r="B2797" s="2">
        <v>42489.9656828704</v>
      </c>
      <c r="C2797">
        <v>0</v>
      </c>
      <c r="D2797">
        <v>11</v>
      </c>
      <c r="E2797" t="s">
        <v>2743</v>
      </c>
    </row>
    <row r="2798" spans="1:5">
      <c r="A2798">
        <f>HYPERLINK("http://www.twitter.com/FDNY/status/726186917918826497", "726186917918826497")</f>
        <v>0</v>
      </c>
      <c r="B2798" s="2">
        <v>42489.9655902778</v>
      </c>
      <c r="C2798">
        <v>0</v>
      </c>
      <c r="D2798">
        <v>8</v>
      </c>
      <c r="E2798" t="s">
        <v>2744</v>
      </c>
    </row>
    <row r="2799" spans="1:5">
      <c r="A2799">
        <f>HYPERLINK("http://www.twitter.com/FDNY/status/726150476136386561", "726150476136386561")</f>
        <v>0</v>
      </c>
      <c r="B2799" s="2">
        <v>42489.8650347222</v>
      </c>
      <c r="C2799">
        <v>12</v>
      </c>
      <c r="D2799">
        <v>10</v>
      </c>
      <c r="E2799" t="s">
        <v>2745</v>
      </c>
    </row>
    <row r="2800" spans="1:5">
      <c r="A2800">
        <f>HYPERLINK("http://www.twitter.com/FDNY/status/726146427878039554", "726146427878039554")</f>
        <v>0</v>
      </c>
      <c r="B2800" s="2">
        <v>42489.8538657407</v>
      </c>
      <c r="C2800">
        <v>14</v>
      </c>
      <c r="D2800">
        <v>8</v>
      </c>
      <c r="E2800" t="s">
        <v>2746</v>
      </c>
    </row>
    <row r="2801" spans="1:5">
      <c r="A2801">
        <f>HYPERLINK("http://www.twitter.com/FDNY/status/726146119324041216", "726146119324041216")</f>
        <v>0</v>
      </c>
      <c r="B2801" s="2">
        <v>42489.8530092593</v>
      </c>
      <c r="C2801">
        <v>14</v>
      </c>
      <c r="D2801">
        <v>3</v>
      </c>
      <c r="E2801" t="s">
        <v>2747</v>
      </c>
    </row>
    <row r="2802" spans="1:5">
      <c r="A2802">
        <f>HYPERLINK("http://www.twitter.com/FDNY/status/726145910397362176", "726145910397362176")</f>
        <v>0</v>
      </c>
      <c r="B2802" s="2">
        <v>42489.8524305556</v>
      </c>
      <c r="C2802">
        <v>48</v>
      </c>
      <c r="D2802">
        <v>15</v>
      </c>
      <c r="E2802" t="s">
        <v>2748</v>
      </c>
    </row>
    <row r="2803" spans="1:5">
      <c r="A2803">
        <f>HYPERLINK("http://www.twitter.com/FDNY/status/726140575012020224", "726140575012020224")</f>
        <v>0</v>
      </c>
      <c r="B2803" s="2">
        <v>42489.8377083333</v>
      </c>
      <c r="C2803">
        <v>11</v>
      </c>
      <c r="D2803">
        <v>8</v>
      </c>
      <c r="E2803" t="s">
        <v>2749</v>
      </c>
    </row>
    <row r="2804" spans="1:5">
      <c r="A2804">
        <f>HYPERLINK("http://www.twitter.com/FDNY/status/726135232664051714", "726135232664051714")</f>
        <v>0</v>
      </c>
      <c r="B2804" s="2">
        <v>42489.822974537</v>
      </c>
      <c r="C2804">
        <v>0</v>
      </c>
      <c r="D2804">
        <v>2</v>
      </c>
      <c r="E2804" t="s">
        <v>2750</v>
      </c>
    </row>
    <row r="2805" spans="1:5">
      <c r="A2805">
        <f>HYPERLINK("http://www.twitter.com/FDNY/status/726135221981204480", "726135221981204480")</f>
        <v>0</v>
      </c>
      <c r="B2805" s="2">
        <v>42489.8229398148</v>
      </c>
      <c r="C2805">
        <v>0</v>
      </c>
      <c r="D2805">
        <v>5</v>
      </c>
      <c r="E2805" t="s">
        <v>2751</v>
      </c>
    </row>
    <row r="2806" spans="1:5">
      <c r="A2806">
        <f>HYPERLINK("http://www.twitter.com/FDNY/status/726132147870912513", "726132147870912513")</f>
        <v>0</v>
      </c>
      <c r="B2806" s="2">
        <v>42489.8144560185</v>
      </c>
      <c r="C2806">
        <v>14</v>
      </c>
      <c r="D2806">
        <v>8</v>
      </c>
      <c r="E2806" t="s">
        <v>2752</v>
      </c>
    </row>
    <row r="2807" spans="1:5">
      <c r="A2807">
        <f>HYPERLINK("http://www.twitter.com/FDNY/status/726115616004947969", "726115616004947969")</f>
        <v>0</v>
      </c>
      <c r="B2807" s="2">
        <v>42489.7688425926</v>
      </c>
      <c r="C2807">
        <v>19</v>
      </c>
      <c r="D2807">
        <v>9</v>
      </c>
      <c r="E2807" t="s">
        <v>2753</v>
      </c>
    </row>
    <row r="2808" spans="1:5">
      <c r="A2808">
        <f>HYPERLINK("http://www.twitter.com/FDNY/status/726114211840020480", "726114211840020480")</f>
        <v>0</v>
      </c>
      <c r="B2808" s="2">
        <v>42489.7649652778</v>
      </c>
      <c r="C2808">
        <v>30</v>
      </c>
      <c r="D2808">
        <v>7</v>
      </c>
      <c r="E2808" t="s">
        <v>2754</v>
      </c>
    </row>
    <row r="2809" spans="1:5">
      <c r="A2809">
        <f>HYPERLINK("http://www.twitter.com/FDNY/status/726073744490401794", "726073744490401794")</f>
        <v>0</v>
      </c>
      <c r="B2809" s="2">
        <v>42489.6532986111</v>
      </c>
      <c r="C2809">
        <v>41</v>
      </c>
      <c r="D2809">
        <v>12</v>
      </c>
      <c r="E2809" t="s">
        <v>2755</v>
      </c>
    </row>
    <row r="2810" spans="1:5">
      <c r="A2810">
        <f>HYPERLINK("http://www.twitter.com/FDNY/status/726072980934111236", "726072980934111236")</f>
        <v>0</v>
      </c>
      <c r="B2810" s="2">
        <v>42489.6511921296</v>
      </c>
      <c r="C2810">
        <v>34</v>
      </c>
      <c r="D2810">
        <v>11</v>
      </c>
      <c r="E2810" t="s">
        <v>2756</v>
      </c>
    </row>
    <row r="2811" spans="1:5">
      <c r="A2811">
        <f>HYPERLINK("http://www.twitter.com/FDNY/status/726070044644532224", "726070044644532224")</f>
        <v>0</v>
      </c>
      <c r="B2811" s="2">
        <v>42489.6430902778</v>
      </c>
      <c r="C2811">
        <v>21</v>
      </c>
      <c r="D2811">
        <v>7</v>
      </c>
      <c r="E2811" t="s">
        <v>2757</v>
      </c>
    </row>
    <row r="2812" spans="1:5">
      <c r="A2812">
        <f>HYPERLINK("http://www.twitter.com/FDNY/status/726069440232710144", "726069440232710144")</f>
        <v>0</v>
      </c>
      <c r="B2812" s="2">
        <v>42489.641412037</v>
      </c>
      <c r="C2812">
        <v>63</v>
      </c>
      <c r="D2812">
        <v>22</v>
      </c>
      <c r="E2812" t="s">
        <v>2758</v>
      </c>
    </row>
    <row r="2813" spans="1:5">
      <c r="A2813">
        <f>HYPERLINK("http://www.twitter.com/FDNY/status/726067856299929600", "726067856299929600")</f>
        <v>0</v>
      </c>
      <c r="B2813" s="2">
        <v>42489.6370486111</v>
      </c>
      <c r="C2813">
        <v>33</v>
      </c>
      <c r="D2813">
        <v>10</v>
      </c>
      <c r="E2813" t="s">
        <v>2759</v>
      </c>
    </row>
    <row r="2814" spans="1:5">
      <c r="A2814">
        <f>HYPERLINK("http://www.twitter.com/FDNY/status/726066568430555136", "726066568430555136")</f>
        <v>0</v>
      </c>
      <c r="B2814" s="2">
        <v>42489.6334953704</v>
      </c>
      <c r="C2814">
        <v>22</v>
      </c>
      <c r="D2814">
        <v>5</v>
      </c>
      <c r="E2814" t="s">
        <v>2760</v>
      </c>
    </row>
    <row r="2815" spans="1:5">
      <c r="A2815">
        <f>HYPERLINK("http://www.twitter.com/FDNY/status/726051078131867648", "726051078131867648")</f>
        <v>0</v>
      </c>
      <c r="B2815" s="2">
        <v>42489.5907523148</v>
      </c>
      <c r="C2815">
        <v>0</v>
      </c>
      <c r="D2815">
        <v>3</v>
      </c>
      <c r="E2815" t="s">
        <v>2761</v>
      </c>
    </row>
    <row r="2816" spans="1:5">
      <c r="A2816">
        <f>HYPERLINK("http://www.twitter.com/FDNY/status/725812023062355968", "725812023062355968")</f>
        <v>0</v>
      </c>
      <c r="B2816" s="2">
        <v>42488.9310763889</v>
      </c>
      <c r="C2816">
        <v>49</v>
      </c>
      <c r="D2816">
        <v>17</v>
      </c>
      <c r="E2816" t="s">
        <v>2762</v>
      </c>
    </row>
    <row r="2817" spans="1:5">
      <c r="A2817">
        <f>HYPERLINK("http://www.twitter.com/FDNY/status/725808077245698053", "725808077245698053")</f>
        <v>0</v>
      </c>
      <c r="B2817" s="2">
        <v>42488.9201967593</v>
      </c>
      <c r="C2817">
        <v>0</v>
      </c>
      <c r="D2817">
        <v>4</v>
      </c>
      <c r="E2817" t="s">
        <v>2763</v>
      </c>
    </row>
    <row r="2818" spans="1:5">
      <c r="A2818">
        <f>HYPERLINK("http://www.twitter.com/FDNY/status/725799958042042368", "725799958042042368")</f>
        <v>0</v>
      </c>
      <c r="B2818" s="2">
        <v>42488.8977893519</v>
      </c>
      <c r="C2818">
        <v>53</v>
      </c>
      <c r="D2818">
        <v>24</v>
      </c>
      <c r="E2818" t="s">
        <v>2764</v>
      </c>
    </row>
    <row r="2819" spans="1:5">
      <c r="A2819">
        <f>HYPERLINK("http://www.twitter.com/FDNY/status/725784168123224065", "725784168123224065")</f>
        <v>0</v>
      </c>
      <c r="B2819" s="2">
        <v>42488.854212963</v>
      </c>
      <c r="C2819">
        <v>36</v>
      </c>
      <c r="D2819">
        <v>15</v>
      </c>
      <c r="E2819" t="s">
        <v>2765</v>
      </c>
    </row>
    <row r="2820" spans="1:5">
      <c r="A2820">
        <f>HYPERLINK("http://www.twitter.com/FDNY/status/725780729930637312", "725780729930637312")</f>
        <v>0</v>
      </c>
      <c r="B2820" s="2">
        <v>42488.8447337963</v>
      </c>
      <c r="C2820">
        <v>25</v>
      </c>
      <c r="D2820">
        <v>10</v>
      </c>
      <c r="E2820" t="s">
        <v>2766</v>
      </c>
    </row>
    <row r="2821" spans="1:5">
      <c r="A2821">
        <f>HYPERLINK("http://www.twitter.com/FDNY/status/725780011890958336", "725780011890958336")</f>
        <v>0</v>
      </c>
      <c r="B2821" s="2">
        <v>42488.8427430556</v>
      </c>
      <c r="C2821">
        <v>59</v>
      </c>
      <c r="D2821">
        <v>26</v>
      </c>
      <c r="E2821" t="s">
        <v>2767</v>
      </c>
    </row>
    <row r="2822" spans="1:5">
      <c r="A2822">
        <f>HYPERLINK("http://www.twitter.com/FDNY/status/725776925206142980", "725776925206142980")</f>
        <v>0</v>
      </c>
      <c r="B2822" s="2">
        <v>42488.834224537</v>
      </c>
      <c r="C2822">
        <v>42</v>
      </c>
      <c r="D2822">
        <v>11</v>
      </c>
      <c r="E2822" t="s">
        <v>2768</v>
      </c>
    </row>
    <row r="2823" spans="1:5">
      <c r="A2823">
        <f>HYPERLINK("http://www.twitter.com/FDNY/status/725730734338641920", "725730734338641920")</f>
        <v>0</v>
      </c>
      <c r="B2823" s="2">
        <v>42488.7067708333</v>
      </c>
      <c r="C2823">
        <v>0</v>
      </c>
      <c r="D2823">
        <v>2</v>
      </c>
      <c r="E2823" t="s">
        <v>2769</v>
      </c>
    </row>
    <row r="2824" spans="1:5">
      <c r="A2824">
        <f>HYPERLINK("http://www.twitter.com/FDNY/status/725728252514435076", "725728252514435076")</f>
        <v>0</v>
      </c>
      <c r="B2824" s="2">
        <v>42488.6999189815</v>
      </c>
      <c r="C2824">
        <v>0</v>
      </c>
      <c r="D2824">
        <v>5</v>
      </c>
      <c r="E2824" t="s">
        <v>2770</v>
      </c>
    </row>
    <row r="2825" spans="1:5">
      <c r="A2825">
        <f>HYPERLINK("http://www.twitter.com/FDNY/status/725703978168770560", "725703978168770560")</f>
        <v>0</v>
      </c>
      <c r="B2825" s="2">
        <v>42488.6329282407</v>
      </c>
      <c r="C2825">
        <v>26</v>
      </c>
      <c r="D2825">
        <v>7</v>
      </c>
      <c r="E2825" t="s">
        <v>2771</v>
      </c>
    </row>
    <row r="2826" spans="1:5">
      <c r="A2826">
        <f>HYPERLINK("http://www.twitter.com/FDNY/status/725683445972766720", "725683445972766720")</f>
        <v>0</v>
      </c>
      <c r="B2826" s="2">
        <v>42488.5762731481</v>
      </c>
      <c r="C2826">
        <v>35</v>
      </c>
      <c r="D2826">
        <v>15</v>
      </c>
      <c r="E2826" t="s">
        <v>2772</v>
      </c>
    </row>
    <row r="2827" spans="1:5">
      <c r="A2827">
        <f>HYPERLINK("http://www.twitter.com/FDNY/status/725515176179585024", "725515176179585024")</f>
        <v>0</v>
      </c>
      <c r="B2827" s="2">
        <v>42488.1119444444</v>
      </c>
      <c r="C2827">
        <v>0</v>
      </c>
      <c r="D2827">
        <v>4</v>
      </c>
      <c r="E2827" t="s">
        <v>2773</v>
      </c>
    </row>
    <row r="2828" spans="1:5">
      <c r="A2828">
        <f>HYPERLINK("http://www.twitter.com/FDNY/status/725491107891666945", "725491107891666945")</f>
        <v>0</v>
      </c>
      <c r="B2828" s="2">
        <v>42488.0455208333</v>
      </c>
      <c r="C2828">
        <v>0</v>
      </c>
      <c r="D2828">
        <v>9</v>
      </c>
      <c r="E2828" t="s">
        <v>2774</v>
      </c>
    </row>
    <row r="2829" spans="1:5">
      <c r="A2829">
        <f>HYPERLINK("http://www.twitter.com/FDNY/status/725484798660202496", "725484798660202496")</f>
        <v>0</v>
      </c>
      <c r="B2829" s="2">
        <v>42488.0281134259</v>
      </c>
      <c r="C2829">
        <v>0</v>
      </c>
      <c r="D2829">
        <v>1</v>
      </c>
      <c r="E2829" t="s">
        <v>2775</v>
      </c>
    </row>
    <row r="2830" spans="1:5">
      <c r="A2830">
        <f>HYPERLINK("http://www.twitter.com/FDNY/status/725484781199331328", "725484781199331328")</f>
        <v>0</v>
      </c>
      <c r="B2830" s="2">
        <v>42488.0280671296</v>
      </c>
      <c r="C2830">
        <v>0</v>
      </c>
      <c r="D2830">
        <v>5</v>
      </c>
      <c r="E2830" t="s">
        <v>2776</v>
      </c>
    </row>
    <row r="2831" spans="1:5">
      <c r="A2831">
        <f>HYPERLINK("http://www.twitter.com/FDNY/status/725456405466087424", "725456405466087424")</f>
        <v>0</v>
      </c>
      <c r="B2831" s="2">
        <v>42487.9497685185</v>
      </c>
      <c r="C2831">
        <v>31</v>
      </c>
      <c r="D2831">
        <v>13</v>
      </c>
      <c r="E2831" t="s">
        <v>2777</v>
      </c>
    </row>
    <row r="2832" spans="1:5">
      <c r="A2832">
        <f>HYPERLINK("http://www.twitter.com/FDNY/status/725443240602796035", "725443240602796035")</f>
        <v>0</v>
      </c>
      <c r="B2832" s="2">
        <v>42487.9134375</v>
      </c>
      <c r="C2832">
        <v>29</v>
      </c>
      <c r="D2832">
        <v>12</v>
      </c>
      <c r="E2832" t="s">
        <v>2778</v>
      </c>
    </row>
    <row r="2833" spans="1:5">
      <c r="A2833">
        <f>HYPERLINK("http://www.twitter.com/FDNY/status/725442382502715401", "725442382502715401")</f>
        <v>0</v>
      </c>
      <c r="B2833" s="2">
        <v>42487.9110648148</v>
      </c>
      <c r="C2833">
        <v>0</v>
      </c>
      <c r="D2833">
        <v>131</v>
      </c>
      <c r="E2833" t="s">
        <v>2779</v>
      </c>
    </row>
    <row r="2834" spans="1:5">
      <c r="A2834">
        <f>HYPERLINK("http://www.twitter.com/FDNY/status/725437514178285569", "725437514178285569")</f>
        <v>0</v>
      </c>
      <c r="B2834" s="2">
        <v>42487.8976388889</v>
      </c>
      <c r="C2834">
        <v>27</v>
      </c>
      <c r="D2834">
        <v>13</v>
      </c>
      <c r="E2834" t="s">
        <v>2780</v>
      </c>
    </row>
    <row r="2835" spans="1:5">
      <c r="A2835">
        <f>HYPERLINK("http://www.twitter.com/FDNY/status/725437158572593153", "725437158572593153")</f>
        <v>0</v>
      </c>
      <c r="B2835" s="2">
        <v>42487.8966550926</v>
      </c>
      <c r="C2835">
        <v>0</v>
      </c>
      <c r="D2835">
        <v>40</v>
      </c>
      <c r="E2835" t="s">
        <v>2781</v>
      </c>
    </row>
    <row r="2836" spans="1:5">
      <c r="A2836">
        <f>HYPERLINK("http://www.twitter.com/FDNY/status/725404044060151809", "725404044060151809")</f>
        <v>0</v>
      </c>
      <c r="B2836" s="2">
        <v>42487.8052777778</v>
      </c>
      <c r="C2836">
        <v>0</v>
      </c>
      <c r="D2836">
        <v>13</v>
      </c>
      <c r="E2836" t="s">
        <v>2782</v>
      </c>
    </row>
    <row r="2837" spans="1:5">
      <c r="A2837">
        <f>HYPERLINK("http://www.twitter.com/FDNY/status/725404002960158721", "725404002960158721")</f>
        <v>0</v>
      </c>
      <c r="B2837" s="2">
        <v>42487.805162037</v>
      </c>
      <c r="C2837">
        <v>0</v>
      </c>
      <c r="D2837">
        <v>19</v>
      </c>
      <c r="E2837" t="s">
        <v>2783</v>
      </c>
    </row>
    <row r="2838" spans="1:5">
      <c r="A2838">
        <f>HYPERLINK("http://www.twitter.com/FDNY/status/725392698597847041", "725392698597847041")</f>
        <v>0</v>
      </c>
      <c r="B2838" s="2">
        <v>42487.7739699074</v>
      </c>
      <c r="C2838">
        <v>10</v>
      </c>
      <c r="D2838">
        <v>5</v>
      </c>
      <c r="E2838" t="s">
        <v>2784</v>
      </c>
    </row>
    <row r="2839" spans="1:5">
      <c r="A2839">
        <f>HYPERLINK("http://www.twitter.com/FDNY/status/725385663563071488", "725385663563071488")</f>
        <v>0</v>
      </c>
      <c r="B2839" s="2">
        <v>42487.7545486111</v>
      </c>
      <c r="C2839">
        <v>14</v>
      </c>
      <c r="D2839">
        <v>13</v>
      </c>
      <c r="E2839" t="s">
        <v>2785</v>
      </c>
    </row>
    <row r="2840" spans="1:5">
      <c r="A2840">
        <f>HYPERLINK("http://www.twitter.com/FDNY/status/725373781200478210", "725373781200478210")</f>
        <v>0</v>
      </c>
      <c r="B2840" s="2">
        <v>42487.7217592593</v>
      </c>
      <c r="C2840">
        <v>0</v>
      </c>
      <c r="D2840">
        <v>8</v>
      </c>
      <c r="E2840" t="s">
        <v>2786</v>
      </c>
    </row>
    <row r="2841" spans="1:5">
      <c r="A2841">
        <f>HYPERLINK("http://www.twitter.com/FDNY/status/725358264565817349", "725358264565817349")</f>
        <v>0</v>
      </c>
      <c r="B2841" s="2">
        <v>42487.6789467593</v>
      </c>
      <c r="C2841">
        <v>8</v>
      </c>
      <c r="D2841">
        <v>3</v>
      </c>
      <c r="E2841" t="s">
        <v>2787</v>
      </c>
    </row>
    <row r="2842" spans="1:5">
      <c r="A2842">
        <f>HYPERLINK("http://www.twitter.com/FDNY/status/725351540794466305", "725351540794466305")</f>
        <v>0</v>
      </c>
      <c r="B2842" s="2">
        <v>42487.6603935185</v>
      </c>
      <c r="C2842">
        <v>41</v>
      </c>
      <c r="D2842">
        <v>18</v>
      </c>
      <c r="E2842" t="s">
        <v>2788</v>
      </c>
    </row>
    <row r="2843" spans="1:5">
      <c r="A2843">
        <f>HYPERLINK("http://www.twitter.com/FDNY/status/725343123719766020", "725343123719766020")</f>
        <v>0</v>
      </c>
      <c r="B2843" s="2">
        <v>42487.6371643519</v>
      </c>
      <c r="C2843">
        <v>8</v>
      </c>
      <c r="D2843">
        <v>6</v>
      </c>
      <c r="E2843" t="s">
        <v>2789</v>
      </c>
    </row>
    <row r="2844" spans="1:5">
      <c r="A2844">
        <f>HYPERLINK("http://www.twitter.com/FDNY/status/725307614549164032", "725307614549164032")</f>
        <v>0</v>
      </c>
      <c r="B2844" s="2">
        <v>42487.5391782407</v>
      </c>
      <c r="C2844">
        <v>0</v>
      </c>
      <c r="D2844">
        <v>2</v>
      </c>
      <c r="E2844" t="s">
        <v>2790</v>
      </c>
    </row>
    <row r="2845" spans="1:5">
      <c r="A2845">
        <f>HYPERLINK("http://www.twitter.com/FDNY/status/725094418273996800", "725094418273996800")</f>
        <v>0</v>
      </c>
      <c r="B2845" s="2">
        <v>42486.9508680556</v>
      </c>
      <c r="C2845">
        <v>53</v>
      </c>
      <c r="D2845">
        <v>21</v>
      </c>
      <c r="E2845" t="s">
        <v>2791</v>
      </c>
    </row>
    <row r="2846" spans="1:5">
      <c r="A2846">
        <f>HYPERLINK("http://www.twitter.com/FDNY/status/725075104812650502", "725075104812650502")</f>
        <v>0</v>
      </c>
      <c r="B2846" s="2">
        <v>42486.8975694444</v>
      </c>
      <c r="C2846">
        <v>0</v>
      </c>
      <c r="D2846">
        <v>11</v>
      </c>
      <c r="E2846" t="s">
        <v>2792</v>
      </c>
    </row>
    <row r="2847" spans="1:5">
      <c r="A2847">
        <f>HYPERLINK("http://www.twitter.com/FDNY/status/725049566832267265", "725049566832267265")</f>
        <v>0</v>
      </c>
      <c r="B2847" s="2">
        <v>42486.8271064815</v>
      </c>
      <c r="C2847">
        <v>0</v>
      </c>
      <c r="D2847">
        <v>11</v>
      </c>
      <c r="E2847" t="s">
        <v>2793</v>
      </c>
    </row>
    <row r="2848" spans="1:5">
      <c r="A2848">
        <f>HYPERLINK("http://www.twitter.com/FDNY/status/725018784201904129", "725018784201904129")</f>
        <v>0</v>
      </c>
      <c r="B2848" s="2">
        <v>42486.7421643519</v>
      </c>
      <c r="C2848">
        <v>0</v>
      </c>
      <c r="D2848">
        <v>15</v>
      </c>
      <c r="E2848" t="s">
        <v>2794</v>
      </c>
    </row>
    <row r="2849" spans="1:5">
      <c r="A2849">
        <f>HYPERLINK("http://www.twitter.com/FDNY/status/725018546212868097", "725018546212868097")</f>
        <v>0</v>
      </c>
      <c r="B2849" s="2">
        <v>42486.7415046296</v>
      </c>
      <c r="C2849">
        <v>0</v>
      </c>
      <c r="D2849">
        <v>12</v>
      </c>
      <c r="E2849" t="s">
        <v>2795</v>
      </c>
    </row>
    <row r="2850" spans="1:5">
      <c r="A2850">
        <f>HYPERLINK("http://www.twitter.com/FDNY/status/724981121377812480", "724981121377812480")</f>
        <v>0</v>
      </c>
      <c r="B2850" s="2">
        <v>42486.6382291667</v>
      </c>
      <c r="C2850">
        <v>15</v>
      </c>
      <c r="D2850">
        <v>7</v>
      </c>
      <c r="E2850" t="s">
        <v>2796</v>
      </c>
    </row>
    <row r="2851" spans="1:5">
      <c r="A2851">
        <f>HYPERLINK("http://www.twitter.com/FDNY/status/724769419919036420", "724769419919036420")</f>
        <v>0</v>
      </c>
      <c r="B2851" s="2">
        <v>42486.0540393519</v>
      </c>
      <c r="C2851">
        <v>0</v>
      </c>
      <c r="D2851">
        <v>10</v>
      </c>
      <c r="E2851" t="s">
        <v>2797</v>
      </c>
    </row>
    <row r="2852" spans="1:5">
      <c r="A2852">
        <f>HYPERLINK("http://www.twitter.com/FDNY/status/724718512233656325", "724718512233656325")</f>
        <v>0</v>
      </c>
      <c r="B2852" s="2">
        <v>42485.9135648148</v>
      </c>
      <c r="C2852">
        <v>10</v>
      </c>
      <c r="D2852">
        <v>8</v>
      </c>
      <c r="E2852" t="s">
        <v>2798</v>
      </c>
    </row>
    <row r="2853" spans="1:5">
      <c r="A2853">
        <f>HYPERLINK("http://www.twitter.com/FDNY/status/724718264438427649", "724718264438427649")</f>
        <v>0</v>
      </c>
      <c r="B2853" s="2">
        <v>42485.9128819444</v>
      </c>
      <c r="C2853">
        <v>8</v>
      </c>
      <c r="D2853">
        <v>6</v>
      </c>
      <c r="E2853" t="s">
        <v>2799</v>
      </c>
    </row>
    <row r="2854" spans="1:5">
      <c r="A2854">
        <f>HYPERLINK("http://www.twitter.com/FDNY/status/724669868839194625", "724669868839194625")</f>
        <v>0</v>
      </c>
      <c r="B2854" s="2">
        <v>42485.7793402778</v>
      </c>
      <c r="C2854">
        <v>60</v>
      </c>
      <c r="D2854">
        <v>34</v>
      </c>
      <c r="E2854" t="s">
        <v>2800</v>
      </c>
    </row>
    <row r="2855" spans="1:5">
      <c r="A2855">
        <f>HYPERLINK("http://www.twitter.com/FDNY/status/724658758572511233", "724658758572511233")</f>
        <v>0</v>
      </c>
      <c r="B2855" s="2">
        <v>42485.7486805556</v>
      </c>
      <c r="C2855">
        <v>18</v>
      </c>
      <c r="D2855">
        <v>6</v>
      </c>
      <c r="E2855" t="s">
        <v>2801</v>
      </c>
    </row>
    <row r="2856" spans="1:5">
      <c r="A2856">
        <f>HYPERLINK("http://www.twitter.com/FDNY/status/724435393970626560", "724435393970626560")</f>
        <v>0</v>
      </c>
      <c r="B2856" s="2">
        <v>42485.1323032407</v>
      </c>
      <c r="C2856">
        <v>0</v>
      </c>
      <c r="D2856">
        <v>9</v>
      </c>
      <c r="E2856" t="s">
        <v>2802</v>
      </c>
    </row>
    <row r="2857" spans="1:5">
      <c r="A2857">
        <f>HYPERLINK("http://www.twitter.com/FDNY/status/724411121772466176", "724411121772466176")</f>
        <v>0</v>
      </c>
      <c r="B2857" s="2">
        <v>42485.0653240741</v>
      </c>
      <c r="C2857">
        <v>0</v>
      </c>
      <c r="D2857">
        <v>9</v>
      </c>
      <c r="E2857" t="s">
        <v>2803</v>
      </c>
    </row>
    <row r="2858" spans="1:5">
      <c r="A2858">
        <f>HYPERLINK("http://www.twitter.com/FDNY/status/724387012300673024", "724387012300673024")</f>
        <v>0</v>
      </c>
      <c r="B2858" s="2">
        <v>42484.9987962963</v>
      </c>
      <c r="C2858">
        <v>0</v>
      </c>
      <c r="D2858">
        <v>9</v>
      </c>
      <c r="E2858" t="s">
        <v>2804</v>
      </c>
    </row>
    <row r="2859" spans="1:5">
      <c r="A2859">
        <f>HYPERLINK("http://www.twitter.com/FDNY/status/724386831492648960", "724386831492648960")</f>
        <v>0</v>
      </c>
      <c r="B2859" s="2">
        <v>42484.9982986111</v>
      </c>
      <c r="C2859">
        <v>38</v>
      </c>
      <c r="D2859">
        <v>26</v>
      </c>
      <c r="E2859" t="s">
        <v>2805</v>
      </c>
    </row>
    <row r="2860" spans="1:5">
      <c r="A2860">
        <f>HYPERLINK("http://www.twitter.com/FDNY/status/724379975588188160", "724379975588188160")</f>
        <v>0</v>
      </c>
      <c r="B2860" s="2">
        <v>42484.9793865741</v>
      </c>
      <c r="C2860">
        <v>53</v>
      </c>
      <c r="D2860">
        <v>29</v>
      </c>
      <c r="E2860" t="s">
        <v>2806</v>
      </c>
    </row>
    <row r="2861" spans="1:5">
      <c r="A2861">
        <f>HYPERLINK("http://www.twitter.com/FDNY/status/724379407088029696", "724379407088029696")</f>
        <v>0</v>
      </c>
      <c r="B2861" s="2">
        <v>42484.9778125</v>
      </c>
      <c r="C2861">
        <v>34</v>
      </c>
      <c r="D2861">
        <v>25</v>
      </c>
      <c r="E2861" t="s">
        <v>2807</v>
      </c>
    </row>
    <row r="2862" spans="1:5">
      <c r="A2862">
        <f>HYPERLINK("http://www.twitter.com/FDNY/status/724377070525095936", "724377070525095936")</f>
        <v>0</v>
      </c>
      <c r="B2862" s="2">
        <v>42484.9713657407</v>
      </c>
      <c r="C2862">
        <v>0</v>
      </c>
      <c r="D2862">
        <v>8</v>
      </c>
      <c r="E2862" t="s">
        <v>2808</v>
      </c>
    </row>
    <row r="2863" spans="1:5">
      <c r="A2863">
        <f>HYPERLINK("http://www.twitter.com/FDNY/status/724371488128806912", "724371488128806912")</f>
        <v>0</v>
      </c>
      <c r="B2863" s="2">
        <v>42484.9559606481</v>
      </c>
      <c r="C2863">
        <v>0</v>
      </c>
      <c r="D2863">
        <v>9</v>
      </c>
      <c r="E2863" t="s">
        <v>2809</v>
      </c>
    </row>
    <row r="2864" spans="1:5">
      <c r="A2864">
        <f>HYPERLINK("http://www.twitter.com/FDNY/status/724319044116029440", "724319044116029440")</f>
        <v>0</v>
      </c>
      <c r="B2864" s="2">
        <v>42484.8112384259</v>
      </c>
      <c r="C2864">
        <v>129</v>
      </c>
      <c r="D2864">
        <v>53</v>
      </c>
      <c r="E2864" t="s">
        <v>2810</v>
      </c>
    </row>
    <row r="2865" spans="1:5">
      <c r="A2865">
        <f>HYPERLINK("http://www.twitter.com/FDNY/status/724285667136679938", "724285667136679938")</f>
        <v>0</v>
      </c>
      <c r="B2865" s="2">
        <v>42484.7191435185</v>
      </c>
      <c r="C2865">
        <v>0</v>
      </c>
      <c r="D2865">
        <v>39</v>
      </c>
      <c r="E2865" t="s">
        <v>2811</v>
      </c>
    </row>
    <row r="2866" spans="1:5">
      <c r="A2866">
        <f>HYPERLINK("http://www.twitter.com/FDNY/status/724039546724335618", "724039546724335618")</f>
        <v>0</v>
      </c>
      <c r="B2866" s="2">
        <v>42484.0399768519</v>
      </c>
      <c r="C2866">
        <v>0</v>
      </c>
      <c r="D2866">
        <v>10</v>
      </c>
      <c r="E2866" t="s">
        <v>2812</v>
      </c>
    </row>
    <row r="2867" spans="1:5">
      <c r="A2867">
        <f>HYPERLINK("http://www.twitter.com/FDNY/status/723978171830382592", "723978171830382592")</f>
        <v>0</v>
      </c>
      <c r="B2867" s="2">
        <v>42483.8706134259</v>
      </c>
      <c r="C2867">
        <v>12</v>
      </c>
      <c r="D2867">
        <v>8</v>
      </c>
      <c r="E2867" t="s">
        <v>2813</v>
      </c>
    </row>
    <row r="2868" spans="1:5">
      <c r="A2868">
        <f>HYPERLINK("http://www.twitter.com/FDNY/status/723956851927330816", "723956851927330816")</f>
        <v>0</v>
      </c>
      <c r="B2868" s="2">
        <v>42483.8117824074</v>
      </c>
      <c r="C2868">
        <v>36</v>
      </c>
      <c r="D2868">
        <v>17</v>
      </c>
      <c r="E2868" t="s">
        <v>2814</v>
      </c>
    </row>
    <row r="2869" spans="1:5">
      <c r="A2869">
        <f>HYPERLINK("http://www.twitter.com/FDNY/status/723943891842547714", "723943891842547714")</f>
        <v>0</v>
      </c>
      <c r="B2869" s="2">
        <v>42483.7760185185</v>
      </c>
      <c r="C2869">
        <v>147</v>
      </c>
      <c r="D2869">
        <v>75</v>
      </c>
      <c r="E2869" t="s">
        <v>2815</v>
      </c>
    </row>
    <row r="2870" spans="1:5">
      <c r="A2870">
        <f>HYPERLINK("http://www.twitter.com/FDNY/status/723941121747984384", "723941121747984384")</f>
        <v>0</v>
      </c>
      <c r="B2870" s="2">
        <v>42483.7683796296</v>
      </c>
      <c r="C2870">
        <v>0</v>
      </c>
      <c r="D2870">
        <v>3</v>
      </c>
      <c r="E2870" t="s">
        <v>2816</v>
      </c>
    </row>
    <row r="2871" spans="1:5">
      <c r="A2871">
        <f>HYPERLINK("http://www.twitter.com/FDNY/status/723937306722353152", "723937306722353152")</f>
        <v>0</v>
      </c>
      <c r="B2871" s="2">
        <v>42483.7578472222</v>
      </c>
      <c r="C2871">
        <v>30</v>
      </c>
      <c r="D2871">
        <v>12</v>
      </c>
      <c r="E2871" t="s">
        <v>2817</v>
      </c>
    </row>
    <row r="2872" spans="1:5">
      <c r="A2872">
        <f>HYPERLINK("http://www.twitter.com/FDNY/status/723936694127480832", "723936694127480832")</f>
        <v>0</v>
      </c>
      <c r="B2872" s="2">
        <v>42483.7561574074</v>
      </c>
      <c r="C2872">
        <v>31</v>
      </c>
      <c r="D2872">
        <v>13</v>
      </c>
      <c r="E2872" t="s">
        <v>2818</v>
      </c>
    </row>
    <row r="2873" spans="1:5">
      <c r="A2873">
        <f>HYPERLINK("http://www.twitter.com/FDNY/status/723933606549315584", "723933606549315584")</f>
        <v>0</v>
      </c>
      <c r="B2873" s="2">
        <v>42483.7476388889</v>
      </c>
      <c r="C2873">
        <v>30</v>
      </c>
      <c r="D2873">
        <v>14</v>
      </c>
      <c r="E2873" t="s">
        <v>2819</v>
      </c>
    </row>
    <row r="2874" spans="1:5">
      <c r="A2874">
        <f>HYPERLINK("http://www.twitter.com/FDNY/status/723924871789596673", "723924871789596673")</f>
        <v>0</v>
      </c>
      <c r="B2874" s="2">
        <v>42483.7235300926</v>
      </c>
      <c r="C2874">
        <v>30</v>
      </c>
      <c r="D2874">
        <v>13</v>
      </c>
      <c r="E2874" t="s">
        <v>2820</v>
      </c>
    </row>
    <row r="2875" spans="1:5">
      <c r="A2875">
        <f>HYPERLINK("http://www.twitter.com/FDNY/status/723919381349171201", "723919381349171201")</f>
        <v>0</v>
      </c>
      <c r="B2875" s="2">
        <v>42483.7083796296</v>
      </c>
      <c r="C2875">
        <v>33</v>
      </c>
      <c r="D2875">
        <v>12</v>
      </c>
      <c r="E2875" t="s">
        <v>2821</v>
      </c>
    </row>
    <row r="2876" spans="1:5">
      <c r="A2876">
        <f>HYPERLINK("http://www.twitter.com/FDNY/status/723869224507158528", "723869224507158528")</f>
        <v>0</v>
      </c>
      <c r="B2876" s="2">
        <v>42483.5699768519</v>
      </c>
      <c r="C2876">
        <v>66</v>
      </c>
      <c r="D2876">
        <v>36</v>
      </c>
      <c r="E2876" t="s">
        <v>2822</v>
      </c>
    </row>
    <row r="2877" spans="1:5">
      <c r="A2877">
        <f>HYPERLINK("http://www.twitter.com/FDNY/status/723675322781147136", "723675322781147136")</f>
        <v>0</v>
      </c>
      <c r="B2877" s="2">
        <v>42483.0349074074</v>
      </c>
      <c r="C2877">
        <v>0</v>
      </c>
      <c r="D2877">
        <v>5</v>
      </c>
      <c r="E2877" t="s">
        <v>2823</v>
      </c>
    </row>
    <row r="2878" spans="1:5">
      <c r="A2878">
        <f>HYPERLINK("http://www.twitter.com/FDNY/status/723675117973331969", "723675117973331969")</f>
        <v>0</v>
      </c>
      <c r="B2878" s="2">
        <v>42483.0343518518</v>
      </c>
      <c r="C2878">
        <v>0</v>
      </c>
      <c r="D2878">
        <v>9</v>
      </c>
      <c r="E2878" t="s">
        <v>2824</v>
      </c>
    </row>
    <row r="2879" spans="1:5">
      <c r="A2879">
        <f>HYPERLINK("http://www.twitter.com/FDNY/status/723653199824039936", "723653199824039936")</f>
        <v>0</v>
      </c>
      <c r="B2879" s="2">
        <v>42482.9738657407</v>
      </c>
      <c r="C2879">
        <v>0</v>
      </c>
      <c r="D2879">
        <v>7</v>
      </c>
      <c r="E2879" t="s">
        <v>2825</v>
      </c>
    </row>
    <row r="2880" spans="1:5">
      <c r="A2880">
        <f>HYPERLINK("http://www.twitter.com/FDNY/status/723629948905336832", "723629948905336832")</f>
        <v>0</v>
      </c>
      <c r="B2880" s="2">
        <v>42482.9096990741</v>
      </c>
      <c r="C2880">
        <v>0</v>
      </c>
      <c r="D2880">
        <v>2</v>
      </c>
      <c r="E2880" t="s">
        <v>2826</v>
      </c>
    </row>
    <row r="2881" spans="1:5">
      <c r="A2881">
        <f>HYPERLINK("http://www.twitter.com/FDNY/status/723614368475258880", "723614368475258880")</f>
        <v>0</v>
      </c>
      <c r="B2881" s="2">
        <v>42482.866712963</v>
      </c>
      <c r="C2881">
        <v>0</v>
      </c>
      <c r="D2881">
        <v>105</v>
      </c>
      <c r="E2881" t="s">
        <v>2827</v>
      </c>
    </row>
    <row r="2882" spans="1:5">
      <c r="A2882">
        <f>HYPERLINK("http://www.twitter.com/FDNY/status/723611488821370885", "723611488821370885")</f>
        <v>0</v>
      </c>
      <c r="B2882" s="2">
        <v>42482.8587615741</v>
      </c>
      <c r="C2882">
        <v>113</v>
      </c>
      <c r="D2882">
        <v>48</v>
      </c>
      <c r="E2882" t="s">
        <v>2828</v>
      </c>
    </row>
    <row r="2883" spans="1:5">
      <c r="A2883">
        <f>HYPERLINK("http://www.twitter.com/FDNY/status/723611205680672768", "723611205680672768")</f>
        <v>0</v>
      </c>
      <c r="B2883" s="2">
        <v>42482.8579861111</v>
      </c>
      <c r="C2883">
        <v>82</v>
      </c>
      <c r="D2883">
        <v>34</v>
      </c>
      <c r="E2883" t="s">
        <v>2829</v>
      </c>
    </row>
    <row r="2884" spans="1:5">
      <c r="A2884">
        <f>HYPERLINK("http://www.twitter.com/FDNY/status/723605149667713024", "723605149667713024")</f>
        <v>0</v>
      </c>
      <c r="B2884" s="2">
        <v>42482.8412731482</v>
      </c>
      <c r="C2884">
        <v>0</v>
      </c>
      <c r="D2884">
        <v>28</v>
      </c>
      <c r="E2884" t="s">
        <v>2830</v>
      </c>
    </row>
    <row r="2885" spans="1:5">
      <c r="A2885">
        <f>HYPERLINK("http://www.twitter.com/FDNY/status/723519258613964800", "723519258613964800")</f>
        <v>0</v>
      </c>
      <c r="B2885" s="2">
        <v>42482.6042592593</v>
      </c>
      <c r="C2885">
        <v>0</v>
      </c>
      <c r="D2885">
        <v>1</v>
      </c>
      <c r="E2885" t="s">
        <v>2831</v>
      </c>
    </row>
    <row r="2886" spans="1:5">
      <c r="A2886">
        <f>HYPERLINK("http://www.twitter.com/FDNY/status/723509395569684480", "723509395569684480")</f>
        <v>0</v>
      </c>
      <c r="B2886" s="2">
        <v>42482.577037037</v>
      </c>
      <c r="C2886">
        <v>27</v>
      </c>
      <c r="D2886">
        <v>9</v>
      </c>
      <c r="E2886" t="s">
        <v>2832</v>
      </c>
    </row>
    <row r="2887" spans="1:5">
      <c r="A2887">
        <f>HYPERLINK("http://www.twitter.com/FDNY/status/723507764622974976", "723507764622974976")</f>
        <v>0</v>
      </c>
      <c r="B2887" s="2">
        <v>42482.5725347222</v>
      </c>
      <c r="C2887">
        <v>5</v>
      </c>
      <c r="D2887">
        <v>4</v>
      </c>
      <c r="E2887" t="s">
        <v>2833</v>
      </c>
    </row>
    <row r="2888" spans="1:5">
      <c r="A2888">
        <f>HYPERLINK("http://www.twitter.com/FDNY/status/723505204134576129", "723505204134576129")</f>
        <v>0</v>
      </c>
      <c r="B2888" s="2">
        <v>42482.565474537</v>
      </c>
      <c r="C2888">
        <v>13</v>
      </c>
      <c r="D2888">
        <v>1</v>
      </c>
      <c r="E2888" t="s">
        <v>2834</v>
      </c>
    </row>
    <row r="2889" spans="1:5">
      <c r="A2889">
        <f>HYPERLINK("http://www.twitter.com/FDNY/status/723502287612731392", "723502287612731392")</f>
        <v>0</v>
      </c>
      <c r="B2889" s="2">
        <v>42482.5574305556</v>
      </c>
      <c r="C2889">
        <v>32</v>
      </c>
      <c r="D2889">
        <v>15</v>
      </c>
      <c r="E2889" t="s">
        <v>2835</v>
      </c>
    </row>
    <row r="2890" spans="1:5">
      <c r="A2890">
        <f>HYPERLINK("http://www.twitter.com/FDNY/status/723493993531756544", "723493993531756544")</f>
        <v>0</v>
      </c>
      <c r="B2890" s="2">
        <v>42482.534537037</v>
      </c>
      <c r="C2890">
        <v>0</v>
      </c>
      <c r="D2890">
        <v>7</v>
      </c>
      <c r="E2890" t="s">
        <v>2836</v>
      </c>
    </row>
    <row r="2891" spans="1:5">
      <c r="A2891">
        <f>HYPERLINK("http://www.twitter.com/FDNY/status/723493962942693376", "723493962942693376")</f>
        <v>0</v>
      </c>
      <c r="B2891" s="2">
        <v>42482.5344560185</v>
      </c>
      <c r="C2891">
        <v>0</v>
      </c>
      <c r="D2891">
        <v>3</v>
      </c>
      <c r="E2891" t="s">
        <v>2837</v>
      </c>
    </row>
    <row r="2892" spans="1:5">
      <c r="A2892">
        <f>HYPERLINK("http://www.twitter.com/FDNY/status/723486820605005824", "723486820605005824")</f>
        <v>0</v>
      </c>
      <c r="B2892" s="2">
        <v>42482.5147453704</v>
      </c>
      <c r="C2892">
        <v>0</v>
      </c>
      <c r="D2892">
        <v>35</v>
      </c>
      <c r="E2892" t="s">
        <v>2838</v>
      </c>
    </row>
    <row r="2893" spans="1:5">
      <c r="A2893">
        <f>HYPERLINK("http://www.twitter.com/FDNY/status/723486794218672128", "723486794218672128")</f>
        <v>0</v>
      </c>
      <c r="B2893" s="2">
        <v>42482.5146759259</v>
      </c>
      <c r="C2893">
        <v>0</v>
      </c>
      <c r="D2893">
        <v>35</v>
      </c>
      <c r="E2893" t="s">
        <v>2839</v>
      </c>
    </row>
    <row r="2894" spans="1:5">
      <c r="A2894">
        <f>HYPERLINK("http://www.twitter.com/FDNY/status/723486572117655553", "723486572117655553")</f>
        <v>0</v>
      </c>
      <c r="B2894" s="2">
        <v>42482.5140625</v>
      </c>
      <c r="C2894">
        <v>26</v>
      </c>
      <c r="D2894">
        <v>9</v>
      </c>
      <c r="E2894" t="s">
        <v>2840</v>
      </c>
    </row>
    <row r="2895" spans="1:5">
      <c r="A2895">
        <f>HYPERLINK("http://www.twitter.com/FDNY/status/723481909804830721", "723481909804830721")</f>
        <v>0</v>
      </c>
      <c r="B2895" s="2">
        <v>42482.5011921296</v>
      </c>
      <c r="C2895">
        <v>15</v>
      </c>
      <c r="D2895">
        <v>7</v>
      </c>
      <c r="E2895" t="s">
        <v>2841</v>
      </c>
    </row>
    <row r="2896" spans="1:5">
      <c r="A2896">
        <f>HYPERLINK("http://www.twitter.com/FDNY/status/723479821976776705", "723479821976776705")</f>
        <v>0</v>
      </c>
      <c r="B2896" s="2">
        <v>42482.4954282407</v>
      </c>
      <c r="C2896">
        <v>9</v>
      </c>
      <c r="D2896">
        <v>5</v>
      </c>
      <c r="E2896" t="s">
        <v>2842</v>
      </c>
    </row>
    <row r="2897" spans="1:5">
      <c r="A2897">
        <f>HYPERLINK("http://www.twitter.com/FDNY/status/723301029354283008", "723301029354283008")</f>
        <v>0</v>
      </c>
      <c r="B2897" s="2">
        <v>42482.0020601852</v>
      </c>
      <c r="C2897">
        <v>0</v>
      </c>
      <c r="D2897">
        <v>5</v>
      </c>
      <c r="E2897" t="s">
        <v>2843</v>
      </c>
    </row>
    <row r="2898" spans="1:5">
      <c r="A2898">
        <f>HYPERLINK("http://www.twitter.com/FDNY/status/723218820572307458", "723218820572307458")</f>
        <v>0</v>
      </c>
      <c r="B2898" s="2">
        <v>42481.7752083333</v>
      </c>
      <c r="C2898">
        <v>5</v>
      </c>
      <c r="D2898">
        <v>6</v>
      </c>
      <c r="E2898" t="s">
        <v>2844</v>
      </c>
    </row>
    <row r="2899" spans="1:5">
      <c r="A2899">
        <f>HYPERLINK("http://www.twitter.com/FDNY/status/723159204861636609", "723159204861636609")</f>
        <v>0</v>
      </c>
      <c r="B2899" s="2">
        <v>42481.6106944444</v>
      </c>
      <c r="C2899">
        <v>20</v>
      </c>
      <c r="D2899">
        <v>11</v>
      </c>
      <c r="E2899" t="s">
        <v>2845</v>
      </c>
    </row>
    <row r="2900" spans="1:5">
      <c r="A2900">
        <f>HYPERLINK("http://www.twitter.com/FDNY/status/723149700333973505", "723149700333973505")</f>
        <v>0</v>
      </c>
      <c r="B2900" s="2">
        <v>42481.5844675926</v>
      </c>
      <c r="C2900">
        <v>22</v>
      </c>
      <c r="D2900">
        <v>14</v>
      </c>
      <c r="E2900" t="s">
        <v>2846</v>
      </c>
    </row>
    <row r="2901" spans="1:5">
      <c r="A2901">
        <f>HYPERLINK("http://www.twitter.com/FDNY/status/722881042454065152", "722881042454065152")</f>
        <v>0</v>
      </c>
      <c r="B2901" s="2">
        <v>42480.8431134259</v>
      </c>
      <c r="C2901">
        <v>12</v>
      </c>
      <c r="D2901">
        <v>7</v>
      </c>
      <c r="E2901" t="s">
        <v>2847</v>
      </c>
    </row>
    <row r="2902" spans="1:5">
      <c r="A2902">
        <f>HYPERLINK("http://www.twitter.com/FDNY/status/722880777638322176", "722880777638322176")</f>
        <v>0</v>
      </c>
      <c r="B2902" s="2">
        <v>42480.8423842593</v>
      </c>
      <c r="C2902">
        <v>13</v>
      </c>
      <c r="D2902">
        <v>11</v>
      </c>
      <c r="E2902" t="s">
        <v>2848</v>
      </c>
    </row>
    <row r="2903" spans="1:5">
      <c r="A2903">
        <f>HYPERLINK("http://www.twitter.com/FDNY/status/722843321618472961", "722843321618472961")</f>
        <v>0</v>
      </c>
      <c r="B2903" s="2">
        <v>42480.7390277778</v>
      </c>
      <c r="C2903">
        <v>0</v>
      </c>
      <c r="D2903">
        <v>3</v>
      </c>
      <c r="E2903" t="s">
        <v>2849</v>
      </c>
    </row>
    <row r="2904" spans="1:5">
      <c r="A2904">
        <f>HYPERLINK("http://www.twitter.com/FDNY/status/722823470363578372", "722823470363578372")</f>
        <v>0</v>
      </c>
      <c r="B2904" s="2">
        <v>42480.6842476852</v>
      </c>
      <c r="C2904">
        <v>0</v>
      </c>
      <c r="D2904">
        <v>5</v>
      </c>
      <c r="E2904" t="s">
        <v>2850</v>
      </c>
    </row>
    <row r="2905" spans="1:5">
      <c r="A2905">
        <f>HYPERLINK("http://www.twitter.com/FDNY/status/722818166477303809", "722818166477303809")</f>
        <v>0</v>
      </c>
      <c r="B2905" s="2">
        <v>42480.6696064815</v>
      </c>
      <c r="C2905">
        <v>0</v>
      </c>
      <c r="D2905">
        <v>4</v>
      </c>
      <c r="E2905" t="s">
        <v>2851</v>
      </c>
    </row>
    <row r="2906" spans="1:5">
      <c r="A2906">
        <f>HYPERLINK("http://www.twitter.com/FDNY/status/722806812249059329", "722806812249059329")</f>
        <v>0</v>
      </c>
      <c r="B2906" s="2">
        <v>42480.638275463</v>
      </c>
      <c r="C2906">
        <v>50</v>
      </c>
      <c r="D2906">
        <v>29</v>
      </c>
      <c r="E2906" t="s">
        <v>2852</v>
      </c>
    </row>
    <row r="2907" spans="1:5">
      <c r="A2907">
        <f>HYPERLINK("http://www.twitter.com/FDNY/status/722619117786816512", "722619117786816512")</f>
        <v>0</v>
      </c>
      <c r="B2907" s="2">
        <v>42480.1203356481</v>
      </c>
      <c r="C2907">
        <v>0</v>
      </c>
      <c r="D2907">
        <v>2</v>
      </c>
      <c r="E2907" t="s">
        <v>2853</v>
      </c>
    </row>
    <row r="2908" spans="1:5">
      <c r="A2908">
        <f>HYPERLINK("http://www.twitter.com/FDNY/status/722616532174520320", "722616532174520320")</f>
        <v>0</v>
      </c>
      <c r="B2908" s="2">
        <v>42480.1132060185</v>
      </c>
      <c r="C2908">
        <v>0</v>
      </c>
      <c r="D2908">
        <v>12</v>
      </c>
      <c r="E2908" t="s">
        <v>2854</v>
      </c>
    </row>
    <row r="2909" spans="1:5">
      <c r="A2909">
        <f>HYPERLINK("http://www.twitter.com/FDNY/status/722616436741554176", "722616436741554176")</f>
        <v>0</v>
      </c>
      <c r="B2909" s="2">
        <v>42480.1129398148</v>
      </c>
      <c r="C2909">
        <v>25</v>
      </c>
      <c r="D2909">
        <v>16</v>
      </c>
      <c r="E2909" t="s">
        <v>2855</v>
      </c>
    </row>
    <row r="2910" spans="1:5">
      <c r="A2910">
        <f>HYPERLINK("http://www.twitter.com/FDNY/status/722560216131379201", "722560216131379201")</f>
        <v>0</v>
      </c>
      <c r="B2910" s="2">
        <v>42479.9578009259</v>
      </c>
      <c r="C2910">
        <v>0</v>
      </c>
      <c r="D2910">
        <v>4</v>
      </c>
      <c r="E2910" t="s">
        <v>2856</v>
      </c>
    </row>
    <row r="2911" spans="1:5">
      <c r="A2911">
        <f>HYPERLINK("http://www.twitter.com/FDNY/status/722535199096094721", "722535199096094721")</f>
        <v>0</v>
      </c>
      <c r="B2911" s="2">
        <v>42479.8887731481</v>
      </c>
      <c r="C2911">
        <v>33</v>
      </c>
      <c r="D2911">
        <v>11</v>
      </c>
      <c r="E2911" t="s">
        <v>2857</v>
      </c>
    </row>
    <row r="2912" spans="1:5">
      <c r="A2912">
        <f>HYPERLINK("http://www.twitter.com/FDNY/status/722533777369624576", "722533777369624576")</f>
        <v>0</v>
      </c>
      <c r="B2912" s="2">
        <v>42479.884849537</v>
      </c>
      <c r="C2912">
        <v>7</v>
      </c>
      <c r="D2912">
        <v>4</v>
      </c>
      <c r="E2912" t="s">
        <v>2858</v>
      </c>
    </row>
    <row r="2913" spans="1:5">
      <c r="A2913">
        <f>HYPERLINK("http://www.twitter.com/FDNY/status/722509470711083008", "722509470711083008")</f>
        <v>0</v>
      </c>
      <c r="B2913" s="2">
        <v>42479.8177777778</v>
      </c>
      <c r="C2913">
        <v>11</v>
      </c>
      <c r="D2913">
        <v>16</v>
      </c>
      <c r="E2913" t="s">
        <v>939</v>
      </c>
    </row>
    <row r="2914" spans="1:5">
      <c r="A2914">
        <f>HYPERLINK("http://www.twitter.com/FDNY/status/722508551550275584", "722508551550275584")</f>
        <v>0</v>
      </c>
      <c r="B2914" s="2">
        <v>42479.8152314815</v>
      </c>
      <c r="C2914">
        <v>0</v>
      </c>
      <c r="D2914">
        <v>4</v>
      </c>
      <c r="E2914" t="s">
        <v>2859</v>
      </c>
    </row>
    <row r="2915" spans="1:5">
      <c r="A2915">
        <f>HYPERLINK("http://www.twitter.com/FDNY/status/722478421977276416", "722478421977276416")</f>
        <v>0</v>
      </c>
      <c r="B2915" s="2">
        <v>42479.7320949074</v>
      </c>
      <c r="C2915">
        <v>18</v>
      </c>
      <c r="D2915">
        <v>12</v>
      </c>
      <c r="E2915" t="s">
        <v>2860</v>
      </c>
    </row>
    <row r="2916" spans="1:5">
      <c r="A2916">
        <f>HYPERLINK("http://www.twitter.com/FDNY/status/722475614846980096", "722475614846980096")</f>
        <v>0</v>
      </c>
      <c r="B2916" s="2">
        <v>42479.7243518519</v>
      </c>
      <c r="C2916">
        <v>0</v>
      </c>
      <c r="D2916">
        <v>5</v>
      </c>
      <c r="E2916" t="s">
        <v>2861</v>
      </c>
    </row>
    <row r="2917" spans="1:5">
      <c r="A2917">
        <f>HYPERLINK("http://www.twitter.com/FDNY/status/722457619286376453", "722457619286376453")</f>
        <v>0</v>
      </c>
      <c r="B2917" s="2">
        <v>42479.6746875</v>
      </c>
      <c r="C2917">
        <v>4</v>
      </c>
      <c r="D2917">
        <v>6</v>
      </c>
      <c r="E2917" t="s">
        <v>2862</v>
      </c>
    </row>
    <row r="2918" spans="1:5">
      <c r="A2918">
        <f>HYPERLINK("http://www.twitter.com/FDNY/status/722451325053743104", "722451325053743104")</f>
        <v>0</v>
      </c>
      <c r="B2918" s="2">
        <v>42479.6573263889</v>
      </c>
      <c r="C2918">
        <v>8</v>
      </c>
      <c r="D2918">
        <v>5</v>
      </c>
      <c r="E2918" t="s">
        <v>2863</v>
      </c>
    </row>
    <row r="2919" spans="1:5">
      <c r="A2919">
        <f>HYPERLINK("http://www.twitter.com/FDNY/status/722451144220491776", "722451144220491776")</f>
        <v>0</v>
      </c>
      <c r="B2919" s="2">
        <v>42479.6568171296</v>
      </c>
      <c r="C2919">
        <v>12</v>
      </c>
      <c r="D2919">
        <v>7</v>
      </c>
      <c r="E2919" t="s">
        <v>2864</v>
      </c>
    </row>
    <row r="2920" spans="1:5">
      <c r="A2920">
        <f>HYPERLINK("http://www.twitter.com/FDNY/status/722255935880749057", "722255935880749057")</f>
        <v>0</v>
      </c>
      <c r="B2920" s="2">
        <v>42479.1181481481</v>
      </c>
      <c r="C2920">
        <v>0</v>
      </c>
      <c r="D2920">
        <v>4</v>
      </c>
      <c r="E2920" t="s">
        <v>2865</v>
      </c>
    </row>
    <row r="2921" spans="1:5">
      <c r="A2921">
        <f>HYPERLINK("http://www.twitter.com/FDNY/status/722243690782203904", "722243690782203904")</f>
        <v>0</v>
      </c>
      <c r="B2921" s="2">
        <v>42479.0843634259</v>
      </c>
      <c r="C2921">
        <v>0</v>
      </c>
      <c r="D2921">
        <v>6</v>
      </c>
      <c r="E2921" t="s">
        <v>2866</v>
      </c>
    </row>
    <row r="2922" spans="1:5">
      <c r="A2922">
        <f>HYPERLINK("http://www.twitter.com/FDNY/status/722221146758914049", "722221146758914049")</f>
        <v>0</v>
      </c>
      <c r="B2922" s="2">
        <v>42479.0221527778</v>
      </c>
      <c r="C2922">
        <v>0</v>
      </c>
      <c r="D2922">
        <v>11</v>
      </c>
      <c r="E2922" t="s">
        <v>2867</v>
      </c>
    </row>
    <row r="2923" spans="1:5">
      <c r="A2923">
        <f>HYPERLINK("http://www.twitter.com/FDNY/status/722216823131922432", "722216823131922432")</f>
        <v>0</v>
      </c>
      <c r="B2923" s="2">
        <v>42479.0102199074</v>
      </c>
      <c r="C2923">
        <v>0</v>
      </c>
      <c r="D2923">
        <v>6</v>
      </c>
      <c r="E2923" t="s">
        <v>2868</v>
      </c>
    </row>
    <row r="2924" spans="1:5">
      <c r="A2924">
        <f>HYPERLINK("http://www.twitter.com/FDNY/status/722205717055332354", "722205717055332354")</f>
        <v>0</v>
      </c>
      <c r="B2924" s="2">
        <v>42478.9795717593</v>
      </c>
      <c r="C2924">
        <v>47</v>
      </c>
      <c r="D2924">
        <v>15</v>
      </c>
      <c r="E2924" t="s">
        <v>2869</v>
      </c>
    </row>
    <row r="2925" spans="1:5">
      <c r="A2925">
        <f>HYPERLINK("http://www.twitter.com/FDNY/status/722179712240455681", "722179712240455681")</f>
        <v>0</v>
      </c>
      <c r="B2925" s="2">
        <v>42478.9078125</v>
      </c>
      <c r="C2925">
        <v>21</v>
      </c>
      <c r="D2925">
        <v>6</v>
      </c>
      <c r="E2925" t="s">
        <v>2870</v>
      </c>
    </row>
    <row r="2926" spans="1:5">
      <c r="A2926">
        <f>HYPERLINK("http://www.twitter.com/FDNY/status/722178919496032256", "722178919496032256")</f>
        <v>0</v>
      </c>
      <c r="B2926" s="2">
        <v>42478.905625</v>
      </c>
      <c r="C2926">
        <v>47</v>
      </c>
      <c r="D2926">
        <v>29</v>
      </c>
      <c r="E2926" t="s">
        <v>2871</v>
      </c>
    </row>
    <row r="2927" spans="1:5">
      <c r="A2927">
        <f>HYPERLINK("http://www.twitter.com/FDNY/status/722177737507651584", "722177737507651584")</f>
        <v>0</v>
      </c>
      <c r="B2927" s="2">
        <v>42478.9023611111</v>
      </c>
      <c r="C2927">
        <v>0</v>
      </c>
      <c r="D2927">
        <v>11</v>
      </c>
      <c r="E2927" t="s">
        <v>2872</v>
      </c>
    </row>
    <row r="2928" spans="1:5">
      <c r="A2928">
        <f>HYPERLINK("http://www.twitter.com/FDNY/status/722149736757739520", "722149736757739520")</f>
        <v>0</v>
      </c>
      <c r="B2928" s="2">
        <v>42478.8250925926</v>
      </c>
      <c r="C2928">
        <v>0</v>
      </c>
      <c r="D2928">
        <v>17</v>
      </c>
      <c r="E2928" t="s">
        <v>2873</v>
      </c>
    </row>
    <row r="2929" spans="1:5">
      <c r="A2929">
        <f>HYPERLINK("http://www.twitter.com/FDNY/status/722149685822103552", "722149685822103552")</f>
        <v>0</v>
      </c>
      <c r="B2929" s="2">
        <v>42478.8249537037</v>
      </c>
      <c r="C2929">
        <v>0</v>
      </c>
      <c r="D2929">
        <v>10</v>
      </c>
      <c r="E2929" t="s">
        <v>2874</v>
      </c>
    </row>
    <row r="2930" spans="1:5">
      <c r="A2930">
        <f>HYPERLINK("http://www.twitter.com/FDNY/status/722129922320416769", "722129922320416769")</f>
        <v>0</v>
      </c>
      <c r="B2930" s="2">
        <v>42478.7704166667</v>
      </c>
      <c r="C2930">
        <v>79</v>
      </c>
      <c r="D2930">
        <v>33</v>
      </c>
      <c r="E2930" t="s">
        <v>2875</v>
      </c>
    </row>
    <row r="2931" spans="1:5">
      <c r="A2931">
        <f>HYPERLINK("http://www.twitter.com/FDNY/status/722118267213594625", "722118267213594625")</f>
        <v>0</v>
      </c>
      <c r="B2931" s="2">
        <v>42478.7382523148</v>
      </c>
      <c r="C2931">
        <v>0</v>
      </c>
      <c r="D2931">
        <v>10</v>
      </c>
      <c r="E2931" t="s">
        <v>2876</v>
      </c>
    </row>
    <row r="2932" spans="1:5">
      <c r="A2932">
        <f>HYPERLINK("http://www.twitter.com/FDNY/status/722115147783925760", "722115147783925760")</f>
        <v>0</v>
      </c>
      <c r="B2932" s="2">
        <v>42478.7296527778</v>
      </c>
      <c r="C2932">
        <v>0</v>
      </c>
      <c r="D2932">
        <v>13</v>
      </c>
      <c r="E2932" t="s">
        <v>2877</v>
      </c>
    </row>
    <row r="2933" spans="1:5">
      <c r="A2933">
        <f>HYPERLINK("http://www.twitter.com/FDNY/status/722107961104080897", "722107961104080897")</f>
        <v>0</v>
      </c>
      <c r="B2933" s="2">
        <v>42478.7098148148</v>
      </c>
      <c r="C2933">
        <v>60</v>
      </c>
      <c r="D2933">
        <v>31</v>
      </c>
      <c r="E2933" t="s">
        <v>2878</v>
      </c>
    </row>
    <row r="2934" spans="1:5">
      <c r="A2934">
        <f>HYPERLINK("http://www.twitter.com/FDNY/status/722089730733699072", "722089730733699072")</f>
        <v>0</v>
      </c>
      <c r="B2934" s="2">
        <v>42478.6595138889</v>
      </c>
      <c r="C2934">
        <v>0</v>
      </c>
      <c r="D2934">
        <v>5</v>
      </c>
      <c r="E2934" t="s">
        <v>2879</v>
      </c>
    </row>
    <row r="2935" spans="1:5">
      <c r="A2935">
        <f>HYPERLINK("http://www.twitter.com/FDNY/status/722084235037814785", "722084235037814785")</f>
        <v>0</v>
      </c>
      <c r="B2935" s="2">
        <v>42478.6443402778</v>
      </c>
      <c r="C2935">
        <v>33</v>
      </c>
      <c r="D2935">
        <v>15</v>
      </c>
      <c r="E2935" t="s">
        <v>2880</v>
      </c>
    </row>
    <row r="2936" spans="1:5">
      <c r="A2936">
        <f>HYPERLINK("http://www.twitter.com/FDNY/status/722075829388357632", "722075829388357632")</f>
        <v>0</v>
      </c>
      <c r="B2936" s="2">
        <v>42478.6211458333</v>
      </c>
      <c r="C2936">
        <v>0</v>
      </c>
      <c r="D2936">
        <v>4</v>
      </c>
      <c r="E2936" t="s">
        <v>2881</v>
      </c>
    </row>
    <row r="2937" spans="1:5">
      <c r="A2937">
        <f>HYPERLINK("http://www.twitter.com/FDNY/status/722073126717243392", "722073126717243392")</f>
        <v>0</v>
      </c>
      <c r="B2937" s="2">
        <v>42478.6136921296</v>
      </c>
      <c r="C2937">
        <v>0</v>
      </c>
      <c r="D2937">
        <v>8</v>
      </c>
      <c r="E2937" t="s">
        <v>2882</v>
      </c>
    </row>
    <row r="2938" spans="1:5">
      <c r="A2938">
        <f>HYPERLINK("http://www.twitter.com/FDNY/status/722066500937465856", "722066500937465856")</f>
        <v>0</v>
      </c>
      <c r="B2938" s="2">
        <v>42478.5954050926</v>
      </c>
      <c r="C2938">
        <v>0</v>
      </c>
      <c r="D2938">
        <v>3</v>
      </c>
      <c r="E2938" t="s">
        <v>2883</v>
      </c>
    </row>
    <row r="2939" spans="1:5">
      <c r="A2939">
        <f>HYPERLINK("http://www.twitter.com/FDNY/status/721904850078982144", "721904850078982144")</f>
        <v>0</v>
      </c>
      <c r="B2939" s="2">
        <v>42478.1493402778</v>
      </c>
      <c r="C2939">
        <v>0</v>
      </c>
      <c r="D2939">
        <v>5</v>
      </c>
      <c r="E2939" t="s">
        <v>2884</v>
      </c>
    </row>
    <row r="2940" spans="1:5">
      <c r="A2940">
        <f>HYPERLINK("http://www.twitter.com/FDNY/status/721837723137482754", "721837723137482754")</f>
        <v>0</v>
      </c>
      <c r="B2940" s="2">
        <v>42477.9640972222</v>
      </c>
      <c r="C2940">
        <v>0</v>
      </c>
      <c r="D2940">
        <v>4</v>
      </c>
      <c r="E2940" t="s">
        <v>2885</v>
      </c>
    </row>
    <row r="2941" spans="1:5">
      <c r="A2941">
        <f>HYPERLINK("http://www.twitter.com/FDNY/status/721750207638204418", "721750207638204418")</f>
        <v>0</v>
      </c>
      <c r="B2941" s="2">
        <v>42477.7226041667</v>
      </c>
      <c r="C2941">
        <v>21</v>
      </c>
      <c r="D2941">
        <v>11</v>
      </c>
      <c r="E2941" t="s">
        <v>2886</v>
      </c>
    </row>
    <row r="2942" spans="1:5">
      <c r="A2942">
        <f>HYPERLINK("http://www.twitter.com/FDNY/status/721522623239294976", "721522623239294976")</f>
        <v>0</v>
      </c>
      <c r="B2942" s="2">
        <v>42477.0945949074</v>
      </c>
      <c r="C2942">
        <v>83</v>
      </c>
      <c r="D2942">
        <v>31</v>
      </c>
      <c r="E2942" t="s">
        <v>2887</v>
      </c>
    </row>
    <row r="2943" spans="1:5">
      <c r="A2943">
        <f>HYPERLINK("http://www.twitter.com/FDNY/status/721427901703434240", "721427901703434240")</f>
        <v>0</v>
      </c>
      <c r="B2943" s="2">
        <v>42476.8332060185</v>
      </c>
      <c r="C2943">
        <v>0</v>
      </c>
      <c r="D2943">
        <v>6</v>
      </c>
      <c r="E2943" t="s">
        <v>2888</v>
      </c>
    </row>
    <row r="2944" spans="1:5">
      <c r="A2944">
        <f>HYPERLINK("http://www.twitter.com/FDNY/status/721417039655616512", "721417039655616512")</f>
        <v>0</v>
      </c>
      <c r="B2944" s="2">
        <v>42476.8032407407</v>
      </c>
      <c r="C2944">
        <v>0</v>
      </c>
      <c r="D2944">
        <v>6</v>
      </c>
      <c r="E2944" t="s">
        <v>2889</v>
      </c>
    </row>
    <row r="2945" spans="1:5">
      <c r="A2945">
        <f>HYPERLINK("http://www.twitter.com/FDNY/status/721385967702188032", "721385967702188032")</f>
        <v>0</v>
      </c>
      <c r="B2945" s="2">
        <v>42476.7175</v>
      </c>
      <c r="C2945">
        <v>0</v>
      </c>
      <c r="D2945">
        <v>4</v>
      </c>
      <c r="E2945" t="s">
        <v>2890</v>
      </c>
    </row>
    <row r="2946" spans="1:5">
      <c r="A2946">
        <f>HYPERLINK("http://www.twitter.com/FDNY/status/721385852706930688", "721385852706930688")</f>
        <v>0</v>
      </c>
      <c r="B2946" s="2">
        <v>42476.7171759259</v>
      </c>
      <c r="C2946">
        <v>0</v>
      </c>
      <c r="D2946">
        <v>11</v>
      </c>
      <c r="E2946" t="s">
        <v>2891</v>
      </c>
    </row>
    <row r="2947" spans="1:5">
      <c r="A2947">
        <f>HYPERLINK("http://www.twitter.com/FDNY/status/721341416249692160", "721341416249692160")</f>
        <v>0</v>
      </c>
      <c r="B2947" s="2">
        <v>42476.5945601852</v>
      </c>
      <c r="C2947">
        <v>22</v>
      </c>
      <c r="D2947">
        <v>13</v>
      </c>
      <c r="E2947" t="s">
        <v>2892</v>
      </c>
    </row>
    <row r="2948" spans="1:5">
      <c r="A2948">
        <f>HYPERLINK("http://www.twitter.com/FDNY/status/721165985303171072", "721165985303171072")</f>
        <v>0</v>
      </c>
      <c r="B2948" s="2">
        <v>42476.110462963</v>
      </c>
      <c r="C2948">
        <v>10</v>
      </c>
      <c r="D2948">
        <v>4</v>
      </c>
      <c r="E2948" t="s">
        <v>2893</v>
      </c>
    </row>
    <row r="2949" spans="1:5">
      <c r="A2949">
        <f>HYPERLINK("http://www.twitter.com/FDNY/status/721143238418153473", "721143238418153473")</f>
        <v>0</v>
      </c>
      <c r="B2949" s="2">
        <v>42476.0476851852</v>
      </c>
      <c r="C2949">
        <v>0</v>
      </c>
      <c r="D2949">
        <v>4</v>
      </c>
      <c r="E2949" t="s">
        <v>2894</v>
      </c>
    </row>
    <row r="2950" spans="1:5">
      <c r="A2950">
        <f>HYPERLINK("http://www.twitter.com/FDNY/status/721134931083161600", "721134931083161600")</f>
        <v>0</v>
      </c>
      <c r="B2950" s="2">
        <v>42476.0247685185</v>
      </c>
      <c r="C2950">
        <v>0</v>
      </c>
      <c r="D2950">
        <v>14</v>
      </c>
      <c r="E2950" t="s">
        <v>2895</v>
      </c>
    </row>
    <row r="2951" spans="1:5">
      <c r="A2951">
        <f>HYPERLINK("http://www.twitter.com/FDNY/status/721094595266928642", "721094595266928642")</f>
        <v>0</v>
      </c>
      <c r="B2951" s="2">
        <v>42475.9134606481</v>
      </c>
      <c r="C2951">
        <v>6</v>
      </c>
      <c r="D2951">
        <v>6</v>
      </c>
      <c r="E2951" t="s">
        <v>2896</v>
      </c>
    </row>
    <row r="2952" spans="1:5">
      <c r="A2952">
        <f>HYPERLINK("http://www.twitter.com/FDNY/status/721048605646315520", "721048605646315520")</f>
        <v>0</v>
      </c>
      <c r="B2952" s="2">
        <v>42475.7865509259</v>
      </c>
      <c r="C2952">
        <v>14</v>
      </c>
      <c r="D2952">
        <v>12</v>
      </c>
      <c r="E2952" t="s">
        <v>2897</v>
      </c>
    </row>
    <row r="2953" spans="1:5">
      <c r="A2953">
        <f>HYPERLINK("http://www.twitter.com/FDNY/status/721035421799596032", "721035421799596032")</f>
        <v>0</v>
      </c>
      <c r="B2953" s="2">
        <v>42475.7501736111</v>
      </c>
      <c r="C2953">
        <v>0</v>
      </c>
      <c r="D2953">
        <v>4</v>
      </c>
      <c r="E2953" t="s">
        <v>2898</v>
      </c>
    </row>
    <row r="2954" spans="1:5">
      <c r="A2954">
        <f>HYPERLINK("http://www.twitter.com/FDNY/status/721027276515733504", "721027276515733504")</f>
        <v>0</v>
      </c>
      <c r="B2954" s="2">
        <v>42475.7276967593</v>
      </c>
      <c r="C2954">
        <v>29</v>
      </c>
      <c r="D2954">
        <v>8</v>
      </c>
      <c r="E2954" t="s">
        <v>2899</v>
      </c>
    </row>
    <row r="2955" spans="1:5">
      <c r="A2955">
        <f>HYPERLINK("http://www.twitter.com/FDNY/status/721015785183920128", "721015785183920128")</f>
        <v>0</v>
      </c>
      <c r="B2955" s="2">
        <v>42475.6959837963</v>
      </c>
      <c r="C2955">
        <v>22</v>
      </c>
      <c r="D2955">
        <v>12</v>
      </c>
      <c r="E2955" t="s">
        <v>2900</v>
      </c>
    </row>
    <row r="2956" spans="1:5">
      <c r="A2956">
        <f>HYPERLINK("http://www.twitter.com/FDNY/status/721001783410180097", "721001783410180097")</f>
        <v>0</v>
      </c>
      <c r="B2956" s="2">
        <v>42475.657349537</v>
      </c>
      <c r="C2956">
        <v>2</v>
      </c>
      <c r="D2956">
        <v>8</v>
      </c>
      <c r="E2956" t="s">
        <v>2901</v>
      </c>
    </row>
    <row r="2957" spans="1:5">
      <c r="A2957">
        <f>HYPERLINK("http://www.twitter.com/FDNY/status/721001244840587265", "721001244840587265")</f>
        <v>0</v>
      </c>
      <c r="B2957" s="2">
        <v>42475.6558564815</v>
      </c>
      <c r="C2957">
        <v>3</v>
      </c>
      <c r="D2957">
        <v>6</v>
      </c>
      <c r="E2957" t="s">
        <v>2902</v>
      </c>
    </row>
    <row r="2958" spans="1:5">
      <c r="A2958">
        <f>HYPERLINK("http://www.twitter.com/FDNY/status/720996440668037120", "720996440668037120")</f>
        <v>0</v>
      </c>
      <c r="B2958" s="2">
        <v>42475.6426041667</v>
      </c>
      <c r="C2958">
        <v>5</v>
      </c>
      <c r="D2958">
        <v>4</v>
      </c>
      <c r="E2958" t="s">
        <v>2903</v>
      </c>
    </row>
    <row r="2959" spans="1:5">
      <c r="A2959">
        <f>HYPERLINK("http://www.twitter.com/FDNY/status/720996041298817024", "720996041298817024")</f>
        <v>0</v>
      </c>
      <c r="B2959" s="2">
        <v>42475.6415046296</v>
      </c>
      <c r="C2959">
        <v>0</v>
      </c>
      <c r="D2959">
        <v>8</v>
      </c>
      <c r="E2959" t="s">
        <v>2904</v>
      </c>
    </row>
    <row r="2960" spans="1:5">
      <c r="A2960">
        <f>HYPERLINK("http://www.twitter.com/FDNY/status/720995478100381696", "720995478100381696")</f>
        <v>0</v>
      </c>
      <c r="B2960" s="2">
        <v>42475.6399537037</v>
      </c>
      <c r="C2960">
        <v>25</v>
      </c>
      <c r="D2960">
        <v>14</v>
      </c>
      <c r="E2960" t="s">
        <v>2905</v>
      </c>
    </row>
    <row r="2961" spans="1:5">
      <c r="A2961">
        <f>HYPERLINK("http://www.twitter.com/FDNY/status/720994334787649536", "720994334787649536")</f>
        <v>0</v>
      </c>
      <c r="B2961" s="2">
        <v>42475.6367939815</v>
      </c>
      <c r="C2961">
        <v>52</v>
      </c>
      <c r="D2961">
        <v>29</v>
      </c>
      <c r="E2961" t="s">
        <v>2906</v>
      </c>
    </row>
    <row r="2962" spans="1:5">
      <c r="A2962">
        <f>HYPERLINK("http://www.twitter.com/FDNY/status/720988549194113028", "720988549194113028")</f>
        <v>0</v>
      </c>
      <c r="B2962" s="2">
        <v>42475.6208333333</v>
      </c>
      <c r="C2962">
        <v>18</v>
      </c>
      <c r="D2962">
        <v>17</v>
      </c>
      <c r="E2962" t="s">
        <v>2907</v>
      </c>
    </row>
    <row r="2963" spans="1:5">
      <c r="A2963">
        <f>HYPERLINK("http://www.twitter.com/FDNY/status/720985507816189953", "720985507816189953")</f>
        <v>0</v>
      </c>
      <c r="B2963" s="2">
        <v>42475.6124305556</v>
      </c>
      <c r="C2963">
        <v>16</v>
      </c>
      <c r="D2963">
        <v>16</v>
      </c>
      <c r="E2963" t="s">
        <v>2908</v>
      </c>
    </row>
    <row r="2964" spans="1:5">
      <c r="A2964">
        <f>HYPERLINK("http://www.twitter.com/FDNY/status/720968124380626944", "720968124380626944")</f>
        <v>0</v>
      </c>
      <c r="B2964" s="2">
        <v>42475.5644675926</v>
      </c>
      <c r="C2964">
        <v>37</v>
      </c>
      <c r="D2964">
        <v>19</v>
      </c>
      <c r="E2964" t="s">
        <v>2909</v>
      </c>
    </row>
    <row r="2965" spans="1:5">
      <c r="A2965">
        <f>HYPERLINK("http://www.twitter.com/FDNY/status/720964560396619777", "720964560396619777")</f>
        <v>0</v>
      </c>
      <c r="B2965" s="2">
        <v>42475.5546296296</v>
      </c>
      <c r="C2965">
        <v>0</v>
      </c>
      <c r="D2965">
        <v>19</v>
      </c>
      <c r="E2965" t="s">
        <v>2910</v>
      </c>
    </row>
    <row r="2966" spans="1:5">
      <c r="A2966">
        <f>HYPERLINK("http://www.twitter.com/FDNY/status/720962432294903808", "720962432294903808")</f>
        <v>0</v>
      </c>
      <c r="B2966" s="2">
        <v>42475.5487615741</v>
      </c>
      <c r="C2966">
        <v>16</v>
      </c>
      <c r="D2966">
        <v>8</v>
      </c>
      <c r="E2966" t="s">
        <v>2911</v>
      </c>
    </row>
    <row r="2967" spans="1:5">
      <c r="A2967">
        <f>HYPERLINK("http://www.twitter.com/FDNY/status/720958945586757639", "720958945586757639")</f>
        <v>0</v>
      </c>
      <c r="B2967" s="2">
        <v>42475.5391435185</v>
      </c>
      <c r="C2967">
        <v>38</v>
      </c>
      <c r="D2967">
        <v>15</v>
      </c>
      <c r="E2967" t="s">
        <v>2912</v>
      </c>
    </row>
    <row r="2968" spans="1:5">
      <c r="A2968">
        <f>HYPERLINK("http://www.twitter.com/FDNY/status/720955421150867456", "720955421150867456")</f>
        <v>0</v>
      </c>
      <c r="B2968" s="2">
        <v>42475.5294097222</v>
      </c>
      <c r="C2968">
        <v>28</v>
      </c>
      <c r="D2968">
        <v>13</v>
      </c>
      <c r="E2968" t="s">
        <v>2913</v>
      </c>
    </row>
    <row r="2969" spans="1:5">
      <c r="A2969">
        <f>HYPERLINK("http://www.twitter.com/FDNY/status/720949893909606400", "720949893909606400")</f>
        <v>0</v>
      </c>
      <c r="B2969" s="2">
        <v>42475.5141550926</v>
      </c>
      <c r="C2969">
        <v>37</v>
      </c>
      <c r="D2969">
        <v>25</v>
      </c>
      <c r="E2969" t="s">
        <v>2914</v>
      </c>
    </row>
    <row r="2970" spans="1:5">
      <c r="A2970">
        <f>HYPERLINK("http://www.twitter.com/FDNY/status/720793901783728128", "720793901783728128")</f>
        <v>0</v>
      </c>
      <c r="B2970" s="2">
        <v>42475.0837037037</v>
      </c>
      <c r="C2970">
        <v>15</v>
      </c>
      <c r="D2970">
        <v>9</v>
      </c>
      <c r="E2970" t="s">
        <v>2915</v>
      </c>
    </row>
    <row r="2971" spans="1:5">
      <c r="A2971">
        <f>HYPERLINK("http://www.twitter.com/FDNY/status/720790051848904704", "720790051848904704")</f>
        <v>0</v>
      </c>
      <c r="B2971" s="2">
        <v>42475.0730787037</v>
      </c>
      <c r="C2971">
        <v>73</v>
      </c>
      <c r="D2971">
        <v>36</v>
      </c>
      <c r="E2971" t="s">
        <v>2916</v>
      </c>
    </row>
    <row r="2972" spans="1:5">
      <c r="A2972">
        <f>HYPERLINK("http://www.twitter.com/FDNY/status/720786305718886402", "720786305718886402")</f>
        <v>0</v>
      </c>
      <c r="B2972" s="2">
        <v>42475.0627430556</v>
      </c>
      <c r="C2972">
        <v>29</v>
      </c>
      <c r="D2972">
        <v>13</v>
      </c>
      <c r="E2972" t="s">
        <v>2917</v>
      </c>
    </row>
    <row r="2973" spans="1:5">
      <c r="A2973">
        <f>HYPERLINK("http://www.twitter.com/FDNY/status/720782485240594432", "720782485240594432")</f>
        <v>0</v>
      </c>
      <c r="B2973" s="2">
        <v>42475.0521990741</v>
      </c>
      <c r="C2973">
        <v>49</v>
      </c>
      <c r="D2973">
        <v>13</v>
      </c>
      <c r="E2973" t="s">
        <v>2918</v>
      </c>
    </row>
    <row r="2974" spans="1:5">
      <c r="A2974">
        <f>HYPERLINK("http://www.twitter.com/FDNY/status/720778825177690112", "720778825177690112")</f>
        <v>0</v>
      </c>
      <c r="B2974" s="2">
        <v>42475.0421064815</v>
      </c>
      <c r="C2974">
        <v>12</v>
      </c>
      <c r="D2974">
        <v>7</v>
      </c>
      <c r="E2974" t="s">
        <v>2919</v>
      </c>
    </row>
    <row r="2975" spans="1:5">
      <c r="A2975">
        <f>HYPERLINK("http://www.twitter.com/FDNY/status/720774944200724481", "720774944200724481")</f>
        <v>0</v>
      </c>
      <c r="B2975" s="2">
        <v>42475.0313888889</v>
      </c>
      <c r="C2975">
        <v>82</v>
      </c>
      <c r="D2975">
        <v>32</v>
      </c>
      <c r="E2975" t="s">
        <v>2920</v>
      </c>
    </row>
    <row r="2976" spans="1:5">
      <c r="A2976">
        <f>HYPERLINK("http://www.twitter.com/FDNY/status/720771229062459392", "720771229062459392")</f>
        <v>0</v>
      </c>
      <c r="B2976" s="2">
        <v>42475.0211342593</v>
      </c>
      <c r="C2976">
        <v>12</v>
      </c>
      <c r="D2976">
        <v>10</v>
      </c>
      <c r="E2976" t="s">
        <v>2921</v>
      </c>
    </row>
    <row r="2977" spans="1:5">
      <c r="A2977">
        <f>HYPERLINK("http://www.twitter.com/FDNY/status/720767403886567425", "720767403886567425")</f>
        <v>0</v>
      </c>
      <c r="B2977" s="2">
        <v>42475.0105787037</v>
      </c>
      <c r="C2977">
        <v>87</v>
      </c>
      <c r="D2977">
        <v>36</v>
      </c>
      <c r="E2977" t="s">
        <v>2922</v>
      </c>
    </row>
    <row r="2978" spans="1:5">
      <c r="A2978">
        <f>HYPERLINK("http://www.twitter.com/FDNY/status/720737741781266432", "720737741781266432")</f>
        <v>0</v>
      </c>
      <c r="B2978" s="2">
        <v>42474.9287268519</v>
      </c>
      <c r="C2978">
        <v>44</v>
      </c>
      <c r="D2978">
        <v>21</v>
      </c>
      <c r="E2978" t="s">
        <v>2923</v>
      </c>
    </row>
    <row r="2979" spans="1:5">
      <c r="A2979">
        <f>HYPERLINK("http://www.twitter.com/FDNY/status/720737236107534336", "720737236107534336")</f>
        <v>0</v>
      </c>
      <c r="B2979" s="2">
        <v>42474.927337963</v>
      </c>
      <c r="C2979">
        <v>0</v>
      </c>
      <c r="D2979">
        <v>2</v>
      </c>
      <c r="E2979" t="s">
        <v>2924</v>
      </c>
    </row>
    <row r="2980" spans="1:5">
      <c r="A2980">
        <f>HYPERLINK("http://www.twitter.com/FDNY/status/720733858841370624", "720733858841370624")</f>
        <v>0</v>
      </c>
      <c r="B2980" s="2">
        <v>42474.9180208333</v>
      </c>
      <c r="C2980">
        <v>0</v>
      </c>
      <c r="D2980">
        <v>3</v>
      </c>
      <c r="E2980" t="s">
        <v>2925</v>
      </c>
    </row>
    <row r="2981" spans="1:5">
      <c r="A2981">
        <f>HYPERLINK("http://www.twitter.com/FDNY/status/720727460472598528", "720727460472598528")</f>
        <v>0</v>
      </c>
      <c r="B2981" s="2">
        <v>42474.9003587963</v>
      </c>
      <c r="C2981">
        <v>60</v>
      </c>
      <c r="D2981">
        <v>20</v>
      </c>
      <c r="E2981" t="s">
        <v>2926</v>
      </c>
    </row>
    <row r="2982" spans="1:5">
      <c r="A2982">
        <f>HYPERLINK("http://www.twitter.com/FDNY/status/720720739821871104", "720720739821871104")</f>
        <v>0</v>
      </c>
      <c r="B2982" s="2">
        <v>42474.8818171296</v>
      </c>
      <c r="C2982">
        <v>0</v>
      </c>
      <c r="D2982">
        <v>13</v>
      </c>
      <c r="E2982" t="s">
        <v>2927</v>
      </c>
    </row>
    <row r="2983" spans="1:5">
      <c r="A2983">
        <f>HYPERLINK("http://www.twitter.com/FDNY/status/720713120495374336", "720713120495374336")</f>
        <v>0</v>
      </c>
      <c r="B2983" s="2">
        <v>42474.860787037</v>
      </c>
      <c r="C2983">
        <v>19</v>
      </c>
      <c r="D2983">
        <v>6</v>
      </c>
      <c r="E2983" t="s">
        <v>2928</v>
      </c>
    </row>
    <row r="2984" spans="1:5">
      <c r="A2984">
        <f>HYPERLINK("http://www.twitter.com/FDNY/status/720706897226166272", "720706897226166272")</f>
        <v>0</v>
      </c>
      <c r="B2984" s="2">
        <v>42474.8436226852</v>
      </c>
      <c r="C2984">
        <v>23</v>
      </c>
      <c r="D2984">
        <v>15</v>
      </c>
      <c r="E2984" t="s">
        <v>2929</v>
      </c>
    </row>
    <row r="2985" spans="1:5">
      <c r="A2985">
        <f>HYPERLINK("http://www.twitter.com/FDNY/status/720683541835747328", "720683541835747328")</f>
        <v>0</v>
      </c>
      <c r="B2985" s="2">
        <v>42474.7791666667</v>
      </c>
      <c r="C2985">
        <v>44</v>
      </c>
      <c r="D2985">
        <v>29</v>
      </c>
      <c r="E2985" t="s">
        <v>2930</v>
      </c>
    </row>
    <row r="2986" spans="1:5">
      <c r="A2986">
        <f>HYPERLINK("http://www.twitter.com/FDNY/status/720671789572034560", "720671789572034560")</f>
        <v>0</v>
      </c>
      <c r="B2986" s="2">
        <v>42474.7467361111</v>
      </c>
      <c r="C2986">
        <v>5</v>
      </c>
      <c r="D2986">
        <v>10</v>
      </c>
      <c r="E2986" t="s">
        <v>2931</v>
      </c>
    </row>
    <row r="2987" spans="1:5">
      <c r="A2987">
        <f>HYPERLINK("http://www.twitter.com/FDNY/status/720650543597817856", "720650543597817856")</f>
        <v>0</v>
      </c>
      <c r="B2987" s="2">
        <v>42474.6881134259</v>
      </c>
      <c r="C2987">
        <v>0</v>
      </c>
      <c r="D2987">
        <v>3</v>
      </c>
      <c r="E2987" t="s">
        <v>2932</v>
      </c>
    </row>
    <row r="2988" spans="1:5">
      <c r="A2988">
        <f>HYPERLINK("http://www.twitter.com/FDNY/status/720648254526984192", "720648254526984192")</f>
        <v>0</v>
      </c>
      <c r="B2988" s="2">
        <v>42474.6817939815</v>
      </c>
      <c r="C2988">
        <v>36</v>
      </c>
      <c r="D2988">
        <v>21</v>
      </c>
      <c r="E2988" t="s">
        <v>2933</v>
      </c>
    </row>
    <row r="2989" spans="1:5">
      <c r="A2989">
        <f>HYPERLINK("http://www.twitter.com/FDNY/status/720633255737888769", "720633255737888769")</f>
        <v>0</v>
      </c>
      <c r="B2989" s="2">
        <v>42474.6404050926</v>
      </c>
      <c r="C2989">
        <v>17</v>
      </c>
      <c r="D2989">
        <v>9</v>
      </c>
      <c r="E2989" t="s">
        <v>2934</v>
      </c>
    </row>
    <row r="2990" spans="1:5">
      <c r="A2990">
        <f>HYPERLINK("http://www.twitter.com/FDNY/status/720630229333635073", "720630229333635073")</f>
        <v>0</v>
      </c>
      <c r="B2990" s="2">
        <v>42474.6320486111</v>
      </c>
      <c r="C2990">
        <v>53</v>
      </c>
      <c r="D2990">
        <v>38</v>
      </c>
      <c r="E2990" t="s">
        <v>2935</v>
      </c>
    </row>
    <row r="2991" spans="1:5">
      <c r="A2991">
        <f>HYPERLINK("http://www.twitter.com/FDNY/status/720628543592472576", "720628543592472576")</f>
        <v>0</v>
      </c>
      <c r="B2991" s="2">
        <v>42474.6274074074</v>
      </c>
      <c r="C2991">
        <v>7</v>
      </c>
      <c r="D2991">
        <v>6</v>
      </c>
      <c r="E2991" t="s">
        <v>2936</v>
      </c>
    </row>
    <row r="2992" spans="1:5">
      <c r="A2992">
        <f>HYPERLINK("http://www.twitter.com/FDNY/status/720583542099587072", "720583542099587072")</f>
        <v>0</v>
      </c>
      <c r="B2992" s="2">
        <v>42474.5032175926</v>
      </c>
      <c r="C2992">
        <v>15</v>
      </c>
      <c r="D2992">
        <v>22</v>
      </c>
      <c r="E2992" t="s">
        <v>2937</v>
      </c>
    </row>
    <row r="2993" spans="1:5">
      <c r="A2993">
        <f>HYPERLINK("http://www.twitter.com/FDNY/status/720450191644561408", "720450191644561408")</f>
        <v>0</v>
      </c>
      <c r="B2993" s="2">
        <v>42474.1352430556</v>
      </c>
      <c r="C2993">
        <v>0</v>
      </c>
      <c r="D2993">
        <v>16</v>
      </c>
      <c r="E2993" t="s">
        <v>2938</v>
      </c>
    </row>
    <row r="2994" spans="1:5">
      <c r="A2994">
        <f>HYPERLINK("http://www.twitter.com/FDNY/status/720370128093712384", "720370128093712384")</f>
        <v>0</v>
      </c>
      <c r="B2994" s="2">
        <v>42473.9143171296</v>
      </c>
      <c r="C2994">
        <v>0</v>
      </c>
      <c r="D2994">
        <v>7</v>
      </c>
      <c r="E2994" t="s">
        <v>2939</v>
      </c>
    </row>
    <row r="2995" spans="1:5">
      <c r="A2995">
        <f>HYPERLINK("http://www.twitter.com/FDNY/status/720357182240387072", "720357182240387072")</f>
        <v>0</v>
      </c>
      <c r="B2995" s="2">
        <v>42473.878587963</v>
      </c>
      <c r="C2995">
        <v>25</v>
      </c>
      <c r="D2995">
        <v>14</v>
      </c>
      <c r="E2995" t="s">
        <v>2940</v>
      </c>
    </row>
    <row r="2996" spans="1:5">
      <c r="A2996">
        <f>HYPERLINK("http://www.twitter.com/FDNY/status/720356019025678336", "720356019025678336")</f>
        <v>0</v>
      </c>
      <c r="B2996" s="2">
        <v>42473.8753819444</v>
      </c>
      <c r="C2996">
        <v>7</v>
      </c>
      <c r="D2996">
        <v>5</v>
      </c>
      <c r="E2996" t="s">
        <v>2941</v>
      </c>
    </row>
    <row r="2997" spans="1:5">
      <c r="A2997">
        <f>HYPERLINK("http://www.twitter.com/FDNY/status/720323353232424960", "720323353232424960")</f>
        <v>0</v>
      </c>
      <c r="B2997" s="2">
        <v>42473.7852430556</v>
      </c>
      <c r="C2997">
        <v>15</v>
      </c>
      <c r="D2997">
        <v>10</v>
      </c>
      <c r="E2997" t="s">
        <v>2942</v>
      </c>
    </row>
    <row r="2998" spans="1:5">
      <c r="A2998">
        <f>HYPERLINK("http://www.twitter.com/FDNY/status/720285254628610049", "720285254628610049")</f>
        <v>0</v>
      </c>
      <c r="B2998" s="2">
        <v>42473.6801041667</v>
      </c>
      <c r="C2998">
        <v>73</v>
      </c>
      <c r="D2998">
        <v>35</v>
      </c>
      <c r="E2998" t="s">
        <v>2943</v>
      </c>
    </row>
    <row r="2999" spans="1:5">
      <c r="A2999">
        <f>HYPERLINK("http://www.twitter.com/FDNY/status/720253140684181506", "720253140684181506")</f>
        <v>0</v>
      </c>
      <c r="B2999" s="2">
        <v>42473.5914930556</v>
      </c>
      <c r="C2999">
        <v>26</v>
      </c>
      <c r="D2999">
        <v>18</v>
      </c>
      <c r="E2999" t="s">
        <v>2944</v>
      </c>
    </row>
    <row r="3000" spans="1:5">
      <c r="A3000">
        <f>HYPERLINK("http://www.twitter.com/FDNY/status/720081859770720256", "720081859770720256")</f>
        <v>0</v>
      </c>
      <c r="B3000" s="2">
        <v>42473.1188425926</v>
      </c>
      <c r="C3000">
        <v>0</v>
      </c>
      <c r="D3000">
        <v>7</v>
      </c>
      <c r="E3000" t="s">
        <v>2945</v>
      </c>
    </row>
    <row r="3001" spans="1:5">
      <c r="A3001">
        <f>HYPERLINK("http://www.twitter.com/FDNY/status/720004398974398465", "720004398974398465")</f>
        <v>0</v>
      </c>
      <c r="B3001" s="2">
        <v>42472.9050925926</v>
      </c>
      <c r="C3001">
        <v>23</v>
      </c>
      <c r="D3001">
        <v>25</v>
      </c>
      <c r="E3001" t="s">
        <v>2946</v>
      </c>
    </row>
    <row r="3002" spans="1:5">
      <c r="A3002">
        <f>HYPERLINK("http://www.twitter.com/FDNY/status/720002475533709313", "720002475533709313")</f>
        <v>0</v>
      </c>
      <c r="B3002" s="2">
        <v>42472.8997800926</v>
      </c>
      <c r="C3002">
        <v>0</v>
      </c>
      <c r="D3002">
        <v>12</v>
      </c>
      <c r="E3002" t="s">
        <v>2947</v>
      </c>
    </row>
    <row r="3003" spans="1:5">
      <c r="A3003">
        <f>HYPERLINK("http://www.twitter.com/FDNY/status/719930911530356736", "719930911530356736")</f>
        <v>0</v>
      </c>
      <c r="B3003" s="2">
        <v>42472.7023032407</v>
      </c>
      <c r="C3003">
        <v>0</v>
      </c>
      <c r="D3003">
        <v>9</v>
      </c>
      <c r="E3003" t="s">
        <v>2948</v>
      </c>
    </row>
    <row r="3004" spans="1:5">
      <c r="A3004">
        <f>HYPERLINK("http://www.twitter.com/FDNY/status/719890639073210369", "719890639073210369")</f>
        <v>0</v>
      </c>
      <c r="B3004" s="2">
        <v>42472.5911689815</v>
      </c>
      <c r="C3004">
        <v>11</v>
      </c>
      <c r="D3004">
        <v>4</v>
      </c>
      <c r="E3004" t="s">
        <v>2949</v>
      </c>
    </row>
    <row r="3005" spans="1:5">
      <c r="A3005">
        <f>HYPERLINK("http://www.twitter.com/FDNY/status/719703867613691904", "719703867613691904")</f>
        <v>0</v>
      </c>
      <c r="B3005" s="2">
        <v>42472.075787037</v>
      </c>
      <c r="C3005">
        <v>0</v>
      </c>
      <c r="D3005">
        <v>5</v>
      </c>
      <c r="E3005" t="s">
        <v>2950</v>
      </c>
    </row>
    <row r="3006" spans="1:5">
      <c r="A3006">
        <f>HYPERLINK("http://www.twitter.com/FDNY/status/719692239006539776", "719692239006539776")</f>
        <v>0</v>
      </c>
      <c r="B3006" s="2">
        <v>42472.0436921296</v>
      </c>
      <c r="C3006">
        <v>0</v>
      </c>
      <c r="D3006">
        <v>5</v>
      </c>
      <c r="E3006" t="s">
        <v>2951</v>
      </c>
    </row>
    <row r="3007" spans="1:5">
      <c r="A3007">
        <f>HYPERLINK("http://www.twitter.com/FDNY/status/719540214377660416", "719540214377660416")</f>
        <v>0</v>
      </c>
      <c r="B3007" s="2">
        <v>42471.6241898148</v>
      </c>
      <c r="C3007">
        <v>21</v>
      </c>
      <c r="D3007">
        <v>13</v>
      </c>
      <c r="E3007" t="s">
        <v>2952</v>
      </c>
    </row>
    <row r="3008" spans="1:5">
      <c r="A3008">
        <f>HYPERLINK("http://www.twitter.com/FDNY/status/719539892326375424", "719539892326375424")</f>
        <v>0</v>
      </c>
      <c r="B3008" s="2">
        <v>42471.6232986111</v>
      </c>
      <c r="C3008">
        <v>24</v>
      </c>
      <c r="D3008">
        <v>8</v>
      </c>
      <c r="E3008" t="s">
        <v>2953</v>
      </c>
    </row>
    <row r="3009" spans="1:5">
      <c r="A3009">
        <f>HYPERLINK("http://www.twitter.com/FDNY/status/719356807752364033", "719356807752364033")</f>
        <v>0</v>
      </c>
      <c r="B3009" s="2">
        <v>42471.1180787037</v>
      </c>
      <c r="C3009">
        <v>41</v>
      </c>
      <c r="D3009">
        <v>15</v>
      </c>
      <c r="E3009" t="s">
        <v>2954</v>
      </c>
    </row>
    <row r="3010" spans="1:5">
      <c r="A3010">
        <f>HYPERLINK("http://www.twitter.com/FDNY/status/719355063957876736", "719355063957876736")</f>
        <v>0</v>
      </c>
      <c r="B3010" s="2">
        <v>42471.1132638889</v>
      </c>
      <c r="C3010">
        <v>0</v>
      </c>
      <c r="D3010">
        <v>7</v>
      </c>
      <c r="E3010" t="s">
        <v>2955</v>
      </c>
    </row>
    <row r="3011" spans="1:5">
      <c r="A3011">
        <f>HYPERLINK("http://www.twitter.com/FDNY/status/719354926476980224", "719354926476980224")</f>
        <v>0</v>
      </c>
      <c r="B3011" s="2">
        <v>42471.1128935185</v>
      </c>
      <c r="C3011">
        <v>61</v>
      </c>
      <c r="D3011">
        <v>18</v>
      </c>
      <c r="E3011" t="s">
        <v>2956</v>
      </c>
    </row>
    <row r="3012" spans="1:5">
      <c r="A3012">
        <f>HYPERLINK("http://www.twitter.com/FDNY/status/719303320142245888", "719303320142245888")</f>
        <v>0</v>
      </c>
      <c r="B3012" s="2">
        <v>42470.9704861111</v>
      </c>
      <c r="C3012">
        <v>17</v>
      </c>
      <c r="D3012">
        <v>8</v>
      </c>
      <c r="E3012" t="s">
        <v>2957</v>
      </c>
    </row>
    <row r="3013" spans="1:5">
      <c r="A3013">
        <f>HYPERLINK("http://www.twitter.com/FDNY/status/719254958630113281", "719254958630113281")</f>
        <v>0</v>
      </c>
      <c r="B3013" s="2">
        <v>42470.837025463</v>
      </c>
      <c r="C3013">
        <v>52</v>
      </c>
      <c r="D3013">
        <v>22</v>
      </c>
      <c r="E3013" t="s">
        <v>2958</v>
      </c>
    </row>
    <row r="3014" spans="1:5">
      <c r="A3014">
        <f>HYPERLINK("http://www.twitter.com/FDNY/status/719218347926294528", "719218347926294528")</f>
        <v>0</v>
      </c>
      <c r="B3014" s="2">
        <v>42470.7360069444</v>
      </c>
      <c r="C3014">
        <v>59</v>
      </c>
      <c r="D3014">
        <v>20</v>
      </c>
      <c r="E3014" t="s">
        <v>2959</v>
      </c>
    </row>
    <row r="3015" spans="1:5">
      <c r="A3015">
        <f>HYPERLINK("http://www.twitter.com/FDNY/status/719168299402207233", "719168299402207233")</f>
        <v>0</v>
      </c>
      <c r="B3015" s="2">
        <v>42470.5978935185</v>
      </c>
      <c r="C3015">
        <v>0</v>
      </c>
      <c r="D3015">
        <v>2</v>
      </c>
      <c r="E3015" t="s">
        <v>2960</v>
      </c>
    </row>
    <row r="3016" spans="1:5">
      <c r="A3016">
        <f>HYPERLINK("http://www.twitter.com/FDNY/status/718994087760801792", "718994087760801792")</f>
        <v>0</v>
      </c>
      <c r="B3016" s="2">
        <v>42470.1171643519</v>
      </c>
      <c r="C3016">
        <v>0</v>
      </c>
      <c r="D3016">
        <v>12</v>
      </c>
      <c r="E3016" t="s">
        <v>2961</v>
      </c>
    </row>
    <row r="3017" spans="1:5">
      <c r="A3017">
        <f>HYPERLINK("http://www.twitter.com/FDNY/status/718984556091686914", "718984556091686914")</f>
        <v>0</v>
      </c>
      <c r="B3017" s="2">
        <v>42470.0908564815</v>
      </c>
      <c r="C3017">
        <v>109</v>
      </c>
      <c r="D3017">
        <v>45</v>
      </c>
      <c r="E3017" t="s">
        <v>2962</v>
      </c>
    </row>
    <row r="3018" spans="1:5">
      <c r="A3018">
        <f>HYPERLINK("http://www.twitter.com/FDNY/status/718964836151988224", "718964836151988224")</f>
        <v>0</v>
      </c>
      <c r="B3018" s="2">
        <v>42470.0364467593</v>
      </c>
      <c r="C3018">
        <v>0</v>
      </c>
      <c r="D3018">
        <v>10</v>
      </c>
      <c r="E3018" t="s">
        <v>2963</v>
      </c>
    </row>
    <row r="3019" spans="1:5">
      <c r="A3019">
        <f>HYPERLINK("http://www.twitter.com/FDNY/status/718960062203609088", "718960062203609088")</f>
        <v>0</v>
      </c>
      <c r="B3019" s="2">
        <v>42470.023275463</v>
      </c>
      <c r="C3019">
        <v>0</v>
      </c>
      <c r="D3019">
        <v>10</v>
      </c>
      <c r="E3019" t="s">
        <v>2964</v>
      </c>
    </row>
    <row r="3020" spans="1:5">
      <c r="A3020">
        <f>HYPERLINK("http://www.twitter.com/FDNY/status/718957626952978433", "718957626952978433")</f>
        <v>0</v>
      </c>
      <c r="B3020" s="2">
        <v>42470.0165509259</v>
      </c>
      <c r="C3020">
        <v>0</v>
      </c>
      <c r="D3020">
        <v>18</v>
      </c>
      <c r="E3020" t="s">
        <v>2965</v>
      </c>
    </row>
    <row r="3021" spans="1:5">
      <c r="A3021">
        <f>HYPERLINK("http://www.twitter.com/FDNY/status/718951678058373120", "718951678058373120")</f>
        <v>0</v>
      </c>
      <c r="B3021" s="2">
        <v>42470.0001388889</v>
      </c>
      <c r="C3021">
        <v>0</v>
      </c>
      <c r="D3021">
        <v>4</v>
      </c>
      <c r="E3021" t="s">
        <v>2966</v>
      </c>
    </row>
    <row r="3022" spans="1:5">
      <c r="A3022">
        <f>HYPERLINK("http://www.twitter.com/FDNY/status/718949502061776896", "718949502061776896")</f>
        <v>0</v>
      </c>
      <c r="B3022" s="2">
        <v>42469.9941319444</v>
      </c>
      <c r="C3022">
        <v>0</v>
      </c>
      <c r="D3022">
        <v>9</v>
      </c>
      <c r="E3022" t="s">
        <v>2967</v>
      </c>
    </row>
    <row r="3023" spans="1:5">
      <c r="A3023">
        <f>HYPERLINK("http://www.twitter.com/FDNY/status/718946508259897344", "718946508259897344")</f>
        <v>0</v>
      </c>
      <c r="B3023" s="2">
        <v>42469.9858680556</v>
      </c>
      <c r="C3023">
        <v>0</v>
      </c>
      <c r="D3023">
        <v>102</v>
      </c>
      <c r="E3023" t="s">
        <v>2968</v>
      </c>
    </row>
    <row r="3024" spans="1:5">
      <c r="A3024">
        <f>HYPERLINK("http://www.twitter.com/FDNY/status/718946427242745856", "718946427242745856")</f>
        <v>0</v>
      </c>
      <c r="B3024" s="2">
        <v>42469.9856481481</v>
      </c>
      <c r="C3024">
        <v>0</v>
      </c>
      <c r="D3024">
        <v>11</v>
      </c>
      <c r="E3024" t="s">
        <v>2969</v>
      </c>
    </row>
    <row r="3025" spans="1:5">
      <c r="A3025">
        <f>HYPERLINK("http://www.twitter.com/FDNY/status/718943077117857792", "718943077117857792")</f>
        <v>0</v>
      </c>
      <c r="B3025" s="2">
        <v>42469.976400463</v>
      </c>
      <c r="C3025">
        <v>154</v>
      </c>
      <c r="D3025">
        <v>97</v>
      </c>
      <c r="E3025" t="s">
        <v>2970</v>
      </c>
    </row>
    <row r="3026" spans="1:5">
      <c r="A3026">
        <f>HYPERLINK("http://www.twitter.com/FDNY/status/718847305827426304", "718847305827426304")</f>
        <v>0</v>
      </c>
      <c r="B3026" s="2">
        <v>42469.7121180556</v>
      </c>
      <c r="C3026">
        <v>43</v>
      </c>
      <c r="D3026">
        <v>20</v>
      </c>
      <c r="E3026" t="s">
        <v>2971</v>
      </c>
    </row>
    <row r="3027" spans="1:5">
      <c r="A3027">
        <f>HYPERLINK("http://www.twitter.com/FDNY/status/718628428258418688", "718628428258418688")</f>
        <v>0</v>
      </c>
      <c r="B3027" s="2">
        <v>42469.1081365741</v>
      </c>
      <c r="C3027">
        <v>0</v>
      </c>
      <c r="D3027">
        <v>4</v>
      </c>
      <c r="E3027" t="s">
        <v>2972</v>
      </c>
    </row>
    <row r="3028" spans="1:5">
      <c r="A3028">
        <f>HYPERLINK("http://www.twitter.com/FDNY/status/718595608618078208", "718595608618078208")</f>
        <v>0</v>
      </c>
      <c r="B3028" s="2">
        <v>42469.0175694444</v>
      </c>
      <c r="C3028">
        <v>0</v>
      </c>
      <c r="D3028">
        <v>15</v>
      </c>
      <c r="E3028" t="s">
        <v>2973</v>
      </c>
    </row>
    <row r="3029" spans="1:5">
      <c r="A3029">
        <f>HYPERLINK("http://www.twitter.com/FDNY/status/718538985119870976", "718538985119870976")</f>
        <v>0</v>
      </c>
      <c r="B3029" s="2">
        <v>42468.8613194444</v>
      </c>
      <c r="C3029">
        <v>78</v>
      </c>
      <c r="D3029">
        <v>25</v>
      </c>
      <c r="E3029" t="s">
        <v>2974</v>
      </c>
    </row>
    <row r="3030" spans="1:5">
      <c r="A3030">
        <f>HYPERLINK("http://www.twitter.com/FDNY/status/718510791461363712", "718510791461363712")</f>
        <v>0</v>
      </c>
      <c r="B3030" s="2">
        <v>42468.7835185185</v>
      </c>
      <c r="C3030">
        <v>0</v>
      </c>
      <c r="D3030">
        <v>3</v>
      </c>
      <c r="E3030" t="s">
        <v>2975</v>
      </c>
    </row>
    <row r="3031" spans="1:5">
      <c r="A3031">
        <f>HYPERLINK("http://www.twitter.com/FDNY/status/718481499671130113", "718481499671130113")</f>
        <v>0</v>
      </c>
      <c r="B3031" s="2">
        <v>42468.7026851852</v>
      </c>
      <c r="C3031">
        <v>50</v>
      </c>
      <c r="D3031">
        <v>26</v>
      </c>
      <c r="E3031" t="s">
        <v>2976</v>
      </c>
    </row>
    <row r="3032" spans="1:5">
      <c r="A3032">
        <f>HYPERLINK("http://www.twitter.com/FDNY/status/718481198406901762", "718481198406901762")</f>
        <v>0</v>
      </c>
      <c r="B3032" s="2">
        <v>42468.7018634259</v>
      </c>
      <c r="C3032">
        <v>25</v>
      </c>
      <c r="D3032">
        <v>16</v>
      </c>
      <c r="E3032" t="s">
        <v>2977</v>
      </c>
    </row>
    <row r="3033" spans="1:5">
      <c r="A3033">
        <f>HYPERLINK("http://www.twitter.com/FDNY/status/718262988537491460", "718262988537491460")</f>
        <v>0</v>
      </c>
      <c r="B3033" s="2">
        <v>42468.0997106481</v>
      </c>
      <c r="C3033">
        <v>0</v>
      </c>
      <c r="D3033">
        <v>6</v>
      </c>
      <c r="E3033" t="s">
        <v>2978</v>
      </c>
    </row>
    <row r="3034" spans="1:5">
      <c r="A3034">
        <f>HYPERLINK("http://www.twitter.com/FDNY/status/718229507279360001", "718229507279360001")</f>
        <v>0</v>
      </c>
      <c r="B3034" s="2">
        <v>42468.0073263889</v>
      </c>
      <c r="C3034">
        <v>0</v>
      </c>
      <c r="D3034">
        <v>2</v>
      </c>
      <c r="E3034" t="s">
        <v>2979</v>
      </c>
    </row>
    <row r="3035" spans="1:5">
      <c r="A3035">
        <f>HYPERLINK("http://www.twitter.com/FDNY/status/718229489877131265", "718229489877131265")</f>
        <v>0</v>
      </c>
      <c r="B3035" s="2">
        <v>42468.0072800926</v>
      </c>
      <c r="C3035">
        <v>0</v>
      </c>
      <c r="D3035">
        <v>4</v>
      </c>
      <c r="E3035" t="s">
        <v>2980</v>
      </c>
    </row>
    <row r="3036" spans="1:5">
      <c r="A3036">
        <f>HYPERLINK("http://www.twitter.com/FDNY/status/718190035196080129", "718190035196080129")</f>
        <v>0</v>
      </c>
      <c r="B3036" s="2">
        <v>42467.8984027778</v>
      </c>
      <c r="C3036">
        <v>0</v>
      </c>
      <c r="D3036">
        <v>8</v>
      </c>
      <c r="E3036" t="s">
        <v>2981</v>
      </c>
    </row>
    <row r="3037" spans="1:5">
      <c r="A3037">
        <f>HYPERLINK("http://www.twitter.com/FDNY/status/718187041595527168", "718187041595527168")</f>
        <v>0</v>
      </c>
      <c r="B3037" s="2">
        <v>42467.8901388889</v>
      </c>
      <c r="C3037">
        <v>24</v>
      </c>
      <c r="D3037">
        <v>12</v>
      </c>
      <c r="E3037" t="s">
        <v>2982</v>
      </c>
    </row>
    <row r="3038" spans="1:5">
      <c r="A3038">
        <f>HYPERLINK("http://www.twitter.com/FDNY/status/718174158820139008", "718174158820139008")</f>
        <v>0</v>
      </c>
      <c r="B3038" s="2">
        <v>42467.8545949074</v>
      </c>
      <c r="C3038">
        <v>34</v>
      </c>
      <c r="D3038">
        <v>9</v>
      </c>
      <c r="E3038" t="s">
        <v>2983</v>
      </c>
    </row>
    <row r="3039" spans="1:5">
      <c r="A3039">
        <f>HYPERLINK("http://www.twitter.com/FDNY/status/718170100755472384", "718170100755472384")</f>
        <v>0</v>
      </c>
      <c r="B3039" s="2">
        <v>42467.8433912037</v>
      </c>
      <c r="C3039">
        <v>22</v>
      </c>
      <c r="D3039">
        <v>9</v>
      </c>
      <c r="E3039" t="s">
        <v>2984</v>
      </c>
    </row>
    <row r="3040" spans="1:5">
      <c r="A3040">
        <f>HYPERLINK("http://www.twitter.com/FDNY/status/718169189865951233", "718169189865951233")</f>
        <v>0</v>
      </c>
      <c r="B3040" s="2">
        <v>42467.8408796296</v>
      </c>
      <c r="C3040">
        <v>27</v>
      </c>
      <c r="D3040">
        <v>9</v>
      </c>
      <c r="E3040" t="s">
        <v>2985</v>
      </c>
    </row>
    <row r="3041" spans="1:5">
      <c r="A3041">
        <f>HYPERLINK("http://www.twitter.com/FDNY/status/718095446468636673", "718095446468636673")</f>
        <v>0</v>
      </c>
      <c r="B3041" s="2">
        <v>42467.6373842593</v>
      </c>
      <c r="C3041">
        <v>19</v>
      </c>
      <c r="D3041">
        <v>5</v>
      </c>
      <c r="E3041" t="s">
        <v>2986</v>
      </c>
    </row>
    <row r="3042" spans="1:5">
      <c r="A3042">
        <f>HYPERLINK("http://www.twitter.com/FDNY/status/718093860270960645", "718093860270960645")</f>
        <v>0</v>
      </c>
      <c r="B3042" s="2">
        <v>42467.6330092593</v>
      </c>
      <c r="C3042">
        <v>27</v>
      </c>
      <c r="D3042">
        <v>6</v>
      </c>
      <c r="E3042" t="s">
        <v>2987</v>
      </c>
    </row>
    <row r="3043" spans="1:5">
      <c r="A3043">
        <f>HYPERLINK("http://www.twitter.com/FDNY/status/718093331025293314", "718093331025293314")</f>
        <v>0</v>
      </c>
      <c r="B3043" s="2">
        <v>42467.6315509259</v>
      </c>
      <c r="C3043">
        <v>32</v>
      </c>
      <c r="D3043">
        <v>13</v>
      </c>
      <c r="E3043" t="s">
        <v>2988</v>
      </c>
    </row>
    <row r="3044" spans="1:5">
      <c r="A3044">
        <f>HYPERLINK("http://www.twitter.com/FDNY/status/718091060686241792", "718091060686241792")</f>
        <v>0</v>
      </c>
      <c r="B3044" s="2">
        <v>42467.6252893519</v>
      </c>
      <c r="C3044">
        <v>0</v>
      </c>
      <c r="D3044">
        <v>1</v>
      </c>
      <c r="E3044" t="s">
        <v>2989</v>
      </c>
    </row>
    <row r="3045" spans="1:5">
      <c r="A3045">
        <f>HYPERLINK("http://www.twitter.com/FDNY/status/718077669217329152", "718077669217329152")</f>
        <v>0</v>
      </c>
      <c r="B3045" s="2">
        <v>42467.5883333333</v>
      </c>
      <c r="C3045">
        <v>8</v>
      </c>
      <c r="D3045">
        <v>7</v>
      </c>
      <c r="E3045" t="s">
        <v>2990</v>
      </c>
    </row>
    <row r="3046" spans="1:5">
      <c r="A3046">
        <f>HYPERLINK("http://www.twitter.com/FDNY/status/718068027657420800", "718068027657420800")</f>
        <v>0</v>
      </c>
      <c r="B3046" s="2">
        <v>42467.561724537</v>
      </c>
      <c r="C3046">
        <v>0</v>
      </c>
      <c r="D3046">
        <v>5</v>
      </c>
      <c r="E3046" t="s">
        <v>2991</v>
      </c>
    </row>
    <row r="3047" spans="1:5">
      <c r="A3047">
        <f>HYPERLINK("http://www.twitter.com/FDNY/status/718067809687838720", "718067809687838720")</f>
        <v>0</v>
      </c>
      <c r="B3047" s="2">
        <v>42467.5611226852</v>
      </c>
      <c r="C3047">
        <v>11</v>
      </c>
      <c r="D3047">
        <v>4</v>
      </c>
      <c r="E3047" t="s">
        <v>2992</v>
      </c>
    </row>
    <row r="3048" spans="1:5">
      <c r="A3048">
        <f>HYPERLINK("http://www.twitter.com/FDNY/status/718067279519416320", "718067279519416320")</f>
        <v>0</v>
      </c>
      <c r="B3048" s="2">
        <v>42467.5596643519</v>
      </c>
      <c r="C3048">
        <v>0</v>
      </c>
      <c r="D3048">
        <v>3</v>
      </c>
      <c r="E3048" t="s">
        <v>2993</v>
      </c>
    </row>
    <row r="3049" spans="1:5">
      <c r="A3049">
        <f>HYPERLINK("http://www.twitter.com/FDNY/status/718065905666813952", "718065905666813952")</f>
        <v>0</v>
      </c>
      <c r="B3049" s="2">
        <v>42467.5558680556</v>
      </c>
      <c r="C3049">
        <v>21</v>
      </c>
      <c r="D3049">
        <v>9</v>
      </c>
      <c r="E3049" t="s">
        <v>2994</v>
      </c>
    </row>
    <row r="3050" spans="1:5">
      <c r="A3050">
        <f>HYPERLINK("http://www.twitter.com/FDNY/status/718065842144022530", "718065842144022530")</f>
        <v>0</v>
      </c>
      <c r="B3050" s="2">
        <v>42467.5556944444</v>
      </c>
      <c r="C3050">
        <v>0</v>
      </c>
      <c r="D3050">
        <v>6</v>
      </c>
      <c r="E3050" t="s">
        <v>2995</v>
      </c>
    </row>
    <row r="3051" spans="1:5">
      <c r="A3051">
        <f>HYPERLINK("http://www.twitter.com/FDNY/status/718064777340256256", "718064777340256256")</f>
        <v>0</v>
      </c>
      <c r="B3051" s="2">
        <v>42467.5527546296</v>
      </c>
      <c r="C3051">
        <v>38</v>
      </c>
      <c r="D3051">
        <v>16</v>
      </c>
      <c r="E3051" t="s">
        <v>2996</v>
      </c>
    </row>
    <row r="3052" spans="1:5">
      <c r="A3052">
        <f>HYPERLINK("http://www.twitter.com/FDNY/status/717865049205968896", "717865049205968896")</f>
        <v>0</v>
      </c>
      <c r="B3052" s="2">
        <v>42467.0016087963</v>
      </c>
      <c r="C3052">
        <v>8</v>
      </c>
      <c r="D3052">
        <v>4</v>
      </c>
      <c r="E3052" t="s">
        <v>2997</v>
      </c>
    </row>
    <row r="3053" spans="1:5">
      <c r="A3053">
        <f>HYPERLINK("http://www.twitter.com/FDNY/status/717850182726074374", "717850182726074374")</f>
        <v>0</v>
      </c>
      <c r="B3053" s="2">
        <v>42466.9605902778</v>
      </c>
      <c r="C3053">
        <v>138</v>
      </c>
      <c r="D3053">
        <v>48</v>
      </c>
      <c r="E3053" t="s">
        <v>2998</v>
      </c>
    </row>
    <row r="3054" spans="1:5">
      <c r="A3054">
        <f>HYPERLINK("http://www.twitter.com/FDNY/status/717817123972718594", "717817123972718594")</f>
        <v>0</v>
      </c>
      <c r="B3054" s="2">
        <v>42466.8693634259</v>
      </c>
      <c r="C3054">
        <v>13</v>
      </c>
      <c r="D3054">
        <v>5</v>
      </c>
      <c r="E3054" t="s">
        <v>2999</v>
      </c>
    </row>
    <row r="3055" spans="1:5">
      <c r="A3055">
        <f>HYPERLINK("http://www.twitter.com/FDNY/status/717805784449597440", "717805784449597440")</f>
        <v>0</v>
      </c>
      <c r="B3055" s="2">
        <v>42466.8380671296</v>
      </c>
      <c r="C3055">
        <v>0</v>
      </c>
      <c r="D3055">
        <v>4</v>
      </c>
      <c r="E3055" t="s">
        <v>3000</v>
      </c>
    </row>
    <row r="3056" spans="1:5">
      <c r="A3056">
        <f>HYPERLINK("http://www.twitter.com/FDNY/status/717797361469284352", "717797361469284352")</f>
        <v>0</v>
      </c>
      <c r="B3056" s="2">
        <v>42466.8148263889</v>
      </c>
      <c r="C3056">
        <v>21</v>
      </c>
      <c r="D3056">
        <v>21</v>
      </c>
      <c r="E3056" t="s">
        <v>3001</v>
      </c>
    </row>
    <row r="3057" spans="1:5">
      <c r="A3057">
        <f>HYPERLINK("http://www.twitter.com/FDNY/status/717775734450876416", "717775734450876416")</f>
        <v>0</v>
      </c>
      <c r="B3057" s="2">
        <v>42466.755150463</v>
      </c>
      <c r="C3057">
        <v>0</v>
      </c>
      <c r="D3057">
        <v>9</v>
      </c>
      <c r="E3057" t="s">
        <v>3002</v>
      </c>
    </row>
    <row r="3058" spans="1:5">
      <c r="A3058">
        <f>HYPERLINK("http://www.twitter.com/FDNY/status/717766377726156800", "717766377726156800")</f>
        <v>0</v>
      </c>
      <c r="B3058" s="2">
        <v>42466.7293287037</v>
      </c>
      <c r="C3058">
        <v>0</v>
      </c>
      <c r="D3058">
        <v>3</v>
      </c>
      <c r="E3058" t="s">
        <v>3003</v>
      </c>
    </row>
    <row r="3059" spans="1:5">
      <c r="A3059">
        <f>HYPERLINK("http://www.twitter.com/FDNY/status/717766356771479552", "717766356771479552")</f>
        <v>0</v>
      </c>
      <c r="B3059" s="2">
        <v>42466.7292708333</v>
      </c>
      <c r="C3059">
        <v>0</v>
      </c>
      <c r="D3059">
        <v>3</v>
      </c>
      <c r="E3059" t="s">
        <v>3004</v>
      </c>
    </row>
    <row r="3060" spans="1:5">
      <c r="A3060">
        <f>HYPERLINK("http://www.twitter.com/FDNY/status/717764370059694080", "717764370059694080")</f>
        <v>0</v>
      </c>
      <c r="B3060" s="2">
        <v>42466.7237847222</v>
      </c>
      <c r="C3060">
        <v>0</v>
      </c>
      <c r="D3060">
        <v>17</v>
      </c>
      <c r="E3060" t="s">
        <v>3005</v>
      </c>
    </row>
    <row r="3061" spans="1:5">
      <c r="A3061">
        <f>HYPERLINK("http://www.twitter.com/FDNY/status/717748443775631360", "717748443775631360")</f>
        <v>0</v>
      </c>
      <c r="B3061" s="2">
        <v>42466.679837963</v>
      </c>
      <c r="C3061">
        <v>0</v>
      </c>
      <c r="D3061">
        <v>8</v>
      </c>
      <c r="E3061" t="s">
        <v>3006</v>
      </c>
    </row>
    <row r="3062" spans="1:5">
      <c r="A3062">
        <f>HYPERLINK("http://www.twitter.com/FDNY/status/717740328187518976", "717740328187518976")</f>
        <v>0</v>
      </c>
      <c r="B3062" s="2">
        <v>42466.6574421296</v>
      </c>
      <c r="C3062">
        <v>0</v>
      </c>
      <c r="D3062">
        <v>5</v>
      </c>
      <c r="E3062" t="s">
        <v>3007</v>
      </c>
    </row>
    <row r="3063" spans="1:5">
      <c r="A3063">
        <f>HYPERLINK("http://www.twitter.com/FDNY/status/717726108570030081", "717726108570030081")</f>
        <v>0</v>
      </c>
      <c r="B3063" s="2">
        <v>42466.6182060185</v>
      </c>
      <c r="C3063">
        <v>13</v>
      </c>
      <c r="D3063">
        <v>7</v>
      </c>
      <c r="E3063" t="s">
        <v>3008</v>
      </c>
    </row>
    <row r="3064" spans="1:5">
      <c r="A3064">
        <f>HYPERLINK("http://www.twitter.com/FDNY/status/717721237699608576", "717721237699608576")</f>
        <v>0</v>
      </c>
      <c r="B3064" s="2">
        <v>42466.6047685185</v>
      </c>
      <c r="C3064">
        <v>11</v>
      </c>
      <c r="D3064">
        <v>4</v>
      </c>
      <c r="E3064" t="s">
        <v>3009</v>
      </c>
    </row>
    <row r="3065" spans="1:5">
      <c r="A3065">
        <f>HYPERLINK("http://www.twitter.com/FDNY/status/717545295110807552", "717545295110807552")</f>
        <v>0</v>
      </c>
      <c r="B3065" s="2">
        <v>42466.1192592593</v>
      </c>
      <c r="C3065">
        <v>0</v>
      </c>
      <c r="D3065">
        <v>4</v>
      </c>
      <c r="E3065" t="s">
        <v>3010</v>
      </c>
    </row>
    <row r="3066" spans="1:5">
      <c r="A3066">
        <f>HYPERLINK("http://www.twitter.com/FDNY/status/717481317013839872", "717481317013839872")</f>
        <v>0</v>
      </c>
      <c r="B3066" s="2">
        <v>42465.9427083333</v>
      </c>
      <c r="C3066">
        <v>0</v>
      </c>
      <c r="D3066">
        <v>1</v>
      </c>
      <c r="E3066" t="s">
        <v>3011</v>
      </c>
    </row>
    <row r="3067" spans="1:5">
      <c r="A3067">
        <f>HYPERLINK("http://www.twitter.com/FDNY/status/717478220740890624", "717478220740890624")</f>
        <v>0</v>
      </c>
      <c r="B3067" s="2">
        <v>42465.9341666667</v>
      </c>
      <c r="C3067">
        <v>15</v>
      </c>
      <c r="D3067">
        <v>14</v>
      </c>
      <c r="E3067" t="s">
        <v>3012</v>
      </c>
    </row>
    <row r="3068" spans="1:5">
      <c r="A3068">
        <f>HYPERLINK("http://www.twitter.com/FDNY/status/717476605975781376", "717476605975781376")</f>
        <v>0</v>
      </c>
      <c r="B3068" s="2">
        <v>42465.9297106481</v>
      </c>
      <c r="C3068">
        <v>0</v>
      </c>
      <c r="D3068">
        <v>3</v>
      </c>
      <c r="E3068" t="s">
        <v>3013</v>
      </c>
    </row>
    <row r="3069" spans="1:5">
      <c r="A3069">
        <f>HYPERLINK("http://www.twitter.com/FDNY/status/717476131469824000", "717476131469824000")</f>
        <v>0</v>
      </c>
      <c r="B3069" s="2">
        <v>42465.9284027778</v>
      </c>
      <c r="C3069">
        <v>0</v>
      </c>
      <c r="D3069">
        <v>2</v>
      </c>
      <c r="E3069" t="s">
        <v>3014</v>
      </c>
    </row>
    <row r="3070" spans="1:5">
      <c r="A3070">
        <f>HYPERLINK("http://www.twitter.com/FDNY/status/717476073265631234", "717476073265631234")</f>
        <v>0</v>
      </c>
      <c r="B3070" s="2">
        <v>42465.9282407407</v>
      </c>
      <c r="C3070">
        <v>7</v>
      </c>
      <c r="D3070">
        <v>8</v>
      </c>
      <c r="E3070" t="s">
        <v>3015</v>
      </c>
    </row>
    <row r="3071" spans="1:5">
      <c r="A3071">
        <f>HYPERLINK("http://www.twitter.com/FDNY/status/717412784913428480", "717412784913428480")</f>
        <v>0</v>
      </c>
      <c r="B3071" s="2">
        <v>42465.753599537</v>
      </c>
      <c r="C3071">
        <v>14</v>
      </c>
      <c r="D3071">
        <v>9</v>
      </c>
      <c r="E3071" t="s">
        <v>3016</v>
      </c>
    </row>
    <row r="3072" spans="1:5">
      <c r="A3072">
        <f>HYPERLINK("http://www.twitter.com/FDNY/status/717389207422021632", "717389207422021632")</f>
        <v>0</v>
      </c>
      <c r="B3072" s="2">
        <v>42465.6885416667</v>
      </c>
      <c r="C3072">
        <v>18</v>
      </c>
      <c r="D3072">
        <v>10</v>
      </c>
      <c r="E3072" t="s">
        <v>3017</v>
      </c>
    </row>
    <row r="3073" spans="1:5">
      <c r="A3073">
        <f>HYPERLINK("http://www.twitter.com/FDNY/status/717364077757128704", "717364077757128704")</f>
        <v>0</v>
      </c>
      <c r="B3073" s="2">
        <v>42465.6191898148</v>
      </c>
      <c r="C3073">
        <v>0</v>
      </c>
      <c r="D3073">
        <v>21</v>
      </c>
      <c r="E3073" t="s">
        <v>3018</v>
      </c>
    </row>
    <row r="3074" spans="1:5">
      <c r="A3074">
        <f>HYPERLINK("http://www.twitter.com/FDNY/status/717193209076719616", "717193209076719616")</f>
        <v>0</v>
      </c>
      <c r="B3074" s="2">
        <v>42465.1476851852</v>
      </c>
      <c r="C3074">
        <v>0</v>
      </c>
      <c r="D3074">
        <v>6</v>
      </c>
      <c r="E3074" t="s">
        <v>3019</v>
      </c>
    </row>
    <row r="3075" spans="1:5">
      <c r="A3075">
        <f>HYPERLINK("http://www.twitter.com/FDNY/status/717193129057718272", "717193129057718272")</f>
        <v>0</v>
      </c>
      <c r="B3075" s="2">
        <v>42465.1474652778</v>
      </c>
      <c r="C3075">
        <v>0</v>
      </c>
      <c r="D3075">
        <v>1</v>
      </c>
      <c r="E3075" t="s">
        <v>3020</v>
      </c>
    </row>
    <row r="3076" spans="1:5">
      <c r="A3076">
        <f>HYPERLINK("http://www.twitter.com/FDNY/status/717193121927401472", "717193121927401472")</f>
        <v>0</v>
      </c>
      <c r="B3076" s="2">
        <v>42465.1474421296</v>
      </c>
      <c r="C3076">
        <v>0</v>
      </c>
      <c r="D3076">
        <v>1</v>
      </c>
      <c r="E3076" t="s">
        <v>3021</v>
      </c>
    </row>
    <row r="3077" spans="1:5">
      <c r="A3077">
        <f>HYPERLINK("http://www.twitter.com/FDNY/status/717140877550989313", "717140877550989313")</f>
        <v>0</v>
      </c>
      <c r="B3077" s="2">
        <v>42465.003275463</v>
      </c>
      <c r="C3077">
        <v>11</v>
      </c>
      <c r="D3077">
        <v>9</v>
      </c>
      <c r="E3077" t="s">
        <v>3022</v>
      </c>
    </row>
    <row r="3078" spans="1:5">
      <c r="A3078">
        <f>HYPERLINK("http://www.twitter.com/FDNY/status/717140520963846145", "717140520963846145")</f>
        <v>0</v>
      </c>
      <c r="B3078" s="2">
        <v>42465.0022916667</v>
      </c>
      <c r="C3078">
        <v>17</v>
      </c>
      <c r="D3078">
        <v>11</v>
      </c>
      <c r="E3078" t="s">
        <v>3023</v>
      </c>
    </row>
    <row r="3079" spans="1:5">
      <c r="A3079">
        <f>HYPERLINK("http://www.twitter.com/FDNY/status/717127858901151744", "717127858901151744")</f>
        <v>0</v>
      </c>
      <c r="B3079" s="2">
        <v>42464.967349537</v>
      </c>
      <c r="C3079">
        <v>15</v>
      </c>
      <c r="D3079">
        <v>11</v>
      </c>
      <c r="E3079" t="s">
        <v>3024</v>
      </c>
    </row>
    <row r="3080" spans="1:5">
      <c r="A3080">
        <f>HYPERLINK("http://www.twitter.com/FDNY/status/717102340470411265", "717102340470411265")</f>
        <v>0</v>
      </c>
      <c r="B3080" s="2">
        <v>42464.8969328704</v>
      </c>
      <c r="C3080">
        <v>0</v>
      </c>
      <c r="D3080">
        <v>19</v>
      </c>
      <c r="E3080" t="s">
        <v>3025</v>
      </c>
    </row>
    <row r="3081" spans="1:5">
      <c r="A3081">
        <f>HYPERLINK("http://www.twitter.com/FDNY/status/717093331508006914", "717093331508006914")</f>
        <v>0</v>
      </c>
      <c r="B3081" s="2">
        <v>42464.8720717593</v>
      </c>
      <c r="C3081">
        <v>0</v>
      </c>
      <c r="D3081">
        <v>4</v>
      </c>
      <c r="E3081" t="s">
        <v>3026</v>
      </c>
    </row>
    <row r="3082" spans="1:5">
      <c r="A3082">
        <f>HYPERLINK("http://www.twitter.com/FDNY/status/717082256930680832", "717082256930680832")</f>
        <v>0</v>
      </c>
      <c r="B3082" s="2">
        <v>42464.8415162037</v>
      </c>
      <c r="C3082">
        <v>17</v>
      </c>
      <c r="D3082">
        <v>6</v>
      </c>
      <c r="E3082" t="s">
        <v>3027</v>
      </c>
    </row>
    <row r="3083" spans="1:5">
      <c r="A3083">
        <f>HYPERLINK("http://www.twitter.com/FDNY/status/717011342700314624", "717011342700314624")</f>
        <v>0</v>
      </c>
      <c r="B3083" s="2">
        <v>42464.6458333333</v>
      </c>
      <c r="C3083">
        <v>17</v>
      </c>
      <c r="D3083">
        <v>8</v>
      </c>
      <c r="E3083" t="s">
        <v>3028</v>
      </c>
    </row>
    <row r="3084" spans="1:5">
      <c r="A3084">
        <f>HYPERLINK("http://www.twitter.com/FDNY/status/717009146730659840", "717009146730659840")</f>
        <v>0</v>
      </c>
      <c r="B3084" s="2">
        <v>42464.6397685185</v>
      </c>
      <c r="C3084">
        <v>43</v>
      </c>
      <c r="D3084">
        <v>10</v>
      </c>
      <c r="E3084" t="s">
        <v>3029</v>
      </c>
    </row>
    <row r="3085" spans="1:5">
      <c r="A3085">
        <f>HYPERLINK("http://www.twitter.com/FDNY/status/717007755584925696", "717007755584925696")</f>
        <v>0</v>
      </c>
      <c r="B3085" s="2">
        <v>42464.6359259259</v>
      </c>
      <c r="C3085">
        <v>24</v>
      </c>
      <c r="D3085">
        <v>20</v>
      </c>
      <c r="E3085" t="s">
        <v>3030</v>
      </c>
    </row>
    <row r="3086" spans="1:5">
      <c r="A3086">
        <f>HYPERLINK("http://www.twitter.com/FDNY/status/717006759198588928", "717006759198588928")</f>
        <v>0</v>
      </c>
      <c r="B3086" s="2">
        <v>42464.6331828704</v>
      </c>
      <c r="C3086">
        <v>40</v>
      </c>
      <c r="D3086">
        <v>25</v>
      </c>
      <c r="E3086" t="s">
        <v>3031</v>
      </c>
    </row>
    <row r="3087" spans="1:5">
      <c r="A3087">
        <f>HYPERLINK("http://www.twitter.com/FDNY/status/717001373989081088", "717001373989081088")</f>
        <v>0</v>
      </c>
      <c r="B3087" s="2">
        <v>42464.6183217593</v>
      </c>
      <c r="C3087">
        <v>20</v>
      </c>
      <c r="D3087">
        <v>5</v>
      </c>
      <c r="E3087" t="s">
        <v>3032</v>
      </c>
    </row>
    <row r="3088" spans="1:5">
      <c r="A3088">
        <f>HYPERLINK("http://www.twitter.com/FDNY/status/716995403389001728", "716995403389001728")</f>
        <v>0</v>
      </c>
      <c r="B3088" s="2">
        <v>42464.6018402778</v>
      </c>
      <c r="C3088">
        <v>30</v>
      </c>
      <c r="D3088">
        <v>15</v>
      </c>
      <c r="E3088" t="s">
        <v>3033</v>
      </c>
    </row>
    <row r="3089" spans="1:5">
      <c r="A3089">
        <f>HYPERLINK("http://www.twitter.com/FDNY/status/716993208451010561", "716993208451010561")</f>
        <v>0</v>
      </c>
      <c r="B3089" s="2">
        <v>42464.595787037</v>
      </c>
      <c r="C3089">
        <v>0</v>
      </c>
      <c r="D3089">
        <v>1</v>
      </c>
      <c r="E3089" t="s">
        <v>3034</v>
      </c>
    </row>
    <row r="3090" spans="1:5">
      <c r="A3090">
        <f>HYPERLINK("http://www.twitter.com/FDNY/status/716827753786576896", "716827753786576896")</f>
        <v>0</v>
      </c>
      <c r="B3090" s="2">
        <v>42464.139224537</v>
      </c>
      <c r="C3090">
        <v>0</v>
      </c>
      <c r="D3090">
        <v>11</v>
      </c>
      <c r="E3090" t="s">
        <v>3035</v>
      </c>
    </row>
    <row r="3091" spans="1:5">
      <c r="A3091">
        <f>HYPERLINK("http://www.twitter.com/FDNY/status/716827710320951300", "716827710320951300")</f>
        <v>0</v>
      </c>
      <c r="B3091" s="2">
        <v>42464.1390972222</v>
      </c>
      <c r="C3091">
        <v>0</v>
      </c>
      <c r="D3091">
        <v>11</v>
      </c>
      <c r="E3091" t="s">
        <v>3036</v>
      </c>
    </row>
    <row r="3092" spans="1:5">
      <c r="A3092">
        <f>HYPERLINK("http://www.twitter.com/FDNY/status/716827699159949312", "716827699159949312")</f>
        <v>0</v>
      </c>
      <c r="B3092" s="2">
        <v>42464.1390740741</v>
      </c>
      <c r="C3092">
        <v>0</v>
      </c>
      <c r="D3092">
        <v>13</v>
      </c>
      <c r="E3092" t="s">
        <v>3037</v>
      </c>
    </row>
    <row r="3093" spans="1:5">
      <c r="A3093">
        <f>HYPERLINK("http://www.twitter.com/FDNY/status/716784813160730624", "716784813160730624")</f>
        <v>0</v>
      </c>
      <c r="B3093" s="2">
        <v>42464.0207291667</v>
      </c>
      <c r="C3093">
        <v>0</v>
      </c>
      <c r="D3093">
        <v>13</v>
      </c>
      <c r="E3093" t="s">
        <v>3038</v>
      </c>
    </row>
    <row r="3094" spans="1:5">
      <c r="A3094">
        <f>HYPERLINK("http://www.twitter.com/FDNY/status/716764793466724352", "716764793466724352")</f>
        <v>0</v>
      </c>
      <c r="B3094" s="2">
        <v>42463.9654861111</v>
      </c>
      <c r="C3094">
        <v>29</v>
      </c>
      <c r="D3094">
        <v>20</v>
      </c>
      <c r="E3094" t="s">
        <v>3039</v>
      </c>
    </row>
    <row r="3095" spans="1:5">
      <c r="A3095">
        <f>HYPERLINK("http://www.twitter.com/FDNY/status/716760528425771008", "716760528425771008")</f>
        <v>0</v>
      </c>
      <c r="B3095" s="2">
        <v>42463.9537152778</v>
      </c>
      <c r="C3095">
        <v>0</v>
      </c>
      <c r="D3095">
        <v>14</v>
      </c>
      <c r="E3095" t="s">
        <v>3040</v>
      </c>
    </row>
    <row r="3096" spans="1:5">
      <c r="A3096">
        <f>HYPERLINK("http://www.twitter.com/FDNY/status/716749954597961728", "716749954597961728")</f>
        <v>0</v>
      </c>
      <c r="B3096" s="2">
        <v>42463.924537037</v>
      </c>
      <c r="C3096">
        <v>45</v>
      </c>
      <c r="D3096">
        <v>33</v>
      </c>
      <c r="E3096" t="s">
        <v>3041</v>
      </c>
    </row>
    <row r="3097" spans="1:5">
      <c r="A3097">
        <f>HYPERLINK("http://www.twitter.com/FDNY/status/716739926155468800", "716739926155468800")</f>
        <v>0</v>
      </c>
      <c r="B3097" s="2">
        <v>42463.8968634259</v>
      </c>
      <c r="C3097">
        <v>0</v>
      </c>
      <c r="D3097">
        <v>8</v>
      </c>
      <c r="E3097" t="s">
        <v>3042</v>
      </c>
    </row>
    <row r="3098" spans="1:5">
      <c r="A3098">
        <f>HYPERLINK("http://www.twitter.com/FDNY/status/716732974251827200", "716732974251827200")</f>
        <v>0</v>
      </c>
      <c r="B3098" s="2">
        <v>42463.8776736111</v>
      </c>
      <c r="C3098">
        <v>40</v>
      </c>
      <c r="D3098">
        <v>16</v>
      </c>
      <c r="E3098" t="s">
        <v>3043</v>
      </c>
    </row>
    <row r="3099" spans="1:5">
      <c r="A3099">
        <f>HYPERLINK("http://www.twitter.com/FDNY/status/716728831822983168", "716728831822983168")</f>
        <v>0</v>
      </c>
      <c r="B3099" s="2">
        <v>42463.86625</v>
      </c>
      <c r="C3099">
        <v>29</v>
      </c>
      <c r="D3099">
        <v>31</v>
      </c>
      <c r="E3099" t="s">
        <v>3044</v>
      </c>
    </row>
    <row r="3100" spans="1:5">
      <c r="A3100">
        <f>HYPERLINK("http://www.twitter.com/FDNY/status/716728130568855553", "716728130568855553")</f>
        <v>0</v>
      </c>
      <c r="B3100" s="2">
        <v>42463.8643171296</v>
      </c>
      <c r="C3100">
        <v>37</v>
      </c>
      <c r="D3100">
        <v>19</v>
      </c>
      <c r="E3100" t="s">
        <v>3045</v>
      </c>
    </row>
    <row r="3101" spans="1:5">
      <c r="A3101">
        <f>HYPERLINK("http://www.twitter.com/FDNY/status/716717706305748992", "716717706305748992")</f>
        <v>0</v>
      </c>
      <c r="B3101" s="2">
        <v>42463.8355439815</v>
      </c>
      <c r="C3101">
        <v>0</v>
      </c>
      <c r="D3101">
        <v>13</v>
      </c>
      <c r="E3101" t="s">
        <v>3046</v>
      </c>
    </row>
    <row r="3102" spans="1:5">
      <c r="A3102">
        <f>HYPERLINK("http://www.twitter.com/FDNY/status/716716757491322881", "716716757491322881")</f>
        <v>0</v>
      </c>
      <c r="B3102" s="2">
        <v>42463.8329282407</v>
      </c>
      <c r="C3102">
        <v>0</v>
      </c>
      <c r="D3102">
        <v>7</v>
      </c>
      <c r="E3102" t="s">
        <v>3047</v>
      </c>
    </row>
    <row r="3103" spans="1:5">
      <c r="A3103">
        <f>HYPERLINK("http://www.twitter.com/FDNY/status/716674724735107072", "716674724735107072")</f>
        <v>0</v>
      </c>
      <c r="B3103" s="2">
        <v>42463.7169444444</v>
      </c>
      <c r="C3103">
        <v>0</v>
      </c>
      <c r="D3103">
        <v>9</v>
      </c>
      <c r="E3103" t="s">
        <v>3048</v>
      </c>
    </row>
    <row r="3104" spans="1:5">
      <c r="A3104">
        <f>HYPERLINK("http://www.twitter.com/FDNY/status/716645297036902400", "716645297036902400")</f>
        <v>0</v>
      </c>
      <c r="B3104" s="2">
        <v>42463.6357407407</v>
      </c>
      <c r="C3104">
        <v>20</v>
      </c>
      <c r="D3104">
        <v>8</v>
      </c>
      <c r="E3104" t="s">
        <v>3049</v>
      </c>
    </row>
    <row r="3105" spans="1:5">
      <c r="A3105">
        <f>HYPERLINK("http://www.twitter.com/FDNY/status/716638000319500288", "716638000319500288")</f>
        <v>0</v>
      </c>
      <c r="B3105" s="2">
        <v>42463.6156018519</v>
      </c>
      <c r="C3105">
        <v>28</v>
      </c>
      <c r="D3105">
        <v>27</v>
      </c>
      <c r="E3105" t="s">
        <v>3050</v>
      </c>
    </row>
    <row r="3106" spans="1:5">
      <c r="A3106">
        <f>HYPERLINK("http://www.twitter.com/FDNY/status/716427604899848193", "716427604899848193")</f>
        <v>0</v>
      </c>
      <c r="B3106" s="2">
        <v>42463.0350231481</v>
      </c>
      <c r="C3106">
        <v>18</v>
      </c>
      <c r="D3106">
        <v>9</v>
      </c>
      <c r="E3106" t="s">
        <v>3051</v>
      </c>
    </row>
    <row r="3107" spans="1:5">
      <c r="A3107">
        <f>HYPERLINK("http://www.twitter.com/FDNY/status/716386435734052864", "716386435734052864")</f>
        <v>0</v>
      </c>
      <c r="B3107" s="2">
        <v>42462.921412037</v>
      </c>
      <c r="C3107">
        <v>26</v>
      </c>
      <c r="D3107">
        <v>22</v>
      </c>
      <c r="E3107" t="s">
        <v>3052</v>
      </c>
    </row>
    <row r="3108" spans="1:5">
      <c r="A3108">
        <f>HYPERLINK("http://www.twitter.com/FDNY/status/716266511548153856", "716266511548153856")</f>
        <v>0</v>
      </c>
      <c r="B3108" s="2">
        <v>42462.5904861111</v>
      </c>
      <c r="C3108">
        <v>95</v>
      </c>
      <c r="D3108">
        <v>94</v>
      </c>
      <c r="E3108" t="s">
        <v>3053</v>
      </c>
    </row>
    <row r="3109" spans="1:5">
      <c r="A3109">
        <f>HYPERLINK("http://www.twitter.com/FDNY/status/716265244440543237", "716265244440543237")</f>
        <v>0</v>
      </c>
      <c r="B3109" s="2">
        <v>42462.5869907407</v>
      </c>
      <c r="C3109">
        <v>44</v>
      </c>
      <c r="D3109">
        <v>16</v>
      </c>
      <c r="E3109" t="s">
        <v>3054</v>
      </c>
    </row>
    <row r="3110" spans="1:5">
      <c r="A3110">
        <f>HYPERLINK("http://www.twitter.com/FDNY/status/716025205475385344", "716025205475385344")</f>
        <v>0</v>
      </c>
      <c r="B3110" s="2">
        <v>42461.9246064815</v>
      </c>
      <c r="C3110">
        <v>9</v>
      </c>
      <c r="D3110">
        <v>2</v>
      </c>
      <c r="E3110" t="s">
        <v>3055</v>
      </c>
    </row>
    <row r="3111" spans="1:5">
      <c r="A3111">
        <f>HYPERLINK("http://www.twitter.com/FDNY/status/715999519423467520", "715999519423467520")</f>
        <v>0</v>
      </c>
      <c r="B3111" s="2">
        <v>42461.8537268518</v>
      </c>
      <c r="C3111">
        <v>20</v>
      </c>
      <c r="D3111">
        <v>7</v>
      </c>
      <c r="E3111" t="s">
        <v>3056</v>
      </c>
    </row>
    <row r="3112" spans="1:5">
      <c r="A3112">
        <f>HYPERLINK("http://www.twitter.com/FDNY/status/715988016683171840", "715988016683171840")</f>
        <v>0</v>
      </c>
      <c r="B3112" s="2">
        <v>42461.8219907407</v>
      </c>
      <c r="C3112">
        <v>3</v>
      </c>
      <c r="D3112">
        <v>3</v>
      </c>
      <c r="E3112" t="s">
        <v>3057</v>
      </c>
    </row>
    <row r="3113" spans="1:5">
      <c r="A3113">
        <f>HYPERLINK("http://www.twitter.com/FDNY/status/715944846750560257", "715944846750560257")</f>
        <v>0</v>
      </c>
      <c r="B3113" s="2">
        <v>42461.7028587963</v>
      </c>
      <c r="C3113">
        <v>0</v>
      </c>
      <c r="D3113">
        <v>3</v>
      </c>
      <c r="E3113" t="s">
        <v>3058</v>
      </c>
    </row>
    <row r="3114" spans="1:5">
      <c r="A3114">
        <f>HYPERLINK("http://www.twitter.com/FDNY/status/715904811355471873", "715904811355471873")</f>
        <v>0</v>
      </c>
      <c r="B3114" s="2">
        <v>42461.5923842593</v>
      </c>
      <c r="C3114">
        <v>9</v>
      </c>
      <c r="D3114">
        <v>9</v>
      </c>
      <c r="E3114" t="s">
        <v>3059</v>
      </c>
    </row>
    <row r="3115" spans="1:5">
      <c r="A3115">
        <f>HYPERLINK("http://www.twitter.com/FDNY/status/715713289410502657", "715713289410502657")</f>
        <v>0</v>
      </c>
      <c r="B3115" s="2">
        <v>42461.0638888889</v>
      </c>
      <c r="C3115">
        <v>0</v>
      </c>
      <c r="D3115">
        <v>11</v>
      </c>
      <c r="E3115" t="s">
        <v>3060</v>
      </c>
    </row>
    <row r="3116" spans="1:5">
      <c r="A3116">
        <f>HYPERLINK("http://www.twitter.com/FDNY/status/715712357566119936", "715712357566119936")</f>
        <v>0</v>
      </c>
      <c r="B3116" s="2">
        <v>42461.0613078704</v>
      </c>
      <c r="C3116">
        <v>17</v>
      </c>
      <c r="D3116">
        <v>11</v>
      </c>
      <c r="E3116" t="s">
        <v>3061</v>
      </c>
    </row>
    <row r="3117" spans="1:5">
      <c r="A3117">
        <f>HYPERLINK("http://www.twitter.com/FDNY/status/715711026495426560", "715711026495426560")</f>
        <v>0</v>
      </c>
      <c r="B3117" s="2">
        <v>42461.0576388889</v>
      </c>
      <c r="C3117">
        <v>23</v>
      </c>
      <c r="D3117">
        <v>10</v>
      </c>
      <c r="E3117" t="s">
        <v>3062</v>
      </c>
    </row>
    <row r="3118" spans="1:5">
      <c r="A3118">
        <f>HYPERLINK("http://www.twitter.com/FDNY/status/715702665464922112", "715702665464922112")</f>
        <v>0</v>
      </c>
      <c r="B3118" s="2">
        <v>42461.0345717593</v>
      </c>
      <c r="C3118">
        <v>0</v>
      </c>
      <c r="D3118">
        <v>3</v>
      </c>
      <c r="E3118" t="s">
        <v>3063</v>
      </c>
    </row>
    <row r="3119" spans="1:5">
      <c r="A3119">
        <f>HYPERLINK("http://www.twitter.com/FDNY/status/715688928435703808", "715688928435703808")</f>
        <v>0</v>
      </c>
      <c r="B3119" s="2">
        <v>42460.9966666667</v>
      </c>
      <c r="C3119">
        <v>31</v>
      </c>
      <c r="D3119">
        <v>11</v>
      </c>
      <c r="E3119" t="s">
        <v>3064</v>
      </c>
    </row>
    <row r="3120" spans="1:5">
      <c r="A3120">
        <f>HYPERLINK("http://www.twitter.com/FDNY/status/715679950980923393", "715679950980923393")</f>
        <v>0</v>
      </c>
      <c r="B3120" s="2">
        <v>42460.9718865741</v>
      </c>
      <c r="C3120">
        <v>0</v>
      </c>
      <c r="D3120">
        <v>6</v>
      </c>
      <c r="E3120" t="s">
        <v>3065</v>
      </c>
    </row>
    <row r="3121" spans="1:5">
      <c r="A3121">
        <f>HYPERLINK("http://www.twitter.com/FDNY/status/715679012304068609", "715679012304068609")</f>
        <v>0</v>
      </c>
      <c r="B3121" s="2">
        <v>42460.9692939815</v>
      </c>
      <c r="C3121">
        <v>0</v>
      </c>
      <c r="D3121">
        <v>4</v>
      </c>
      <c r="E3121" t="s">
        <v>3066</v>
      </c>
    </row>
    <row r="3122" spans="1:5">
      <c r="A3122">
        <f>HYPERLINK("http://www.twitter.com/FDNY/status/715677194056548352", "715677194056548352")</f>
        <v>0</v>
      </c>
      <c r="B3122" s="2">
        <v>42460.9642824074</v>
      </c>
      <c r="C3122">
        <v>0</v>
      </c>
      <c r="D3122">
        <v>4</v>
      </c>
      <c r="E3122" t="s">
        <v>3067</v>
      </c>
    </row>
    <row r="3123" spans="1:5">
      <c r="A3123">
        <f>HYPERLINK("http://www.twitter.com/FDNY/status/715664739876126721", "715664739876126721")</f>
        <v>0</v>
      </c>
      <c r="B3123" s="2">
        <v>42460.9299189815</v>
      </c>
      <c r="C3123">
        <v>0</v>
      </c>
      <c r="D3123">
        <v>16</v>
      </c>
      <c r="E3123" t="s">
        <v>3068</v>
      </c>
    </row>
    <row r="3124" spans="1:5">
      <c r="A3124">
        <f>HYPERLINK("http://www.twitter.com/FDNY/status/715658354182463489", "715658354182463489")</f>
        <v>0</v>
      </c>
      <c r="B3124" s="2">
        <v>42460.9122916667</v>
      </c>
      <c r="C3124">
        <v>0</v>
      </c>
      <c r="D3124">
        <v>6</v>
      </c>
      <c r="E3124" t="s">
        <v>3069</v>
      </c>
    </row>
    <row r="3125" spans="1:5">
      <c r="A3125">
        <f>HYPERLINK("http://www.twitter.com/FDNY/status/715652246290227200", "715652246290227200")</f>
        <v>0</v>
      </c>
      <c r="B3125" s="2">
        <v>42460.8954398148</v>
      </c>
      <c r="C3125">
        <v>34</v>
      </c>
      <c r="D3125">
        <v>6</v>
      </c>
      <c r="E3125" t="s">
        <v>3070</v>
      </c>
    </row>
    <row r="3126" spans="1:5">
      <c r="A3126">
        <f>HYPERLINK("http://www.twitter.com/FDNY/status/715635267391119361", "715635267391119361")</f>
        <v>0</v>
      </c>
      <c r="B3126" s="2">
        <v>42460.848587963</v>
      </c>
      <c r="C3126">
        <v>0</v>
      </c>
      <c r="D3126">
        <v>5</v>
      </c>
      <c r="E3126" t="s">
        <v>3071</v>
      </c>
    </row>
    <row r="3127" spans="1:5">
      <c r="A3127">
        <f>HYPERLINK("http://www.twitter.com/FDNY/status/715632826528505856", "715632826528505856")</f>
        <v>0</v>
      </c>
      <c r="B3127" s="2">
        <v>42460.8418518519</v>
      </c>
      <c r="C3127">
        <v>0</v>
      </c>
      <c r="D3127">
        <v>3</v>
      </c>
      <c r="E3127" t="s">
        <v>3072</v>
      </c>
    </row>
    <row r="3128" spans="1:5">
      <c r="A3128">
        <f>HYPERLINK("http://www.twitter.com/FDNY/status/715615839131734016", "715615839131734016")</f>
        <v>0</v>
      </c>
      <c r="B3128" s="2">
        <v>42460.7949768519</v>
      </c>
      <c r="C3128">
        <v>25</v>
      </c>
      <c r="D3128">
        <v>8</v>
      </c>
      <c r="E3128" t="s">
        <v>3073</v>
      </c>
    </row>
    <row r="3129" spans="1:5">
      <c r="A3129">
        <f>HYPERLINK("http://www.twitter.com/FDNY/status/715614918339387393", "715614918339387393")</f>
        <v>0</v>
      </c>
      <c r="B3129" s="2">
        <v>42460.7924305556</v>
      </c>
      <c r="C3129">
        <v>108</v>
      </c>
      <c r="D3129">
        <v>37</v>
      </c>
      <c r="E3129" t="s">
        <v>3074</v>
      </c>
    </row>
    <row r="3130" spans="1:5">
      <c r="A3130">
        <f>HYPERLINK("http://www.twitter.com/FDNY/status/715614203151781889", "715614203151781889")</f>
        <v>0</v>
      </c>
      <c r="B3130" s="2">
        <v>42460.790462963</v>
      </c>
      <c r="C3130">
        <v>11</v>
      </c>
      <c r="D3130">
        <v>4</v>
      </c>
      <c r="E3130" t="s">
        <v>3075</v>
      </c>
    </row>
    <row r="3131" spans="1:5">
      <c r="A3131">
        <f>HYPERLINK("http://www.twitter.com/FDNY/status/715608226008588288", "715608226008588288")</f>
        <v>0</v>
      </c>
      <c r="B3131" s="2">
        <v>42460.7739699074</v>
      </c>
      <c r="C3131">
        <v>16</v>
      </c>
      <c r="D3131">
        <v>13</v>
      </c>
      <c r="E3131" t="s">
        <v>3076</v>
      </c>
    </row>
    <row r="3132" spans="1:5">
      <c r="A3132">
        <f>HYPERLINK("http://www.twitter.com/FDNY/status/715574880784293889", "715574880784293889")</f>
        <v>0</v>
      </c>
      <c r="B3132" s="2">
        <v>42460.6819444444</v>
      </c>
      <c r="C3132">
        <v>17</v>
      </c>
      <c r="D3132">
        <v>7</v>
      </c>
      <c r="E3132" t="s">
        <v>3077</v>
      </c>
    </row>
    <row r="3133" spans="1:5">
      <c r="A3133">
        <f>HYPERLINK("http://www.twitter.com/FDNY/status/715574307615801344", "715574307615801344")</f>
        <v>0</v>
      </c>
      <c r="B3133" s="2">
        <v>42460.6803703704</v>
      </c>
      <c r="C3133">
        <v>16</v>
      </c>
      <c r="D3133">
        <v>6</v>
      </c>
      <c r="E3133" t="s">
        <v>3078</v>
      </c>
    </row>
    <row r="3134" spans="1:5">
      <c r="A3134">
        <f>HYPERLINK("http://www.twitter.com/FDNY/status/715543984517550080", "715543984517550080")</f>
        <v>0</v>
      </c>
      <c r="B3134" s="2">
        <v>42460.5966898148</v>
      </c>
      <c r="C3134">
        <v>21</v>
      </c>
      <c r="D3134">
        <v>14</v>
      </c>
      <c r="E3134" t="s">
        <v>3079</v>
      </c>
    </row>
    <row r="3135" spans="1:5">
      <c r="A3135">
        <f>HYPERLINK("http://www.twitter.com/FDNY/status/715539554279759872", "715539554279759872")</f>
        <v>0</v>
      </c>
      <c r="B3135" s="2">
        <v>42460.5844675926</v>
      </c>
      <c r="C3135">
        <v>18</v>
      </c>
      <c r="D3135">
        <v>4</v>
      </c>
      <c r="E3135" t="s">
        <v>3080</v>
      </c>
    </row>
    <row r="3136" spans="1:5">
      <c r="A3136">
        <f>HYPERLINK("http://www.twitter.com/FDNY/status/715532904009494528", "715532904009494528")</f>
        <v>0</v>
      </c>
      <c r="B3136" s="2">
        <v>42460.5661111111</v>
      </c>
      <c r="C3136">
        <v>0</v>
      </c>
      <c r="D3136">
        <v>6</v>
      </c>
      <c r="E3136" t="s">
        <v>3081</v>
      </c>
    </row>
    <row r="3137" spans="1:5">
      <c r="A3137">
        <f>HYPERLINK("http://www.twitter.com/FDNY/status/715354345508888576", "715354345508888576")</f>
        <v>0</v>
      </c>
      <c r="B3137" s="2">
        <v>42460.0733912037</v>
      </c>
      <c r="C3137">
        <v>0</v>
      </c>
      <c r="D3137">
        <v>26</v>
      </c>
      <c r="E3137" t="s">
        <v>3082</v>
      </c>
    </row>
    <row r="3138" spans="1:5">
      <c r="A3138">
        <f>HYPERLINK("http://www.twitter.com/FDNY/status/715354225086230528", "715354225086230528")</f>
        <v>0</v>
      </c>
      <c r="B3138" s="2">
        <v>42460.0730555556</v>
      </c>
      <c r="C3138">
        <v>0</v>
      </c>
      <c r="D3138">
        <v>6</v>
      </c>
      <c r="E3138" t="s">
        <v>3083</v>
      </c>
    </row>
    <row r="3139" spans="1:5">
      <c r="A3139">
        <f>HYPERLINK("http://www.twitter.com/FDNY/status/715354124657803268", "715354124657803268")</f>
        <v>0</v>
      </c>
      <c r="B3139" s="2">
        <v>42460.0727777778</v>
      </c>
      <c r="C3139">
        <v>0</v>
      </c>
      <c r="D3139">
        <v>10</v>
      </c>
      <c r="E3139" t="s">
        <v>3084</v>
      </c>
    </row>
    <row r="3140" spans="1:5">
      <c r="A3140">
        <f>HYPERLINK("http://www.twitter.com/FDNY/status/715333104135581696", "715333104135581696")</f>
        <v>0</v>
      </c>
      <c r="B3140" s="2">
        <v>42460.0147685185</v>
      </c>
      <c r="C3140">
        <v>23</v>
      </c>
      <c r="D3140">
        <v>13</v>
      </c>
      <c r="E3140" t="s">
        <v>3085</v>
      </c>
    </row>
    <row r="3141" spans="1:5">
      <c r="A3141">
        <f>HYPERLINK("http://www.twitter.com/FDNY/status/715293479497297920", "715293479497297920")</f>
        <v>0</v>
      </c>
      <c r="B3141" s="2">
        <v>42459.9054282407</v>
      </c>
      <c r="C3141">
        <v>0</v>
      </c>
      <c r="D3141">
        <v>8</v>
      </c>
      <c r="E3141" t="s">
        <v>3086</v>
      </c>
    </row>
    <row r="3142" spans="1:5">
      <c r="A3142">
        <f>HYPERLINK("http://www.twitter.com/FDNY/status/715279660876218368", "715279660876218368")</f>
        <v>0</v>
      </c>
      <c r="B3142" s="2">
        <v>42459.8673032407</v>
      </c>
      <c r="C3142">
        <v>29</v>
      </c>
      <c r="D3142">
        <v>6</v>
      </c>
      <c r="E3142" t="s">
        <v>3087</v>
      </c>
    </row>
    <row r="3143" spans="1:5">
      <c r="A3143">
        <f>HYPERLINK("http://www.twitter.com/FDNY/status/715279254653640706", "715279254653640706")</f>
        <v>0</v>
      </c>
      <c r="B3143" s="2">
        <v>42459.8661805556</v>
      </c>
      <c r="C3143">
        <v>34</v>
      </c>
      <c r="D3143">
        <v>20</v>
      </c>
      <c r="E3143" t="s">
        <v>3088</v>
      </c>
    </row>
    <row r="3144" spans="1:5">
      <c r="A3144">
        <f>HYPERLINK("http://www.twitter.com/FDNY/status/715278671376990208", "715278671376990208")</f>
        <v>0</v>
      </c>
      <c r="B3144" s="2">
        <v>42459.8645717593</v>
      </c>
      <c r="C3144">
        <v>0</v>
      </c>
      <c r="D3144">
        <v>7</v>
      </c>
      <c r="E3144" t="s">
        <v>3089</v>
      </c>
    </row>
    <row r="3145" spans="1:5">
      <c r="A3145">
        <f>HYPERLINK("http://www.twitter.com/FDNY/status/715275763726041089", "715275763726041089")</f>
        <v>0</v>
      </c>
      <c r="B3145" s="2">
        <v>42459.8565393519</v>
      </c>
      <c r="C3145">
        <v>59</v>
      </c>
      <c r="D3145">
        <v>14</v>
      </c>
      <c r="E3145" t="s">
        <v>3090</v>
      </c>
    </row>
    <row r="3146" spans="1:5">
      <c r="A3146">
        <f>HYPERLINK("http://www.twitter.com/FDNY/status/715274064592576512", "715274064592576512")</f>
        <v>0</v>
      </c>
      <c r="B3146" s="2">
        <v>42459.8518518519</v>
      </c>
      <c r="C3146">
        <v>23</v>
      </c>
      <c r="D3146">
        <v>7</v>
      </c>
      <c r="E3146" t="s">
        <v>3091</v>
      </c>
    </row>
    <row r="3147" spans="1:5">
      <c r="A3147">
        <f>HYPERLINK("http://www.twitter.com/FDNY/status/715268020810153985", "715268020810153985")</f>
        <v>0</v>
      </c>
      <c r="B3147" s="2">
        <v>42459.8351736111</v>
      </c>
      <c r="C3147">
        <v>25</v>
      </c>
      <c r="D3147">
        <v>18</v>
      </c>
      <c r="E3147" t="s">
        <v>3092</v>
      </c>
    </row>
    <row r="3148" spans="1:5">
      <c r="A3148">
        <f>HYPERLINK("http://www.twitter.com/FDNY/status/715254285139836930", "715254285139836930")</f>
        <v>0</v>
      </c>
      <c r="B3148" s="2">
        <v>42459.7972800926</v>
      </c>
      <c r="C3148">
        <v>0</v>
      </c>
      <c r="D3148">
        <v>2</v>
      </c>
      <c r="E3148" t="s">
        <v>3093</v>
      </c>
    </row>
    <row r="3149" spans="1:5">
      <c r="A3149">
        <f>HYPERLINK("http://www.twitter.com/FDNY/status/715229936131383301", "715229936131383301")</f>
        <v>0</v>
      </c>
      <c r="B3149" s="2">
        <v>42459.7300810185</v>
      </c>
      <c r="C3149">
        <v>115</v>
      </c>
      <c r="D3149">
        <v>42</v>
      </c>
      <c r="E3149" t="s">
        <v>3094</v>
      </c>
    </row>
    <row r="3150" spans="1:5">
      <c r="A3150">
        <f>HYPERLINK("http://www.twitter.com/FDNY/status/715200588838014976", "715200588838014976")</f>
        <v>0</v>
      </c>
      <c r="B3150" s="2">
        <v>42459.6490972222</v>
      </c>
      <c r="C3150">
        <v>6</v>
      </c>
      <c r="D3150">
        <v>4</v>
      </c>
      <c r="E3150" t="s">
        <v>3095</v>
      </c>
    </row>
    <row r="3151" spans="1:5">
      <c r="A3151">
        <f>HYPERLINK("http://www.twitter.com/FDNY/status/715198374245478401", "715198374245478401")</f>
        <v>0</v>
      </c>
      <c r="B3151" s="2">
        <v>42459.6429861111</v>
      </c>
      <c r="C3151">
        <v>28</v>
      </c>
      <c r="D3151">
        <v>9</v>
      </c>
      <c r="E3151" t="s">
        <v>3096</v>
      </c>
    </row>
    <row r="3152" spans="1:5">
      <c r="A3152">
        <f>HYPERLINK("http://www.twitter.com/FDNY/status/715198263188656129", "715198263188656129")</f>
        <v>0</v>
      </c>
      <c r="B3152" s="2">
        <v>42459.6426851852</v>
      </c>
      <c r="C3152">
        <v>19</v>
      </c>
      <c r="D3152">
        <v>4</v>
      </c>
      <c r="E3152" t="s">
        <v>3097</v>
      </c>
    </row>
    <row r="3153" spans="1:5">
      <c r="A3153">
        <f>HYPERLINK("http://www.twitter.com/FDNY/status/715196080816832513", "715196080816832513")</f>
        <v>0</v>
      </c>
      <c r="B3153" s="2">
        <v>42459.6366666667</v>
      </c>
      <c r="C3153">
        <v>17</v>
      </c>
      <c r="D3153">
        <v>9</v>
      </c>
      <c r="E3153" t="s">
        <v>3098</v>
      </c>
    </row>
    <row r="3154" spans="1:5">
      <c r="A3154">
        <f>HYPERLINK("http://www.twitter.com/FDNY/status/715196030896234497", "715196030896234497")</f>
        <v>0</v>
      </c>
      <c r="B3154" s="2">
        <v>42459.6365277778</v>
      </c>
      <c r="C3154">
        <v>14</v>
      </c>
      <c r="D3154">
        <v>6</v>
      </c>
      <c r="E3154" t="s">
        <v>3099</v>
      </c>
    </row>
    <row r="3155" spans="1:5">
      <c r="A3155">
        <f>HYPERLINK("http://www.twitter.com/FDNY/status/715195399649275904", "715195399649275904")</f>
        <v>0</v>
      </c>
      <c r="B3155" s="2">
        <v>42459.6347800926</v>
      </c>
      <c r="C3155">
        <v>0</v>
      </c>
      <c r="D3155">
        <v>1</v>
      </c>
      <c r="E3155" t="s">
        <v>3100</v>
      </c>
    </row>
    <row r="3156" spans="1:5">
      <c r="A3156">
        <f>HYPERLINK("http://www.twitter.com/FDNY/status/715193560954486784", "715193560954486784")</f>
        <v>0</v>
      </c>
      <c r="B3156" s="2">
        <v>42459.6297106482</v>
      </c>
      <c r="C3156">
        <v>45</v>
      </c>
      <c r="D3156">
        <v>27</v>
      </c>
      <c r="E3156" t="s">
        <v>3101</v>
      </c>
    </row>
    <row r="3157" spans="1:5">
      <c r="A3157">
        <f>HYPERLINK("http://www.twitter.com/FDNY/status/715193018773594112", "715193018773594112")</f>
        <v>0</v>
      </c>
      <c r="B3157" s="2">
        <v>42459.6282060185</v>
      </c>
      <c r="C3157">
        <v>8</v>
      </c>
      <c r="D3157">
        <v>4</v>
      </c>
      <c r="E3157" t="s">
        <v>3102</v>
      </c>
    </row>
    <row r="3158" spans="1:5">
      <c r="A3158">
        <f>HYPERLINK("http://www.twitter.com/FDNY/status/715034953382236160", "715034953382236160")</f>
        <v>0</v>
      </c>
      <c r="B3158" s="2">
        <v>42459.192037037</v>
      </c>
      <c r="C3158">
        <v>35</v>
      </c>
      <c r="D3158">
        <v>24</v>
      </c>
      <c r="E3158" t="s">
        <v>3103</v>
      </c>
    </row>
    <row r="3159" spans="1:5">
      <c r="A3159">
        <f>HYPERLINK("http://www.twitter.com/FDNY/status/715034468315217921", "715034468315217921")</f>
        <v>0</v>
      </c>
      <c r="B3159" s="2">
        <v>42459.1906944444</v>
      </c>
      <c r="C3159">
        <v>0</v>
      </c>
      <c r="D3159">
        <v>20</v>
      </c>
      <c r="E3159" t="s">
        <v>3104</v>
      </c>
    </row>
    <row r="3160" spans="1:5">
      <c r="A3160">
        <f>HYPERLINK("http://www.twitter.com/FDNY/status/715034168829288449", "715034168829288449")</f>
        <v>0</v>
      </c>
      <c r="B3160" s="2">
        <v>42459.1898726852</v>
      </c>
      <c r="C3160">
        <v>26</v>
      </c>
      <c r="D3160">
        <v>31</v>
      </c>
      <c r="E3160" t="s">
        <v>3105</v>
      </c>
    </row>
    <row r="3161" spans="1:5">
      <c r="A3161">
        <f>HYPERLINK("http://www.twitter.com/FDNY/status/715016480396591104", "715016480396591104")</f>
        <v>0</v>
      </c>
      <c r="B3161" s="2">
        <v>42459.1410532407</v>
      </c>
      <c r="C3161">
        <v>0</v>
      </c>
      <c r="D3161">
        <v>24</v>
      </c>
      <c r="E3161" t="s">
        <v>3106</v>
      </c>
    </row>
    <row r="3162" spans="1:5">
      <c r="A3162">
        <f>HYPERLINK("http://www.twitter.com/FDNY/status/715007748392488960", "715007748392488960")</f>
        <v>0</v>
      </c>
      <c r="B3162" s="2">
        <v>42459.1169675926</v>
      </c>
      <c r="C3162">
        <v>14</v>
      </c>
      <c r="D3162">
        <v>9</v>
      </c>
      <c r="E3162" t="s">
        <v>3107</v>
      </c>
    </row>
    <row r="3163" spans="1:5">
      <c r="A3163">
        <f>HYPERLINK("http://www.twitter.com/FDNY/status/715006729692581888", "715006729692581888")</f>
        <v>0</v>
      </c>
      <c r="B3163" s="2">
        <v>42459.1141550926</v>
      </c>
      <c r="C3163">
        <v>43</v>
      </c>
      <c r="D3163">
        <v>38</v>
      </c>
      <c r="E3163" t="s">
        <v>3108</v>
      </c>
    </row>
    <row r="3164" spans="1:5">
      <c r="A3164">
        <f>HYPERLINK("http://www.twitter.com/FDNY/status/714995324729888768", "714995324729888768")</f>
        <v>0</v>
      </c>
      <c r="B3164" s="2">
        <v>42459.0826851852</v>
      </c>
      <c r="C3164">
        <v>0</v>
      </c>
      <c r="D3164">
        <v>2</v>
      </c>
      <c r="E3164" t="s">
        <v>3109</v>
      </c>
    </row>
    <row r="3165" spans="1:5">
      <c r="A3165">
        <f>HYPERLINK("http://www.twitter.com/FDNY/status/714931521434550272", "714931521434550272")</f>
        <v>0</v>
      </c>
      <c r="B3165" s="2">
        <v>42458.9066203704</v>
      </c>
      <c r="C3165">
        <v>0</v>
      </c>
      <c r="D3165">
        <v>2</v>
      </c>
      <c r="E3165" t="s">
        <v>3110</v>
      </c>
    </row>
    <row r="3166" spans="1:5">
      <c r="A3166">
        <f>HYPERLINK("http://www.twitter.com/FDNY/status/714927045923311616", "714927045923311616")</f>
        <v>0</v>
      </c>
      <c r="B3166" s="2">
        <v>42458.8942708333</v>
      </c>
      <c r="C3166">
        <v>20</v>
      </c>
      <c r="D3166">
        <v>12</v>
      </c>
      <c r="E3166" t="s">
        <v>3111</v>
      </c>
    </row>
    <row r="3167" spans="1:5">
      <c r="A3167">
        <f>HYPERLINK("http://www.twitter.com/FDNY/status/714908753452277760", "714908753452277760")</f>
        <v>0</v>
      </c>
      <c r="B3167" s="2">
        <v>42458.8437847222</v>
      </c>
      <c r="C3167">
        <v>0</v>
      </c>
      <c r="D3167">
        <v>74</v>
      </c>
      <c r="E3167" t="s">
        <v>3112</v>
      </c>
    </row>
    <row r="3168" spans="1:5">
      <c r="A3168">
        <f>HYPERLINK("http://www.twitter.com/FDNY/status/714863009601089536", "714863009601089536")</f>
        <v>0</v>
      </c>
      <c r="B3168" s="2">
        <v>42458.7175578704</v>
      </c>
      <c r="C3168">
        <v>0</v>
      </c>
      <c r="D3168">
        <v>5</v>
      </c>
      <c r="E3168" t="s">
        <v>3113</v>
      </c>
    </row>
    <row r="3169" spans="1:5">
      <c r="A3169">
        <f>HYPERLINK("http://www.twitter.com/FDNY/status/714827738113245185", "714827738113245185")</f>
        <v>0</v>
      </c>
      <c r="B3169" s="2">
        <v>42458.6202314815</v>
      </c>
      <c r="C3169">
        <v>19</v>
      </c>
      <c r="D3169">
        <v>20</v>
      </c>
      <c r="E3169" t="s">
        <v>3114</v>
      </c>
    </row>
    <row r="3170" spans="1:5">
      <c r="A3170">
        <f>HYPERLINK("http://www.twitter.com/FDNY/status/714827108560797696", "714827108560797696")</f>
        <v>0</v>
      </c>
      <c r="B3170" s="2">
        <v>42458.6184953704</v>
      </c>
      <c r="C3170">
        <v>12</v>
      </c>
      <c r="D3170">
        <v>5</v>
      </c>
      <c r="E3170" t="s">
        <v>3115</v>
      </c>
    </row>
    <row r="3171" spans="1:5">
      <c r="A3171">
        <f>HYPERLINK("http://www.twitter.com/FDNY/status/714825951436259328", "714825951436259328")</f>
        <v>0</v>
      </c>
      <c r="B3171" s="2">
        <v>42458.6153009259</v>
      </c>
      <c r="C3171">
        <v>7</v>
      </c>
      <c r="D3171">
        <v>8</v>
      </c>
      <c r="E3171" t="s">
        <v>3116</v>
      </c>
    </row>
    <row r="3172" spans="1:5">
      <c r="A3172">
        <f>HYPERLINK("http://www.twitter.com/FDNY/status/714821776665128962", "714821776665128962")</f>
        <v>0</v>
      </c>
      <c r="B3172" s="2">
        <v>42458.6037731481</v>
      </c>
      <c r="C3172">
        <v>0</v>
      </c>
      <c r="D3172">
        <v>2</v>
      </c>
      <c r="E3172" t="s">
        <v>3117</v>
      </c>
    </row>
    <row r="3173" spans="1:5">
      <c r="A3173">
        <f>HYPERLINK("http://www.twitter.com/FDNY/status/714813905445527553", "714813905445527553")</f>
        <v>0</v>
      </c>
      <c r="B3173" s="2">
        <v>42458.5820601852</v>
      </c>
      <c r="C3173">
        <v>4</v>
      </c>
      <c r="D3173">
        <v>4</v>
      </c>
      <c r="E3173" t="s">
        <v>3118</v>
      </c>
    </row>
    <row r="3174" spans="1:5">
      <c r="A3174">
        <f>HYPERLINK("http://www.twitter.com/FDNY/status/714651610916503552", "714651610916503552")</f>
        <v>0</v>
      </c>
      <c r="B3174" s="2">
        <v>42458.134212963</v>
      </c>
      <c r="C3174">
        <v>0</v>
      </c>
      <c r="D3174">
        <v>6</v>
      </c>
      <c r="E3174" t="s">
        <v>3119</v>
      </c>
    </row>
    <row r="3175" spans="1:5">
      <c r="A3175">
        <f>HYPERLINK("http://www.twitter.com/FDNY/status/714581620628529153", "714581620628529153")</f>
        <v>0</v>
      </c>
      <c r="B3175" s="2">
        <v>42457.9410763889</v>
      </c>
      <c r="C3175">
        <v>29</v>
      </c>
      <c r="D3175">
        <v>9</v>
      </c>
      <c r="E3175" t="s">
        <v>3120</v>
      </c>
    </row>
    <row r="3176" spans="1:5">
      <c r="A3176">
        <f>HYPERLINK("http://www.twitter.com/FDNY/status/714545015343677442", "714545015343677442")</f>
        <v>0</v>
      </c>
      <c r="B3176" s="2">
        <v>42457.8400578704</v>
      </c>
      <c r="C3176">
        <v>24</v>
      </c>
      <c r="D3176">
        <v>8</v>
      </c>
      <c r="E3176" t="s">
        <v>3121</v>
      </c>
    </row>
    <row r="3177" spans="1:5">
      <c r="A3177">
        <f>HYPERLINK("http://www.twitter.com/FDNY/status/714524082675564548", "714524082675564548")</f>
        <v>0</v>
      </c>
      <c r="B3177" s="2">
        <v>42457.7823032407</v>
      </c>
      <c r="C3177">
        <v>17</v>
      </c>
      <c r="D3177">
        <v>11</v>
      </c>
      <c r="E3177" t="s">
        <v>3122</v>
      </c>
    </row>
    <row r="3178" spans="1:5">
      <c r="A3178">
        <f>HYPERLINK("http://www.twitter.com/FDNY/status/714479207385006081", "714479207385006081")</f>
        <v>0</v>
      </c>
      <c r="B3178" s="2">
        <v>42457.6584722222</v>
      </c>
      <c r="C3178">
        <v>0</v>
      </c>
      <c r="D3178">
        <v>23</v>
      </c>
      <c r="E3178" t="s">
        <v>3123</v>
      </c>
    </row>
    <row r="3179" spans="1:5">
      <c r="A3179">
        <f>HYPERLINK("http://www.twitter.com/FDNY/status/714461513633906690", "714461513633906690")</f>
        <v>0</v>
      </c>
      <c r="B3179" s="2">
        <v>42457.6096412037</v>
      </c>
      <c r="C3179">
        <v>0</v>
      </c>
      <c r="D3179">
        <v>1</v>
      </c>
      <c r="E3179" t="s">
        <v>3124</v>
      </c>
    </row>
    <row r="3180" spans="1:5">
      <c r="A3180">
        <f>HYPERLINK("http://www.twitter.com/FDNY/status/714456445408907266", "714456445408907266")</f>
        <v>0</v>
      </c>
      <c r="B3180" s="2">
        <v>42457.5956597222</v>
      </c>
      <c r="C3180">
        <v>32</v>
      </c>
      <c r="D3180">
        <v>12</v>
      </c>
      <c r="E3180" t="s">
        <v>3125</v>
      </c>
    </row>
    <row r="3181" spans="1:5">
      <c r="A3181">
        <f>HYPERLINK("http://www.twitter.com/FDNY/status/714445516092940288", "714445516092940288")</f>
        <v>0</v>
      </c>
      <c r="B3181" s="2">
        <v>42457.5654976852</v>
      </c>
      <c r="C3181">
        <v>0</v>
      </c>
      <c r="D3181">
        <v>4</v>
      </c>
      <c r="E3181" t="s">
        <v>3126</v>
      </c>
    </row>
    <row r="3182" spans="1:5">
      <c r="A3182">
        <f>HYPERLINK("http://www.twitter.com/FDNY/status/714223027798544385", "714223027798544385")</f>
        <v>0</v>
      </c>
      <c r="B3182" s="2">
        <v>42456.9515509259</v>
      </c>
      <c r="C3182">
        <v>28</v>
      </c>
      <c r="D3182">
        <v>15</v>
      </c>
      <c r="E3182" t="s">
        <v>3127</v>
      </c>
    </row>
    <row r="3183" spans="1:5">
      <c r="A3183">
        <f>HYPERLINK("http://www.twitter.com/FDNY/status/714090952634273794", "714090952634273794")</f>
        <v>0</v>
      </c>
      <c r="B3183" s="2">
        <v>42456.5870833333</v>
      </c>
      <c r="C3183">
        <v>110</v>
      </c>
      <c r="D3183">
        <v>41</v>
      </c>
      <c r="E3183" t="s">
        <v>3128</v>
      </c>
    </row>
    <row r="3184" spans="1:5">
      <c r="A3184">
        <f>HYPERLINK("http://www.twitter.com/FDNY/status/713884724490592258", "713884724490592258")</f>
        <v>0</v>
      </c>
      <c r="B3184" s="2">
        <v>42456.0180092593</v>
      </c>
      <c r="C3184">
        <v>46</v>
      </c>
      <c r="D3184">
        <v>10</v>
      </c>
      <c r="E3184" t="s">
        <v>3129</v>
      </c>
    </row>
    <row r="3185" spans="1:5">
      <c r="A3185">
        <f>HYPERLINK("http://www.twitter.com/FDNY/status/713882138526027776", "713882138526027776")</f>
        <v>0</v>
      </c>
      <c r="B3185" s="2">
        <v>42456.0108680556</v>
      </c>
      <c r="C3185">
        <v>0</v>
      </c>
      <c r="D3185">
        <v>15</v>
      </c>
      <c r="E3185" t="s">
        <v>3130</v>
      </c>
    </row>
    <row r="3186" spans="1:5">
      <c r="A3186">
        <f>HYPERLINK("http://www.twitter.com/FDNY/status/713868211809333248", "713868211809333248")</f>
        <v>0</v>
      </c>
      <c r="B3186" s="2">
        <v>42455.9724421296</v>
      </c>
      <c r="C3186">
        <v>63</v>
      </c>
      <c r="D3186">
        <v>36</v>
      </c>
      <c r="E3186" t="s">
        <v>3131</v>
      </c>
    </row>
    <row r="3187" spans="1:5">
      <c r="A3187">
        <f>HYPERLINK("http://www.twitter.com/FDNY/status/713825563111264258", "713825563111264258")</f>
        <v>0</v>
      </c>
      <c r="B3187" s="2">
        <v>42455.8547569444</v>
      </c>
      <c r="C3187">
        <v>0</v>
      </c>
      <c r="D3187">
        <v>3</v>
      </c>
      <c r="E3187" t="s">
        <v>3132</v>
      </c>
    </row>
    <row r="3188" spans="1:5">
      <c r="A3188">
        <f>HYPERLINK("http://www.twitter.com/FDNY/status/713825469196578816", "713825469196578816")</f>
        <v>0</v>
      </c>
      <c r="B3188" s="2">
        <v>42455.8544907407</v>
      </c>
      <c r="C3188">
        <v>0</v>
      </c>
      <c r="D3188">
        <v>17</v>
      </c>
      <c r="E3188" t="s">
        <v>3133</v>
      </c>
    </row>
    <row r="3189" spans="1:5">
      <c r="A3189">
        <f>HYPERLINK("http://www.twitter.com/FDNY/status/713763756065603585", "713763756065603585")</f>
        <v>0</v>
      </c>
      <c r="B3189" s="2">
        <v>42455.6842013889</v>
      </c>
      <c r="C3189">
        <v>22</v>
      </c>
      <c r="D3189">
        <v>10</v>
      </c>
      <c r="E3189" t="s">
        <v>3134</v>
      </c>
    </row>
    <row r="3190" spans="1:5">
      <c r="A3190">
        <f>HYPERLINK("http://www.twitter.com/FDNY/status/713714318253142017", "713714318253142017")</f>
        <v>0</v>
      </c>
      <c r="B3190" s="2">
        <v>42455.5477777778</v>
      </c>
      <c r="C3190">
        <v>31</v>
      </c>
      <c r="D3190">
        <v>20</v>
      </c>
      <c r="E3190" t="s">
        <v>3135</v>
      </c>
    </row>
    <row r="3191" spans="1:5">
      <c r="A3191">
        <f>HYPERLINK("http://www.twitter.com/FDNY/status/713713276698406916", "713713276698406916")</f>
        <v>0</v>
      </c>
      <c r="B3191" s="2">
        <v>42455.5448958333</v>
      </c>
      <c r="C3191">
        <v>11</v>
      </c>
      <c r="D3191">
        <v>9</v>
      </c>
      <c r="E3191" t="s">
        <v>3136</v>
      </c>
    </row>
    <row r="3192" spans="1:5">
      <c r="A3192">
        <f>HYPERLINK("http://www.twitter.com/FDNY/status/713708589744058369", "713708589744058369")</f>
        <v>0</v>
      </c>
      <c r="B3192" s="2">
        <v>42455.5319675926</v>
      </c>
      <c r="C3192">
        <v>0</v>
      </c>
      <c r="D3192">
        <v>3</v>
      </c>
      <c r="E3192" t="s">
        <v>3137</v>
      </c>
    </row>
    <row r="3193" spans="1:5">
      <c r="A3193">
        <f>HYPERLINK("http://www.twitter.com/FDNY/status/713700873227091969", "713700873227091969")</f>
        <v>0</v>
      </c>
      <c r="B3193" s="2">
        <v>42455.5106712963</v>
      </c>
      <c r="C3193">
        <v>0</v>
      </c>
      <c r="D3193">
        <v>4</v>
      </c>
      <c r="E3193" t="s">
        <v>3138</v>
      </c>
    </row>
    <row r="3194" spans="1:5">
      <c r="A3194">
        <f>HYPERLINK("http://www.twitter.com/FDNY/status/713698714645360640", "713698714645360640")</f>
        <v>0</v>
      </c>
      <c r="B3194" s="2">
        <v>42455.5047222222</v>
      </c>
      <c r="C3194">
        <v>0</v>
      </c>
      <c r="D3194">
        <v>6</v>
      </c>
      <c r="E3194" t="s">
        <v>3139</v>
      </c>
    </row>
    <row r="3195" spans="1:5">
      <c r="A3195">
        <f>HYPERLINK("http://www.twitter.com/FDNY/status/713528494605606912", "713528494605606912")</f>
        <v>0</v>
      </c>
      <c r="B3195" s="2">
        <v>42455.035</v>
      </c>
      <c r="C3195">
        <v>0</v>
      </c>
      <c r="D3195">
        <v>2</v>
      </c>
      <c r="E3195" t="s">
        <v>3140</v>
      </c>
    </row>
    <row r="3196" spans="1:5">
      <c r="A3196">
        <f>HYPERLINK("http://www.twitter.com/FDNY/status/713528477278978048", "713528477278978048")</f>
        <v>0</v>
      </c>
      <c r="B3196" s="2">
        <v>42455.0349537037</v>
      </c>
      <c r="C3196">
        <v>0</v>
      </c>
      <c r="D3196">
        <v>22</v>
      </c>
      <c r="E3196" t="s">
        <v>3141</v>
      </c>
    </row>
    <row r="3197" spans="1:5">
      <c r="A3197">
        <f>HYPERLINK("http://www.twitter.com/FDNY/status/713487526632300544", "713487526632300544")</f>
        <v>0</v>
      </c>
      <c r="B3197" s="2">
        <v>42454.9219444444</v>
      </c>
      <c r="C3197">
        <v>0</v>
      </c>
      <c r="D3197">
        <v>4</v>
      </c>
      <c r="E3197" t="s">
        <v>3142</v>
      </c>
    </row>
    <row r="3198" spans="1:5">
      <c r="A3198">
        <f>HYPERLINK("http://www.twitter.com/FDNY/status/713480082808041473", "713480082808041473")</f>
        <v>0</v>
      </c>
      <c r="B3198" s="2">
        <v>42454.901412037</v>
      </c>
      <c r="C3198">
        <v>11</v>
      </c>
      <c r="D3198">
        <v>6</v>
      </c>
      <c r="E3198" t="s">
        <v>3143</v>
      </c>
    </row>
    <row r="3199" spans="1:5">
      <c r="A3199">
        <f>HYPERLINK("http://www.twitter.com/FDNY/status/713473060242866177", "713473060242866177")</f>
        <v>0</v>
      </c>
      <c r="B3199" s="2">
        <v>42454.882025463</v>
      </c>
      <c r="C3199">
        <v>23</v>
      </c>
      <c r="D3199">
        <v>5</v>
      </c>
      <c r="E3199" t="s">
        <v>3144</v>
      </c>
    </row>
    <row r="3200" spans="1:5">
      <c r="A3200">
        <f>HYPERLINK("http://www.twitter.com/FDNY/status/713466851976736768", "713466851976736768")</f>
        <v>0</v>
      </c>
      <c r="B3200" s="2">
        <v>42454.8648958333</v>
      </c>
      <c r="C3200">
        <v>0</v>
      </c>
      <c r="D3200">
        <v>6</v>
      </c>
      <c r="E3200" t="s">
        <v>3145</v>
      </c>
    </row>
    <row r="3201" spans="1:5">
      <c r="A3201">
        <f>HYPERLINK("http://www.twitter.com/FDNY/status/713446689114308608", "713446689114308608")</f>
        <v>0</v>
      </c>
      <c r="B3201" s="2">
        <v>42454.8092592593</v>
      </c>
      <c r="C3201">
        <v>16</v>
      </c>
      <c r="D3201">
        <v>7</v>
      </c>
      <c r="E3201" t="s">
        <v>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2016-12-12T19:02:01Z</dcterms:created>
  <dcterms:modified xsi:type="dcterms:W3CDTF">2016-12-12T19:02:01Z</dcterms:modified>
</cp:coreProperties>
</file>