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<sst xmlns="http://schemas.openxmlformats.org/spreadsheetml/2006/main" count="3205" uniqueCount="3030">
  <si>
    <t>link</t>
  </si>
  <si>
    <t>created_at</t>
  </si>
  <si>
    <t>fav</t>
  </si>
  <si>
    <t>rt</t>
  </si>
  <si>
    <t>text</t>
  </si>
  <si>
    <t>.@NY1 reports: New Program Prepares Young Adults from @NYCHA Developments for #Tech #Jobs https://t.co/RjCNTrpw79</t>
  </si>
  <si>
    <t>@YOKINGME We're sorry to hear about this. Have you taken any additional measures such as calling the CCC? The number is 718-707-7771</t>
  </si>
  <si>
    <t>Thank you @Rebecca76AD for helping our seniors at Robbins Plaza! https://t.co/BIu1CNZH5X https://t.co/hjM9yZAqJM</t>
  </si>
  <si>
    <t>Interested in a job in construction? For training &amp;amp; recruitment info visit: https://t.co/YdQCLff2Aw Call to registe… https://t.co/MMMDDhxcg8</t>
  </si>
  <si>
    <t>Internet access is GOOD! Go digital @ Stuyvesant Gardens Senior Center #BK until 4pm. See our Digital Van schedule: https://t.co/dmzu8keRPG</t>
  </si>
  <si>
    <t>Catch up with our digital van at 625 Castle Hill Ave until 4pm! # BX See the full schedule: https://t.co/dmzu8keRPG</t>
  </si>
  <si>
    <t>Need digital access? Our Digital Van is at Mitchell Houses #BX. Now! https://t.co/dmzu8keRPG</t>
  </si>
  <si>
    <t>Thank you @DanielSquadron for your support in making @GrandStSttlment safer for our residents and the community! https://t.co/qfu7MO0OTz</t>
  </si>
  <si>
    <t>DYK, @NYCHA has partnered w @kaboom to work on #RedHook #Sandy recovery program https://t.co/NmB2fXlV5Z via @News12BK  #NYCHAStrong</t>
  </si>
  <si>
    <t>Translation: "A Green NYCHA is... a beautiful garden!" Learn about our recycling roll out: https://t.co/fkrXkv00ZR https://t.co/2DN2sXLzJY</t>
  </si>
  <si>
    <t>Call now &amp;amp; register for the basic edu exam on 12/12, 8:30am for free construction training! 718.289.8100! More info… https://t.co/ebWWwynRU0</t>
  </si>
  <si>
    <t>RT @NYC_DOT: Countdown 🌟 for Gold Street's #VisionZero pedestrian safety improvements, providing @NYCHA residents safer crossings &amp;amp; traffic…</t>
  </si>
  <si>
    <t>Call now &amp;amp; register for the basic edu exam on 12/12, 8:30am for free construction training! 718.289.8100! More info https://t.co/YdQCLff2Aw</t>
  </si>
  <si>
    <t>Check out @NYN_media  Insights podcast w @rasmiakf on how the @Fund4PH is seeking private dollars for #publichousing https://t.co/Z8AwpS8efn</t>
  </si>
  <si>
    <t>MT via @JamesSiegal - Kids designing their dream playground w @NYCHA &amp;amp;@PB_n_Jake of @kaboom https://t.co/NmB2fXlV5Z #NYCHAstrong</t>
  </si>
  <si>
    <t>Is your apartment too cold? Report it 24/7 through #MyNYCHA (https://t.co/Jp6SqbMZp2) or the 
Customer Contact Cent… https://t.co/ZW3I1aLnkv</t>
  </si>
  <si>
    <t>RT @NYCHousing: Hey Brownsville, what do you want to see in your neighborhood! Join the Brownsville planning process on @courbanize: https:…</t>
  </si>
  <si>
    <t>ICYMI, @NYCHA  has partnered w @kaboom  to work on #RedHook #Sandy recovery program https://t.co/NmB2fXlV5Z via @News12BK #NYCHAStrong</t>
  </si>
  <si>
    <t>ICYMI, @NY1  Reports Children in Public Housing Participate in New Math &amp;amp; Science Program #onStatenIsland #TodtHill https://t.co/w6Si1trdpd</t>
  </si>
  <si>
    <t>.@News12BK reports: @NYCHA has partnered w @kaboom to work on #Sandy recovery program at #RedHookHouses https://t.co/NmB2fXlV5Z #NYCHAStrong</t>
  </si>
  <si>
    <t>RT @JeanBWeinberg: Roofs replaced at @NYCHA 's Queensbridge after 50 + years: https://t.co/eAdme6OqZn</t>
  </si>
  <si>
    <t>RT @DC9_IUPAT: In the #Bronx w our @NYCHA apprentices and @RitchieTorres announcing 1st ever Civil Service Apprenticeship Program https://t…</t>
  </si>
  <si>
    <t>RT @DC9_IUPAT: That's a big check! Proud to be providing pathways to the #MiddleClass for @NYCHA residents with @RitchieTorres https://t.co…</t>
  </si>
  <si>
    <t>RT @RitchieTorres: Proud to announce $26M for apprenticeship program for @NYCHA residents. Will lead to good- paying union jobs. https://t.…</t>
  </si>
  <si>
    <t>Free WiFi, computer access now in the NYCHA Digital Van at Dykman in #MN https://t.co/dmzu8keRPG</t>
  </si>
  <si>
    <t>Need web access? Use the NYCHA Digital Van today! It will be at Bushwick Houses #BK til 4pm https://t.co/dmzu8keRPG</t>
  </si>
  <si>
    <t>Did you see @NY1? New Math &amp;amp; Science After School Program For Children in Public Housing #TodtHill #onStatenIsland https://t.co/w6Si1trdpd</t>
  </si>
  <si>
    <t>RT @Isaac_McGinn: Good read on food access via @bkrietsch: YTD, &amp;gt;7,000 lbs of fresh food producd by + distrbutd among 4 @NYCHA farm communi…</t>
  </si>
  <si>
    <t>#TBT @NYCMayorsOffice @NYCMayor, @NYCHA Chair announced last week the completion of comprehensive roof replacements… https://t.co/mLRGByDejv</t>
  </si>
  <si>
    <t>@BrooklynRalfy @NYCMayor Hello. We're sorry to hear that. Have you tried calling 212-306-3000? That's our general hotline</t>
  </si>
  <si>
    <t>RT @FoodShareTO: What if urban farms were common building amenities? See how @NYCHA makes it happen with @GreenCityForce - https://t.co/tqp…</t>
  </si>
  <si>
    <t>RT @bomee: Congrats to the @NYCHA residents of 130 East 115 Street in getting their sustainability project funded! https://t.co/ooWgJBTWeE</t>
  </si>
  <si>
    <t>RT @bomee: Please share! ConEd's #REV LMI pilot RFI includes opportunities to work with @NYCHA! we're here to support you, proposers! https…</t>
  </si>
  <si>
    <t>.@NY1 reports: Children in Public Housing Participate in New Math &amp;amp; Science Program #onStatenIsland #TodtHill #SI https://t.co/w6Si1trdpd</t>
  </si>
  <si>
    <t>.@IDNYC is for all NYers regardless of immigration status. It's #WhoWeAre as a City. https://t.co/inHDj4rxQR https://t.co/fbfjDOkA6t</t>
  </si>
  <si>
    <t>Need to connect to the web? Visit our NYCHA Digital Van today at 4-20 Astoria Blvd #Queens https://t.co/dmzu8keRPG</t>
  </si>
  <si>
    <t>Get Wired! Visit our Digital Van today at Ravenswood Houses #Queens https://t.co/dmzu8keRPG</t>
  </si>
  <si>
    <t>RT @smarksnyc: Congrats @GreenCityForce on winning 2016 @theNYHC Comm'y Impact competition @NYCHA youth leadership https://t.co/XFgOzlnWHK…</t>
  </si>
  <si>
    <t>See a listing for a public housing rental? Report illegal activity to NYCHA's Inspector General at 212-306-3355. https://t.co/I2XK9AdRUA</t>
  </si>
  <si>
    <t>RT @Enterprise_NYC: Enterprise's Cathy Kim discusses importance of connecting residents to services w @NYCHA, Fordham-Bedford @Citi @theNYH…</t>
  </si>
  <si>
    <t>NYC is expanding the economic potential of #WomeNYC thru the Women Entrepreneurs NYC initiative. Learn more: https://t.co/tEOmMaUpkU</t>
  </si>
  <si>
    <t>Thru @HUDgov @DeptVetAffairs  VASH program, we’ve secured housing for nearly 2.7K vets w/ partners like @NYCDHS… https://t.co/wDYi9qBHwU</t>
  </si>
  <si>
    <t>Wired? Today, catch the Digital Van @ Bayview Houses. Get the complete schedule here: https://t.co/dmzu8keRPG</t>
  </si>
  <si>
    <t>Need to connect to the web? Visit our Digital Van today at 4-20 Astoria Blvd #Queens https://t.co/dmzu8keRPG</t>
  </si>
  <si>
    <t>Free WiFi &amp;amp; computer access at the NYCHA Digital Van- East River Houses until 4 p.m. today: https://t.co/dmzu8keRPG</t>
  </si>
  <si>
    <t>Deborah C. Wright, Chairman of @CarverBankNYC, speaking with @NYCHA Chair and CEO @SholaOlatoye at our leadership m… https://t.co/ICw9BDhVJ3</t>
  </si>
  <si>
    <t>Did sexting go too far? We got your back. For confidential help, go to: https://t.co/iMtKqlBJk6. #NYCYouthHealth https://t.co/Firivu8xif</t>
  </si>
  <si>
    <t>This evening: Join NYC Health + Hospitals for a convo about healthcare in your community. 6:30p at @nyaquarium in… https://t.co/w1v8Sign4c</t>
  </si>
  <si>
    <t>Hello #BK! The NYCHA Digital Van is at Ocean Hill Houses until 4pm today. Free WiFi &amp;amp; computer access https://t.co/dmzu8keRPG</t>
  </si>
  <si>
    <t>Have you seen our Digital Van? It's at Castle Hill, today until 4p! Check out the full schedule: https://t.co/dmzu8keRPG</t>
  </si>
  <si>
    <t>Wired?! Visit our Digital Van @ Morris - 3673 3rd Ave! #BX We're there until 4. Check out our full schedule: https://t.co/dmzu8keRPG</t>
  </si>
  <si>
    <t>RT @Isaac_McGinn: Congrats @spotonwifi ! Gr8 time to revisit https://t.co/g54FqUPhbY re: creating more connected @NYCHA community at Queens…</t>
  </si>
  <si>
    <t>This means keeping the promise to fund public housing and Section 8 while also creating safer, cleaner, and more connected communities (4/4)</t>
  </si>
  <si>
    <t>Our residents deserve the same quality of life and opportunity as all Americans (3/4) https://t.co/obpyFJjUFr</t>
  </si>
  <si>
    <t>We're the nation’s largest housing authority, home to more than half-a-million people. (2/4) https://t.co/obpyFJjUFr</t>
  </si>
  <si>
    <t>We hope to partner w incoming @HUDgov Sec to ensure NYC #publichousing is protected+strengthened for next generation https://t.co/obpyFJjUFr</t>
  </si>
  <si>
    <t>Next 4 tweets are from @NYCHA Chair @SholaOlatoye's statement on nomination of @realbencarson as @HUDgov Secretary https://t.co/obpyFJjUFr</t>
  </si>
  <si>
    <t>RT @CitiBikeNYC: Residentes de @NYCHA pueden usar #CitiBike por solo $5/mes! Más información en https://t.co/N75ZgGaMni</t>
  </si>
  <si>
    <t>@SweetChigurh That's the schedule through December. We'll post more dates as they're scheduled!</t>
  </si>
  <si>
    <t>@SweetChigurh Rumors of the Digital Van program's death have been greatly exaggerated! We recently added a 3rd van. Online schedule thru Dec</t>
  </si>
  <si>
    <t>Leaky roofs cause more maintenance repairs. #NextGenerationNYCHA is fixing these roofs. See: https://t.co/KhF4v9e0ed https://t.co/pXnIxYHl0K</t>
  </si>
  <si>
    <t>RT @JeanBWeinberg: Exciting to see @NYCHA featured prominently in new "City at Work: Portraits in Civic Pride" exhibit at City Hall https:/…</t>
  </si>
  <si>
    <t>@FMRMac We're sorry to hear about this. Have you taken any additional measures such as calling the CCC? The number is 718-707-7771</t>
  </si>
  <si>
    <t>RT @GothamGazette: Nascent Fund for Public Housing Begins Building NYCHA War Chest
https://t.co/hVRyzmFhol</t>
  </si>
  <si>
    <t>Want to learn about NYC Health + Hospitals and their services? Attend the community convo: 12/6 6:30p at… https://t.co/lOCxMqyaes</t>
  </si>
  <si>
    <t>Today @ 5;30pm: #Free art show, giveaways, pizza &amp;amp; more; come to the #BrownsvilleMatters' Community Mtg. @ the Lang… https://t.co/p6GXicDSOg</t>
  </si>
  <si>
    <t>Need to use a computer today? A NYCHA Digital Van will be at Red Hook East in #BK until 4pm: https://t.co/dmzu8keRPG</t>
  </si>
  <si>
    <t>Stop by the Melrose Houses in the #bronx today for free WiFi &amp;amp; computer access until 4pm today: https://t.co/dmzu8keRPG</t>
  </si>
  <si>
    <t>Attend the #BrownsvilleMatters Community Mtg. &amp;amp; help choose local art for your neighborhood: 12/5, 5:30p, the Langs… https://t.co/be0qGMmkeS</t>
  </si>
  <si>
    <t>ICMY,@NY1 reports: @NYCHA Completes Major Roofing Project at #QueensbridgeHouses. Watch via @YouTube https://t.co/Vdjul1LBNF</t>
  </si>
  <si>
    <t>Free art show, giveaways, pizza &amp;amp; more; come to the #BrownsvilleMatters' Community Mtg. on 12/5, 5:30p @ the Langst… https://t.co/GU256vXiPa</t>
  </si>
  <si>
    <t>RT @Khanambano: @NYCHA Sandy Recovery team is hosting a playground charrette in Redhook. Plz see flyer and don't forget to bring your kids!…</t>
  </si>
  <si>
    <t>RT @Khanambano: Thank You @MarkTreyger718 4 hosting @NYCHA Coney Island TA breakfast today. its always a plus to hear resident leader conce…</t>
  </si>
  <si>
    <t>Want to help choose local artists to feature in your 'hood? Attend #BrownsvilleMatters' Community Mtg.: 12/5, 5:30p, Langston Hughes Sr. Ctr</t>
  </si>
  <si>
    <t>RT @NYCFirstLady: We're losing too many loved ones as they attempt to self-medicate mental illnesses. #ThriveNYC https://t.co/a4aXSblmCS</t>
  </si>
  <si>
    <t>DYK, @NYCHA Completed Major Roofing Project at #QueensbridgeHouses? Watch via @NY1 https://t.co/Vdjul1LBNF</t>
  </si>
  <si>
    <t>.@nyclandmarks just launched an interactive #nyclandmarks map! Explore landmarks near you! https://t.co/KhGPXfnfpW</t>
  </si>
  <si>
    <t>#ConeyIslandHouses was profiled in the NY Housing Conference as an innovative #Sandy recovery project. #NYCHAstrong https://t.co/bEGCf1B7r6</t>
  </si>
  <si>
    <t>12/6 @ 6:30pm join the discussion w/ NYC Health + Hospitals in #ConeyIsland @nyaquarium: The Future of Healthcare i… https://t.co/6pFwbfoGaX</t>
  </si>
  <si>
    <t>.@NY1 reports: @NYCHA Completes Major Roofing Project at #QueensbridgeHouses. Watch via @YouTube https://t.co/Vdjul1LBNF</t>
  </si>
  <si>
    <t>RT @nycgob: El alcalde de Blasio y @NYCHA anuncian culminación de obras para remplazar techos de Queensbridge Houses: https://t.co/lb5rOtgz…</t>
  </si>
  <si>
    <t>Need free computer access? Try our NYCHA Digital Van! It will be in the Ocean Hill Parking Lot in #BK until 4pm: https://t.co/dmzu8keRPG</t>
  </si>
  <si>
    <t>Free WiFi &amp;amp; computer access in Brooklyn! NYCHA Digital Van at Tompkins Houses (Myrtle btwn Throop/Tompkins) until 4p https://t.co/dmzu8keRPG</t>
  </si>
  <si>
    <t>RT @Isaac_McGinn: .@NYCHA repaired all roofs at Queensbridge Houses, largest pub housing dev in USA! via @billparry3 cc @SholaOlatoye https…</t>
  </si>
  <si>
    <t>RT @JeanBWeinberg: Roofs repaired at @NYCHA 's Queensbridge after more than 50 years via @TimesLedger:https://t.co/WCvglhQd8W</t>
  </si>
  <si>
    <t>RT @nycgob: Hoy es el último día para solicitar en escuelas
secundarias: https://t.co/qKg2Cu8q7f e 
intermedias: https://t.co/crhuWAiByL de…</t>
  </si>
  <si>
    <t>ICYMI, We unveiled recently completed rooftop work at #QueensbridgeHouses today! Watch our Facebook Live tour:… https://t.co/jyRPb31qtd</t>
  </si>
  <si>
    <t>Hot water out in your #publichousing apt? Report it with the MyNYCHA App: https://t.co/Jp6SqbMZp2</t>
  </si>
  <si>
    <t>RT @JimmyVanBramer: Scenes from a great morning at #Queensbridge houses where I joined @SholaOlatoye to celebrate $87mil roof replacement.…</t>
  </si>
  <si>
    <t>Leandro Payero &amp;amp; Joseph Repetti are here to ensure safe, clean &amp;amp; connected communities. #NextGenNYCHA #IamNextGen… https://t.co/m0LoI2wEaI</t>
  </si>
  <si>
    <t>12/6 @ @nyaquarium, 6:30pm join the discussion w/ NYC Health + Hospitals in #ConeyIsland: The Future of Healthcare… https://t.co/7UfBVNS3T5</t>
  </si>
  <si>
    <t>RT @SenGianaris: Touring @nycha Queensbridge Houses, where new roofs have been installed, bettering the quality of life for thousands https…</t>
  </si>
  <si>
    <t>RT @JimmyVanBramer: W @NYCHA, proud to announce that the $87m roof repair project at #Queensbridge is DONE, bc investing in public housing…</t>
  </si>
  <si>
    <t>.@SholaOlatoye regarding recently completed rooftop work at Queensbridge Houses! Join us for Facebook Live tour now… https://t.co/iLkaxt7gSa</t>
  </si>
  <si>
    <t>RT @JeanBWeinberg: Rooftop preview ahead of our presser @NYCHA 's Queensbridge ! Join us @ 10AM #NextGenNYCHA #roofs https://t.co/Ae6XTJ727c</t>
  </si>
  <si>
    <t>RT @designtrustnyc: @NYCHA residents and Design Trust Fellows are #OpeningTheEdge. @Jane_Greengold https://t.co/juroJPa5G1</t>
  </si>
  <si>
    <t>We have a Digital Van at Lexington/Washington houses on 3rd Ave today 10a-4p. Free WiFi and Internet in #Harlem https://t.co/dmzu8keRPG</t>
  </si>
  <si>
    <t>Know someone who needs digital access? Well the Digital Van is at Edenwald Houses today! #Bronx: https://t.co/dmzu8keRPG</t>
  </si>
  <si>
    <t>RT @CMReynoso34: Joining @RitchieTorres to get an update on partnership bt @NYCSanitation &amp;amp; @NYCHA on #Recycling efforts in public housing…</t>
  </si>
  <si>
    <t>RT @RitchieTorres: .@NYCCouncil Cmtes Public Housing &amp;amp; Sanitation today hold hearing on recycling @NYCHA developments.Always great to partn…</t>
  </si>
  <si>
    <t>RT @JennMontalvo: @RitchieTorres @CMReynoso34 looking at @NYCHA's recycling back filled with recycling materials for residents at today's C…</t>
  </si>
  <si>
    <t>RT @Fund4PH: Ras talking up the importance of public housing and its residents @impacthub for #GivNYC. Now, vote for the Fund: https://t.co…</t>
  </si>
  <si>
    <t>For Officers Leandro Payero &amp;amp; Joseph Repetti, a cleaner community = a #SafeNYCHA! #NextGenNYCHA #IamNextGen… https://t.co/KoWoFHeaXu</t>
  </si>
  <si>
    <t>The Brooklyn-Queens Connector will link 13 @NYCHA developments w/ 40k #publichousing residents. Thx @BilldeBlasio! 
 https://t.co/mU78kz0Bw2</t>
  </si>
  <si>
    <t>Tonight: Hear &amp;amp; share ideas re a new public space for Wald Houses #LES w/ @designtrustnyc fellows, 6:30p @ The BGR,… https://t.co/EZREV0ARXF</t>
  </si>
  <si>
    <t>Contribute to the community convo: 12/6, @NYCAquarium, 6:30pm #ConeyIsland: Help shape healthcare in your neighborh… https://t.co/6KVejLGzOs</t>
  </si>
  <si>
    <t>Come by our NYCHA Digital Van - for free computer access &amp;amp; WiFi. @ LaGuardia Houses until 4pm today! https://t.co/dmzu8keRPG</t>
  </si>
  <si>
    <t>Patterson Houses- Free PC access and Wifi in our Digital Van. It's at 143rd bt 3rd/Morris aves #BX https://t.co/dmzu8keRPG</t>
  </si>
  <si>
    <t>Help plan a new public space @ Wald Houses w/ @designtrustnyc fellows: come 11/30, 6:30p to The Boys &amp;amp; Girls Republ… https://t.co/uBA2TLTJ1E</t>
  </si>
  <si>
    <t>Join NYC Health + Hospitals for a convo about healthcare in your community. 12/6 6:30p at @nyaquarium in… https://t.co/ywPRoBY1OS</t>
  </si>
  <si>
    <t>@NBACHEATS If you could DM us your name and development/apt #, we'll be happy to investigate and do follow up</t>
  </si>
  <si>
    <t>@NBACHEATS We're sorry to hear about this. Have you taken any additional measures such as calling the CCC? The number is 718-707-7771</t>
  </si>
  <si>
    <t>@ONLYNUS201730 We're sorry to hear about this. Have you taken any additional measures such as calling the CCC? The number is 718-707-7771</t>
  </si>
  <si>
    <t>We thank Officers Leandro Payero &amp;amp; Joseph Repetti! They are #NextGenNYCHA #SafeNYCHA #IamNextGen… https://t.co/77NqYsGkui</t>
  </si>
  <si>
    <t>@kelbell__ Could you DM us your mother in law's name and the development she lives in?</t>
  </si>
  <si>
    <t>@kelbell__ Thank you for the ticket numbers Kelly. We will report the matter and follow up with property mgmt</t>
  </si>
  <si>
    <t>ICYMI, Public Interest Design for New York City’s Public Housing by Jae Shin @NYCHA @rosefellowship  https://t.co/waDozZbVfj #NextGenNYCHA</t>
  </si>
  <si>
    <t>Thank you @RitchieTorres @NYCOpportunity for your work to expand Jobs-Plus/job opportunities for our residents.… https://t.co/XIh3OBzPV4</t>
  </si>
  <si>
    <t>Tonight: Share your ideas for a new &amp;amp; improved St. Mary’s Park in the #BX! Meeting w/ @NYCParks begins at 6:30pm, @… https://t.co/YvPCMWeAD8</t>
  </si>
  <si>
    <t>@kelbell__ @HelpMeHoward7 @NYCMayorsOffice @BilldeBlasio Could you provide us with your ticket numbers? We will report and do follow up</t>
  </si>
  <si>
    <t>@kelbell__ @BilldeBlasio @NYCMayorsOffice Could you provide us with your ticket numbers? We will report and do follow up</t>
  </si>
  <si>
    <t>@FMRMac Sorry to hear. Please report this matter to your Borough Management Office https://t.co/bUX8xplJNj</t>
  </si>
  <si>
    <t>@Phresh_203SM Sorry to hear. Please report this matter to your Borough Management Office https://t.co/bUX8xplJNj</t>
  </si>
  <si>
    <t>@kelbell__ @BilldeBlasio @NYCMayorsOffice Sorry to hear. Please report this matter to your Borough Management Office https://t.co/bUX8xplJNj</t>
  </si>
  <si>
    <t>Stop by the Digital Van at the Union Ave. Senior Center in the #BX. Now! https://t.co/dmzu8keRPG</t>
  </si>
  <si>
    <t>When decorating for the holidays be #FDNYSmart by using clips, not nails, to hang lights. Learn more at https://t.co/emLkVcBfdP</t>
  </si>
  <si>
    <t>RT @NYCCouncil: Council member @MarkTreyger718 listens to @nycha Community Outreach coordinator Ayannah Jennings during Recovery &amp;amp; Resilien…</t>
  </si>
  <si>
    <t>It’s a hit! The #MyNYCHA just won an award for “Best Mobile Project” from @govtechnews. Download today https://t.co/Jp6SqbMZp2 #NextGenNYCHA</t>
  </si>
  <si>
    <t>ICYMI, NEW: Nascent Fund for Public Housing Begins Building @NYCHA War Chest https://t.co/Hzu9DFuRz5 #NextGenNYCHA @Fund4PH @rasmiakf</t>
  </si>
  <si>
    <t>@Xkorpiiio Hi. We're sorry to see this, Have you contacted your Boro Mgmt office directly? Contact info https://t.co/bUX8xplJNj</t>
  </si>
  <si>
    <t>Public Interest Design for New York City’s Public Housing by Jae Shin @NYCHA @rosefellowship https://t.co/waDozZbVfj #NextGenNYCHA</t>
  </si>
  <si>
    <t>RT @JudiKende: Great piece about @Fund4PH, wonderful and much-needed new public-private partnership to benefit @NYCHA https://t.co/Lnb57hbB…</t>
  </si>
  <si>
    <t>RT @JennMontalvo: @SholaOlatoy with @NYCHA staffers prepared more than 500 Thanksgiving meals for NYCHA residents today! #TeamNYCHA https:/…</t>
  </si>
  <si>
    <t>RT @GothamGazette: NEW: Nascent Fund for Public Housing Begins Building @NYCHA War Chest https://t.co/hVRyzmFhol</t>
  </si>
  <si>
    <t>Thank you Officers Leandro Payero &amp;amp; Joseph Repetti for making a difference. #SafeNYCHA #NextGenNYCHA #IamNextGen… https://t.co/4L3Zud00e0</t>
  </si>
  <si>
    <t>Check out @NYCHA 's Fund for Public Housing @SholaOlatoye @rasmiakf via @GothamGazette #NextGenerationNYCHA https://t.co/Hzu9DFuRz5</t>
  </si>
  <si>
    <t>11/29: Attend @NYCParks’ meeting @ #Betances to discuss upcoming renovations to St. Mary’s Park in the #BX! Be hear… https://t.co/DVRzYz8d6f</t>
  </si>
  <si>
    <t>Need digital access? Our Digital Van is at the Union Ave. Senior Center in the #BX. Now! https://t.co/dmzu8keRPG</t>
  </si>
  <si>
    <t>RT @TweetBenMax: The new Fund for Public Housing, a public-private partnership to boost @NYCHA, has raised more than $900,000 so far: https…</t>
  </si>
  <si>
    <t>RT @gregjmorris: Providing meals yesterday &amp;amp; year-round @IsaacsCenterNYC for @NYCSeniors @nycha. Special thanks to @Citymeals @tstrahan4NY…</t>
  </si>
  <si>
    <t>Thanks to @NYCParks’ Anchor Parks Program, St. Mary’s Park in the #BX is getting a $30M make-over! Share &amp;amp; learn mo… https://t.co/23lQjsHlZd</t>
  </si>
  <si>
    <t>Officers Leandro Payero + Joseph Repetti work each day to ensure a #SafeNYCHA! #NextGenNYCHA #IamNextGen… https://t.co/VFP7ME7rqY</t>
  </si>
  <si>
    <t>Writing your resume on a phone is hard. The Digital Van can help. At Ocean Hill today #BK https://t.co/dmzu8keRPG</t>
  </si>
  <si>
    <t>Catch up with NYCHA's digital van at 625 Castle Hill Ave until 4pm! # BX See the full schedule: https://t.co/dmzu8keRPG</t>
  </si>
  <si>
    <t>#TBT from Nov ’12: @SamsClub delivers free turkey meals for @NYCHA’s Manhattanville residents in Harlem! Have a saf… https://t.co/kkjrnGR0Ka</t>
  </si>
  <si>
    <t>#Thanksgiving is almost here! Keep kids safe while you're busy in the kitchen with these #FDNYSmart tips https://t.co/CMqlp2XH9G</t>
  </si>
  <si>
    <t>Stand by your pan! Don't leave cooking food unattended. Be #FDNYSmart this #Thanksgiving with these tips https://t.co/Y5hj7CFnLa</t>
  </si>
  <si>
    <t>RT @SholaOlatoye: .@NYCHA #@NYCMayorsOffice making sure families have home cooked meals for T-day! https://t.co/fqmktSEirl</t>
  </si>
  <si>
    <t>RT @NAHROnational: New #AffordableHousing Proposed For @NYCHA Sumner Houses #WHAAT
https://t.co/He4eSbupTg</t>
  </si>
  <si>
    <t>RT @UnitedJewish: Letter by @NYCHA Chair @SholaOlatoye to Independence residents re Swastikas found in their building: "We stand with you!"…</t>
  </si>
  <si>
    <t>For their work @ Butler Houses, Officers Leandro Payero + Joseph Repetti are #NextGenNYCHA! #SafeNYCHA #IamNextGen… https://t.co/SiLK8hNtu6</t>
  </si>
  <si>
    <t>Los residentes de @NYCHA puede tener informes en tiempo real de solicitudes de servicio con la app #MyNYCHA. https://t.co/Jp6SqbMZp2</t>
  </si>
  <si>
    <t>RT @SholaOlatoye: .@NYCHA Resident published book. She left me a copy at r board meeting. 90+ yrs young and writing books! #lifegoals https…</t>
  </si>
  <si>
    <t>LAST CHANCE: @nycforward's open call for innovation to reduce energy costs for @NYCHA   developments. https://t.co/pTxPDYe1ub</t>
  </si>
  <si>
    <t>Share your ideas for a new &amp;amp; improved St. Mary’s Park in the #BX! Meeting w/ @NYCParks  begins at 6:30pm, 11/29 @… https://t.co/c9YMWL3Ins</t>
  </si>
  <si>
    <t>RT @JeanBWeinberg: New Affordable Housing Proposed for @NYCHA 's Sumner Houses via @DNAinfoNY: https://t.co/SU5THR1KXL #NextGenNYCHA #affor…</t>
  </si>
  <si>
    <t>RT @Wale4NY: Public Advocate @TishJames giving away 🦃🦃🦃 for NYCHA residents ahead of the Thanksgiving holiday https://t.co/cC7v5UBLgF</t>
  </si>
  <si>
    <t>Happening now: @NYCHA Board Meeting. Watch the video livestream https://t.co/LgmSSA9qOI</t>
  </si>
  <si>
    <t>NYCHA Board Meeting today at 10:20. Watch the video livestream https://t.co/LgmSSA9qOI</t>
  </si>
  <si>
    <t>Tune in LIVE to the video livestream of today's board meeting at 10:20am. View here: https://t.co/LgmSSA9qOI</t>
  </si>
  <si>
    <t>Did you know we livestream our board meetings? Watch live at 10:20am: https://t.co/LgmSSA9qOI</t>
  </si>
  <si>
    <t>Want to connect to the web? Visit our Digital Van today at 4-20 Astoria Blvd #Queens https://t.co/dmzu8keRPG</t>
  </si>
  <si>
    <t>Come to the NYCHA Digital Van - offering free computer access &amp;amp; WiFi. East River Houses until 4pm https://t.co/dmzu8keRPG</t>
  </si>
  <si>
    <t>RT @GreenCityForce: 1st day of service for GCF's Cohort 13 @AmeriCorps members at @earthmatterNY! Built a #compost mound out of 6.5 tons of…</t>
  </si>
  <si>
    <t>@TattedUpLadyBug We're sorry to hear about this. Have you called the CCC to report this matter? Their number is 718-707-7771</t>
  </si>
  <si>
    <t>@future807 We're sorry to hear this. You should report this to your Borough Mgmt office directly. Contact info here https://t.co/bUX8xplJNj</t>
  </si>
  <si>
    <t>Public Interest Design for @NYCHA - By Jae Shin, @Enterprise_NYC Rose Architectural Fellow https://t.co/psJacDdn3h</t>
  </si>
  <si>
    <t>Want to make a difference for @NYCHA? Learn more about @nycforward’s Call for Innovations https://t.co/SR98eYyo5G</t>
  </si>
  <si>
    <t>@phoenixRisin52 Hi. We're sorry to hear about this. Have you taken any additional measures like calling the CCC? The number is 718-707-7771</t>
  </si>
  <si>
    <t>@FMRMac Hi. We're sorry to hear about this. Have you taken any additional measures such as calling the CCC? The number is 718-707-7771</t>
  </si>
  <si>
    <t>@future807 Hi. We're sorry to hear about this. Have you taken any additional measures such as calling the CCC? The number is 718-707-7771</t>
  </si>
  <si>
    <t>@EricaTasheen Hi. We're sorry to hear about this. Could you DM us your ticket numbers and we'll do follow up? Thanks</t>
  </si>
  <si>
    <t>@akychakali Hi. We're sorry to hear about this. Could you DM us your ticket numbers and we'll do follow up? Thanks</t>
  </si>
  <si>
    <t>RT @galeabrewer: Glad my office could host a Thanksgiving turkey delivery yesterday for NYCHA residents! Thanks to the generous donors who…</t>
  </si>
  <si>
    <t>Free WiFi &amp;amp; computer access at NYCHA Digital Vans  @ Van Dyke Houses/Unity Plaza until 4pm: https://t.co/dmzu8kwsHe</t>
  </si>
  <si>
    <t>As part of #NextGenNYCHA, we’re looking for tech solutions to our electric + heat demand. Learn more: https://t.co/SR98eYyo5G</t>
  </si>
  <si>
    <t>RT @ric_shark: Another miracle, "We are always New York." @BilldeBlasio @CommSchools #AlwaysNewYork
#EastBronxAcademy @NYCHA https://t.co/T…</t>
  </si>
  <si>
    <t>RT @SholaOlatoye: .@NYCHA @mayawiley @JJAatFPWA #womenleaders #AlwaysNewYork https://t.co/nOaGSD0cKB</t>
  </si>
  <si>
    <t>RT @nycgov: Join @NYCMayor Bill de Blasio LIVE on Facebook at 11am – https://t.co/LgBkqF2iLe https://t.co/LSyOFhufne</t>
  </si>
  <si>
    <t>Propose tech solutions for our electric + heat demand through @nycforward’s Call for Innovations by 11/23 https://t.co/SR98eYyo5G</t>
  </si>
  <si>
    <t>Writing a resume on a phone is hard. The Digital Van can help. @ Red Hook East until 4pm https://t.co/dmzu8keRPG</t>
  </si>
  <si>
    <t>Help NYCHA communities. Propose tech solutions for heat + electric demand. Apply by 11/23 thru @nycforward: https://t.co/SR98eYyo5G</t>
  </si>
  <si>
    <t>Our residents LOVE the @govtechnews award winning #MyNYCHA App. Available for Android + iOS devices. Download today… https://t.co/ugAyLxk1tB</t>
  </si>
  <si>
    <t>Want to make an impact in @NYCHA communities? Propose tech solutions for our heat + electric demand. Apply at https://t.co/SR98eYyo5G</t>
  </si>
  <si>
    <t>We’re looking for tech solutions to electric + heat demand as part of #NextGenNYCHA. Due 11/23 thru @nycforward https://t.co/SR98eYyo5G</t>
  </si>
  <si>
    <t>Here's a truly inspiration story on @humansofny from a former #MarlboroHouses resident. Get the full story:… https://t.co/w8poaQrTA6</t>
  </si>
  <si>
    <t>Want to propose tech solutions for our electric + heat demand? Go to @nycforward’s Call for Innovations https://t.co/SR98eYyo5G</t>
  </si>
  <si>
    <t>@nachelle1981 @SholaOlatoye We're sry to hear about this. Have you called the CCC to report this matter directly? The number is 718-707-7771</t>
  </si>
  <si>
    <t>RT @cartercraft: Talking Our Next Economy - lessons fr @NYCHA @NewAmerica @GreenCityForce thx @BPEricAdams @RETICenterBK @NLinNY https://t.…</t>
  </si>
  <si>
    <t>RT @cartercraft: Entry &amp;amp; Pathways thru #Resilience Labor force. Thx @FACbrooklyn @NYCHA @NewAmerica @GreenCityForce @BPEricAdams https://t.…</t>
  </si>
  <si>
    <t>RT @SalvadoriCenter: Thanks to The Pinkerton Foundation, we provide @NYCHA sites w/collaborative, hands-on, project based #STEM learning! h…</t>
  </si>
  <si>
    <t>RT @GreenCityForce: Great conversation on career pathways &amp;amp; #Resilience Labor Market at @RETICenterBK w/ @GreenCityForce @NewAmerica @NYCHA…</t>
  </si>
  <si>
    <t>RT @TowFdn: Check out this new report by @verainstitute on @NYCHA #HousingReentry Pilot Program. Results are  https://t.co/tDyMW8TBqy</t>
  </si>
  <si>
    <t>Make a difference for our residents. Deadline 11/23 for 2 Calls for Innovations at @nycforward https://t.co/SR98eYyo5G</t>
  </si>
  <si>
    <t>Our own Shanna Castillo spoke this morning on REES career opportunities for NYCHA residents! More info:… https://t.co/X47wu03CI5</t>
  </si>
  <si>
    <t>Heat or hot water issues? Report it w/ the  @govtechnews’ award winning #MyNYCHA App! https://t.co/Jp6Sqbvo0s… https://t.co/pTQekgzk0Q</t>
  </si>
  <si>
    <t>Congrats to @Curbed Groundbreaker Nadine Maleh! Her work on @NYCHA's Sandy recovery plans is invaluable #NYCHAStrong https://t.co/72tcKPZ52D</t>
  </si>
  <si>
    <t>RT @destiny_mata: Big thanks to @nycha #NYCHAJOURNAL for featuring my photography and interviewing me about a on… https://t.co/ocGcAnwpd6</t>
  </si>
  <si>
    <t>RT @richberlin: A great honor for @HarlemRBI @DREAMSchoolNYC alongside partners @nycha
@JonathanFPRose @CivicBuilders - cc @RobinHoodNYC @c…</t>
  </si>
  <si>
    <t>Want to propose tech solutions for our electric + heat demand? Go to @nycforward’s Call for Innovations https://t.co/SR98eYgMH6</t>
  </si>
  <si>
    <t>Hello! Visit our Digital Van today @ St. Nicholas Houses  in #MN. Free WiFi &amp;amp; computer access https://t.co/dmzu8keRPG</t>
  </si>
  <si>
    <t>Saint Nicholas to have new guiding lights thanks to @NYCHA , @NYCMayor  @CrimJusticeNYC. @ManhattanTimes  reports… https://t.co/lgIsBTcn2f</t>
  </si>
  <si>
    <t>Heat out in your @NYCHA apt? Report it w/ the #MyNYCHA App, “Best Mobile Project” via @govtechnews. #NextGenNYCHA https://t.co/Jp6SqbMZp2</t>
  </si>
  <si>
    <t>Are you a resident interested in a program like this? Visit https://t.co/fAZyKc1RXn https://t.co/D0lKFqYr2D #NYCHAStrong #Sandy</t>
  </si>
  <si>
    <t>RT @SholaOlatoye: .@NYCHA @NYCMayorsOffice @LeanInOrg #womenlead #largestphaincountry #strengthofshe #nextgennycha #DiversityandInclusion h…</t>
  </si>
  <si>
    <t>RT @MAPArchitects: Praise for Melrose Commons Site C. 
https://t.co/MClOol1K9I
@thebridgeny @NYCHA @NYCHA_Tenants https://t.co/7tkbRhwtSJ</t>
  </si>
  <si>
    <t>RT @pristind: Lourdes Castro Ramirez @HUDgov  &amp;amp; Adrian Todman ED of @DC_Housing talking reflections of tenure, transitions &amp;amp; housing priori…</t>
  </si>
  <si>
    <t>#TBT: 1970’s Harlem residents of all ages from Rangel Houses enjoy &amp;amp; encourage young runners during a community-spo… https://t.co/k3as7aTXPP</t>
  </si>
  <si>
    <t>RT @SholaOlatoye: .@NYCHA @Enterprise_NYC @soledadobrien 30 yrs of service to NYC communities. #billfrye #jimrouse https://t.co/C8wQHEkWEp</t>
  </si>
  <si>
    <t>NYCHA Digital Vans offer free computer access + WiFi @ Saint Nicholas Houses #MNH today! https://t.co/dmzu8keRPG</t>
  </si>
  <si>
    <t>ICYMI, @NYCHA’s #MyNYCHA Mobile App won the award for “Best Mobile Project” from @govtechnews for improving residen… https://t.co/TnrTEOMeGc</t>
  </si>
  <si>
    <t>RT @NYPDPSA6Aux: Please join us tomorrow @NYCHA Polo Grounds Resource Fair as we recruit Auxiliaries, Explorers, Cadets and Police Officers…</t>
  </si>
  <si>
    <t>Want to make an impact in @NYCHA communities? Propose tech solutions for our heat + electric demand. Apply at https://t.co/SR98eYgMH6</t>
  </si>
  <si>
    <t>It’s a hit! #MyNYCHA just won the award for “Best Mobile Project” from @govtechnews. Download today… https://t.co/ZNr4YzWaPw</t>
  </si>
  <si>
    <t>ICYMI, @News12BK reports: Williamsburg residents gather in effort to enhance safety, security. Watch via @Youtube https://t.co/3Df9x9WpS0</t>
  </si>
  <si>
    <t>ICYMI, truly inspiration story on @humansofny from a former #MarlboroHouses resident. Get the full story:… https://t.co/EbotTUtfzL</t>
  </si>
  <si>
    <t>RT @OsborneNY: ICYMI this week's @verainstitute #HousingReentry event, See the video and discussion guide: https://t.co/oVqxN83y1I @HUDgov…</t>
  </si>
  <si>
    <t>RT @Sustainia: .@NYCHA cuts CO2 emissions + ensures affordable housing residents hv resilient homes→ https://t.co/zdLjSS9dm7 #EarthToMarrak…</t>
  </si>
  <si>
    <t>Get Wired! Visit our Digital Van today at Fulton Houses #MNH https://t.co/dmzu8keRPG</t>
  </si>
  <si>
    <t>RT @RitchieTorres: Major victory for low-income, Sect.8 voucher-holders. Won't need to fear higher rent burden/displacement @NYCHA @HUDgov…</t>
  </si>
  <si>
    <t>RT @sree: Help @NYCHA communities. Propose tech solutions for heat + electric demand. Apply by 11/23 thru @nycforward: https://t.co/IC70I3K…</t>
  </si>
  <si>
    <t>#MarlboroHouses represent! Let's hear it for #Brooklyn @NYCHA #HONY @humansofny https://t.co/xI7o7jGUAm</t>
  </si>
  <si>
    <t>RT @JennMontalvo: Over 50 housing staffers attended today's @NYCHA's 101 workshop! Thanks to all who came to learn more about NYCHA's polic…</t>
  </si>
  <si>
    <t>Watch LIVE: https://t.co/YwSQ245uY7 #summit2016 #NextGenNYCHA @Fund4PH  @MASNYC https://t.co/R3LJybkAB3</t>
  </si>
  <si>
    <t>RT @MASNYC: Watch now! https://t.co/YIDpvHr1BS #summit2016 https://t.co/isCMFkw6t0</t>
  </si>
  <si>
    <t>RT @PublicWorksIQ: .@rasmiakf of @Fund4PH "Public Housing must be a public asset." @NYCHA is largest residential landlord in North America.</t>
  </si>
  <si>
    <t>LIVE: @rasmiakf discusses NYC public housing. https://t.co/YwSQ23NU6z #summit2016 #NextGenNYCHA @Fund4PH</t>
  </si>
  <si>
    <t>What are public assets? Why do they matter? Who decides? Tune in to our video livestream as we talk public housing at 2:15pm! #summit2016</t>
  </si>
  <si>
    <t>RT @ReentryHousing: NYC Dept of Corrections recognizes importnce of housing &amp;amp; family reunification in reducing recidivism. @NYCHA pilot cri…</t>
  </si>
  <si>
    <t>RT @JennMontalvo: @BrianKavanaghNY reading the @NYCHA journal before attending a NYCHA 101 workshop for public housing staffers &amp;amp; liasons!…</t>
  </si>
  <si>
    <t>Watch our video livestream today at 2:15pm as we advocate for what is collectively ours—NYC’s public assets! #summit2016</t>
  </si>
  <si>
    <t>DYK, @News12BK reported Williamsburg residents gather in effort to enhance safety, security? Watch via @Youtube https://t.co/3Df9xae0Jy</t>
  </si>
  <si>
    <t>RT @organizaChicago: @NYCHA w/the push from advocates, we have been able to look at this issue and take it on #housingreentry @verainstitut…</t>
  </si>
  <si>
    <t>RT @verainstitute: "We are in the business of housing people. It is not in our business to kick people out." –Shola Olatoye, CEO of @NYCHA…</t>
  </si>
  <si>
    <t>RT @erinburnsmaine: This successful Pilot demonstrates the power of reuniting families in housing- @SholaOlatoye @NYCHA @CSHInfo @verainsti…</t>
  </si>
  <si>
    <t>RT @verainstitute: Our event with @HUDgov, @NYCHA, and others on #HousingReentry, streaming LIVE: https://t.co/pXkLOIHZ5H https://t.co/CNho…</t>
  </si>
  <si>
    <t>RT @hourchildreninc: Shola Olatoye, CEO of @NYCHA #HousingReentry "Safety and protecting people's rights are not mutually exclusive." stres…</t>
  </si>
  <si>
    <t>RT @verainstitute: "One in twelve New Yorkers live in public housing or interact with it in some way." –Shola Olatoye of @NYCHA</t>
  </si>
  <si>
    <t>RT @Butler_Fund: Lloyd Blankfein at Goldman Sachs and Howard Schultz at Starbucks grew up in @NYCHA housing @verainstitute</t>
  </si>
  <si>
    <t>RT @JeanBWeinberg: .@SholaOlatoye: 1 in 12 NY'ers live @NYCHA from alums @goldmanSachs Lloyd Blankfein to @Starbucks CEO Howard Schultz htt…</t>
  </si>
  <si>
    <t>RT @verainstitute: "There is nuance to this discussion that so often is missed in conversations about who deserves access to housing." @NYC…</t>
  </si>
  <si>
    <t>RT @verainstitute: "Without the help of @NYCHA and #HousingReentry project, I don't know where I'd be today. I was able to have a life agai…</t>
  </si>
  <si>
    <t>RT @RachelFeeNYHC: Thank you to @NydiaVelazquez and @SenSchumer for protecting 55k+ Section 8 households in @HUDgov SAFMR exemption for @NY…</t>
  </si>
  <si>
    <t>RT @GreenCityForce: Despite a bit of rain, the first annual Bay View Harvest Festival was a hit. Read more:
https://t.co/ROlPMtdURs @NYCHA…</t>
  </si>
  <si>
    <t>RT @verainstitute: Thanks to all who attended #HousingReentry! Thanks to partners @HUDgov, @NYCHA, @TrinityWallSt. Learn more now: https://…</t>
  </si>
  <si>
    <t>RT @verainstitute: And read the new report from Vera on @NYCHA #HousingReentry Pilot Program: https://t.co/H3EbymxC4A https://t.co/caf3GfkC…</t>
  </si>
  <si>
    <t>RT @OptimusPrimox: Watch how @NYCHA &amp;amp; @HUDNY_NJ are working to #EndVeteransHomelessness in #NYC #NYCHA #HUD #homeless https://t.co/fz7GuP9P…</t>
  </si>
  <si>
    <t>RT @organizaChicago: 85 people have gone through @NYCHA reentry pilot w/o a single reoffense. Families are the foundation. @verainstitute #…</t>
  </si>
  <si>
    <t>RT @CSHInfo: Excited to celebrate the success of the NYCHA Pilot today, thank you to our partners @NYCHA @NYSDOCCS @verainstitute #housingr…</t>
  </si>
  <si>
    <t>ICYMI, @News12BX reports: @NYCHA Program Finds &amp;amp; Supports Housing for Homeless Vets. Watch via @Youtube https://t.co/yGjJhwgZyW</t>
  </si>
  <si>
    <t>Writing a resume on a phone is hard. The Digital Van can help. @ Carver until 4pm #MNH https://t.co/dmzu8keRPG</t>
  </si>
  <si>
    <t>LIVE NOW: Chair @SholaOlatoye to speak @  @verainstitute w/@HUDgov@ @TrinityWallSt on  Innovative Reentry Practices: https://t.co/P4LTfkEX7z</t>
  </si>
  <si>
    <t>TOMORROW: Chair @SholaOlatoye speaks @ @verainstitute w/ @HUDgov @  @TrinityWallSt on innovative re-entry practices: https://t.co/P4LTfkEX7z</t>
  </si>
  <si>
    <t>RT @cathypenningt15: Honoring our vets at Gracie Mansion.  So proud of NYCHA's housing program for vets serving almost 3,000 strong . https…</t>
  </si>
  <si>
    <t>.@NYCHA program finds &amp;amp; supports housing for homeless vets: https://t.co/yGjJhwgZyW via @News12BX @YouTube</t>
  </si>
  <si>
    <t>DYK? You can subscribe to alerts, outages in your development+view inspection appointments? #MyNYCHA online: https://t.co/Jp6SqbMZp2 @NYCHA</t>
  </si>
  <si>
    <t>RT @GreenCityForce: Check out our brand new @AmeriCorps Members, all young @NYCHA residents, w/ @NationalService Director @WendyCNCS! #serv…</t>
  </si>
  <si>
    <t>.@News12BX reports: @NYCHA Program Finds &amp;amp; Supports Housing for Homeless Vets. Watch via @Youtube https://t.co/yGjJhwgZyW</t>
  </si>
  <si>
    <t>RT @NYPDPSA4: Trip to Columbia University football game sponsored by #Rutgers Houses President @NYCHA @NYPDPSA4 @GoColumbiaLions with kids…</t>
  </si>
  <si>
    <t>@AngeeNYC23 Hello. We're sorry to see this. We've sent you a DM regarding this matter. Thanks</t>
  </si>
  <si>
    <t>.@News12BK reports: Williamsburg residents gather in effort to enhance safety, security. Watch via @Youtube https://t.co/3Df9x9WpS0</t>
  </si>
  <si>
    <t>Thx Kim Maxwell! You’re a fun, reliable presence for our communities! #NextGenNYCHA #IamNextGen… https://t.co/BZpWR2dmNk</t>
  </si>
  <si>
    <t>Free WiFi, computer access now in NYCHA Digital Vans at Brownsville #BK! https://t.co/dmzu8keRPG</t>
  </si>
  <si>
    <t>We commend Kim for building relationships &amp;amp; bringing @NYCHA communities together. He is #NextGenNYCHA #IamNextGen… https://t.co/2le0vfoC0z</t>
  </si>
  <si>
    <t>Kim Maxwell-on driving the Digital Van: “I have the best job at @NYCHA.” #NextGenNYCHA #IamNextGen… https://t.co/o7biINw521</t>
  </si>
  <si>
    <t>RT @Fund4PH: Help us win a grant as part of #givnyc 2016: 'favorite' our profiles @GivKwik by this Mon the 14th! https://t.co/wn9kD80umt ht…</t>
  </si>
  <si>
    <t>When you're worried that things just got real, we can help. Go to: https://t.co/iMtKqlBJk6 #NYCYouthHealth https://t.co/wLQ5K4Mj5D</t>
  </si>
  <si>
    <t>Kim Maxwell is #NextGenNYCHA! Thx for bringing joy every day to our residents! #IamNextGen https://t.co/dgz6hzCXgB https://t.co/vqfXFTEp80</t>
  </si>
  <si>
    <t>RT @CitiBikeNYC: Ahorre dinero y tiempo con su membresía de #CitiBike. Solo $5/mes para residentes de @NYCHA https://t.co/N75ZgGaMni</t>
  </si>
  <si>
    <t>#TBT photo features residents enjoying a friendly game of basketball during a NYCHA Championship Basketball game ba… https://t.co/tXSDiDqAPH</t>
  </si>
  <si>
    <t>RT @Fund4PH: HBD to the peerless #TracyMorgan! From Tompkins Houses @NYCHA to charming millions on stage and screen, he's a champ. #NYCHAal…</t>
  </si>
  <si>
    <t>Hello BK! NYCHA Digital Van is at Unity Plaza until 4pm. Free WiFi &amp;amp; computer access: https://t.co/dmzu8keRPG</t>
  </si>
  <si>
    <t>Kim Maxwell &amp;amp; the Digital Van make a difference for our residents, especially our children &amp;amp; seniors! #IamNextGen… https://t.co/gofLvdvhrT</t>
  </si>
  <si>
    <t>Kim Maxwell, a @NYCHA Digital Van Driver, works to ensure all residents stay connected! #NextGenNYCHA #IamNextGen… https://t.co/bcOTabKgfD</t>
  </si>
  <si>
    <t>43% de estudiantes, pero sólo 8.3 de maestros, son varones latinos, asiáticos o afroamericanos: https://t.co/4xSG4evdlQ @NYCHA #NYCMenTeach</t>
  </si>
  <si>
    <t>RT @NYCHRA: RT @CitiBikeNYC: Residentes de @NYCHA pueden usar #CitiBike por solo $5/mes! Más información en https://t.co/nhd64jpEXB</t>
  </si>
  <si>
    <t>Hello SI!  Check out our Digital Van today @ South Beach Houses until 4pm https://t.co/dmzu8keRPG</t>
  </si>
  <si>
    <t>Today is Election Day! Prepare to vote NOW. Confirm your poll site &amp;amp; find your races at https://t.co/bPEkufhfww… https://t.co/RnG9sHPxS8</t>
  </si>
  <si>
    <t>.@NY1  reports: Gardens at Beach 41st Street Houses Take Off After Hurricane #Sandy. Together we are #NYCHAStrong https://t.co/wN2d9fr2BK</t>
  </si>
  <si>
    <t>RT @swaystay: .@NYCHA is opening its doors - submit a #tech solution to reduce heat + electrical demand: https://t.co/IqPtwT0H32 #innovation</t>
  </si>
  <si>
    <t>RT @CitymartTeam: @achrnews any recommendations for @nycha heat and energy challenges? https://t.co/vlRQdvkAyR  please RT!</t>
  </si>
  <si>
    <t>RT @NYCVotes: Tuesday, 11/8, is Election Day! Polls open 6AM-9PM. Identify your down ballot races &amp;amp; confirm your poll site at https://t.co/…</t>
  </si>
  <si>
    <t>@Koko_Smilez Hi. We're sorry to hear about this. Could you please send us your ticket number(s) so we can follow up?</t>
  </si>
  <si>
    <t>NYCHA Digital Van in #Queens offers free WiFi &amp;amp; computer access. Stop by South Jamaica Houses before 4pm! https://t.co/dmzu8keRPG</t>
  </si>
  <si>
    <t>RT @GreenCityForce: Bay View Houses, bring us your compostables at today's Farm Stand, 10-2pm! Go home with free produce. @NYCHA @ENYFARMS…</t>
  </si>
  <si>
    <t>RT @joshdotfm: Help @NYCHA residents get the most out of free broadband service: https://t.co/NYcGCpHnx7 Deadline 11/14</t>
  </si>
  <si>
    <t>RT @mayorsCAU: Let's talk rent and flat rates! @NYCHA Brooklyn Town Hall! @NYCHA @SholaOlatoye  @BPEricAdams https://t.co/YTpXb4TG6W</t>
  </si>
  <si>
    <t>RT @RitchieTorres: Packed house tonight @NYCHA townhall in BK w. residents discussing #NextGenNYCHA #RAD &amp;amp; #safety. Thx @BPEricAdams for ho…</t>
  </si>
  <si>
    <t>Get Wired! Visit our Digital Van today at South Jamaica Houses #Queens https://t.co/dmzu8keRPG</t>
  </si>
  <si>
    <t>Today: @GonzalezSarahA from @WNYC traveled to Mott Haven Houses in the #BX to talk to visitors at @NYCHA's digital… https://t.co/S1HJ73YjsI</t>
  </si>
  <si>
    <t>RT @NESEA_org: Industry leaders from @NYCHA, @JLL, @OurWaterfront and @ArupGroup present on the importance of #ClimateAdaptation &amp;amp; #Resilie…</t>
  </si>
  <si>
    <t>#PACT alias #RAD, es una gran oportunidad para @NYCHA.” —Nicholas Bloom, profesor de @nyit https://t.co/ppxJgF5QZP https://t.co/8vlkj4rQpm</t>
  </si>
  <si>
    <t>.@PatchTweet reports: LED Safety Lights Installed at Harlem's Saint Nicholas Houses. #NextGenNYCHA Learn more… https://t.co/sfI8LrigXY</t>
  </si>
  <si>
    <t>RT @JeanBWeinberg: New lighting @NYCHA 's St. Nicholas Houses: https://t.co/nJfntw2ifV #NextGenNYCHA #publicsafety</t>
  </si>
  <si>
    <t>“It gives us something better than what public housing stands for. This garden enhanced &amp;amp; beautified our community.… https://t.co/JEduBCNXqY</t>
  </si>
  <si>
    <t>Get involved! Apply before Nov. 4 to join @NYCHA’s Youth Leadership Council #makeadifference in your community:… https://t.co/KlT1MobC9P</t>
  </si>
  <si>
    <t>RT @rasmiakf: Thank you @BallardSpahrLLP for inviting me to talk about @Fund4PH at your 2016 Housing Authority Summit! A great room to lear…</t>
  </si>
  <si>
    <t>RT @IDNYC: "Signing up was easy!"-Director Michael Owh, Mayor's Office of Contract Services at 1 Centre St IDNYC pop-up today 
https://t.c…</t>
  </si>
  <si>
    <t>It's not 2 late for @NYCHA, resident, high-school students to become a Youth Leadership Council member! Apply today… https://t.co/hOKv4FuRqR</t>
  </si>
  <si>
    <t>ICYMI, @NY1  reported Gardens at Beach 41st Street Houses Take Off After Hurricane #Sandy. #NYCHAStrong https://t.co/wN2d9fr2BK</t>
  </si>
  <si>
    <t>RT @TrustArt: Largest low-income residential landlord in America @NYCHA looking for #energy #innovation. Apply! https://t.co/osEVhGvCNn #sa…</t>
  </si>
  <si>
    <t>RT @CitymartTeam: @BetterBldgsDOE any recommendations for @nycha heat and energy challenges? https://t.co/vlRQdvkAyR  please RT!</t>
  </si>
  <si>
    <t>RT @pristind: @SholaOlatoye accepting Boys and Girls Club of Harlem M.L. Wilson Public Service Award @NYCHA https://t.co/LwAGoWVRTD</t>
  </si>
  <si>
    <t>RT @OptimusPrimox: "Digital divide has become an urgent civil rights concern" @POTUS edited @Wired edition, talkin @NYCHA #publichousing #N…</t>
  </si>
  <si>
    <t>RT @GreenCityForce: The Farm Stand at Howard Houses is open today, 10-2pm. Grab a can and help us water for free produce! @NYCHA @isabahlia…</t>
  </si>
  <si>
    <t>Need to connect to the web? Visit our Digital Van today at Mott Haven Houses #BX until 4pm! https://t.co/dmzu8keRPG</t>
  </si>
  <si>
    <t>RT @jsinderbrand: Join me for a discussion on resilience at #BENYC16 on 11/3. #NYCHAStrong https://t.co/tA2G3yS5cm @NYCHA</t>
  </si>
  <si>
    <t>RT @swaystay: As part of #NextGenNYCHA, #nyc is looking for tech solutions to electric + heat demand. https://t.co/IqPtwT0H32 #innovation #…</t>
  </si>
  <si>
    <t>RT @CitymartTeam: @EnergyCollectiv any recommendations for @nycha heat and energy challenges? https://t.co/vlRQdvkAyR please RT!</t>
  </si>
  <si>
    <t>RT @globalnyc: Want to make an impact in #nyc @NYCHA? Propose tech solutions for heat+electric demand. Submit by 11/23! https://t.co/uiuq6R…</t>
  </si>
  <si>
    <t>RT @bomee: Support NYCHA residents taking action: Make 130 a better place to live | ioby https://t.co/E2MORfRnCB</t>
  </si>
  <si>
    <t>.@NY1 reports: Gardens at Beach 41st Street Houses Take Off After Hurricane #Sandy. Together we are #NYCHAStrong https://t.co/wN2d9fr2BK</t>
  </si>
  <si>
    <t>Join a @NYCHA Youth Leadership Council &amp;amp; help make policy decisions that impact all residents! Apply by Nov. 4:… https://t.co/3UzPWJKc3t</t>
  </si>
  <si>
    <t>Hello SI! Visit our Digital Van today @ Richmond Terrace in #SI. Free WiFi &amp;amp; computer access https://t.co/dmzu8keRPG</t>
  </si>
  <si>
    <t>Need digital access? Our Digital Van is at Webster Houses until 4pm today! #BX https://t.co/dmzu8keRPG</t>
  </si>
  <si>
    <t>Need a repair done? You can now track your service requests thru the #MyNYCHA App. Learn more: https://t.co/Jp6SqbMZp2</t>
  </si>
  <si>
    <t>Are you a @NYCHA  resident in high school? Join the Youth Leadership Council in your neighborhood! Apply by Nov. 4:… https://t.co/y2AeFPVEC2</t>
  </si>
  <si>
    <t>.@NYCHA REES, @HotBreadKitchen &amp;amp; @NYCSmallBizSvcs help to make dreams become a reality for residents:… https://t.co/bASOkjeRBw</t>
  </si>
  <si>
    <t>RT @GreenCityForce: Thank you to the 500+ Wagner residents who celebrated Harvest Fest with us on Saturday! Photos here: https://t.co/nawRJ…</t>
  </si>
  <si>
    <t>You wired? Go to the Digital Van @ Edenwald Houses in the #BX. Complete schedule here: https://t.co/dmzu8keRPG</t>
  </si>
  <si>
    <t>Going digital: one way @NYCHA under #NextGenNYCHA is providing improved customer service to our residents. #MyNYCHA https://t.co/bvVqlALCbe</t>
  </si>
  <si>
    <t>Deadline extended: Help make decisions that impact your community! Apply to join @NYCHA’s Youth Leadership Council:… https://t.co/bcLu6ZIkmE</t>
  </si>
  <si>
    <t>New, bigger location for @NYCHA's Harlem River Houses @nypl! Visits expected to increase by 40% annually. Read more: https://t.co/m5VB2ybhj7</t>
  </si>
  <si>
    <t>Love cycling? @CitiBikeNYC offers #free rides &amp;amp; safety tips for #NYC #womenwhobike. Only $5/mo for @NYCHA residents: https://t.co/U8UXW60hJ5</t>
  </si>
  <si>
    <t>Happy anniversary #KingsboroughHouses and have a safe #Halloween #BK https://t.co/mQQdjTNvXM</t>
  </si>
  <si>
    <t>Have a happy and safe Halloween folks! Make it a spooky one this year. #Halloween2016 https://t.co/E8rpAC7L4E</t>
  </si>
  <si>
    <t>Writing a resume on a phone is hard. The Digital Van can help. Visit us @ Williamsburg Houses in #BKon.nyc.gov/digitalvan</t>
  </si>
  <si>
    <t>#HappyHalloween folks! Here's a tip: Always inspect your candy! Adults should examine their kids' treats beforehand https://t.co/dNckG7wJ8d</t>
  </si>
  <si>
    <t>ICYMI, it’s Women’s Bike Month! @CitiBikeNYC offers @NYCHA residents membership for only $5/mo. #NYC #womenwhobike: https://t.co/U8UXW60hJ5</t>
  </si>
  <si>
    <t>Click here to see how NYCHA Residents get priority for #Sandy recovery jobs &amp;amp; more: https://t.co/sY0giutTpC #NYCHAstrong</t>
  </si>
  <si>
    <t>RT @JennMontalvo: @NYCHA's GM, @GreenCityForce, @MMViverito discussing the success of Wagner's first urban farm https://t.co/5Mhnera5bI</t>
  </si>
  <si>
    <t>#Harvest Fest is happening now until 3:30pm today at #WagnerHouses Farm! @GreenCityForce @HarlemGrown #permaculture https://t.co/lXBGbhduBN</t>
  </si>
  <si>
    <t>RT @GreenCityForce: Harvest Fest is in full swing at Wagner Houses Farm! @NYCHA Come by to celebrate. https://t.co/IJsoUJiNuF</t>
  </si>
  <si>
    <t>We're at Pier 42 for #Sandyween until 4pm today talking about our recovery + resiliency work! #NYCHAStrong #LES… https://t.co/LEky5EjMV5</t>
  </si>
  <si>
    <t>Interested in a new career rebuilding Sandy-impacted developments? Visit https://t.co/fAZyKcjtlX #NYCHAstrong https://t.co/D0lKFrg2rd</t>
  </si>
  <si>
    <t>#Sandy repairs are underway way @ Oceanside, Coney Island, Astoria &amp;amp; LES Rehab V. https://t.co/CCmsHjVgXr… https://t.co/vagzuOASTo</t>
  </si>
  <si>
    <t>.@NYIT's Nicholas Bloom on how NYCHA developments can look, highlighting Sandy Recovery planning: https://t.co/5Bbcr3qSMm #NYCHAStrong</t>
  </si>
  <si>
    <t>From 4/2014 - 10/2016, @NYCHA organized, attended, &amp;amp; participated in 1,385+ Sandy recovery meetings.… https://t.co/r5waRT38ir</t>
  </si>
  <si>
    <t>Learn how resident Robert White is helping us build back after #Sandy as a Community Outreach Worker #NYCHAstrong… https://t.co/RSvjhClvtU</t>
  </si>
  <si>
    <t>Graphic: ~32% of @NYCHA’s buildings were &amp;gt;60 years old when #Sandy hit.
 #NYCHAstrong https://t.co/FSWCc0gPz2 https://t.co/QEKypibhFo</t>
  </si>
  <si>
    <t>RT @GreenCityForce: Have questions about the farms built at @NYCHA this year? We've got answers! Visit our website for more info: https://t…</t>
  </si>
  <si>
    <t>RT @Enterprise_NYC: How New York City is working to merge government with innovation: https://t.co/0AajXD0WKr @jessleber @nycha</t>
  </si>
  <si>
    <t>.@PatchTweet: @NYCHA's Harlem River Houses @nypl Branch Tapped for Expansion. Read more: https://t.co/m5VB2ybhj7</t>
  </si>
  <si>
    <t>RT @Fund4PH: Answer the call: Up the efficiency of heating and electricity @NYCHA buildings: https://t.co/INiErYTIoE @AdamRRowe @CitymartTe…</t>
  </si>
  <si>
    <t>.@NYCHA has distributed 110K flyers to residents re #SuperStormSandy events and construction updates!… https://t.co/mfIvuoLgUH</t>
  </si>
  <si>
    <t>RT @TechCoHQ: Answer the Call: NYC Wants You to Make It More Efficient - https://t.co/KnE7BqTQtT</t>
  </si>
  <si>
    <t>DYK @NYCHA Residents get priority for #Sandy recovery jobs &amp;amp; more? Visit https://t.co/fAZyKcjtlX #NYCHAstrong https://t.co/D0lKFrg2rd</t>
  </si>
  <si>
    <t>We plan to be more #resilient than before #Sandy. Learn what’s in store, dev by dev: https://t.co/FSWCc0gPz2… https://t.co/WxP8niwVsQ</t>
  </si>
  <si>
    <t>Meet the residents that are making #NYCHA more resilient than ever after #Sandy. #NYCHAStrong https://t.co/sY0giutTpC</t>
  </si>
  <si>
    <t>ICYMI, @News12BX  reports: NYCHA program helps launch burger business https://t.co/2UPYZAZ12j</t>
  </si>
  <si>
    <t>23 @NYCHA Sandy-affected developments are currently undergoing initial repair work or recovery work!… https://t.co/OWCl6f78wh</t>
  </si>
  <si>
    <t>Want to make a difference for @NYCHA residents? Learn more about @nycforward’s Call for Innovations https://t.co/SR98eYyo5G</t>
  </si>
  <si>
    <t>RT @GreenCityForce: The Bay View Houses Farm Stand is open to @NYCHA residents today from 10-2pm. Stop by to volunteer, drop of compost &amp;amp; t…</t>
  </si>
  <si>
    <t>RT @illicitmindinc: As part of #NextGenNYCHA, #nyc is looking for tech solutions to electric + heat demand. https://t.co/ncxfPqqgZb #innova…</t>
  </si>
  <si>
    <t>Last day to apply to join @NYCHA’s Youth Leadership Council, be heard &amp;amp; #makeadifference in your community:… https://t.co/7uQbYHorZW</t>
  </si>
  <si>
    <t>Get wired today, catch the Digital Van @ Wyckoff Gardens #BK. Get the complete schedule here:https://t.co/dmzu8keRPG</t>
  </si>
  <si>
    <t>Hello BK!  Check out our Digital Van today @ Gowanus Houses until 4p  https://t.co/dmzu8keRPG</t>
  </si>
  <si>
    <t>.@NYCHA’s Sandy recovery continues w/ 4 major projects to repair 18 buildings housing 3100+ residents!… https://t.co/UlcglLJccS</t>
  </si>
  <si>
    <t>See @NYCHA’s #SuperStormSandy recovery milestones: $201 million in construction underway in 2016… https://t.co/vdG2J6IfC0</t>
  </si>
  <si>
    <t>To date: 232 first floor #SuperStormSandy-damaged apartments have been completely renovated.… https://t.co/hBvf2PfvIZ</t>
  </si>
  <si>
    <t>RT @dzarrilli: Real progress at @NYCHA as it continues to deliver on its $3b @fema grant - the largest ever! https://t.co/J7xT6Cex3f @NYCli…</t>
  </si>
  <si>
    <t>Fact: 127 @NYCHA residents hired for #SuperStormSandy recovery work to date. Want a career? Go to… https://t.co/z4dGP43DFz</t>
  </si>
  <si>
    <t>219 @NYCHA buildings were damaged by Hurricane Sandy. We're building stronger: https://t.co/CCmsHjVgXr
#NYCHAStrong https://t.co/OU9aiI0CbJ</t>
  </si>
  <si>
    <t>#NYCHAStrong: A new career rebuilding Sandy-impacted developments https://t.co/KEZU8sOT8F</t>
  </si>
  <si>
    <t>In 2012 #SuperStormSandy destroyed many @NYCHA homes. Now we're rebuilding &amp;amp; repairing! #TBT #ODwyerGardens #BK… https://t.co/foCYWc1qTM</t>
  </si>
  <si>
    <t>Read how the @Fund4PH is restoring decaying art at @NYCHA developments: https://t.co/QIKSyWasCL https://t.co/d7L9ONABKV</t>
  </si>
  <si>
    <t>DYK over 1,200 employees use handhelds? All frontline staff will go digital by Spring 2017. #MyNYCHA #NextGenNYCHA https://t.co/bvVqlALCbe</t>
  </si>
  <si>
    <t>RT @bomee: Lead green programmatic initatives at the largest landlord in the country!  @NYCHA https://t.co/tavSr353RX - Pls RT!</t>
  </si>
  <si>
    <t>RT @NYCCD8: Know a @NYCHA resident youth who would b a great addition 2 the new Youth Leadership Councils? Tell them to sign up! https://t.…</t>
  </si>
  <si>
    <t>RT @erinburnsmaine: Thank you @NYCHA for your commitment to helping people w #justice histories return home to family #excludednomore @CSHI…</t>
  </si>
  <si>
    <t>Are you a @NYCHA resident in high school? Join the Youth Leadership Council in your neighborhood! Apply by Oct. 28:… https://t.co/CrMJP0WKv6</t>
  </si>
  <si>
    <t>.@nypl Macomb's Bridge branch to be 4x size at new #Harlem River Houses location. 40% more visitors! https://t.co/6bhL2OOIxd #NextGenNYCHA</t>
  </si>
  <si>
    <t>.@SholaOlatoye: “Our public libraries are effective institutions to connect people to opportunities.” More: https://t.co/6bhL2OOIxd</t>
  </si>
  <si>
    <t>#Harlem River Houses RA President Michelle Grant &amp;amp; her neighbors will shape the new library’s programming for the community. #NextGenNYCHA</t>
  </si>
  <si>
    <t>New Macomb's Bridge branch at #Harlem River Houses made possible by @NYPL @GaleBrewerNYC  @inezdickens2013 @dennyfarrell. Thank you!</t>
  </si>
  <si>
    <t>The @NYPL Macomb's Bridge branch will quadruple in size at its new location at @NYCHA’s #Harlem River Houses.</t>
  </si>
  <si>
    <t>Announcing: A new and larger branch location for Macomb’s Bridge Library at @NYCHA’s #Harlem River Houses!</t>
  </si>
  <si>
    <t>RT @jillmarette99: .@NYCHA Sideya Sherman: "Slice of housing vacant vs. families w/ formerly inc member... We launched #ReentryHousing pilo…</t>
  </si>
  <si>
    <t>RT @JeanBWeinberg: Great morning w/Ms.Rodriguez @NYCHA's Isaacs, seeing our online process for recertifications in action!#NextGenNYCHA htt…</t>
  </si>
  <si>
    <t>.@News12BX reports: NYCHA program helps launch burger business https://t.co/2UPYZBgBTR</t>
  </si>
  <si>
    <t>Love cycling? @CitiBikeNYC offers #free rides &amp;amp; safety tips for #NYC #womenwhobike. Only $5/mo for @NYCHA residents… https://t.co/riT1W7CBut</t>
  </si>
  <si>
    <t>RT @MFYLegal: @NYCHA Pilot reunified 86 families in #publichousing post-incarceration. Efforts must be scaled statewide! @cshinfo  https://…</t>
  </si>
  <si>
    <t>RT @GreenCityForce: Howard Houses residents, come on by the Howard Houses Farm Stand @NYCHA today from 10-2pm to take home free produce! ht…</t>
  </si>
  <si>
    <t>Someone need digital access? Well the Digital Van is at Rangel Houses #MNH! https://t.co/dmzu8keRPG</t>
  </si>
  <si>
    <t>Happy Customer Service Week from @NYCHA's Harlem River Staff!  #CSWNYCHA2016! Employees: Lean more at NYCHA Connect. https://t.co/n6c93iOJkM</t>
  </si>
  <si>
    <t>RT @mcscharf: Hey #entrepreneurs, @NYCHA is seeking #tech solutions to reduce heat loads+electrical demand #socent #innovation https://t.co…</t>
  </si>
  <si>
    <t>RT @mbentonpayne: "FEMA believes that a Sandy-like storm could happen every 20 years." - Joy (of @NYCHA)</t>
  </si>
  <si>
    <t>RT @andrewcoward: Great ideas coming out of @NYCHA on creating #climatechange resilient housing in the wake of Hurricane Sandy #ULIFall</t>
  </si>
  <si>
    <t>RT @gavscha: @NYCHA plans to raise utilities up above flood level in some of its properties. They become community amenities with green roo…</t>
  </si>
  <si>
    <t>Join a @NYCHA Youth Leadership Council &amp;amp; help make policy decisions that impact all residents! Apply by Oct. 28:… https://t.co/RPVDACJm4i</t>
  </si>
  <si>
    <t>Are you one of the many #NYC #womenwhobike? @CitiBikeNYC has tons of #free cycling resources for you: https://t.co/U8UXW60hJ5</t>
  </si>
  <si>
    <t>A partnership w/@NYCHA REES, @NYCSmallBizSvcs &amp;amp; @HotBreadKitchen helps residents to start new food businesses!… https://t.co/E0V27y472G</t>
  </si>
  <si>
    <t>RT @TourguideStan: This is a great idea, helping poor New Yorkers rise to middle class!
@DC9_IUPAT 
@NYCHA 
https://t.co/T1z0OcTtjh</t>
  </si>
  <si>
    <t>RT @NYSERDA: .@RKauffmanEnergy's #ChiefOfStaff @cameronbard, @NYCHA's @bomee, &amp;amp; our #Finance Solutions Director John Joshi discussing #Rev4…</t>
  </si>
  <si>
    <t>RT @GreenCityForce: Visit @AmeriCorps Members at the Red Hook Houses Farm @NYCHA on this chilly day, from 10am-2pm. https://t.co/5x7T4vWuNd</t>
  </si>
  <si>
    <t>Happening now: @NYCHA Board Meeting. Watch the video livestream https://t.co/rQhtV9jIUL</t>
  </si>
  <si>
    <t>We partnered w/ @EDFBiz to help meet our energy goals. What was the result? https://t.co/Dt1C1Bgnw4 https://t.co/7G6PkWLFFL</t>
  </si>
  <si>
    <t>.@NYCHA Board Meeting today at 10:15. Watch the video livestream https://t.co/rQhtV9jIUL</t>
  </si>
  <si>
    <t>Currently, 172 developments are using handhelds. All frontline staff will go digital by 2017 #MyNYCHA #NextGenNYCHA https://t.co/bvVqlALCbe</t>
  </si>
  <si>
    <t>Tune in LIVE to the video livestream of today's board meeting at 10:15am. View here: https://t.co/rQhtV9jIUL</t>
  </si>
  <si>
    <t>Did you know we livestream our board meetings? Watch live at 10:15am: https://t.co/rQhtV9jIUL</t>
  </si>
  <si>
    <t>Want to connect to the web? Visit our Digital Van today at Woodside Houses #Queenson.nyc.gov/digitalvan</t>
  </si>
  <si>
    <t>RT @DC9_IUPAT: Painters' union and @NYCHA create apprenticeship program via @CrainsNewYork @RosaGoldensohn https://t.co/CWIQ4Pw2bo</t>
  </si>
  <si>
    <t>RT @RitchieTorres: Together w. @DC9_IUPAT, today we announced a new @NYCHA apprenticeship program that will create middle-class jobs for re…</t>
  </si>
  <si>
    <t>.@DNAinfo: Restoring and publicizing art at @NYCHA complexes is a priority for the @Fund4PH! Read more: https://t.co/QIKSyWasCL</t>
  </si>
  <si>
    <t>Hear our very own @Bomee speak on #PublicBuildings &amp;amp; #PublicHousing at #BENYC16 on 11/3 https://t.co/Bz6u4lsboS https://t.co/icQlpWsBZD</t>
  </si>
  <si>
    <t>VP Joy Sinderbrand talking resiliency post #SuperstormSandy at LES V #NYCHAStrong https://t.co/YYBc9TWNwr</t>
  </si>
  <si>
    <t>RT @bomee: Proud to work with Frank, our #iamnextgen @NYCHA star and @GreenCityForce award winner https://t.co/VGDhYdy8s8 https://t.co/osoC…</t>
  </si>
  <si>
    <t>Get involved! Apply before Oct. 28 to join @NYCHA’s Youth Leadership Council #makeadifference in your community:… https://t.co/vCGasMJBZH</t>
  </si>
  <si>
    <t>.@CitiBikeNYC + Women’s Bike Month = More #NYC #womenwhobike! Membership is just $5/mo for @NYCHA residents:… https://t.co/JcUZvjOArn</t>
  </si>
  <si>
    <t>Our new handhelds will eliminate printing over 2 million work orders a year. #efficency #MyNYCHA #NextGenNYCHA https://t.co/bvVqlALCbe</t>
  </si>
  <si>
    <t>Hey Qns! NYCHA Digital Van is at Ravenswood Houses until 4pm. Free WiFi &amp;amp; computer https://t.co/nCXsqKJbdy</t>
  </si>
  <si>
    <t>No need for multiple visits to the management office! New handhelds help residents &amp;amp; staff. #MyNYCHA #NextGenNYCHA https://t.co/bvVqlALCbe</t>
  </si>
  <si>
    <t>RT @NYCHousing: Do you live in #Brownsville,? What's your vision for the neighborhood? Join the planning process on @courbanize: https://t.…</t>
  </si>
  <si>
    <t>Congrats Yanisleidy Lewis Magan on becoming a 2016 NYCHA-CUNY Scholar! Learn about the double major she's pursuing:… https://t.co/bf9Yf2DqZV</t>
  </si>
  <si>
    <t>RT @NYCHA: Currently, 172 developments are using handhelds. All frontline staff will go digital by 2017 #MyNYCHA #NextGenNYCHA https://t.co…</t>
  </si>
  <si>
    <t>Currently, 172 developments are using handhelds. All frontline staff will go digital by 2017 #MyNYCHA #NextGenNYCHA https://t.co/u6Nz6cE36d</t>
  </si>
  <si>
    <t>RT @JoinJoyner: October is #firesafety awareness month, please join us this week for a FREE presentation w/ @FDNY &amp;amp; @NYCHA https://t.co/ZhE…</t>
  </si>
  <si>
    <t>Calling all @NYCHA, resident, high-school students: become a Youth Leadership Council member! Apply today:… https://t.co/YfSYHUnLAT</t>
  </si>
  <si>
    <t>Going digital is one way @NYCHA under #NextGenNYCHA is providing improved customer service to our residents #MyNYCHA https://t.co/bvVqlALCbe</t>
  </si>
  <si>
    <t>Marisol Semprit believes our diversity is what gives us strength. She is #NextGenNYCHA! #IamNextGen… https://t.co/IoCjkSbEIt</t>
  </si>
  <si>
    <t>Jeanette Toomer started her own food business w/help from @NYCHA REES, @HotBreadKitchen &amp;amp; @NYCSmallBizSvcs!… https://t.co/K4tqpnKWkI</t>
  </si>
  <si>
    <t>Thx to @CitiBikeNYC Oct is Women’s Bike Month! For #free day passes, #safety tips, local events visit: https://t.co/U8UXW60hJ5 #womenwhobike</t>
  </si>
  <si>
    <t>RT @nycoem: Is your pet ready for a disaster? Prepare an Emergency Plan for you and your pet so that you can stay safe together. https://t.…</t>
  </si>
  <si>
    <t>Someone need digital access? Well, the Digital Van is at Queensbridge South Houses today until 4pm! https://t.co/dmzu8keRPG</t>
  </si>
  <si>
    <t>We commend Marisol for going above &amp;amp; beyond for our residents. She is #NextGenNYCHA #IamNextGen… https://t.co/yqAm73M6Fh</t>
  </si>
  <si>
    <t>RT @NotifyNYC: .@NWSNewYorkNY has issued a Wind Advisory from 2PM this afternoon until 6AM tomorrow, 10/23. For updates: https://t.co/t918y…</t>
  </si>
  <si>
    <t>Marisol Semprit believes communication builds strong communities! #NextGenNYCHA #IamNextGen https://t.co/dgz6hzCXgB https://t.co/HIdSSoDpgz</t>
  </si>
  <si>
    <t>Help make decisions that impact your community! Apply to join @NYCHA’s Youth Leadership Council. Learn more:… https://t.co/2AgyAd47l0</t>
  </si>
  <si>
    <t>“If you help people, they will always remember that about you” says Marisol Semprit. #NextGenNYCHA #IamNextGen… https://t.co/jGaXQTokDb</t>
  </si>
  <si>
    <t>Bravo Shawntae Burgess-a 2016 NYCHA-CUNY Scholar! Want to know how she made her dreams about college come true?:… https://t.co/S7E532vCJ1</t>
  </si>
  <si>
    <t>Looking to join #NYC #womenwhobike? @CitiBikeNYC is offering #free cycling info &amp;amp; is $5/mo. for @NYCHA residents: https://t.co/U8UXW60hJ5</t>
  </si>
  <si>
    <t>RT @gegram: Calling all #techies, #startups and #innovators! What #tech solutions do you want to pilot @NYCHA in 2017? https://t.co/So2ldDS…</t>
  </si>
  <si>
    <t>RT @JennMontalvo: Brian Honan from @NYCHA presenting on RAD to Twin Parks West Residents https://t.co/oRXTJ9j2II</t>
  </si>
  <si>
    <t>Internet access is GOOD! Get digital today 10a-4p at Washington Houses, #MNH. See our Digital Van schedule: https://t.co/dmzu8kwsHe</t>
  </si>
  <si>
    <t>October is Women's Bike Month! Grab a friend and check out a fun @CitiBikeNYC #womenwhobike event near you: https://t.co/U8UXW60hJ5</t>
  </si>
  <si>
    <t>#TBT: General Manager Michael Kelly catches up on the #NYCHAJournal with a young resident. #OurJournal… https://t.co/qQlGF0mHz7</t>
  </si>
  <si>
    <t>RT @bomee: Catch @NYCHA at the @CenterForArch 10/26 on intersection of green and resiliency https://t.co/BXTojWMdwi</t>
  </si>
  <si>
    <t>RT @nycforward: How New York City Is Working To Merge Government With Innovation .@NYCHA .@NYCSchools .@CitymartTeam .@FastCoExist 
https:/…</t>
  </si>
  <si>
    <t>RT @FMASummits: @NYCHA 's Bomee Jung, VP for Energy &amp;amp; Sustainability lays down 10-year strategic roadmap at #FMA Summits. Calls for #innova…</t>
  </si>
  <si>
    <t>RT @rhookinitiative: Join RHI on 10/26 to learn abt @NYCHA Family Re-entry Pilot Program. RSVP to vanessa@rhicenter.org. #redhook #justice…</t>
  </si>
  <si>
    <t>RT @MetaPropNYC: How #NewYorkCity is working to merge #government with #innovation: https://t.co/5LGfol9E2T by @jessleber @NYCHA https://t.…</t>
  </si>
  <si>
    <t>.@World2NYC, private partners &amp;amp; our Karina Totah made #MIPIMPropTechSummit 2016 a success!  #PropTech  Thx… https://t.co/VKQvMY3t4g</t>
  </si>
  <si>
    <t>Grow your love for kids into a profitable childcare business! @NYCSmallBizSvcs @Citi @BOCNetwork can help: https://t.co/NzIahDMvHQ</t>
  </si>
  <si>
    <t>Writing a resume on a phone is hard. The Digital Van can help. At Lincoln Houses today until 4pm: https://t.co/dmzu8keRPG</t>
  </si>
  <si>
    <t>@MargoTroche1 It's a team effort. We encourage residents to join us, @grownyc, @nyczerowaste: https://t.co/TzM3rJCTFT @bomee</t>
  </si>
  <si>
    <t>We’re looking for tech solutions for our electric + heat demand. Go to @nycforward’s Call for Innovations https://t.co/SR98eYyo5G</t>
  </si>
  <si>
    <t>RT @NYCSmallBizSvcs: @NYCSmallBizSvcs This terrific partnership with @NYCHA @citi and @NYCEDC connects @nycha residents w/ training to purs…</t>
  </si>
  <si>
    <t>RT @CitiBikeNYC: Skip the train on your way to work! Citi Bike is only $5/month for @NYCHA residents. Sign up here: https://t.co/N75ZgGaMni…</t>
  </si>
  <si>
    <t>Energy &amp;amp; Sustainability VP @bomee blazing a trail for #innovation. Join us w/ @nycforward to make a difference:… https://t.co/lHZhCWLKKi</t>
  </si>
  <si>
    <t>RT @NydiaVelazquez: Great event with @NYCHA about connecting residents to #Sandy recovery career opportunities. https://t.co/2B56H9ibb7</t>
  </si>
  <si>
    <t>Want to make an impact in @NYCHA communities? Propose tech solutions for our heat + electric demand. Apply here  https://t.co/SR98eYyo5G</t>
  </si>
  <si>
    <t>Want to learn how to start a home-based childcare business? Thanks to @NYCSmallBizSvcs @Citi &amp;amp; @BOCNetwork you can: https://t.co/NzIahDMvHQ</t>
  </si>
  <si>
    <t>Congrats William White on becoming a 2016 NYCHA-CUNY Scholar! Read about what he's overcome to continue his studies… https://t.co/opLRltF1yh</t>
  </si>
  <si>
    <t>Someone need digital access? Well the Digital Van is at Jefferson Houses today! #MNH: https://t.co/dmzu8keRPG</t>
  </si>
  <si>
    <t>Want to make a difference for @nycha residents? Learn more about @nycforward’s Call for Innovations https://t.co/SR98eYyo5G</t>
  </si>
  <si>
    <t>Need resources to get your home-based childcare business started? @NYCSmallBizSvcs @Citi @BOCNetwork can help: https://t.co/NzIahDMvHQ</t>
  </si>
  <si>
    <t>Want to propose tech solutions for our electric + heat demand? Learn more about @nycforward’s Call for Innovations https://t.co/SR98eYyo5G</t>
  </si>
  <si>
    <t>RT @CitizensNYC: Is your #NYC-based volunteer or school group eligible for our #NeighborhoodGrants of $500 to $3000? https://t.co/XOYKoafYL…</t>
  </si>
  <si>
    <t>RT @bomee: Looking forward to seeing folks this Sat. at the @greenhomenyc tour of Prospect Plaza and @NYCHA Howard Ave. Houses! https://t.c…</t>
  </si>
  <si>
    <t>@Classywifelife Hi. Are you a NYCHA resident, or do you receive Sec 8 assistance? If you're neither, plz contact HPD https://t.co/KMA4BXfRYz</t>
  </si>
  <si>
    <t>Meet Stephanie Lu-a 2016 NYCHA-CUNY SCHOLAR! Read about how her experiences @NYCHA have driven her academic path:… https://t.co/EKiYj6hRKg</t>
  </si>
  <si>
    <t>RT @ManhattanInst: Many NYCHA complexes can justly be described as “food deserts,” where decent, affordable, fresh food is scarce. https://…</t>
  </si>
  <si>
    <t>RT @SholaOlatoye: @NYCHA @GreenCityForce @Fund4PH He made &amp;amp; saved pesto 4 me! Deliciousio! #nextgennycha #bayviewfarm https://t.co/2GYZI1Bd…</t>
  </si>
  <si>
    <t>RT @CityJournal: Howard Husock makes the case for making vacant NYCHA land available for commercial development https://t.co/oc7ZRucNA1 htt…</t>
  </si>
  <si>
    <t>Catch up with NYCHA's digital van at Isaac Houses until 4pm! # BX See the full schedule:https://t.co/dmzu8keRPG</t>
  </si>
  <si>
    <t>NYC housing is undeniably political and cultural, find out how @MuseumofCityNY 10/19, discount: HOUSE1… https://t.co/jIsOur2mcq</t>
  </si>
  <si>
    <t>MT: This week's must read #BuildingJustice by Nick Bloom looks at race+public housing @NYCHA https://t.co/x46WdYNCls via @ElizabethWisman</t>
  </si>
  <si>
    <t>Join @Bomee for a discussion on #PublicBuildings &amp;amp; #PublicHousing at #BENYC16 on 11/3. https://t.co/Bz6u4lsboS https://t.co/v2CsR3ui6M</t>
  </si>
  <si>
    <t>RT @HUDNY_NJ: New #BuildingJustice tackles @NYCHA stereotypes &amp;amp; how private investment could be solution for #publichousing https://t.co/1f…</t>
  </si>
  <si>
    <t>Bravo @MetaPropNYC, @ReedMIDEM &amp;amp; our Karina Totah on the best #MIPIMPropTechSummit and #NYCRETechWeek ever!… https://t.co/wXKq73bdTN</t>
  </si>
  <si>
    <t>RT @ElizabethWisman: This week's must read #BuildingJustice by Nick Bloom looks at race+public housing @nycha https://t.co/ccmY0kvmQX via @…</t>
  </si>
  <si>
    <t>Safe, clean, &amp;amp; connected @ManhattanInst #NextGenNYCHA  https://t.co/SXM7S4sYjr</t>
  </si>
  <si>
    <t>.@NYCMayorsFund, Office of Strategic Partnerships &amp;amp; public-private partnerships enhancing lives &amp;amp; the @Fund4PH: https://t.co/rwZ1wxsYNF</t>
  </si>
  <si>
    <t>You wired? Go to the Digital Van @ Gompers Houses in Manhattan. Complete schedule here:https://t.co/dmzu8keRPG</t>
  </si>
  <si>
    <t>Visit our Digital Van @ LAguardia Houses today 10a-4p. Free WiFi and Internet:   https://t.co/dmzu8keRPG</t>
  </si>
  <si>
    <t>RT @SholaOlatoye: .@NYCHA @MikeWalrond @FCBC_NYC thank you for the honor. #PastorMikeSaid https://t.co/V2L4L20sci</t>
  </si>
  <si>
    <t>RT @NYCMayorsOffice: EXTENDED: Procrastinators rejoice! Register to vote IN PERSON at select poll sites tomorrow, Oct 15 (Saturday). https:…</t>
  </si>
  <si>
    <t>RT @NYCSmallBizSvcs: Learn how SBS offers free training to @NYCHA residents on how to launch &amp;amp; grow their own food service business https:/…</t>
  </si>
  <si>
    <t>Oct 16: Save the date-Get your pets #free rabies vaccines @ #Linden Park in #BK 10am-2pm @NYCACC &amp;amp; @ASPCA Learn mor… https://t.co/yQjz5I10P1</t>
  </si>
  <si>
    <t>RT @NYCBuilditBack: TY to the @NYCBldgTrades &amp;amp; all the @NYCHA @NYCWorkforce1 &amp;amp; @NYCSmallBizSvcs staff who made today's Rockaway training in…</t>
  </si>
  <si>
    <t>RT @NYPDPSA4: October is #DomesticViolenceAwarenessMonth. @NYPDPSA4 Domestic Violence Unit doing outreach to residents in Elliot/Chelsea Ho…</t>
  </si>
  <si>
    <t>RT @pristind: @SholaOlatoye presenting at the Real Estate Executive Council's Opportunities in Public Assets Panel @NYCHA https://t.co/iPEE…</t>
  </si>
  <si>
    <t>RT @AnnieEMinguez: .@RitchieTorres @verainstitute @GoodShepherdNYC @BronxDefenders @BxLegalServices   @VIPCommServices @NYCHA talk #Reentry…</t>
  </si>
  <si>
    <t>Join the convo 10/19! @earthinstitute's Richard Plunz: A History of Housing w/ @SholaOlatoye &amp;amp; @PrattInstitute's Da… https://t.co/WYPDtfCHpW</t>
  </si>
  <si>
    <t>Read how Jeanette Toomer's old hobby is now a new business! THX @NYCHA REES, @NYCSmallBizSvcs &amp;amp; @HotBreadKitchen:… https://t.co/Y4dXZULX8w</t>
  </si>
  <si>
    <t>RT @mayers1206: Nina from Brooklyn completed a change of address TODAY w/@NYCVotes at @NYCHA. Right in time Nina. C u @ the polls!@ https:/…</t>
  </si>
  <si>
    <t>Today is the last day to register to vote in #NYC! Doing it online is easy! Visit https://t.co/eSLcem7tvs today!… https://t.co/Y4UmTVZfxh</t>
  </si>
  <si>
    <t>Ms. Blackwell always helps her @NYCHA neighbors! Watch why she’s considered the unofficial ‘Mayor of Harlem’: https://t.co/aZ4IbTSHAZ</t>
  </si>
  <si>
    <t>RT @Khanambano: #Astoria #Gowanus #ConeyIsland  @NYCHA Sandy Recovery will hold Career in Construction info sessions in YOUR neighborhood.…</t>
  </si>
  <si>
    <t>RT @EH_Preservation: Forget the Bread! Burger Dream Becomes Reality Thanks to Business Program for @NYCHA Residents https://t.co/Jb4LA8gXVH</t>
  </si>
  <si>
    <t>RT @marcdnorman: @PRO_arch @sagi_golan #designingaffordabilty @tinsheds talking about solutions @NYCHA innovations and new models for #Sydn…</t>
  </si>
  <si>
    <t>Writing a resume on a phone is hard. Come to the Digital Van for help. At Pelham Parkway Houses today #BX: https://t.co/dmzu8keRPG</t>
  </si>
  <si>
    <t>Hi BX! Need free computer access today? Try our NYCHA Digital Van! It will be @ Mott Haven Houses until 4pm: https://t.co/dmzu8keRPG</t>
  </si>
  <si>
    <t>Come by our NYCHA Digital Van - for free computer access &amp;amp; WiFi. @ Melrose Houses in the #BX until 4pm today! https://t.co/dmzu8keRPG</t>
  </si>
  <si>
    <t>Can you get two friends to register to vote today? It’s easy: go to https://t.co/eSLcem7tvs or… https://t.co/OthU0zdYB7</t>
  </si>
  <si>
    <t>Do Fido and Fluffy need rabies shots? Go to #Linden Park #EastNY #BK 10/16 for #free shots w/@NYCParks! Sign up:… https://t.co/1K1VmWvV2E</t>
  </si>
  <si>
    <t>Register to vote before the Oct 14 deadline at a @NYCHA walk-in center near you: https://t.co/uNEap9BZmQ #NYCHAvotes https://t.co/NndDbTlkfK</t>
  </si>
  <si>
    <t>.@TheChiefLeader recognizes Ivan Maestre for all his hard work to create a #SafeNYCHA #NextGenNYCHA #IamNextGen… https://t.co/VCvhNCm6dz</t>
  </si>
  <si>
    <t>Government +Philanthropy = New types of partnerships for the good of the city &amp;amp; @Fund4PH! Learn more here: https://t.co/rwZ1wxsYNF</t>
  </si>
  <si>
    <t>As a @NYCHA RA President, Ms. Blackwell works to improve the lives of #Harlem residents. See how: https://t.co/aZ4IbTSHAZ</t>
  </si>
  <si>
    <t>RT @NYWomensFdn: Burger Dream Becomes Reality Thanks to Business Program w @HotBreadKitchen  for NYCHA Residents https://t.co/k5AWh64x0c</t>
  </si>
  <si>
    <t>RT @JeanBWeinberg: Burger Dream Becomes Reality Thanks to Program for @NYCHA Residents via @DNAinfoNY: https://t.co/UhILpLSFFM #</t>
  </si>
  <si>
    <t>Register to vote by October 14 and be heard on NOV 8! Visit https://t.co/eSLcem7tvs #NYCHAvotes https://t.co/Se5lOIWeQi</t>
  </si>
  <si>
    <t>RT @Fund4PH: New research on the GOOD done by public housing: increased earnings and more! Thanks @nberpubs &amp;amp; @washingtonpost! @rasmiakf @N…</t>
  </si>
  <si>
    <t>RT @bomee: Looking forward to sharing @NYCHA Sustainability Agenda at #BENYC16! Come join us  https://t.co/FOHt1AAocI @NESEA_org</t>
  </si>
  <si>
    <t>Free internet access is GOOD! Visit the Digital Van @ Union Avenue &amp;amp; East 163rd St. today until 4pm: https://t.co/dmzu8keRPG</t>
  </si>
  <si>
    <t>#TBT from 2015: "...he saw a boy he knew while he was walking to the store &amp;amp; he chose to buy him a costume instead.… https://t.co/3EDil2S8IY</t>
  </si>
  <si>
    <t>ICYMI: @TheChiefLeader commends Ivan for the lives he saved &amp;amp; the spirit he embodies. #NextGenNYCHA #IamNextGen… https://t.co/pjBixy0ITM</t>
  </si>
  <si>
    <t>Elected officials &amp;amp; community leaders tour the Mount Morris Houses in the #BX today: Turning things around through… https://t.co/G7lN9UKUUH</t>
  </si>
  <si>
    <t>.@TheChiefLeader reports: Ivan Maestre is a NYCHA hero. #SafeNYCHA #NextGenNYCHA #IamNextGen https://t.co/iaIbyvh5sM https://t.co/ph02LV4jcE</t>
  </si>
  <si>
    <t>Meet Ms. Blackwell: RA President at Frederick E. Samuel Apts. Learn about her work w/ #Harlem residents: https://t.co/aZ4IbTSHAZ</t>
  </si>
  <si>
    <t>Do your pets need rabies vaccines? For free shots @ #Linden Park #EastNY #BK on 10/16 w/ @ASPCA-Sign up today:… https://t.co/UkunmKHnMj</t>
  </si>
  <si>
    <t>RT @rasmiakf: Thanks to the @NRCSince1947 for inviting @SholaOlatoye and @Fund4PH to address your members! #nextgenNYCHA @NYCHA #PPP https:…</t>
  </si>
  <si>
    <t>Before voting 11/8-you must register by 10/14! It's easy w/ https://t.co/eSLcem7tvs CM @RitchieTorres… https://t.co/gNGQl1NfCJ</t>
  </si>
  <si>
    <t>RT @BrGround: ICYMI 10/19 "A History of Housing in NYC"by #RichardPlunz @MuseumofCityNY @columbiagsapp @SholaOlatoye @NYCHA #Pratt https://…</t>
  </si>
  <si>
    <t>RT @TishJames: This morning observing NYCHA replacing old gas pipes at Grant Houses. https://t.co/9HeoRAbnLV</t>
  </si>
  <si>
    <t>Showing community + elected leaders the gas outage @ Grant Houses this AM. Grateful for the support as we work to r… https://t.co/j1eLPGSoG1</t>
  </si>
  <si>
    <t>RT @SholaOlatoye: .@NYCHA new gas pipes at Cypress Hills. https://t.co/6ymMbbkwDa</t>
  </si>
  <si>
    <t>RT @SholaOlatoye: .@NYCHA new gas pipes at Cypress Hills. R bldgs so old had to break walls and relocate pipes outside of public spaces. #c…</t>
  </si>
  <si>
    <t>Congrats Maria Rodriguez on becoming a 2016 NYCHA-CUNY Scholar! Read how her bi-lingual skills have beocme an asset… https://t.co/9kp3Db6nX9</t>
  </si>
  <si>
    <t>Have you seen our Digital Vans? One is at Forest Houses #BX until 4pm. Today!https://t.co/dmzu8keRPG</t>
  </si>
  <si>
    <t>RT @NYPDPSA8: Patrol Officers @NYPDPSA8 using their off radio time to spread the word about @GreenCityForce in partnership with @NYCHA &amp;amp; @N…</t>
  </si>
  <si>
    <t>Thx to @CSSNYorg &amp;amp; @nycHealthy #HHAP is helping @NYCHA’s East Harlem residents take control of their health! Listen… https://t.co/7X5meTt8ox</t>
  </si>
  <si>
    <t>RT @MikeRosen1975: Congrats @NYCHA on installation of 1st backup power generator #gamechanging #LES #gonebutstillcare #recovery2resiliency…</t>
  </si>
  <si>
    <t>RT @RachelCisto: Great story: @NYCHA caretaker applauded for saving 4 adults, a baby and a dog from an apartment fire this summer. https://…</t>
  </si>
  <si>
    <t>RT @designtrustnyc: Meet Jane Greengold, Participatory Art Fellow for #OpeningTheEdge w/ @NYCHA https://t.co/mkfRtjn7GY</t>
  </si>
  <si>
    <t>RT @InstPubArch: Deputy Mayor Glen will present the IPA award to Carl Weisbrod and NYCHA Chair Olatoye will present to @kwswenson on Oct26…</t>
  </si>
  <si>
    <t>Register asap to receive #Free rabies shots for your cats and dogs on 10/16 w/ @NYCACC! For more info visit:… https://t.co/QfiHG32kBP</t>
  </si>
  <si>
    <t>@riahhj #MyNYCHA can be accessed at https://t.co/Jp6SqbMZp2 or you can call CCC at 718-707-7771.</t>
  </si>
  <si>
    <t>@riahhj Heating season has already started. If you are having any problems with heat 🔥 please report it using MyNYCHA or call the CCC.</t>
  </si>
  <si>
    <t>RT @SholaOlatoye: .@NYCHA go Ms. Blackwell! https://t.co/e8N7ujZY8N</t>
  </si>
  <si>
    <t>Congrats Ka Ho Lo on becoming a 2016 NYCHA-CUNY Scholar! Read about what sparked his interest in engineering:… https://t.co/0PEqDsFLLh</t>
  </si>
  <si>
    <t>NYCHA Digital Vans offer free computer access + WiFi at Edenwald Houses #BX https://t.co/kpIJZyMG9Q</t>
  </si>
  <si>
    <t>Pets need rabies shots? Go to #Linden Park on 10/16 #EastNY w/@NYCParks, @ASPCA &amp;amp; @MayorsAlliance! Sign up today:… https://t.co/nEDrBzDFS5</t>
  </si>
  <si>
    <t>.@NYCSmallBizSvcs @Citi @BOCNetwork can help you to get your home-based childcare business started! Learn more: https://t.co/NzIahDMvHQ</t>
  </si>
  <si>
    <t>Attention dog and cat owners: get your pet free rabies vaccines Oct 16 at #Linden Park! w/@nycHealthy Sign up:… https://t.co/1VmIWLGlHH</t>
  </si>
  <si>
    <t>RT @theNYHC: Join @bomee Jung and Les Bluestone for sustainability tour of Prospect Plaza and Howard Ave. Houses - 10/22 https://t.co/fP0iL…</t>
  </si>
  <si>
    <t>Learn how @CSSNYorg &amp;amp; @nycHealthy created #HHAP to improve health for @NYCHA residents in East Harlem! Listen here:… https://t.co/oTtTphpT4E</t>
  </si>
  <si>
    <t>ICYMI, @News12BK reports: NYCHA App Offers New Features for Maintenance Workers &amp;amp; Tenants. See more https://t.co/Z6TcdI7Xfq</t>
  </si>
  <si>
    <t>Remember to register to vote before Oct 14! Visit a @NYCHA walk-in center: https://t.co/uNEap9BZmQ #NYCHAvotes https://t.co/sizAvX9DHs</t>
  </si>
  <si>
    <t>RT @designtrustnyc: Join us in welcoming Emmanuel Oni, Active Design Fellow for #openingtheedge with @NYCHA https://t.co/7oQEZoFhP3</t>
  </si>
  <si>
    <t>Meet Jesenia Rodriguez-a 2016 NYCHA-CUNY Scholar! Learn how she turned finacial struggles into an asset:… https://t.co/ByxLqWua73</t>
  </si>
  <si>
    <t>Register today to get your pets #Free rabies vaccines @ #Linden Park, Oct 16 w/@MayorsAlliance! For more info:… https://t.co/RbfA4ryNft</t>
  </si>
  <si>
    <t>This #FirePreventionWeek teach kids to be #FDNYSmart w/ tips, videos, games &amp;amp; more at https://t.co/uQZXGAfuH3</t>
  </si>
  <si>
    <t>RT @SholaOlatoye: .@NYCHA @GedeonGRC @adiha_org thank you for the honor! #nextgennycha https://t.co/VhLtYZIW2J</t>
  </si>
  <si>
    <t>RT @SholaOlatoye: .@NYCHA thank you ADIHA! #nextgennycha https://t.co/onLLJoEYVt</t>
  </si>
  <si>
    <t>RT @SholaOlatoye: .@NYCHA Sybil Louis joining me at his Haitian Engineers event! #staffmatter #nextgennycha https://t.co/US7TAeBMKj</t>
  </si>
  <si>
    <t>RT @SholaOlatoye: .@NYCHA @mitchell_silver proud to receive ADIHA leadership award on behalf 11k employees. #nextgennycha https://t.co/I6xJ…</t>
  </si>
  <si>
    <t>RT @MetaPropNYC: Fantastic #Gov &amp;amp; #PropTech panel yesterday w/ Karina Totah @NYCHA, @BarendrechtArie @WiredScore, Ellen Zielinski, @Bradley…</t>
  </si>
  <si>
    <t>Stop by Unity Plaza in #BK for free WiFi &amp;amp; computer access until 4pm today:https://t.co/dmzu8keRPG</t>
  </si>
  <si>
    <t>Writing a resume on a phone is hard. The Digital Van can help. Vist us at Van Dyke Houses today #BK 'til https://t.co/ZjcQJS3wOk</t>
  </si>
  <si>
    <t>RT @CCRB_NYC: Thanks @NYCHA for feat. CCRB in #NYCHA Journal
Read Q&amp;amp;A w/ ED Mina Malik here: https://t.co/5UzmfJ9gVt</t>
  </si>
  <si>
    <t>RT @NYU_CSAAH: After identifying "hot spots" of high chronic illness, NYU-CUNY PRC worked w/ @nycHealthy @CSSNYorg @NYCHA to help Harlem re…</t>
  </si>
  <si>
    <t>On 10/19: @MuseumofCityNY talk w/@earthinstitute's Richard Plunz: A History of Housing #NYC w/@SholaOlatoye &amp;amp;… https://t.co/CXUv9az8Zf</t>
  </si>
  <si>
    <t>Register to vote online-it's easy! Visit https://t.co/eSLcem7tvs by Oct 14 #NYCHAvotes CM @RitchieTorres explains:… https://t.co/MdpVygfBLw</t>
  </si>
  <si>
    <t>.@News12BK reports: NYCHA App Offers New Features for Maintenance Workers &amp;amp; Tenants. See more https://t.co/Z6TcdI7Xfq</t>
  </si>
  <si>
    <t>RT @JeanBWeinberg: .@NYCHA app offers new features for residents via @news12bx: https://t.co/zpc4WHqCpD #NextGenNYCHA</t>
  </si>
  <si>
    <t>RT @SholaOlatoye: .@NYCHA "You feel me?" #nextgennycha https://t.co/QeYzDaX30D</t>
  </si>
  <si>
    <t>RT @GreenCityForce: Thanks @NYCHA for feat. GCF Urban Farm Corps &amp;amp; Howard Houses #NYCHAFarm in Oct. issue of #NYCHA Journal! See page 8! ht…</t>
  </si>
  <si>
    <t>RT @pristind: NYCHA Chair Shola Olatoye, my boss, presenting at White House… https://t.co/JePc3KyWD8</t>
  </si>
  <si>
    <t>@noneck Already started uploading more data onto #opendata portal this year. More work to do! See what's already up: https://t.co/vX8QzItuYL</t>
  </si>
  <si>
    <t>RT @JessVen2011: @NYCHA @cmtysolutions Mashup! Talking opps for those in need of &amp;amp; using aff housing #OpportunityProject @SholaOlatoye @ara…</t>
  </si>
  <si>
    <t>Get your pets #Free rabies shots at #Linden Park in #EastNY #BK 10/16, from 10am-2pm. @NYCParks For more info:… https://t.co/SyfVdSyoqQ</t>
  </si>
  <si>
    <t>RT @JessVen2011: @SholaOlatoye sharing about @NYCHA path forward to connecting residents &amp;amp; employees to opportunity #OpportunityProject @WH…</t>
  </si>
  <si>
    <t>LIVE NOW: Chair &amp;amp; CEO @SholaOlatoye speaking at the @WhiteHouse #OpportunityProject https://t.co/MR9G7jgvlX</t>
  </si>
  <si>
    <t>Watch Chair &amp;amp; CEO @SholaOlatoye present at the @WhiteHouse #OpportunityProject in just a couple minutes: https://t.co/XFmXpbKnJw</t>
  </si>
  <si>
    <t>Starting soon! @NYCHA Chair &amp;amp; CEO @SholaOlatoye to speak at @WhiteHouse #nextgennycha https://t.co/XFmXpbKnJw</t>
  </si>
  <si>
    <t>RT @SholaOlatoye: .@NYCHA @WhiteHouse #opportunityproject #nextgennycha starting now... https://t.co/AWhKSlcDIF</t>
  </si>
  <si>
    <t>@athenalove445 Hi. We've reached out to you via DM re this issue. Thanks</t>
  </si>
  <si>
    <t>RT @rasmiakf: @NYCHA @Partnership4NYC @SholaOlatoye #rockefellerfellows at #CamposPlaza. Let's expand public private partnerships and work…</t>
  </si>
  <si>
    <t>#TBT Folks from Lillian #WaldHouses &amp;amp; Jacob #RiisHouses in the #LowerEastSide of #NYC enjoying some fresh air!… https://t.co/cbE84sIYUk</t>
  </si>
  <si>
    <t>Stop by Sumner  Houses in #BK for free WiFi &amp;amp; computer access until 4pm https://t.co/kpIJZyMG9Q</t>
  </si>
  <si>
    <t>RT @fiabcinewyork: Gov't role in #proptech @BradleyTusk Arie Barendrecht of @WiredScore , Karina Totah @NYCHA and Ellen Zieliniski https://…</t>
  </si>
  <si>
    <t>RT @KateRyanPhotos: Better late than never.  Pictures from FreedomCon in Harlem.  Thanks to @NAACP and @NYCHA for a great event! https://t.…</t>
  </si>
  <si>
    <t>RT @NYPDPSA8: PO Norman &amp;amp; PO Tam, visiting the #Brondale Day Care Center to check on our @NYPDPSA8 children and ensure the safety of our fu…</t>
  </si>
  <si>
    <t>RT @hourchildreninc: Don't miss @NYCHA Family ReEntry Pilot Program Upcoming Information Session October 26th 5-9PM at BKLYN Borough Hall w…</t>
  </si>
  <si>
    <t>.@NYCHA Chair &amp;amp; CEO @SholaOlatoye makes @CityAndStateNY’s top 50 list of most influential people in #Manhattan:… https://t.co/DHYSrzB5qe</t>
  </si>
  <si>
    <t>Our own Karina Totah just presented on gov't role in real estate tech at @mipimworld's #mipimproptech conference!… https://t.co/b4Kt3rR5LI</t>
  </si>
  <si>
    <t>RT @winpauline: #realestatetech #MPIMWorld panel on govt prop tech w/@BarendrechtArie, @NYCHA, NYC Dept of Admin Services &amp;amp; @BradleyTusk ht…</t>
  </si>
  <si>
    <t>RT @ZacharyAarons: @NYCHA is all about #tech with the #mynycha app.  Many private landlords don't even offer a service like this @MetaPropN…</t>
  </si>
  <si>
    <t>#Free rabies shots for your pets on 10/16 #BK! Thx: @ASPCA @NYCACC @MayorsAlliance @NYCParks &amp;amp; @nycHealthy Sign up:… https://t.co/oP1LVXQXxW</t>
  </si>
  <si>
    <t>RT @IDNYC: Esperanza Moy is a @NYCHA resident who uses her IDNYC as her main form of ID and @nypl library card! #LES #WhoWeAre https://t.co…</t>
  </si>
  <si>
    <t>#FlexOps is working at #MurphyHouses in the #Bronx! #NextGenNYCHA https://t.co/0SIgMbumjz</t>
  </si>
  <si>
    <t>So glad to have @cmenchaca + @NydiaVelazquez while we talked post #Sandy construction &amp;amp; resiliency w/ our residents… https://t.co/3qyeOy3OHl</t>
  </si>
  <si>
    <t>RT @vandenorth: Team from @NYCHA shares plans for Red Hook sustainable microgrid after Sandy damages to public housing #Greenbuild16 https:…</t>
  </si>
  <si>
    <t>RT @AnnieEMinguez: .@NYCHA Recovery to Resiliency meeting to discuss the post Sandy plans is happening now at @GoodShepherdNYC Miccio Corne…</t>
  </si>
  <si>
    <t>RT @Khanambano: Happening Right Now at the Miccio Center @NYCHA Sandy resiliency design update mtg. #NYCHAstrong https://t.co/id7hZW5qmP</t>
  </si>
  <si>
    <t>RT @AnnieEMinguez: .@NydiaVelazquez joins #RedHook residents to hear from @NYCHA Recovery to Resiliency on improvement plans for #RedHook H…</t>
  </si>
  <si>
    <t>RT @AnnieEMinguez: .@cmenchaca brings greetings en Español to the residents of #RedHook Houses for tonight's @NYCHA Resiliency mtg https://…</t>
  </si>
  <si>
    <t>RT @AnnieEMinguez: .@BKAREN23 always great to see @Felixwortiz represented by you for this imp meeting to discuss @NYCHA improvement plans…</t>
  </si>
  <si>
    <t>RT @Khanambano: @NYCHA SandyRecovery is committed to transparency which= language accessibility for all its residents. #NYCHAstrong https:/…</t>
  </si>
  <si>
    <t>RT @AnnieEMinguez: .@rhookinitiative Catherine, @CGA_NPC @dj_skallywag  #advocatesinthecity @ @NYCHA #RedHook #Recovery to #Resiliency mtg…</t>
  </si>
  <si>
    <t>Congrats Geneva Hildago of #TAFTHouses on becoming a 2016 NYCHA-CUNY Scholar! Learn about programs that helped her:… https://t.co/IdoFLHG24b</t>
  </si>
  <si>
    <t>Need web access? Use the NYCHA Digital Van! It will be at Red Hook East Houses #BK til https://t.co/ZjcQJS3wOk</t>
  </si>
  <si>
    <t>RT @Joelle_PROSOCO: Getting ready to start Regeneration from disaster- NYCHA Red Hook Houses at #Greenbuild16 https://t.co/NsRvAk5VGg @Arup…</t>
  </si>
  <si>
    <t>Chair &amp;amp; CEO @SholaOlatoye to receive the Professional Achievement Award in Leadership by @ADIHA_org this week. See… https://t.co/xyMK7NWpz7</t>
  </si>
  <si>
    <t>RT @joshdotfm: Have an idea for how broadband can benefit residents of @NYCHA? New RFP here: https://t.co/ywQhcSxiQK Apply here: https://t.…</t>
  </si>
  <si>
    <t>RT @NYCSmallBizSvcs: Apply by 11/21 for the 2017 #NeighborhoodLeadership Program w/  @CoroNewYork https://t.co/s19FLiTzUr https://t.co/942B…</t>
  </si>
  <si>
    <t>.@DOINews unearthed unacceptable conduct. Read our progress on improving fire safety since the April tragedy:… https://t.co/d4OAADx749</t>
  </si>
  <si>
    <t>Take a look at our Fire Safety Overview #SafeNYCHA
https://t.co/CDI9NzhA3V https://t.co/GXMki3Aidg</t>
  </si>
  <si>
    <t>Ivan Maestre is #NextGenNYCHA! We commend him for saving the lives of our residents! #SafeNYCHA #IamNextGen… https://t.co/sZI4j2X5Fc</t>
  </si>
  <si>
    <t>RT @JeanBWeinberg: Safety is our #1 priority @NYCHA -it's unacceptable to put residents @ risk b/c of neglect/ indifference. Employees disc…</t>
  </si>
  <si>
    <t>We remain committed to building safer, cleaner and more connected communities. June 2016 release:… https://t.co/QTKZyUgDZR</t>
  </si>
  <si>
    <t>Back in June, we also launched an internal audit and employee public awareness campaign. Newscast: https://t.co/eEe4Ufamlp</t>
  </si>
  <si>
    <t>In addition to disciplinary actions against staff identified in the report, NYCHA issued enhanced safety inspection… https://t.co/aQc44HksaP</t>
  </si>
  <si>
    <t>Safety is our top priority—it is simply unacceptable to put NYCHA residents at risk because of neglect or indifference. CC: @DOINews</t>
  </si>
  <si>
    <t>Bravo Elvis Rivera-for being a 2016 NYCHA-CUNY Scholar! Read about his career goals here: https://t.co/r2iv5gLqOw https://t.co/0yz9mvtd3X</t>
  </si>
  <si>
    <t>RT @SholaOlatoye: .@NYCHA @CityAndStateNY - honored and humbled - thank you! #nextgennycha https://t.co/BQcUcpdkGe</t>
  </si>
  <si>
    <t>RT @NYPDPSA2: Happy Muharram Brooklyn. May Allah continue to bless you &amp;amp; your families @NYCHA @NYPDMuslim @NYPDDesi #PSA2EmbracingReligious…</t>
  </si>
  <si>
    <t>Change is here. #NYCHA is springing into the 21st century. #FlexOps #NextGenNYCHA https://t.co/YJtd5GnOkm</t>
  </si>
  <si>
    <t>Have you seen our Digital Vans? One is at Farragut Houses #BK until 4pm. Today!https://t.co/dmzu8keRPG</t>
  </si>
  <si>
    <t>#FlexOps: making improvements for residents, workers, and #publichousing. #NextGenNYCHA https://t.co/0SIgMbumjz</t>
  </si>
  <si>
    <t>Extending our service hours of is one way we are bringing @NYCHA into the 21st century. https://t.co/0SIgMbumjz #FlexOps #NextGenNYCHA</t>
  </si>
  <si>
    <t>RT @NYPDPSA2: Good morning Brooklyn. L'Shana Tova! Blessings for a Good &amp;amp; Sweet New Year! @NYCHA @MetCouncil #PSA2EmbracingReligiousDiversi…</t>
  </si>
  <si>
    <t>Registering to vote online is easy! #NYCHAvotes Visit https://t.co/eSLcem7tvs before October 14! Watch for info: https://t.co/JxT4gVC6kd</t>
  </si>
  <si>
    <t>Did you know @NYCHA @NYCSmallBizSvcs @Citi &amp;amp; @BOCNetwork can help you start a new home-based childcare business? https://t.co/NzIahDMvHQ</t>
  </si>
  <si>
    <t>RT @theNYHC: We've created a great infographic on why housing authorities need RAD and how it can help @NYCHA https://t.co/3DHtdsXHKi https…</t>
  </si>
  <si>
    <t>RT @CitiBikeNYC: See the City on your way to work with #CitiBike. Only $5/month for @NYCHA residents! https://t.co/N75ZgGsneQ https://t.co/…</t>
  </si>
  <si>
    <t>RT @JeanBWeinberg: .@NYCHA to Ask Holmes Towers Residents for Input on New Playground w/@NYCParks @SholaOlatoye #NextGenNYCHA  https://t.co…</t>
  </si>
  <si>
    <t>Free WiFi &amp;amp; computer access in #BK! NYCHA Digital Van at Brownsville Houses today until 4pm:https://t.co/dmzu8keRPG</t>
  </si>
  <si>
    <t>Hello BK! Visit our Digital Van today @ Tilden Houses. Free WiFi &amp;amp; computer access until 4pm:https://t.co/dmzu8keRPG</t>
  </si>
  <si>
    <t>ICYMI, @GreenCityForce makes news again! Program Brings Healthy Foods, Activities to @NYCHA neighborhoods. @NY1 https://t.co/CiDkO0huVL</t>
  </si>
  <si>
    <t>This is Cristian Alvarado, one of the 2016 NYCHA-CUNY Scholarship Award recipients! Learn more:… https://t.co/aelhsbNd34</t>
  </si>
  <si>
    <t>Today marks the start of heating season. Need help w/ heat or hot water? Call the CCC or use the #MyNYCHA App.… https://t.co/XBH7yD9sic</t>
  </si>
  <si>
    <t>RT @MikeRosen1975: @SholaOlatoye + @RitchieTorres working together = unstoppable
#facts https://t.co/cistqXEohk</t>
  </si>
  <si>
    <t>@bbromain10025 @SholaOlatoye Sorry to hear about this. Could you plz send us your ticket numbers? We will report &amp;amp; do follow up. Thanks</t>
  </si>
  <si>
    <t>Ivan Maestre, a NYCHA hero. He works hard every day to ensure @NYCHA is safe for everyone #NextGenNYCHA #IamNextGen… https://t.co/Hzw5KEeT17</t>
  </si>
  <si>
    <t>You can never be too prepared for an emergency! Find out more: https://t.co/87TCQWYh9p #NPM2016 https://t.co/0ShSAtAfIY</t>
  </si>
  <si>
    <t>.@GreenCityForce makes news again! Program Brings Healthy Foods, Activities to @NYCHA neighborhoods. Report via @NY1 https://t.co/CiDkO0huVL</t>
  </si>
  <si>
    <t>We all need to connect! Tell your friends about our Digi Van @ South Jamaica Houses #QNS. Learn more here:https://t.co/dmzu8keRPG</t>
  </si>
  <si>
    <t>Writing a resume on a phone is hard. The Digital Van can help. Visit us @ South Beach Houses in #SIon.nyc.gov/digitalvan</t>
  </si>
  <si>
    <t>Last day to get your free @IDNYC at a pop-up site! #PomonokHouses #JohnsonCC. Walk in or sign up online:… https://t.co/H5unvUGack</t>
  </si>
  <si>
    <t>Want to vote on 11/8? Register before 10/14 @ https://t.co/eSLcem7tvs or go to a @NYCHA  walk-in center:… https://t.co/1W6iB9vLV8</t>
  </si>
  <si>
    <t>ICYMI, Thx to @NYCSmallBizSvcs @Citi @BOCNetwork we launched our 1st home-based childcare business training. Release https://t.co/6GQzZUeOGj</t>
  </si>
  <si>
    <t>Meet Ivan Maestre, a NYCHA hero. Couldn’t be happier for all the work that you do. #NextGenNYCHA #IamNextGen… https://t.co/sqcTRXlsyz</t>
  </si>
  <si>
    <t>RT @JeanBWeinberg: New program for @NYCHA residents to launch their own childcare businesses @SholaOlatoye via @jfermino @NYDailyNews: http…</t>
  </si>
  <si>
    <t>Emergencies Happen. Are you ready?  Learn how to be prepared w/@nycoem : https://t.co/87TCQWYh9p #NPM2016 https://t.co/DOO9grhcCY</t>
  </si>
  <si>
    <t>ICYMI: Read in today’s @NYDailyNews about @NYCHA's new program to launch more day care centers!… https://t.co/DmjlxYOyFU</t>
  </si>
  <si>
    <t>Thx to @NYCSmallBizSvcs @Citi @BOCNetwork, we launched our 1st home-based childcare business training. Release: https://t.co/6GQzZUeOGj</t>
  </si>
  <si>
    <t>#TBT David Shepherd &amp;amp; Vanessa Holloway obtained full-time positions at #PomonokHouses in #Queens during the late 90… https://t.co/t2ljpMGgId</t>
  </si>
  <si>
    <t>RT @JeanBWeinberg: Visiting @NYCHA 's Amsterdam Houses- improvements underway! Met their dedicated supervisor Mr. Artis #NextGenNYCHA https…</t>
  </si>
  <si>
    <t>Get wired today, catch the Digital Van @ Redfern Houses #QNS. Get the complete schedule here:https://t.co/dmzu8keRPG</t>
  </si>
  <si>
    <t>RT @RachelFeeNYHC: Thank you @RitchieTorres for your leadership on @HUDgov SAFMR proposed rule which would hurt low income NYers in need of…</t>
  </si>
  <si>
    <t>RT @BLACaucusNYC: Housing isn't "one size fits all." The proposed #HUDrule would hurt low-income New Yorkers on #Sect8. #SAFMR https://t.co…</t>
  </si>
  <si>
    <t>RT @JeanBWeinberg: .@SholaOlatoye joins @RitchieTorres on potential negative impact of proposed small area fair market rent to families htt…</t>
  </si>
  <si>
    <t>RT @AndyKingNYC: Standing with my colleagues in the Council and our @NYCHA chair @SholaOlatoye discussing #Bronx housing https://t.co/efF4S…</t>
  </si>
  <si>
    <t>RT @CitiBikeNYC: Did you know? #CitiBike is only $5/month for @NYCHA residents! Sign up today! https://t.co/N75ZgGsneQ https://t.co/d7DmBuB…</t>
  </si>
  <si>
    <t>Getting a free @IDNYCis easy! Go to #PomonokHouses or #JohnsonCC by 9/30. For more info: https://t.co/inHDj4rxQR https://t.co/XvlOGvIaRR</t>
  </si>
  <si>
    <t>We commend Ivan Maestre for the lives he saved and the spirit he embodies. He is #NextGenNYCHA #IamNextGen… https://t.co/zxTdutymSz</t>
  </si>
  <si>
    <t>Happening now: @NYCHA Board Meeting. Watch the video livestream https://t.co/k5V6LVXtq5</t>
  </si>
  <si>
    <t>@nachelle771 @LAZParking Sorry to hear this. Please report via the CCC Tel. 718-707-7771</t>
  </si>
  <si>
    <t>Sobina Siddique, a 2016 NYCHA-CUNY Scholarship winner, loves research! Join us in congratulating her:… https://t.co/hBkN4eaPSr</t>
  </si>
  <si>
    <t>.@NYCHA Board Meeting today at 10:15. Watch the video livestream https://t.co/k5V6LVXtq5</t>
  </si>
  <si>
    <t>Tune in LIVE to the video livestream of today's board meeting at 10:15am. View here: https://t.co/k5V6LVXtq5</t>
  </si>
  <si>
    <t>Did you know we livestream our board meetings? Watch live at 10:15am: https://t.co/k5V6LVXtq5</t>
  </si>
  <si>
    <t>RT @mayers1206: @NYCVotes tx @NYCHA for hosting a voter drive on #NationalVoterRegistrationDay https://t.co/CqtmdsGHrb</t>
  </si>
  <si>
    <t>Hello SI! Check out our Digital Van today @ South Beach Houses until 4p https://t.co/dmzu8keRPG</t>
  </si>
  <si>
    <t>Hello #BK!  Check out our Digital Van today @ Gowanus Houses until 4p  https://t.co/dmzu8keRPG</t>
  </si>
  <si>
    <t>Someone need digital access? Well the Digital Van is at Queensbridge North Houses! https://t.co/dmzu8keRPG</t>
  </si>
  <si>
    <t>Happy National #VoterRegistrationDay! You have until 10/14 to register. Do so today! https://t.co/eSLcem7tvs… https://t.co/ocdMcYlLMo</t>
  </si>
  <si>
    <t>$2 million awarded to @NYCHA @BronxWorks #jobsplus https://t.co/hfkYX0AOmo</t>
  </si>
  <si>
    <t>Happy #VoterRegistrationDay! Make sure you can vote. Visit https://t.co/bPEkufhfww &amp;amp; register today! #NYCHAvotes https://t.co/JxT4gVC6kd</t>
  </si>
  <si>
    <t>Meet Clara, a 2016 NYCHA-CUNY Scholar! Find out what she enjoys most about being a student at @CityCollegeNY:… https://t.co/1bTqDY8bf6</t>
  </si>
  <si>
    <t>RT @NYCVotes: Are you registered to vote? Register online today https://t.co/u1JYuJTgHl &amp;amp; be heard #NYCHA https://t.co/joJFXCPr1w! #VoterRe…</t>
  </si>
  <si>
    <t>RT @rasmiakf: NYCHA Millennials: Your Votes Matter https://t.co/oEojQEwYPf via @citylimitsnews  by @Fund4PH board member and @RitchieTorres…</t>
  </si>
  <si>
    <t>Are you registered to vote? Register online today! #VoterRegistrationDay https://t.co/eSLcem7tvs https://t.co/JxT4gVC6kd #NYCHAvotes</t>
  </si>
  <si>
    <t>An Open Letter to @NYCHA Millennials: Your Votes Matter https://t.co/oqwXWKFpEo cc @CityLimitsNews @RitchieTorres #NYCHAvotes</t>
  </si>
  <si>
    <t>RT @NYCVotes: It's National #VoterRegistrationDay! Celebrate by registering &amp;amp; getting others 2 do the same https://t.co/u1JYuJTgHl https://…</t>
  </si>
  <si>
    <t>It’s #VoterRegistrationDay! Your vote counts! Learn how at https://t.co/eSLcem7tvs  #NYCHAvotes https://t.co/JxT4gVC6kd</t>
  </si>
  <si>
    <t>RT @NYPDnews: #HappeningNow: Mayor @BilldeBlasio, @FDNY, @NYPDONeill &amp;amp; @nycoem update NYers on incident in #Bronx. WATCH: https://t.co/StYf…</t>
  </si>
  <si>
    <t>RT @mayers1206: Thank you to our @NYCVotes partners Chair @SholaOlatoye and @NYCHA for supporting National Voter Registration Day. https://…</t>
  </si>
  <si>
    <t>Today is National #VoterRegistrationDay! Help us get out the vote. Visit https://t.co/eSLcem7tvs https://t.co/bB1v6xYA3V</t>
  </si>
  <si>
    <t>Want to connect to the web? Visit our Digital Van today at Latimer Houses in #Queens! See the full van schedule: https://t.co/dmzu8keRPG</t>
  </si>
  <si>
    <t>Hey SI! @NYCHA's Digital Van is at Richmond Terrace Houses until 4pm. Free WiFi &amp;amp; computer access! Learn more: https://t.co/dmzu8keRPG</t>
  </si>
  <si>
    <t>RT @NYCVotes: Tomorrow! Joining @iava @NYCHA @NYCDHS to bring 200 voter registration sites around #NYC on #VoterRegistrationDay: https://t.…</t>
  </si>
  <si>
    <t>@KakeMagic1 Hi. Sorry to hear about this, Plz contact the Inspector General directly to report this matter. Thanks https://t.co/RlxMs1gqZm</t>
  </si>
  <si>
    <t>RT @SholaOlatoye: .@NYCHA @StoryCorps we have 400k stories of NY'ers. Help us tell them! #nextgenerationnycha #ordinarytoextraordinary http…</t>
  </si>
  <si>
    <t>RT @SholaOlatoye: .@NYCHA #stanley #immaculatebuilding#albanyhouses #grandmasplace #nextgennycha https://t.co/lPQdJGxja9</t>
  </si>
  <si>
    <t>RT @SholaOlatoye: .@NYCHA #electricians #brightneginnings #nextgennycha https://t.co/vfRgKqOu0M</t>
  </si>
  <si>
    <t>RT @SholaOlatoye: .@NYCHA @GreenCityForce #bayviewhouses https://t.co/jWQv1RgPqW</t>
  </si>
  <si>
    <t>RT @GreenCityForce: Today GCF @AmeriCorps  Members are giving @NYCHA resident gardeners a tour of the Bay View Houses Farm in Canarsie! #Go…</t>
  </si>
  <si>
    <t>@_jkgal_ RAD will fund repairs to NYCHA apts; in NYC, we call it Permanent Affordability Commitment Together (PACT): https://t.co/lXgS5MaKzV</t>
  </si>
  <si>
    <t>Emergencies Happen. Are you ready?  Learn w/@nycoem how to prepare for emergencies: https://t.co/87TCQWYh9p #NPM2016 https://t.co/wBiU4vvndI</t>
  </si>
  <si>
    <t>Internet access is GOOD! Get digital today 10a-4p @ Richmond Terrace Houses, #SI. Our Digital Van schedule: https://t.co/dmzu8keRPG</t>
  </si>
  <si>
    <t>Need to connect to the web? Visit our Digital Van today at 4-20 Astoria Blvd #Queenson.nyc.gov/digitalvan</t>
  </si>
  <si>
    <t>Did you get your free @IDNYC card? Sign up &amp;amp; go to the #PomonokHouses or #JohnsonCC pop-up befor 9/30!… https://t.co/Etq9Y47JOb</t>
  </si>
  <si>
    <t>Let's congratulate Amanda Rueda, a 2016 NYCHA CUNY SCHOLAR! Read about her story here: https://t.co/wSXRJ6PfzC https://t.co/jXuxFJusHd</t>
  </si>
  <si>
    <t>RT @rasmiakf: @SholaOlatoye @GreenCityForce and @NYCHA resident gardeners meet at the farm at #Bayview in Canarsie! #urbanfarms #organic #h…</t>
  </si>
  <si>
    <t>RT @SholaOlatoye: @NYCHA meeting staff &amp;amp; residents - best part of this job! #nextgennycha #bayviewfarm https://t.co/Pi5J4VGe2W</t>
  </si>
  <si>
    <t>RT @theNYHC: via @LauraKusisto: #RAD success = for every $1 of public money invested, private investors contributed $9. https://t.co/kIxGpH…</t>
  </si>
  <si>
    <t>RT @JeanBWeinberg: Meeting w/gardeners @NYCHA 's Bay View-collard greens, beets, kale, carrots &amp;amp; more! Gorgeous @rasmiakf @SholaOlatoye htt…</t>
  </si>
  <si>
    <t>.@noneck Be sure to click on the arrow on the bottom of the interactive map to pull up different tabs, filters. You… https://t.co/UHrNI1dtV5</t>
  </si>
  <si>
    <t>Thx @noneck! While not all data is available on Socrata, some datasets can be downloaded from our interactive map: https://t.co/iOLetWnsVa</t>
  </si>
  <si>
    <t>Sept. is National Preparedness Month! Learn w/ @nycoem what to do in an emergency: https://t.co/87TCQWYh9p #NPM2016 https://t.co/29xYyWcwmG</t>
  </si>
  <si>
    <t>RT @nycoem: Putting a Go Bag &amp;amp; an emergency supply kit together? Include essentials like food/water, but consider adding these:_x000D_https://t.c…</t>
  </si>
  <si>
    <t>RT @theNYHC: @errollouis @SholaOlatoye Holly Leicht @ @RitchieTorres making case for how #RAD is game changer for @NYCHA residents @HUDNY_N…</t>
  </si>
  <si>
    <t>NYC is proud-to host the @UN &amp;amp; of our diversity. We are the #CityofUnitedNations! C/o new @globalnyc Learn More: https://t.co/mfBfpO22DK</t>
  </si>
  <si>
    <t>Hi #MNH! Need free computer access today? Try our NYCHA Digital Van! It will be at Fulton Houses until 4pm today: https://t.co/dmzu8keRPG</t>
  </si>
  <si>
    <t>Get an @IDNYC w/@NYCImmigrants at #PomonokHouses, #JohnsonCC or @RedHookJustice today. Go to for more info:… https://t.co/1t6B9g6QA1</t>
  </si>
  <si>
    <t>Did you see NYCHA employee Melissa C in @MTA's great new "See Something, Say Something" video? https://t.co/QvDGRf1edv</t>
  </si>
  <si>
    <t>Learn what to do in an emergency during National Preparedness Month: #NPM2016 https://t.co/87TCQWYh9p https://t.co/zhZT1k5gUN</t>
  </si>
  <si>
    <t>RT @JeanBWeinberg: After terrific panel on Baltimore's RAD w/Ms. Lolita Miller of @NYCHA 's Ocean Bay (bayside) on RAD coming to them https…</t>
  </si>
  <si>
    <t>RT @LISCNYC_Eubiera: Public Hsg + RAD=powerful equitable development tool @NYCHA @HUDNY_NJ @errollouis @RitchieTorres @CSSNYorg @theNYHC #E…</t>
  </si>
  <si>
    <t>RT @ElizabethWisman: NYC won't work without @NYCHA. MTA, DOE, NYPD largest employers of nycha residents. @theNYHC #publichousing @SholaOlat…</t>
  </si>
  <si>
    <t>RT @ElizabethWisman: Awesome shoutout from @vnewyorker 4 @CSSNYorg and @Enterprise_NYC @michlmu work on #RAD round table and guiding princi…</t>
  </si>
  <si>
    <t>RT @ElizabethWisman: Ocean Bay tenant leader Lolita Miller applauds @NYCHA 4 commitment to making her building great again. Everyone deserv…</t>
  </si>
  <si>
    <t>RT @RachelFeeNYHC: Diverse voices on building on @NYCHA land including @FACbrooklyn https://t.co/FCXZavKY63</t>
  </si>
  <si>
    <t>RT @LISCNYC_Eubiera: Alex Schwartz @MilanoSchool explores @Bmore_Housing experience with RAD alongside @NYCHA and @CSSNYorg https://t.co/El…</t>
  </si>
  <si>
    <t>RT @JeanBWeinberg: .@SholaOlatoye 's closing words @theNYHC panel: the intrinsic value that @NYCHA has to this city has to be preserved #Ne…</t>
  </si>
  <si>
    <t>RT @RachelFeeNYHC: @vnewyorker @CSSNYorg @NYCHA_Tenants need to participate and rights be protected. https://t.co/TM2niAbSa5</t>
  </si>
  <si>
    <t>RT @JeanBWeinberg: Kicking off w/@errollouis @RitchieTorres @SholaOlatoye &amp;amp; Holly Leicht @rachelFeeNYHC @NYCHA #NextGenNYCHA https://t.co/u…</t>
  </si>
  <si>
    <t>Stop by Dykman Houses in #Manhattan for free WiFi &amp;amp; computer access until 4pm today:https://t.co/dmzu8keRPG</t>
  </si>
  <si>
    <t>We all need to connect! Tell your friends about our Digi Van @West Brighton Houses in #SI today. Learn more here:https://t.co/dmzu8keRPG</t>
  </si>
  <si>
    <t>Had fun catching 'em all at a Digital Van! Here's where else you can catch the van (sorry, not all are at Pokéstops… https://t.co/YpEiBqxQuV</t>
  </si>
  <si>
    <t>RT @JeanBWeinberg: .@SholaOlatoye talking about @NYCHA 's digital vans at our Pokemon event at LaGuardia Houses! #NextGenNYCHA https://t.co…</t>
  </si>
  <si>
    <t>RT @JeanBWeinberg: .@NYCHA getting in the Pokemon spirit! Join us this afternoon @NYCHA 's LaGuardia Houses https://t.co/tAbkDFFFWA</t>
  </si>
  <si>
    <t>RT @IDNYC: Our team in #Pomonok is helping QNS residents make appointments at our newest Pop Up enrollment site at 67-09 Kissena Blvd! #IDN…</t>
  </si>
  <si>
    <t>RT @JeanBWeinberg: Just caught Pokemon @NYCHA !! https://t.co/EB19oCieIN</t>
  </si>
  <si>
    <t>.@PokemonGoApp trainers are catching em all at #LaGuardia, 240 Madison St until 5! https://t.co/6v4NDPtxX2</t>
  </si>
  <si>
    <t>.@NYCHA's PACT Initiative is part of the solution to restore #publichousing across #NYC via @WSJ. #NextGenNYCHA https://t.co/E9cO9Vf0yM</t>
  </si>
  <si>
    <t>RT @JeanBWeinberg: .@SholaOlatoye filming PSA ahead of Nat'l Voter Reg Day urging folks to register by Oct 14 deadline @NYCHA @NYCVotes htt…</t>
  </si>
  <si>
    <t>RT @gregjmorris: Thank you @NYCImmigrants @NYCHRA @NYCHA @NYCYouth @NYCMayorsOffice for making #IDNYCForAll at JohnsonHouses possible https…</t>
  </si>
  <si>
    <t>Join one of @NYCHA's Resident Watch Response Teams! Fnd out how in AUG/SEPT #NYCHAJournal: https://t.co/Zc9ggBJsAW https://t.co/I9RHYh9GaI</t>
  </si>
  <si>
    <t>.@PokemonGoApp players: Hope you have enough #pokeballs for the #Pokémon lured to #LaGuardiaHouses today, from 4-5P… https://t.co/b6ozZyCo91</t>
  </si>
  <si>
    <t>Free WiFi &amp;amp; computer access in Staten Island! NYCHA Digital Van at West Brighton Houses today until 4pm:https://t.co/dmzu8kwsHe</t>
  </si>
  <si>
    <t>You wired? Go to the Digital Van @ La Guardia Houses. Complete schedule here:https://t.co/dmzu8keRPG</t>
  </si>
  <si>
    <t>RT @NYClimate: Proud to be recognized as a finalist for @C40Cities Annual Cities awards for our #OneNYC efforts to address #sustainability…</t>
  </si>
  <si>
    <t>RT @c40cities: (2/10) New York City, Paris &amp;amp; Belo Horizonte are #C40Awards finalists in the Adaptation Plans &amp;amp; Assessments category #Cities…</t>
  </si>
  <si>
    <t>RT @c40cities: The 2016 C40 Cities Awards winners will be announced in CDMX during the C40 Mayors Summit on Dec 1 #Cities4Climate https://t…</t>
  </si>
  <si>
    <t>RT @c40cities: C40 Chair @eduardopaes_ recognises the leadership of the selected finalists in building resilient cities https://t.co/KneFqw…</t>
  </si>
  <si>
    <t>RT @RachelCisto: .@NYCHA wants to train tenants for jobs with construction unions.
https://t.co/padZ5I8wzL</t>
  </si>
  <si>
    <t>RT @Enterprise_NYC: Read about @NYCHA's efforts to make its buildings green and healthy https://t.co/5Yc5vIFgJy #ClimateWeek @ClimateWeekNY…</t>
  </si>
  <si>
    <t>RT @newyorkcityinfo: CityViews: What RAD Means for NYCHA Residents https://t.co/64oF3KYApo</t>
  </si>
  <si>
    <t>.@boweryboogie reports: @PokemonGoApp players wanted for tomorrow, as #Pokémon are lured to #LaGuardiaHouses from 4… https://t.co/JT8vagu53Y</t>
  </si>
  <si>
    <t>.@NYCImmigrants  @NYCHA bring 1st  @IDNYC pop-up to #Harlem @ #JohnsonCC 9/20-9/30! Sign up: https://t.co/inHDj4rxQR https://t.co/WkHSb0jDFf</t>
  </si>
  <si>
    <t>RT @JeanBWeinberg: .@NYCHA starts $88 million recovery project at Astoria Houses via @QueensLedger: https://t.co/KewLxOpLBH</t>
  </si>
  <si>
    <t>Writing a resume on a phone is hard. Come to the Digital Van for help. At Carver Houses today #Manhattan https://t.co/dmzu8keRPG</t>
  </si>
  <si>
    <t>@cacosta619 Hi. We're sorry to hear about this. Have you taken any additional measures such as calling the CCC? The number is 718-707-7771</t>
  </si>
  <si>
    <t>Catch + train your fav #Pokémon @NYCHA’s #Pokéstop near 240 Madison St. on 9/21, 4-5PM by our award-winning Digital… https://t.co/3JW1Xvgt9X</t>
  </si>
  <si>
    <t>Visit our Digital Van @ Clinton Houses today 10a-4p. Free WiFi and Internet in #Harlem https://t.co/dmzu8keRPG</t>
  </si>
  <si>
    <t>Hi SI! Need free computer access today? Try our NYCHA Digital Van! It will be @ Mariner's Harbor until 4pm:  https://t.co/dmzu8keRPG</t>
  </si>
  <si>
    <t>Hey @PokemonGoApp trainers! Visit @NYCHA's Digi Van at a #Pokéstop located at #LaGuardiaHouses on 9/21 from 4-5PM https://t.co/DJxNbQkdsP</t>
  </si>
  <si>
    <t>Get your free @IDNYC now thru 9/30 @ #PomonokHouses in #QNS! Make an appt. today: https://t.co/inHDj4rxQR https://t.co/rEjtSNJxYh</t>
  </si>
  <si>
    <t>Fact: #NextGenNYCHA RFP for development at #HolmesTowers requires new playground to be built: https://t.co/g7OzOrczN4</t>
  </si>
  <si>
    <t>#NextGenNYCHA visioning sessions w/ #HolmesTowers residents helped guide new development principles in RFP: https://t.co/g7OzOrczN4</t>
  </si>
  <si>
    <t>Did you know that #NextGenNYCHA development will help address $30M in unmet repair/upgrade needs at #HolmesTowers? https://t.co/NHZwC1ELqe</t>
  </si>
  <si>
    <t>Fact: &amp;gt;40 #NextGenNYCHA mtgs held at #HolmesTowers + Wyckoff before steering cmtes announced in June 2016: https://t.co/nEy0AdBqNK</t>
  </si>
  <si>
    <t>1 year ago, @NYDailyNews wrote in support of #NextGenNYCHA plans, mentioning plans for #HolmesTowers: https://t.co/9cgJ6MYZ0B</t>
  </si>
  <si>
    <t>RT @rasmiakf: @Fund4PH thrilled to partner w @FoodBank4NYC to serve @NYCHA communities on tax prep and more#scalewhatworks https://t.co/0Jy…</t>
  </si>
  <si>
    <t>RT @Fund4PH: The scale of @FoodBank4NYC's impact is amazing. So glad to have them as a partner in serving @NYCHA residents. https://t.co/ml…</t>
  </si>
  <si>
    <t>RT @NYPDnews: #HappeningNow: Mayor @BilldeBlasio &amp;amp; @NYPDONeill update NYers on Chelsea explosion &amp;amp; suspect. Watch LIVE https://t.co/BKA0Sa4…</t>
  </si>
  <si>
    <t>RT @NYPDONeill: Thanks to alert area residents and dedicated law enforcement officers. Now...our investigation continues. Call TIPS line w/…</t>
  </si>
  <si>
    <t>RT @NYCSmallBizSvcs: If you have a #smallbiz in the affected #ChelseaNYC area, please call @nyc311 &amp;amp; ask for the Biz Assistance Disaster Re…</t>
  </si>
  <si>
    <t>RT @nycHealthy: Stress after traumatic events like the Chelsea explosion is normal. There is no right or wrong way to react: https://t.co/f…</t>
  </si>
  <si>
    <t>RT @BilldeBlasio: New Yorkers, be vigilant. We are the most protected city in the world. You will see a very substantial NYPD presence toda…</t>
  </si>
  <si>
    <t>RT @nycgob: #SeBusca: Ahmad Khan Rahami, 28 años, por la #explosión en Chelsea. Llame a 1-888-57PISTA. @NYCMayorsOffice https://t.co/umF6eq…</t>
  </si>
  <si>
    <t>On 9/21 volunteers &amp;amp; staff will help NYers sign up for @IDNYC appts. Join us! https://t.co/aCJt1mAEir #IDNYCForAll https://t.co/owk2id5YMY</t>
  </si>
  <si>
    <t>Did you get your free @IDNYC card? Sign up today &amp;amp; go to @RedHookJustice pop-up in #BK! https://t.co/inHDj4rxQR https://t.co/oF0hlKz4GR</t>
  </si>
  <si>
    <t>Free internet access is GOOD, #SI! The Digital Van's @ Mariner's Harbor today until https://t.co/ZjcQJS3wOk</t>
  </si>
  <si>
    <t>Get Wired! Visit our Digital Van @ Fulton Houses #Manhattan. We're there until 4pm. Check out our full schedule:https://t.co/dmzu8keRPG</t>
  </si>
  <si>
    <t>RT @NotifyNYC: #alert The following individual is wanted in regards to the Chelsea explosion: Ahmad Khan Rahami, 28 year old male. https://…</t>
  </si>
  <si>
    <t>.@NYCImmigrants  @NYCHA bring 1st @IDNYC pop-up to #QNS #PomonokHouses 9/19 - 9/30! Sign up: https://t.co/inHDj4rxQR https://t.co/eHGDsEC6BF</t>
  </si>
  <si>
    <t>Join the fun as #Pokémon are lured to #LaGuardiaHouses on 9/19,  3-4PM by the @NYCHA digi van! https://t.co/kdxVzqXPV1</t>
  </si>
  <si>
    <t>For the latest on #Chelsea, please follow:
✔️ @NYCMayorsOffice
✔️ @NYPDnews
✔️ @FDNY
✔️ @nycoem</t>
  </si>
  <si>
    <t>RT @NYPDnews: Watch now live on https://t.co/FMsoGmM4uF</t>
  </si>
  <si>
    <t>Last night's explosion didn't damage any NYCHA developments. Follow @NotifyNYC for alerts and @NYPDnews for more info. Be safe and vigilant.</t>
  </si>
  <si>
    <t>RT @NYPDnews: Updated street closures regarding Chelsea explosion. #ChelseaNYC https://t.co/vtwo5tFOeb</t>
  </si>
  <si>
    <t>RT @NYPDnews: Mayor @BilldeBlasio, @NYPDONeill, @FDNY, @NewYorkFBI to update all on yesterday's explosion in Chelsea. LIVE at noon https://…</t>
  </si>
  <si>
    <t>RT @NYPDONeill: We do think this was an intentional act. You can help your #NYPD. If you saw/heard something, please call 800-577-TIPS and/…</t>
  </si>
  <si>
    <t>Get an @IDNYC  @RedHookJustice &amp;amp; #PomonokHouses W/ @NYCImmigrants. Sign up today! https://t.co/inHDj4rxQR https://t.co/MExpKAIVwX</t>
  </si>
  <si>
    <t>.@PokemonGoApp players: Hope you have enough #pokeballs for the #Pokémon lured at #LaGuardiaHouses on 9/19 at 3PM https://t.co/IsToDcayDX</t>
  </si>
  <si>
    <t>You can never be too prepared for an emergency! Find out more: https://t.co/87TCQWYh9p #NPM2016 https://t.co/arszNG4XeT</t>
  </si>
  <si>
    <t>@ProductNPress No! Don't believe everything you hear. Thanks for reaching out.</t>
  </si>
  <si>
    <t>Catch + train your fav #Pokémon @NYCHA’s #Pokéstop near 240 Madison St. on 9/19, 3-4PM by our award-winning Digi Van https://t.co/jsNic3s3Uv</t>
  </si>
  <si>
    <t>Get involved: Help New Yorkers learn about &amp;amp; sign up for a FREE @IDNYC! #IDNYCForAll  https://t.co/aCJt1mAEir https://t.co/I3masDejMG</t>
  </si>
  <si>
    <t>@peeping1 Hi. We're sorry to hear about this. Have you taken any additional measures such as calling the CCC? The number is 718-707-7771</t>
  </si>
  <si>
    <t>Know someone who needs digital access? Well the Digital Van is at Webster Houses! #BXon.nyc.gov/digitalvan</t>
  </si>
  <si>
    <t>Writing a resume on a phone is hard. The Digital Van can help. At Todt Hill Houses today #SI https://t.co/dmzu8keRPG</t>
  </si>
  <si>
    <t>RT @HudsonGuild: Today @CoreyinNYC, @NYC_DOT @HudsonGuild @NYCHA with PS 33 celebrated the beautiful new sidewalks at W 26th St! https://t.…</t>
  </si>
  <si>
    <t>RT @GreenShoresNYC: ICYMI: NYCHA BREAKS GROUND ON $88 MILLION RECOVERY AND RESILIENCY PROJECT AT ASTORIA HOUSES; THIRD MAJOR FUNDED... http…</t>
  </si>
  <si>
    <t>RT @NYCDepartment: NYC_DOT: Happy to announce completion of #nycsidewalk repairs at NYCHA Elliot-Chelsea Houses/PS33 NYCSchools w Cor… http…</t>
  </si>
  <si>
    <t>RT @NYC_DOT: Happy to announce completion of #nycsidewalk repairs at @NYCHA Elliot-Chelsea Houses/PS33 @NYCSchools w @CoreyinNYC https://t.…</t>
  </si>
  <si>
    <t>Meet Bassit, a 2016 NYCHA-CUNY Scholarship winner. Find out what inspired his career goals: https://t.co/PO2ErglV7V https://t.co/YO5xB3n6Bc</t>
  </si>
  <si>
    <t>We couldn't agree more! Read #OurJournal online at https://t.co/FzljgbKJ3P #NextGenNYCHA https://t.co/Tf6QmkXUim</t>
  </si>
  <si>
    <t>RT @rasmiakf: @Fund4PH Advisory Board co-Chair Jessica Levine! She is #NextGen @NYCHA - Dad grew up in #Linden Houses! https://t.co/qVb9MZf…</t>
  </si>
  <si>
    <t>#OurJournal #NextGenNYCHA https://t.co/FzljgbKJ3P https://t.co/io2zohLLzJ</t>
  </si>
  <si>
    <t>RT @rasmiakf: @NYCHA alum Jeff Levine Family invests in #NextGen NYCHA @CityCollegeNY Scholarships! @Fund4PH @SholaOlatoye https://t.co/rv8…</t>
  </si>
  <si>
    <t>RT @CoreyinNYC: Celebrating beautiful new sidewalks at W 26th St with @NYC_DOT @HudsonGuild @NYCHA PS 33 and more! https://t.co/Td2H2nuOT7</t>
  </si>
  <si>
    <t>RT @Fund4PH: Amazing! #NYCHA scholars with @Fund4PH @NYCHA @NYCCouncil #CUNY &amp;amp; Levine Family #nychaalum #nycharoots https://t.co/nHgS9O0Wy2</t>
  </si>
  <si>
    <t>@JuneMo41 Hi. As this is an emergency issue, plz  call the CCC ASAP at 718-707-7771. Thank you.</t>
  </si>
  <si>
    <t>.@PokemonGoApp trainers! Catch em’ all on 9/19 at @NYCHA's Digital Van #Pokéstop, 3-4PM at 240 Madison Street. https://t.co/QGVpC6fcKX</t>
  </si>
  <si>
    <t>RT @NYCImmigrants: .@NYCHA discusses their work to make sure residents know of the latest pop up @RedHookJustice in #RedHook #Brooklyn! htt…</t>
  </si>
  <si>
    <t>RT @RedHookJustice: @IDNYC is hosting a press conference with @cmenchaca @BKAREN23 @NYCHA &amp;amp; others to provide free ID cards to Red Hook htt…</t>
  </si>
  <si>
    <t>Need web access? Use the NYCHA Digital Van! It will be at Monroe Houses #BX til https://t.co/ZjcQJS3wOk</t>
  </si>
  <si>
    <t>Stop by Todt Hill Houses in Staten Island for free WiFi &amp;amp; computer access until 4pm https://t.co/kpIJZyMG9Q</t>
  </si>
  <si>
    <t>RT @MicheleMoore24: Breaking ground on another @NYCHA Sandy Recovery Project at Astoria Houses #NYCHAstrong https://t.co/4XUPSieMSP</t>
  </si>
  <si>
    <t>Hey @PokemonGoApp trainers! Visit @NYCHA's Digi Van at a #Pokéstop located at #LaGuardiaHouses on 9/19 from 3-4PM https://t.co/gOPwq3aVEt</t>
  </si>
  <si>
    <t>Emergencies Happen. Are you ready? Learn w/ @nycoem how to prepare for emergencies: https://t.co/87TCQWYh9p #NPM2016 https://t.co/9zhSDmdBRF</t>
  </si>
  <si>
    <t>Wanna make a difference in your community? Find resources to get started on @nyc_nonprofit: https://t.co/tFXI1vH4A8 https://t.co/uYfWVIw71g</t>
  </si>
  <si>
    <t>RT @Fund4PH: HBD @Nas, 1 of many brilliant, inspiring NYers who've lived @NYCHA #NYCHAroots #NYCHAalum D. A. Langs/NY Daily News https://t.…</t>
  </si>
  <si>
    <t>Want a safer community? Join @NYCHA 's resident watch program! Learn more in #NYCHAJournal: https://t.co/Zc9ggBJsAW https://t.co/8IB8ul8xks</t>
  </si>
  <si>
    <t>RT @Costa4NY: Sandy-recovery work at @NYCHA Astoria Houses will improve resiliency &amp;amp; combat climate change https://t.co/Vn4QIA5aJH https://…</t>
  </si>
  <si>
    <t>RT @GreenCityForce: 18-24 w/ HS diploma or GED &amp;amp; @NYCHA resident? Recruitment's OPEN for our Fall 2016 Clean Energy Corps cohort! Apply: ht…</t>
  </si>
  <si>
    <t>Have you seen our Digital Vans? One is at Eastchester Houses #BX until 4pm. Today!https://t.co/dmzu8keRPG</t>
  </si>
  <si>
    <t>Free WiFi &amp;amp; computer access in Staten Island! NYCHA Digital Van at Berry Houses today until 4pm:https://t.co/dmzu8keRPG</t>
  </si>
  <si>
    <t>ICYMI: Proof of concept that #affordablehousing can still be built in #NYC under @BilldeBlasio: https://t.co/gyPnQSwtEC cc: @NYCHousing</t>
  </si>
  <si>
    <t>Getting a free @IDNYC is quick &amp;amp; easy! Go to @RedHookJustice in #BK by 9/23. For more info: https://t.co/pGk7fplGgd https://t.co/KuWSMhxprU</t>
  </si>
  <si>
    <t>RT @NYCVotes: It's Election Day! Polls open NOW - 9PM. Use #NYCVotes' Voter Guide to plan your vote https://t.co/Xx1Mk0zIyM, then go have y…</t>
  </si>
  <si>
    <t>RT @BKLYNlibrary: Join us today for Green Leaves: Read'em &amp;amp; Reap, an intro to farming presented by @GreenCityForce &amp;amp; @NYCHA: https://t.co/o…</t>
  </si>
  <si>
    <t>Hello SI! Visit our Digital Van today in Staten Island @ Berry Houses. Free WiFi &amp;amp; computer access until 4pm:https://t.co/dmzu8keRPG</t>
  </si>
  <si>
    <t>Come to the Digital Van at Claremont Rehabs today 10a-4p. Free WiFi and Internet in #BX https://t.co/dmzu8keRPG</t>
  </si>
  <si>
    <t>RT @ElvinGarciaNYC: I had a blast @NYCHA Castle Hill Houses Family Day. Great job TA President Gerri Lamb. https://t.co/3AzkDjXv6J</t>
  </si>
  <si>
    <t>Sept. is National Preparedness Month! Learn w/ @nycoem what to do in an emergency: https://t.co/87TCQWYh9p #NPM2016 https://t.co/138P5ajYhZ</t>
  </si>
  <si>
    <t>RT @GreenCityForce: GCF is improving economic opportunities for @NYCHA residents in partnership with @OppNation #TheNationWeMake https://t.…</t>
  </si>
  <si>
    <t>RT @CallNYCapp: 🏆@JimmyVanBramer provides the most #NYCHABuildingMaintenance help on @NYCCouncil. Thank you! https://t.co/kb8YHA4CCc https:…</t>
  </si>
  <si>
    <t>RT @SholaOlatoye: .@NYCHA #ChineseAmericanAssociation #EmployeeEngagement #nextgennycha https://t.co/l3yfd2bcLg</t>
  </si>
  <si>
    <t>RT @SholaOlatoye: .@NYCHA #chineseamericanassociation #MidAutumnFestival #nextgennycha https://t.co/lLqrA1xg9q</t>
  </si>
  <si>
    <t>Calling all devotees of New York City. #NYC history for the visually inclined: https://t.co/8eUb1CQntJ https://t.co/0EE1uGMUH8</t>
  </si>
  <si>
    <t>RT @dzarrilli: Congrats to @NYCHA for its continuing commitment to job creation in its Sandy recovery and #resiliency work https://t.co/RX3…</t>
  </si>
  <si>
    <t>Know someone who needs digital access? Well the Digital Van is at Adam Houses! #Bronx https://t.co/dmzu8keRPG</t>
  </si>
  <si>
    <t>Get your free @IDNYC now thru 9/23 @RedHookJustice in #BK! Make an appt. today: https://t.co/Qe9N9VaEeX https://t.co/VtdTohG0FJ</t>
  </si>
  <si>
    <t>https://t.co/rMpFKmBNcW</t>
  </si>
  <si>
    <t>Stay hydrated and check on your neighbors! More hot weather tips: https://t.co/VL0nCpIeJ9 https://t.co/aJH6k6JS3x</t>
  </si>
  <si>
    <t>Know a senior, homeless person, or someone chronically ill? Check on them. Hot weather tips: https://t.co/VL0nCpIeJ9 https://t.co/cJgcGiVQMr</t>
  </si>
  <si>
    <t>RT @cunyurbanfood: Join our team! Help us evaluate @NYCHA's Urban Ag Initiative + get involved w our youth countermarketing program: https:…</t>
  </si>
  <si>
    <t>Hot weather puts an extra strain on the heart. Drink water &amp;amp; check on friends &amp;amp; neighbors  https://t.co/VL0nCpIeJ9 https://t.co/FfwpGYgTav</t>
  </si>
  <si>
    <t>RT @NYCHA_Arts: .@NYCHA staff present Coney Island area resident leaders with Hurricane Sandy Recovery updates https://t.co/BwBL9LHt4d</t>
  </si>
  <si>
    <t>It's hot out there! Play it safe in extreme heat. Follow these health #safety tips: https://t.co/VL0nCpIeJ9 https://t.co/kRgn7sJDm0</t>
  </si>
  <si>
    <t>.@NYCImmigrants  @NYCHA @RedHookJustice bring 1st @IDNYC  pop-up to #BK thru 9/23! Sign-up: https://t.co/pGk7fplGgd https://t.co/LrMdz1o7Qn</t>
  </si>
  <si>
    <t>Hot weather #tip: Avoid strenuous activity during the sun's peak hours – 11 AM to 4 PM. https://t.co/VL0nCpIeJ9 https://t.co/uWXLU9OVS1</t>
  </si>
  <si>
    <t>Calling all #StatenIsland residents: @LincolnCenter comes to you! Free music &amp;amp; dance #Onstatenisland #SI https://t.co/TC2kQAF5uX</t>
  </si>
  <si>
    <t>RT @nybwi: Congratulations! Our NYCHA Resident Training Academy just saw training cycle 42 graduate!! https://t.co/s2d27rLE82</t>
  </si>
  <si>
    <t>Need free computer access? Visit our NYCHA Digital Van! It will be @ Marcus Garvey Houses #BK until 4pm:  https://t.co/dmzu8keRPG</t>
  </si>
  <si>
    <t>Have you seen our hot weather safety tips? Protect yourself! https://t.co/VL0nCpIeJ9 https://t.co/SfGWbjK5E8</t>
  </si>
  <si>
    <t>Fans work best at night, when they can bring in cooler air from outside. Get more tips here: https://t.co/VL0nCpIeJ9 https://t.co/JzMghlvhMs</t>
  </si>
  <si>
    <t>Learn more about our effort to provide construction job opportunities for our residents: https://t.co/shkxysKYF3 https://t.co/t50wb4HDo7</t>
  </si>
  <si>
    <t>RT @NYClimate: Sandy-impacted @NYCHA residents are being connected with high-quality careers in the unionized construction industry.</t>
  </si>
  <si>
    <t>RT @NYClimate: To date, more than 5,400 @NYCHA  residents have been hired by the City’s construction industry partners to work on Sandy-rel…</t>
  </si>
  <si>
    <t>RT @NYCBuilditBack: New @NYCHA effort to create life-changing opportunities for residents in NYs thriving construction industry: https://t.…</t>
  </si>
  <si>
    <t>It's HOT out there! Stay hydrated and check on your neighbors. More tips: https://t.co/VL0nCpIeJ9 https://t.co/aHo75DvqtW</t>
  </si>
  <si>
    <t>ICYMI, Watch Part 2 of our Meet &amp;amp; Greet with @NYCHA - @cunynewswire Scholarship Winners! https://t.co/SutFdIZfd0 https://t.co/5F8CRENUvK</t>
  </si>
  <si>
    <t>RT @NotifyNYC: Heat Advisory for NYC from 12PM, 9/8 - 7PM on 9/9. Avoid strenuous activity. Cooling centers open. https://t.co/t918yhlx8z.</t>
  </si>
  <si>
    <t>Stay #safe in extreme heat→avoid overexertion, rest frequently &amp;amp; drink plenty of water: https://t.co/VL0nCpIeJ9 https://t.co/s0xixwJE8o</t>
  </si>
  <si>
    <t>RT @NotifyNYC: Per @NYCparks, all advisories for NYC public beaches have been lifted. For more info, please visit: https://t.co/SpEWj6XpkA.</t>
  </si>
  <si>
    <t>RT @right2tech: Congrats to @NYCHA for winning national award! 
#right2tech #digitaldivide 
https://t.co/If9wAlDjue https://t.co/7YNOjEzZL2</t>
  </si>
  <si>
    <t>RT @greenBXmachine: Our #Bronx #not62 #friend @NYSenatorRivera @Rivera4TheBronx HUGE ally to @NYCSchools @UFT @AFTunion @NYCHA #VOTE RT htt…</t>
  </si>
  <si>
    <t>Hello #BK! Visit our Digital Van today in Brooklyn @ KingsboroughHouses. Free WiFi &amp;amp; computer access until 4pm:https://t.co/dmzu8keRPG</t>
  </si>
  <si>
    <t>Mayor @BilldeBlasio visits @NYCHA’s #Borinquen Senior Center w/ GM Michael Kelly &amp;amp; Assemblywoman Maritza Davila! https://t.co/Gdx3WmZoUG</t>
  </si>
  <si>
    <t>Mayor @BilldeBlasio visits #BorinquenHouses Senior Center today &amp;amp; meets w/ TA President, Eloise Rowe! https://t.co/9Uz7h8stRV</t>
  </si>
  <si>
    <t>RT @Isaac_McGinn: Residents finish Queensbrdge mural– GM Kelly: “@NYCHA could not be prouder to share these works of art w all NYers” https…</t>
  </si>
  <si>
    <t>RT @Isaac_McGinn: Mayor @BilldeBlasio visits senior ctr @NYCHA’s Borinquen Plaza, talks w residents abt #mentalhealth cc @NYCSeniors https:…</t>
  </si>
  <si>
    <t>RT @QuitCountdownto: NYCHA's Digital Vans Bring Internet to the People #Inspirationalquotes  https://t.co/SU2sud2fYS https://t.co/5bDk43QM84</t>
  </si>
  <si>
    <t>RT @TheChiefLeader: .@NYCHA trains employees on sustainability. https://t.co/p9ej7RIH8h https://t.co/a3rN83qxNj</t>
  </si>
  <si>
    <t>Know someone who needs digital access? Well the Digital Van is at Howard Houses! #BKon.nyc.gov/digitalvan</t>
  </si>
  <si>
    <t>@_itzkimmi3 Hi. We're sorry to see this. Have you taken any additional measures such as calling the CCC? Their # is 718-707-7771</t>
  </si>
  <si>
    <t>@Tigren86 Hi. We're sorry to hear about this. Were you able to take any additional measures such as calling the CCC? Their # is 718-707-7771</t>
  </si>
  <si>
    <t>@Erin_N_J Hi. We will be reaching out to you via DM regarding this matter. Thank you.</t>
  </si>
  <si>
    <t>RT @villagevoice: NYCHA's digital vans bring internet to the people https://t.co/lk6hYYSmGI https://t.co/8TLfreBEHI</t>
  </si>
  <si>
    <t>RT @Isaac_McGinn: .@NYCHA’s Digital Vans connect residents to internet + opportunity: https://t.co/gSNncXYbzp via @AnitaAbedian cc @SholaOl…</t>
  </si>
  <si>
    <t>RT @theNYHC: Speakers from @NYCHA @FACbrooklyn @CSSNYorg added for 9/22 Public Housing Policy Symposium https://t.co/yyOJfceNII https://t.c…</t>
  </si>
  <si>
    <t>RT @RachelFeeNYHC: Speakers Announced! @theNYHC Public Housing Symposium on 9/22 https://t.co/V7Ng3qCwwm @MosesNYC @FACbrooklyn @css @NYCHA</t>
  </si>
  <si>
    <t>RT @NYCSchools: Need help using a computer or getting online? Questions about #preKforAll? Visit @NYCHA 's Digital Vans https://t.co/eWkpr8…</t>
  </si>
  <si>
    <t>RT @JeanBWeinberg: .@villagevoice "NYCHA's Digital Vans Bring Internet to the People" @SholaOlatoye @NYCHA: https://t.co/MFpkhR2L0F #NextGe…</t>
  </si>
  <si>
    <t>RT @theNYHC: @NY1's @errollouis interviews @SholaOlatoye, Holly Leicht &amp;amp; @RitchieTorres at 9/22 Public Housing forum @NYCHA https://t.co/yy…</t>
  </si>
  <si>
    <t>.@nycoem’s #ReadyNYC, @nyc311, @NYCHA, and more free apps to help you navigate our city. Download them today: https://t.co/NE9d6kWf9Z</t>
  </si>
  <si>
    <t>Writing a resume on a phone is hard. Come to the Digital Van for help. At Cooper Park today #BKon.nyc.gov/digitalvan</t>
  </si>
  <si>
    <t>Join 400k+ #NewYorkers! Get free up-to-the-minute emergency alerts from @NotifyNYC  Sign up: https://t.co/YYNbl5geiH https://t.co/5temWR4NY6</t>
  </si>
  <si>
    <t>Did sexting go too far? We got your back. For confidential help, go to: https://t.co/iMtKqlBJk6. #NYCYouthHealth https://t.co/OWOVjyy2FD</t>
  </si>
  <si>
    <t>Aplicación en español de NYCHA para solicitar reparaciones #MyNYCHA #NextGenNYCHA https://t.co/im4BFXRFpC</t>
  </si>
  <si>
    <t>Happy Labor Day to you and yours! @NYCHA wants you to have a safe and memorable last-weekend-of-summer! https://t.co/VNAkdo8dkG</t>
  </si>
  <si>
    <t>Have you signed up for free @NotifyNYC emergency alerts? Stay informed, go to: https://t.co/YYNbl5geiH https://t.co/zFLjkHbAF1</t>
  </si>
  <si>
    <t>Tropical Storm Hermine may cause harsh weather. Get supplies ready to evacuate or stay put: https://t.co/8RPvpwph1v https://t.co/OKssnMFc7h</t>
  </si>
  <si>
    <t>RT @NotifyNYC: Update #Hermine: Tropical Storm Warning still in effect citywide. Info: https://t.co/lTYnDmJu1X. ASL: https://t.co/CWQkS5R45…</t>
  </si>
  <si>
    <t>Sign up for @NotifyNYC today! Get free up-to-the-minute #NYC emergency alerts now. Go to: https://t.co/YYNbl5geiH https://t.co/81BJAtD0M9</t>
  </si>
  <si>
    <t>Tropical Storm Hermine may cause extreme weather. Remember: Register for @NotifyNYC alerts! https://t.co/I8GWWt5arD https://t.co/F6Qd8OQ5Js</t>
  </si>
  <si>
    <t>Always be in the know: Register 4 @NotifyNYC emergency alerts- weather, St. closures + more: https://t.co/YYNbl5geiH https://t.co/yiWyTWW6h6</t>
  </si>
  <si>
    <t>Over 400,000 New Yorkers get free emergency alerts from @NotifyNYC. Join them- register now: https://t.co/YYNbl5geiH https://t.co/znBf9qSBK2</t>
  </si>
  <si>
    <t>Tropical Storm Hermine may cause extreme weather: Find your Hurricane Zone @ Know Your Zone: https://t.co/hxHCI5sNoJ https://t.co/ewGbljHGcn</t>
  </si>
  <si>
    <t>RT @NotifyNYC: Ahead of #Hermine, @nycparks beaches will be closed to swimming on Sunday, 9/4. For more, visit https://t.co/rts7z1iH8S or c…</t>
  </si>
  <si>
    <t>RT @NotifyNYC: Tropical Storm Warning #Alert in effect citywide, today 9/3 starting at 11:00 AM. https://t.co/CWQkS5R451.</t>
  </si>
  <si>
    <t>#NotifyNYC- the official source for info about emergency events &amp;amp; City services. Join today: https://t.co/u7La1c6IXE https://t.co/spD9qSuzZn</t>
  </si>
  <si>
    <t>Get the latest information about hurricanes in NYC: https://t.co/Zd5UXi8B1r 
#KnowYourZone #Hermine  https://t.co/ajcUJ1Qj0z</t>
  </si>
  <si>
    <t>.@gswellmural dedication @ #StNicholasHouses @pepechuey @RitchieTorres  #muralsineveryborough #NYCHAART https://t.co/g8BHZtDeyD</t>
  </si>
  <si>
    <t>We just wanted to take time out to say a BIG thank you to our followers! https://t.co/Jp5Z3TGuDs</t>
  </si>
  <si>
    <t>We all need to connect! Tell your friends about our Digi Van @ Lafayette Gardens #BK. Learn more here: https://t.co/8tCXh01oBW</t>
  </si>
  <si>
    <t>RT @CitiBikeNYC: .@NYCHA residents 16 and over eligible for an annual Citi Bike membership for only $5/month! Sign up today https://t.co/N7…</t>
  </si>
  <si>
    <t>RT @BklynEagle: ‘Movie Matinees’ provides free movie tickets for residents of #NYC public housing https://t.co/NH5gBuTF4U @MadeinNY https:/…</t>
  </si>
  <si>
    <t>If you're 12 or older, &amp;amp; have questions on sexual health, we got your back. https://t.co/iMtKqlBJk6 #NYCYouthHealth https://t.co/Cuu4dja39C</t>
  </si>
  <si>
    <t>#TBT - "Monty" became the Monterey CC mascot, encouraging lil' Joshua Thomas to read book after book in the late 90s https://t.co/Avtu8XFU5x</t>
  </si>
  <si>
    <t>Internet access is GOOD, #Brooklyn! The Digital Van's @ Stuyvesant Gardens today: https://t.co/PaTiymvska</t>
  </si>
  <si>
    <t>RT @MadeinNY: "MOME Movie Matinees" providing 2000+ @NYCHA residents w free movie tickets! Learn more: https://t.co/bHBjVAmMg5 https://t.co…</t>
  </si>
  <si>
    <t>.@SholaOlatoye "Our focus is how do we create safer, cleaner &amp;amp; connected communities to better serve our residents." https://t.co/4HsI6hf860</t>
  </si>
  <si>
    <t>RT @GreenCityForce: Tons of kale and collards are available to @NYCHA  residents at the #RedHook farm today! #GoGCF https://t.co/KOmUfeBK2Z</t>
  </si>
  <si>
    <t>RT @CnDelarosa: Standing with two great leaders for working NYers, today I spoke about the need for renewed investment for NYCHA https://t.…</t>
  </si>
  <si>
    <t>.@NY1 Reports: @NYCHA Resident Lives Lifetime Dream, Starts His Own Restaurant! #FoodBizDream https://t.co/DrE0MPK2FH</t>
  </si>
  <si>
    <t>RT @AjaWorthyDavis: .@NYCHA won the national award of excellence for the DigiVan https://t.co/DALiYSU5g2</t>
  </si>
  <si>
    <t>@gatubela357 Our apologizes. When the # is DM'd it's easier for us to track. We will investigate</t>
  </si>
  <si>
    <t>RT @blesjuel2: @JulieMenin @MadeinNY @NYCHA Thank you for the movie tickets and giving our family the opportunity to participate. #50Yearso…</t>
  </si>
  <si>
    <t>@gatubela357 Plz DM us your ticket numbers. Thank you.</t>
  </si>
  <si>
    <t>RT @ZDDNews: NYCHA Digital Vans Wins National Award for Bridging Digital Divide - Kings County Politics (registration) https://t.co/GeK2XEV…</t>
  </si>
  <si>
    <t>RT @JoelRaskin: #urban #summer #streetscene #NYC #baruchHouses #nycha #lowereastside https://t.co/HHkorY23fI</t>
  </si>
  <si>
    <t>Come by our NYCHA Digital Van - for free computer access &amp;amp; WiFi. @ East River Houses until 4pm today! https://t.co/MZHmTpDUll</t>
  </si>
  <si>
    <t>Have you stopped by our Digital Van yet? It's at 4-20 Astoria Blvd, today until 4! Check out the full schedule: https://t.co/MZHmTpDUll</t>
  </si>
  <si>
    <t>Follow @IDNYC to learn hot to apply for a membership card to the world’s greatest city: https://t.co/tEqvSvDQJZ https://t.co/bwAHMGJy3G</t>
  </si>
  <si>
    <t>Deadline for contest to win free @kanyewest tickets is this Friday! #BizLivGiv https://t.co/pRTaOR9FVz</t>
  </si>
  <si>
    <t>RT @myharborNYPL: Job hunting? @NYCWorkforce1 will be here 1-3 with job training &amp;amp; employment resources! *For @NYCHA residents https://t.co…</t>
  </si>
  <si>
    <t>RT @BKLYNlibrary: Today @GreenCityForce &amp;amp; @NYCHA present Green Leaves: Read'em &amp;amp; Reap, a hands-on intro to farming for families: https://t.…</t>
  </si>
  <si>
    <t>RT @NYCMayorsFund: Release:@NYCHA Staff Receives Energy Efficiency Training at Sustainability Boot Camp  https://t.co/TMbc6p5TTT via @nycgo…</t>
  </si>
  <si>
    <t>RT @CivicUSA: congrats to @NYCHA for the #civictech award from @NAHROnational - https://t.co/gpFsc2GEoc</t>
  </si>
  <si>
    <t>RT @NYClimate: Nearly 200 @NYCHA staff members participated in the Sustainability Boot Camp, keeping the City on the path to reach #80X50.</t>
  </si>
  <si>
    <t>Get Wired! Visit our Digital Van @ Morris - 3673 3rd Ave! #BX We're there until 4. Check out our full schedule: https://t.co/MZHmTpDUll</t>
  </si>
  <si>
    <t>Writing a resume on a phone is hard. The Digital Van can help. At Ocean Hill today #BK https://t.co/MZHmTpDUll</t>
  </si>
  <si>
    <t>RT @NYCSmallBizSvcs: Commish @GreggBishopNYC + #FoodBizDream grad @str8talk76 discuss her biz w/@News12BK at @bkfoodworks cc: @NYCHA https:…</t>
  </si>
  <si>
    <t>RT @GswellMural: At #Tompkins celebrating our youth-led #mural, "Compass of Dreams." Thank you for your words @RobertCornegyJr! https://t.c…</t>
  </si>
  <si>
    <t>Playing something more serious than #Pokemon? Talk to us, we can help. https://t.co/iMtKqlBJk6 #NYCYouthHealth https://t.co/Ay9IxYfWlv</t>
  </si>
  <si>
    <t>Need to look up a NYCHA address? Look no further than #MyNYCHA online + its new Development Search. Visit: https://t.co/Jp6SqbMZp2</t>
  </si>
  <si>
    <t>RT @Fund4PH: .@NYCHA residents, want to see Kanye this weekend FOR FREE? See https://t.co/P8EK5AM3MG to learn how to enter #bizlivgiv conte…</t>
  </si>
  <si>
    <t>&amp;gt;200 NYCHA staff attended Sustainability Bootcamp last week. Thx @REBNY for the training to make  us #GreenNYCHA! https://t.co/SSYiDQEAsa</t>
  </si>
  <si>
    <t>RT @JulieMenin: .@MadeinNY Movie Matinee program on 8/31 provides free tix for 2000  @NYCHA residents in all 5 boros #50YearsofMagic https:…</t>
  </si>
  <si>
    <t>RT @CitiBikeNYC: "Remember that #CitiBike is just $5 a month for @NYCHA residents. We are talking about big savings here!" -  @MMViverito</t>
  </si>
  <si>
    <t>RT @nycoem: Hurricanes can &amp;amp; do affect NYC. Make a plan before a storm arrives. https://t.co/BdwQJVJ3HB #knowyourzone https://t.co/shiXnjPj…</t>
  </si>
  <si>
    <t>Stop by Melrose Houses in the #bronx today for free WiFi &amp;amp; computer access until 4pm today https://t.co/MZHmTpDUll</t>
  </si>
  <si>
    <t>Free internet access is GOOD, #Brooklyn! The Digital Van's @ Stuyvesant Houses today https://t.co/MZHmTpDUll</t>
  </si>
  <si>
    <t>Avoid strenuous activity, especially during the sun's peak hours – 11 AM to 4 PM. https://t.co/VL0nCpIeJ9 https://t.co/CU8AmVf8pn</t>
  </si>
  <si>
    <t>It's hot out there! Play it safe in extreme heat. Follow these health #safety tips: https://t.co/VL0nCpIeJ9 https://t.co/1FQYfRDtSr</t>
  </si>
  <si>
    <t>Drink plenty of water, even if you're not thirsty. Avoid: alcohol, caffeine &amp;amp; sugary drinks. https://t.co/VL0nCpIeJ9 https://t.co/hBKynixKMj</t>
  </si>
  <si>
    <t>Have you seen our hot weather safety tips? Protect yourself! https://t.co/VL0nCpIeJ9 https://t.co/qIpC4pPZW8</t>
  </si>
  <si>
    <t>Cold showers may help, but sudden extreme temp. changes may make you ill or dizzy. More tips https://t.co/VL0nCpIeJ9 https://t.co/nWAHiDj4n9</t>
  </si>
  <si>
    <t>Know a senior, homeless person, or someone chronically ill? Please check on them. More Tips: https://t.co/VL0nCpIeJ9 https://t.co/ykTjHR680M</t>
  </si>
  <si>
    <t>Wear lightweight, light-colored, loose clothing that covers most of your skin as possible:  https://t.co/VL0nCpIeJ9 https://t.co/fjpedTVw4V</t>
  </si>
  <si>
    <t>RT @BilldeBlasio: 20,000 remarkable women for the record books. Check out my favorite one here: https://t.co/7SOs9zyVux #20000by2020 #Women…</t>
  </si>
  <si>
    <t>RT @DanielSquadron: Join @NYCHealthSystem &amp;amp; @GouverneurFamil at @NYCHA Vladeck Houses tomorrow, 11am, for Back to School Fest! https://t.co…</t>
  </si>
  <si>
    <t>We just wanted to take time out to say a BIG thank you to our followers! https://t.co/Jp5Z3ToTLU</t>
  </si>
  <si>
    <t>Fans work best at night, when they can bring in cooler air from outside. Get more tips here: https://t.co/VL0nCpIeJ9 https://t.co/PM33cWryKr</t>
  </si>
  <si>
    <t>RT @NYCSeniors: Share the story of a woman who inspires you for @nycrecords' #20000By2020 https://t.co/vXqX7evo1c #WomensEqualityDay https:…</t>
  </si>
  <si>
    <t>Stay #safe in extreme heat→avoid overexertion, rest frequently &amp;amp; drink plenty of water: https://t.co/VL0nCpIeJ9 https://t.co/5TqCWf6ZdO</t>
  </si>
  <si>
    <t>Need free computer access today? Try our NYCHA Digital Van! It will be Ocean Hill Parking Lot in #BK until 4pm: https://t.co/MZHmTpDUll</t>
  </si>
  <si>
    <t>It's HOT out there! Stay hydrated and check on your neighbors. More tips: https://t.co/VL0nCpIeJ9 https://t.co/05iK3ips7b</t>
  </si>
  <si>
    <t>Grateful for @JeffKleinNY’s funding &amp;amp; support for new fridges from @PCRichardandSon at Sack Wern. #partnership https://t.co/LBCSLqKriR</t>
  </si>
  <si>
    <t>Easier than ever to navigate @nyc_nonprofit. Get info re funding, digital marketing &amp;amp; more: https://t.co/tFXI1vH4A8 https://t.co/uYy5dTW4nM</t>
  </si>
  <si>
    <t>RT @JeanBWeinberg: Lighting Upgrade @NYCHA 's Ravenswood Houses via @QueensTrib: https://t.co/Dee9Aj4J1T #NextGenNYCHA #publichousing #safe…</t>
  </si>
  <si>
    <t>Thank you @GreenCityForce @AmeriCorps members! #GoGCF</t>
  </si>
  <si>
    <t>RT @GreenCityForce: GCF @AmeriCorps Members are at Howard #NYCHAfarm today from 10-2pm giving out fresh produce to @NYCHA residents. https:…</t>
  </si>
  <si>
    <t>#TBT - Overlook of the old park at Unity Plaza in 1983. #ThrowbackThursday https://t.co/kZoG68KHgG</t>
  </si>
  <si>
    <t>Add the name &amp;amp; a brief description of a woman who has inspired you. https://t.co/Xctl6ySlgo today. HT @nycrecords https://t.co/nc1NpCd4UE</t>
  </si>
  <si>
    <t>RT @Vanessalgibson: Proud to allocate $1.4M for security cameras at @NYCHA Highbridge Gardens. #Highbridge #BX @NYPD44Pct @JoinJoyner https…</t>
  </si>
  <si>
    <t>Visit our Digital Van at Lexington/Washington houses on 3rd Ave today 10a-4p. Free WiFi and Internet in #Harlem https://t.co/MZHmTpDUll</t>
  </si>
  <si>
    <t>Know someone who needs digital access? Well the Digital Van is at Edenwald Houses! #Bronx https://t.co/MZHmTpDUll</t>
  </si>
  <si>
    <t>ICYMI, here's the real Storify  behind our new digital van! Story via DowntownPatch  https://t.co/sGo83WNqTt</t>
  </si>
  <si>
    <t>@Erkzalez Could you plz send us your ticket number(s)? We will report the issue on your behalf. Thx</t>
  </si>
  <si>
    <t>@lmn8050 @nyc311 We're sorry to hear about this. Could you plz DM us your ticket number regarding this matter? We will report &amp;amp; do follow up</t>
  </si>
  <si>
    <t>RT @GreenCityForce: Visit the @NYCHA #RedHook Farm today from 10-2pm. Residents get free produce for household compost or volunteering. htt…</t>
  </si>
  <si>
    <t>Follow, like &amp;amp; subscribe to #NYCHA on https://t.co/gDceNbOBMr + https://t.co/NssUGHZJo4 + https://t.co/cBElKn0Mlp https://t.co/JofpmSgYh8</t>
  </si>
  <si>
    <t>Not everyone has internet access. Tell a friend about the Digital Van. @ 372 Bushwick Avenue today https://t.co/MZHmTpDUll</t>
  </si>
  <si>
    <t>Hello BK!  Check out our Digital Van @ 572 Warren St (btwn 3rd &amp;amp; 4th Ave) until 4p #BK https://t.co/MZHmTpDUll</t>
  </si>
  <si>
    <t>Come to a REES Info Session &amp;amp; get referrals for
#JobTraining Programs
#EmploymentAssistance
https://t.co/0fSwAg5wq9 https://t.co/kM2wK4tZOq</t>
  </si>
  <si>
    <t>@Erkzalez We're sorry to hear about this. Have you taken any additional measures such as calling the CCC? The number is 718-707-7771</t>
  </si>
  <si>
    <t>.@NYCHA Food Business Pathways graduate Teresa Hogan was recently featured in @TimeOutNewYork. Check it out! https://t.co/l0BOAgohPj</t>
  </si>
  <si>
    <t>We all need to connect! Tell your friends about our Digi Van @ Forest Houses until 4pm: https://t.co/MZHmTpDUll</t>
  </si>
  <si>
    <t>Writing a resume on a phone is hard. The Digital Van can help. At Kings Tower today https://t.co/MZHmTpDUll</t>
  </si>
  <si>
    <t>RT @NYCMayorsFund: "The fund...allows us to do unorthodox things that a massive muni agencies just cannot do." @rasmiakf #NextGenNYCHA http…</t>
  </si>
  <si>
    <t>Thru impressive support + cooperation, @NYCHA is projecting a $20M budget surplus for 2016. https://t.co/LwpIFSonEH https://t.co/0Siz1bqt6g</t>
  </si>
  <si>
    <t>Looking for affordable housing? @NYCHA residents get priority for this @NYCHousing lottery https://t.co/pw7R5Nku9H https://t.co/MR9M1LXvau</t>
  </si>
  <si>
    <t>RT @NYCHRA: RT @NYC_Nonprofit: #DYK: DYCD funds 94 programs located @NYCHA community centers. #Afterschool101 https://t.co/kmiQeriX1Q</t>
  </si>
  <si>
    <t>RT @SholaOlatoye: .@NYCHA @HUDNY_NJ @galeabrewer @MarkLevineNYC @HelenRosenthal @Enterprise_NYC @inezdickens2013 #nextgennycha #pact https:…</t>
  </si>
  <si>
    <t>RT @ShareForLifeNYC: Share for Life is the leading program provider for @NYCHA. With your help, we can reach even more #NYC residents! http…</t>
  </si>
  <si>
    <t>RT @Enterprise_NYC: Discussing importance of pub-private partnership to preserve public housing. Thx @NYCHA @SholaOlatoye @galeabrewer http…</t>
  </si>
  <si>
    <t>RT @MarkLevineNYC: Impressive tour of Millbank-Frawley Houses in #EastHalrem, newly revitalized through HUD's R.A.D. program. https://t.co/…</t>
  </si>
  <si>
    <t>In just over a year, @NYCHA’s average response time is down to just 5 days. #NextGenNYCHA https://t.co/LwpIFSonEH https://t.co/B5PsCr0Fyf</t>
  </si>
  <si>
    <t>RT @NYCSchools: Find #FreeSummerMeals being served at participating schools, pools,@NYCParks, libraries, trucks &amp;amp; @NYCHA locations → https:…</t>
  </si>
  <si>
    <t>RT @elpuentepalante: We are proud to serve the #TaylorWythe, #Independence, &amp;amp; #WilliamsPlaza NYCHA communities! @NYCYouth #Cornerstones htt…</t>
  </si>
  <si>
    <t>RT @HOT97: NYCHA’s Shola Olatoye Talks State of the City’s Public Housing [VIDEO] https://t.co/lKfMnmUddv</t>
  </si>
  <si>
    <t>RT @galeabrewer: Great morning @NYCHA Milbank Fawley with @SholaOlatoye. Visit their beautiful courtyard, a public-private project! https:/…</t>
  </si>
  <si>
    <t>RT @AjaWorthyDavis: ICYMI: #NYCHA CEO @SholaOlatoye chatted with @EBROINTHEAM last week! https://t.co/UrYAjf8hV1</t>
  </si>
  <si>
    <t>RT @MarkTreyger718: Family atmosphere at Carey Gardens Family Day in Coney! Thx @NYPDPSA1 @NYCHA @AMPamelaHarris for partnership https://t.…</t>
  </si>
  <si>
    <t>RT @NYPD109Pct: Neighborhood Coordination Officers Hubbard and Javed at the @NYCHA Bland Houses Family and Fun Day #NCO #109pct https://t.c…</t>
  </si>
  <si>
    <t>RT @HelenRosenthal: Congratulations! @NYCHA resident leaders on your joyous Family Day!! https://t.co/xHzgTbaq7p</t>
  </si>
  <si>
    <t>RT @RosieMendez: @NYCHA VladeckHouses watching @NYCCouncil #CD2 LES residents play #stickball @CarlinaRivera @EvillPunki @shyviviana https:…</t>
  </si>
  <si>
    <t>RT @NYC_Nonprofit: #DYK: DYCD funds 94 programs located @NYCHA community centers. #Afterschool101 https://t.co/IT8btLPCg1</t>
  </si>
  <si>
    <t>RT @AndyKingNYC: Here with Speaker @CarlHeastie on this beautiful Saturday at Boston Secor @NYCHA Family Day in the beautiful #Bronx https:…</t>
  </si>
  <si>
    <t>RT @Khanambano: @NYCHA Sandy Recovery doing outreach at the #CareyGarden Family day! https://t.co/epWxLlncj7</t>
  </si>
  <si>
    <t>RT @IDNYC: Danielle from @Elmcor will be redeeming her membership today at @bklynmuseum, right after @NYCHA family day! https://t.co/NBrtah…</t>
  </si>
  <si>
    <t>Hey BX! NYCHA Digital Van is at Mitchel Houses until 4pm. Free WiFi &amp;amp; computer access https://t.co/MZHmTpDUll</t>
  </si>
  <si>
    <t>Catch  our digital van at 625 Castle Hill Ave until 4pm today! # BX See the full schedule: https://t.co/MZHmTpDUll</t>
  </si>
  <si>
    <t>If you're 12 or older, &amp;amp; have questions on sexual health, we got your back. https://t.co/iMtKqlBJk6 #NYCYouthHealth https://t.co/yePSlMhouy</t>
  </si>
  <si>
    <t>So far, #NextGenNYCHA has made over 3k connections to partner services &amp;amp; 1k job placements. https://t.co/LwpIFSonEH https://t.co/AIrLGzQYq8</t>
  </si>
  <si>
    <t>ICYMI, @PIX11 reports on New #FlexOps Pilot #NextGenNYCHA https://t.co/jZLiDElwzT</t>
  </si>
  <si>
    <t>Already, 4 urban farms are cropping up under the #NextGenNYCHA Urban Agriculture initiative https://t.co/LwpIFSonEH https://t.co/rrZXSlPs5I</t>
  </si>
  <si>
    <t>Last day to get your free @IDNYC @ #SedgwickHouses in the #BX. Walk in or sign up online: https://t.co/pGk7fplGgd https://t.co/keI9YcK0AL</t>
  </si>
  <si>
    <t>.@PIX11 reports on New #FlexOps Pilot #NextGenNYCHA https://t.co/jZLiDElwzT</t>
  </si>
  <si>
    <t>Obtained addt’l $11.5M in capital funding to support #NextGenNYCHA sustainability agenda https://t.co/LwpIFSonEH https://t.co/kSIXcx0O1j</t>
  </si>
  <si>
    <t>.@NYCImmigrants @NYPD46Pct  @Vanessalgibson bring 1st @IDNYC    pop-up to @NYCHA thru 8/20! https://t.co/pGk7fplGgd https://t.co/9QoXB3YPHT</t>
  </si>
  <si>
    <t>ICYMI, @JimmyVanBramer + @NYCHA tenants celebrate $4M lighting upgrade to make #Ravenswood safer, @NY1 reports https://t.co/RY96wD7lsR</t>
  </si>
  <si>
    <t>RT @JimmyVanBramer: .@NYCHA, #Ravenswood tenants &amp;amp; I celebrated $4m new lights that have already made the community safer! @clodaghny1 http…</t>
  </si>
  <si>
    <t>Yesterday we spotted @JimmyVanBramer catching up on the August #NYCHAJournal #OurJournal https://t.co/FzljgbKJ3P https://t.co/pYbyjLZfph</t>
  </si>
  <si>
    <t>RT @JeanBWeinberg: .@SholaOlatoye w/captive audience at Bronxchester following apt tour showcasing pub/priv partnerships #NextGenNYCHA http…</t>
  </si>
  <si>
    <t>RT @JeanBWeinberg: Talking public/private partnerships at Bronxchester w/@NYCHA 'a @SholaOlatoye @Mireyawrites #NextGenNYCHA https://t.co/r…</t>
  </si>
  <si>
    <t>RT @Isaac_McGinn: .@NYCHA's VP for Public Safety the one+only Chief Nelson talks security at public housing cc @NYPDPSA9 @SholaOlatoye http…</t>
  </si>
  <si>
    <t>.@NYCHA, @JimmyVanBramer celebrate 600+ state-of-art light fixtures at #RavenswoodHouses #Queens #NextGenNYCHA https://t.co/Dw9cPckAUH</t>
  </si>
  <si>
    <t>ICYMI, Chair &amp;amp; CEO @SholaOlatoye Talks #PublicHousing, #NextGenNYCHA on @HOT97 @oldmanebro @EBROINTHEAM @LAURASTYLEZ
https://t.co/vB616lxnUE</t>
  </si>
  <si>
    <t>We’re projecting a surplus in the 2016 operating budget thanks to #NextGenNYCHA. https://t.co/LwpIFSonEH https://t.co/ZOII1sRzAJ</t>
  </si>
  <si>
    <t>Nnenna Lynch, former @Olympics hopeful &amp;amp; @NYCHA Board Member, has fitness advice for all of us in @nytimeswell. https://t.co/dDLCMwKIqu</t>
  </si>
  <si>
    <t>@gatubela357 We're sry to hear about this. Plz DM us your ticket # from the CCC (Tel. 718-707-7771) &amp;amp; we will investigate/follow up. Thx</t>
  </si>
  <si>
    <t>@SuB01 @nyc311 Sorry to see this. Have you taken any additional measures such as calling the CCC: 718-707-7771? Will follow up on our end</t>
  </si>
  <si>
    <t>RT @NYCCouncil: CM @JimmyVanBramer announces completed installation of $4million lighting upgrade at @NYCHA Ravenswood Houses. https://t.co…</t>
  </si>
  <si>
    <t>RT @NYC_Nonprofit: #DYK: DYCD funds 94 programs located @NYCHA
community centers. #Afterschool101 Twitter Chat Q&amp;amp;A 8/24 12pm-1pm https://t.…</t>
  </si>
  <si>
    <t>Need to use a PC? Visit our Digital Van today at Bushwick Houses. #BK https://t.co/MZHmTpDUll</t>
  </si>
  <si>
    <t>Internet access today @ Kingsborough! The Digital Van's on 3rd Walk btw 1880 Pacific/Bergen St. #BK https://t.co/MZHmTpDUll</t>
  </si>
  <si>
    <t>Under #NextGenNYCHA maintenance response time has improved by 58%. https://t.co/LwpIFSonEH https://t.co/pgecjUFGT5</t>
  </si>
  <si>
    <t>RT @MadeinNY: Tomorrow: Join us at St. Mary's Park in the Bronx for free #BwayintheBoros show feat. @PhantomBway and @STOMPNYC! https://t.c…</t>
  </si>
  <si>
    <t>RT @Fund4PH: One of @NYCHA's greatest assets = its entrepreneurial residents! Thanks, @sfanmail @instpubarch @nextcityorg https://t.co/vgZZ…</t>
  </si>
  <si>
    <t>RT @JimmyVanBramer: Announcing the installation of $4m of lighting at #Ravenswood w @NYCHA, RA Pres. Carol Wilkins, seniors &amp;amp; children! htt…</t>
  </si>
  <si>
    <t>Learn about the progress we're making thru #NextGenNYCHA #FlexOps
https://t.co/U8meOydTIC</t>
  </si>
  <si>
    <t>RT @JeanBWeinberg: Very thoughtful interview by @oldmanebro @EBROINTHEAM - tune in @HOT97 tomorrow to hear @NYCHA CEO @SholaOlatoye https:/…</t>
  </si>
  <si>
    <t>RT @JeanBWeinberg: Thanks @EBROINTHEAM for having us @SholaOlatoye @NYCHA - great discussion today @HOT97 ! #NextGenNYCHA https://t.co/Skzm…</t>
  </si>
  <si>
    <t>#TBT - Olympian @carmeloanthony of @nyknicks + #RedHookHouses returned to dedicate new basketball courts! #Rio2016 https://t.co/uUQi1sSXLE</t>
  </si>
  <si>
    <t>Thousands of units are being built or preserved through #NextGenNYCHA programs. https://t.co/LwpIFSonEH https://t.co/ePdE1tGuz9</t>
  </si>
  <si>
    <t>Writing a resume on a phone is hard. The Digital Van can help. Visit us on Park Ave bt Marcy/Nostrand Aves #BK https://t.co/MZHmTpDUll</t>
  </si>
  <si>
    <t>More residents placed w/ jobs &amp;amp; graduating from great career pathways programs #NextGenNYCHA https://t.co/LwpIFSonEH https://t.co/f1syYH3sAg</t>
  </si>
  <si>
    <t>RT @MadeinNY: #BwayintheBoros comes to the Bronx this Friday! Join us for free performances from @PhantomBway and @STOMPNYC: https://t.co/k…</t>
  </si>
  <si>
    <t>RT @GreenCityForce: Progress at the @NYCHA Wagner Houses farm! https://t.co/0ZNo6J75zB</t>
  </si>
  <si>
    <t>RT @GreenCityForce: Did you know that GCF @AmeriCorps members are building a new #urbanfarm at @NYCHA's Wagner Houses in East #Harlem? http…</t>
  </si>
  <si>
    <t>135 developments to receive upgrades to create healthier indoor environments. #NextGenNYCHA https://t.co/LwpIFSonEH https://t.co/7IwpetkuJu</t>
  </si>
  <si>
    <t>ICYMI, reports: NYCHA to spends over $1M on Claremont Village upgrades https://t.co/u3SgVqh8cR</t>
  </si>
  <si>
    <t>RT @bomee: Do you know: @NYCHA's new exterior light designs are energy efficient and reduce light pollution while enhancing security. @IDAD…</t>
  </si>
  <si>
    <t>RT @SholaOlatoye: .@NYCHA @UnivSettlement Campos Plaza Art at work #nextgennycha #partnerships https://t.co/PlGWIVdTqA</t>
  </si>
  <si>
    <t>Have you seen NYCHA's Digital Van? It's at #WebsterHouses in the #BX, today until 4pm! Check out the full schedule: https://t.co/tn3iKHYmNP</t>
  </si>
  <si>
    <t>NYCHA Digital Van in Manhattan is offering free WiFi &amp;amp; computer access. Stop by East River Houses until 4pm https://t.co/MZHmTpDUll</t>
  </si>
  <si>
    <t>Need to connect to the web? Visit one of our Digital Vans today at 4-20 Astoria Blvd #Queens https://t.co/omRaQsIxIR</t>
  </si>
  <si>
    <t>Heat advisory still in effect today until 10pm. Here are some tips on how to #BeatTheHeat https://t.co/VL0nCpIeJ9 https://t.co/xRjBKwa894</t>
  </si>
  <si>
    <t>@MomGOTgame We're sorry to hear about this. Could you plz DM us your ticket numbers? We will follow up &amp;amp; investigate on your behalf. Thx</t>
  </si>
  <si>
    <t>RT @CitiBikeNYC: Over 500 stations in NYC and just $5/month for @NYCHA residents! https://t.co/N75ZgGsneQ #bikenyc https://t.co/7475b0BhUN</t>
  </si>
  <si>
    <t>@SnoopsMom104 Hi. So glad to hear you're interested! The info goes out mid-Sept. We'll be sure to promote on Twitter &amp;amp; Facebook around then.</t>
  </si>
  <si>
    <t>Get Wired!! Visit our Digital Van @ Morris - 3673 3rd Ave! #BX We're there until 4. Check out our full schedule: https://t.co/MZHmTpDUll</t>
  </si>
  <si>
    <t>Writing a resume on a phone is hard. Come to the Digital Van for help. At Ocean Hill today #BK https://t.co/MZHmTpDUll</t>
  </si>
  <si>
    <t>RT @NYC_Buildings: Close your other windows to help your A/C run as effeciently as possible. #BeatTheHeat https://t.co/kunCxa587D https://t…</t>
  </si>
  <si>
    <t>RT @JeanBWeinberg: Great start to the week @NYCHA 's Dyckman Houses. Fantastic team, beautiful grounds and lots of pride! #NextGenNYCHA htt…</t>
  </si>
  <si>
    <t>Getting an @IDNYC is easy! Go to #SedgwickHouses by 8/20. For more info: https://t.co/pGk7fplGgd https://t.co/IXMShslyKH</t>
  </si>
  <si>
    <t>Playing something more serious than #Pokemon? Talk to us, we can help. https://t.co/iMtKqlBJk6 #NYCYouthHealth https://t.co/l1jtIYlDKW</t>
  </si>
  <si>
    <t>RT @nycoem: Extreme heat expected in NYC into next week. Cooling centers are open through Monday. Visit https://t.co/1YlBqQIwK3 or @nyc311…</t>
  </si>
  <si>
    <t>RT @NWSNewYorkNY: Maximum heat index values expected today. High, but not as hot as past few days. https://t.co/JZ8vqwZkqm</t>
  </si>
  <si>
    <t>RT @nycHealthy: Happening today: Spraying to prevent mosquito-borne disease in areas of the #Bronx: https://t.co/SYZUrH0Nfe https://t.co/V8…</t>
  </si>
  <si>
    <t>RT @NYCYouth: #DYCD Commissioner Bill Chong visiting University Settlement center at Campos Plaza w/ @NYCHA https://t.co/llkahKeNp1</t>
  </si>
  <si>
    <t>RT @JeanBWeinberg: Kicking off Monday w/@JayDowTV @PIX11News intv w/ @NYCHA 's SholaOlatoye on our flex ops pilot w/Local 237 @ Dyckman htt…</t>
  </si>
  <si>
    <t>@Shirleygnyc Thanks we will report &amp;amp; do follow up</t>
  </si>
  <si>
    <t>RT @Chuletagirl: Visting University Settlement center at Campos Plaza @NYCHA @NYCYouth partnerships at work! https://t.co/q4jhPSuL2L</t>
  </si>
  <si>
    <t>@whispersotwind Could you plz send us your ticket numbers or contact info so we can look into this matter ASAP. Thanks</t>
  </si>
  <si>
    <t>@ConStar24 We're sorry to hear this. Unfortunately we are only authorized to handle social media. Correct contact: https://t.co/5o1nkUvugi</t>
  </si>
  <si>
    <t>@UndrcvrMother We're sorry to hear about this. Have you taken any additional measures such as calling the CCC? The number is 718-707-7771</t>
  </si>
  <si>
    <t>@ConStar24  The number for the CCC is 718-707-7771. You can also use MyNYCHA to report online https://t.co/qo8pzlkmz7</t>
  </si>
  <si>
    <t>@HautePartyCraft Visit our website for more information https://t.co/sv9Pp2GOGD</t>
  </si>
  <si>
    <t>@LCH0408 Thank you. We will report and do follow up</t>
  </si>
  <si>
    <t>@ConStar24 We're sorry to hear about this. Could you plz DM us your ticket numbers? We'll investigate &amp;amp; do follow up. Thx</t>
  </si>
  <si>
    <t>RT @ArtBridge: Final hours to enter to be paid to exhibit your artwork!  https://t.co/OBcglXz822 @MASNYC @NYCHA @courtinnovation  @PitkinAv…</t>
  </si>
  <si>
    <t>@Shirleygnyc We're sorry to hear about this. Could you plz DM us your ticket numbers? We'll investigate &amp;amp; do follow up. Thx</t>
  </si>
  <si>
    <t>RT @JeanBWeinberg: .@NYCHA Chair @SholaOlatoye catching up with @NYCHA 's Dyckman RA President https://t.co/L8MLEPYoyr https://t.co/WDppavk…</t>
  </si>
  <si>
    <t>@bizzyduvet We're sorry to hear about this. Could you plz DM us your ticket numbers? We'll investigate &amp;amp; do follow up. Thx</t>
  </si>
  <si>
    <t>RT @JeanBWeinberg: .@SholaOlatoye "I'm encouraged by the enthusiasm from employees about the new flexible schedule" @NYCHA w/@JayDowTV http…</t>
  </si>
  <si>
    <t>RT @JeanBWeinberg: .@NYCHA's @SholaOlatoye to @PIX11News "this is a turnaround effort" NextGenNYCHA https://t.co/omySkvbPfE</t>
  </si>
  <si>
    <t>`Know someone who needs digital access? Our Digital Van is at Melrose Houses until 4pm today! https://t.co/MZHmTpDUll</t>
  </si>
  <si>
    <t>Wired? Today, catch the Digital Van at Stuyvesant Gardens Senior Center. Get the complete schedule here https://t.co/MZHmTpDUll</t>
  </si>
  <si>
    <t>Everyone should have a free @IDNYC; Sign up today to get yours! #SedgewickHouses pop-up #BX https://t.co/pGk7fplGgd https://t.co/1b9OSDkNki</t>
  </si>
  <si>
    <t>EXTREME HEAT ADVISORY 4NYC thru 8/14 @ 10pm.  Keep cool &amp;amp; follow these health #safety tips: https://t.co/VL0nCpIeJ9 https://t.co/IqGkNWHgJh</t>
  </si>
  <si>
    <t>ICYMI, @News12BX reports: Volunteers help to clean, paint Clason Point Gardens in the #Bronx https://t.co/TvBq3TRwbl</t>
  </si>
  <si>
    <t>EXTREME HEAT ADVISORY thru Sun. @ 10pm: wear Lt weight, Lt-colored, loose clothing. More @ https://t.co/VL0nCpIeJ9 https://t.co/JYf7YedBVv</t>
  </si>
  <si>
    <t>#SedgwickHouses &amp;amp;  @Vanessalgibson host the 1st  @IDNYC pop-up! Sign up by 8/20 &amp;amp; get yours: https://t.co/pGk7fplGgd https://t.co/k0vGIXd9WH</t>
  </si>
  <si>
    <t>.@News12BX: Volunteers  help to clean, paint Clason Point Gardens in the #Bronx https://t.co/TvBq3TRwbl</t>
  </si>
  <si>
    <t>EXTREME HEAT ADVISORY! thru 8/14 @ 10pm. Check on friends &amp;amp; neighbors. More keep cool tips: https://t.co/VL0nCpIeJ9 https://t.co/60iY0vpsGJ</t>
  </si>
  <si>
    <t>RT @SholaOlatoye: .@NYCHA @HUDNY_NJ @RitchieTorres @Vanessalgibson @TishJames #nextgennycha @MMViverito https://t.co/nOfYTbOAGS</t>
  </si>
  <si>
    <t>EXTREME HEAT ADVISORY thru Sunday @ 10pm.  Stay cool &amp;amp; follow these health #safety tips: https://t.co/VL0nCpIeJ9 https://t.co/4zYWB3HHiN</t>
  </si>
  <si>
    <t>@Official_OneBK Untrue. @NYCHA apts are NOT being sold. There's a lot of misinfo out there, as @NYAmNews pointed out https://t.co/4u7b3JazWX</t>
  </si>
  <si>
    <t>RT @RitchieTorres: Great tour of BX @NYCHA housing preserved by public-private partnerships &amp;amp; #RAD. https://t.co/zkSfn1I0Ig</t>
  </si>
  <si>
    <t>RT @HUDNY_NJ: Visiting past @NYCHA buildings that have been renovated through public-private partnerships. #rad https://t.co/IuE3oKiGoA</t>
  </si>
  <si>
    <t>RT @Birdie_NYC: Catch us at the @NYCHA Family Day Carnival in Inwood tomorrow around 1:30! Pledge to #BYONYC and get a free reusable iced c…</t>
  </si>
  <si>
    <t>When you're worried that things just got real, we can help. Go to: https://t.co/qJ87eZRyGD #NYCYouthHealth https://t.co/Ib4AhCjc9X</t>
  </si>
  <si>
    <t>RT @Salamancajr80: TY @SholaOlatoye @NYCHA for tour of #BronxchesterRehab looking fwd to rehab of all #CD17 developments- Great Job! https:…</t>
  </si>
  <si>
    <t>RT @UNHP: Big Thank You to all who participated in this morning's @NYCHA tour at West Farms Square https://t.co/SIZo3t4dDf</t>
  </si>
  <si>
    <t>RT @Enterprise_NYC: Great discussing #PublicHousing preservation and public private partnerships today with @NYCHA @HUDNY_NJ https://t.co/f…</t>
  </si>
  <si>
    <t>RT @UNHP: Giving a @NYCHA @HUDgov tour at beautiful #WestFarmsSquare this morning! https://t.co/IzcHrnKKp4</t>
  </si>
  <si>
    <t>RT @JeanBWeinberg: Presser on heat precautions begins @nycoem w/@NYCHA 's General Manager @nycHealthy #BeatTheHeat https://t.co/JHc0hf1TUc</t>
  </si>
  <si>
    <t>WATCH LIVE: GM Michael Kelly joins Mayor @BilldeBlasio on extreme heat press conference: https://t.co/SPNYIqsPjt</t>
  </si>
  <si>
    <t>RT @CitiBikeNYC: There's no stopping our team! E 106 St &amp;amp; Madison Ave has been installed and is now ready for riders! #expansion https://t.…</t>
  </si>
  <si>
    <t>RT @NYCMayorsOffice: ☀️ Sun’s out and the heat index is way up! Stay safe today NYC. To find a cooling center call 311 or visit https://t.c…</t>
  </si>
  <si>
    <t>RT @ElizabethWisman: Checking out Wesr Farms on a tour of successful public private partnerships! @UNHP @NYCHA @Enterprise_NYC @HUDNY_NJ ht…</t>
  </si>
  <si>
    <t>Deadline is 8/14 for East #BKLYN artists! Submit works for #BrownsvilleMatters w/ @ArtBridge https://t.co/p7FGeBxZXi https://t.co/n9wfWWRmaQ</t>
  </si>
  <si>
    <t>RT @destiny_mata: Where I'm from #LES #WaldHouses #NYCHA @ Lillian Wald Housing Projects https://t.co/8g9mNz08tK</t>
  </si>
  <si>
    <t>Hey BK! NYCHA Digital Van is at Tomkins Houses until 4pm. Free WiFi &amp;amp; computer access https://t.co/MZHmTpDUll</t>
  </si>
  <si>
    <t>Need free computer access? Visit our NYCHA Digital Van! It will be Ocean Hill Parking Lot in #BK until 4pm: https://t.co/MZHmTpmiWL</t>
  </si>
  <si>
    <t>Hot weather #tip: Avoid strenuous activity, especially during the peak hours – 11 AM-4 PM. https://t.co/VL0nCpqDkz https://t.co/glooIy7f8w</t>
  </si>
  <si>
    <t>ICYMI, "I'm pleased to share this message highlighting some recent #NextGenNYCHA accomplishments."—GM Michael Kelly https://t.co/z0LOyznKfi</t>
  </si>
  <si>
    <t>Have you seen our hot weather safety tips? Protect yourself! https://t.co/VL0nCpIeJ9 https://t.co/JDQtm1qG4Y</t>
  </si>
  <si>
    <t>@TheRealTurbo Hi. We're sorry to hear about this. We've sent you a DM to see if we can resolve the issue. Thanks for reporting</t>
  </si>
  <si>
    <t>RT @NYPD122Pct: Summer fun @ South Beach Community Center! Ommunit Cen Er? We need some glue over here!!! @NYCHA https://t.co/pVeGC92YgB</t>
  </si>
  <si>
    <t>RT @Vanessalgibson: Proud to honor brave men &amp;amp; women for helping fire victims in #Claremont Thank You @ConEdison @NYCHA @JoinJoyner https:/…</t>
  </si>
  <si>
    <t>RT @NYCDHS: DYK? Since July 2014, @NYCHA has helped 12,562 New Yorkers in 3,635 households find a permanent home.</t>
  </si>
  <si>
    <t>RT @SalvadoriCenter: Tomorrow's the last day to apply for free #STEM programs in Staten Island! @NYCHA https://t.co/ahseFZ3jM4 https://t.co…</t>
  </si>
  <si>
    <t>RT @GreenCityForce: Read transcript of @NYCHA Chair Shola Olatoye's full address to our Cohort 11 graduating Corps Members last month: http…</t>
  </si>
  <si>
    <t>RT @GreenCityForce: "The key to our continued success is partnership." - @NYCHA Chair Olatoye @ GCF's Cohort 11 graduation ceremony https:/…</t>
  </si>
  <si>
    <t>RT @ArtBridge: There's still time to submit to #BrownsvilleMatters: https://t.co/PecIJU55dL #callforart #EastBrooklyn @NYCHA @bvillepartner…</t>
  </si>
  <si>
    <t>Here's a brief Summer Message from General Manager Michael Kelly on some recent #NextGenNYCHA accomplishments. https://t.co/z0LOyznKfi</t>
  </si>
  <si>
    <t>#ThrowbackThursday from September 1953! Young @NYCHA residents from #PomonokHouses #Queens #NYC #Diversity #TBT https://t.co/jX2Brc6nez</t>
  </si>
  <si>
    <t>RT @Costa4NY: W @NYCHA Chair @SholaOlatoye discussing Astoria Houses facilities &amp;amp; how NYCHA is lowering carbon emissions citywide https://t…</t>
  </si>
  <si>
    <t>Come to the Digital Van at Lexington/Washington houses on 3rd Ave today 10a-4p. Free WiFi and Internet in #Harlem https://t.co/MZHmTpDUll</t>
  </si>
  <si>
    <t>NYCHA Digital Vans offer free computer access + WiFi at Edenwald Houses #BX today https://t.co/MZHmTpmiWL</t>
  </si>
  <si>
    <t>Stay #safe in extreme heat→avoid overexertion, rest frequently &amp;amp; drink plenty of water tips: https://t.co/VL0nCpIeJ9 https://t.co/zqdjn3hpCz</t>
  </si>
  <si>
    <t>ICYMI,  Here's a Summer Message fromGeneral Manager Michael Kelly on some recent #NextGenNYCHA accomplishments. https://t.co/z0LOyznKfi</t>
  </si>
  <si>
    <t>"I'm pleased to share this video message highlighting some recent #NextGenNYCHA accomplishments."—GM Michael Kelly https://t.co/z0LOyznKfi</t>
  </si>
  <si>
    <t>RT @SholaOlatoye: @NYCHA #seniors #nextgennycha @Costa4NY -thanks 4 partnership! https://t.co/vd7NKj39HD</t>
  </si>
  <si>
    <t>RT @ShareForLifeNYC: Today, S4L hosted a #Health fair with the Adams Houses in the #Bronx! What an amazing event; fun and educational! http…</t>
  </si>
  <si>
    <t>ICYMI, Gerald Nelson, @NYCHA VP for Public Safety, talks the new safety lights at Stapleton Houses #OnStatenIsland https://t.co/KZn9odRVcA</t>
  </si>
  <si>
    <t>Fans work best at night, when they can bring in cooler air from outside. Get more tips here: https://t.co/VL0nCpIeJ9 https://t.co/ijaEKWXhT7</t>
  </si>
  <si>
    <t>RT @NYPDnews: See how @NYPDHousing cops spent the day with kids in Coney Island https://t.co/r1Ld47A6fd https://t.co/rDTHaRIRZf</t>
  </si>
  <si>
    <t>#Exhibit w/@ArtBridge  @MASNYC @courtinnovation For East #BKLYN artists! Submit by: 8/14 https://t.co/p7FGeBxZXi https://t.co/T0Gu92fqRk</t>
  </si>
  <si>
    <t>New @IDNYC pop-up @ #SedgwickHouses in the #BX thru 8/20. W/ @NYPD46Pct &amp;amp; @NYCImmigrants https://t.co/pGk7fplGgd https://t.co/rJAv0ooRqI</t>
  </si>
  <si>
    <t>Free after-school #STEM programs in #SI thx to @SalvadoriCenter &amp;amp; partners! Deadline is 8/12 https://t.co/IofjfquB5y https://t.co/Vi25chQbTC</t>
  </si>
  <si>
    <t>Have you seen our Digital Van? It's at Patterson Houses, today until 4! Check out the full schedule: https://t.co/MZHmTpDUll</t>
  </si>
  <si>
    <t>Need to use a PC? Come visit our Digital Van today at 572 Warren St b/t 3rd/4th aves. #BK https://t.co/MZHmTpDUll</t>
  </si>
  <si>
    <t>Intense summer heat can cause serious health conditions. For hot weather safety tips, visit: https://t.co/VL0nCpIeJ9 https://t.co/xp08TPqw1G</t>
  </si>
  <si>
    <t>RT @forFamilyHealth: Day 3 of #NHCW16: Meet Kadian of our health center in #NYC that's inside of a @NYCHA development #CHCsInnovate https:/…</t>
  </si>
  <si>
    <t>ICYMI, @News12BX reports: NYCHA launches new pop-up ID card center in the Bronx https://t.co/Fjq3HxCjCg</t>
  </si>
  <si>
    <t>.@News12BK reports: Gas service Restoration Expedited at Cypress Hills Houses. Watch via @YouTube https://t.co/ecZWCU65eW</t>
  </si>
  <si>
    <t>RT @nycgob: Obra iniciada es parte del mayor subsidio de @FEMA en historia de EE UU. https://t.co/UyvokxtF37 https://t.co/1KvEa15qcZ @NYCHA…</t>
  </si>
  <si>
    <t>RT @MarkTreyger718: Loved working the grill at Marlboro Houses Family Day with colleagues and dear friends! Thx @NYCHA @NYPDPSA1 https://t.…</t>
  </si>
  <si>
    <t>RT @MMViverito: A farm grows in #WagnerHouses @NYCHA. Need more of these. #urbanfarm @greenthumbgrows @NYCParks @ESYNYC @NYRP https://t.co/…</t>
  </si>
  <si>
    <t>RT @theNYHC: NEW! Policy Symposium: Affordable Housing Strategies to Preserve Public Housing- 9/22 https://t.co/SRehgw61RO @NYCHA https://t…</t>
  </si>
  <si>
    <t>Internet access is GOOD! Get digital today 10a-4p @ Forest Houses, #BX. Our Digital Van schedule: https://t.co/MZHmTpDUll</t>
  </si>
  <si>
    <t>Writing a resume on a phone is hard. The Digital Van can help. At Kings Tower today until 4pm https://t.co/MZHmTpDUll</t>
  </si>
  <si>
    <t>.@BilldeBlasio: "Ext. lighting: a tool to decrease violence &amp;amp; illegal activity in @NYCHA." https://t.co/vwRdLPmrlh https://t.co/Z7Ol4Dn6eW</t>
  </si>
  <si>
    <t>@King_Wendyyy Here's the number for NYCHA Human Resources: (212) 306-8000</t>
  </si>
  <si>
    <t>Did sexting go too far? We got your back. For confidential help, go to: https://t.co/qJ87eZRyGD. #NYCYouthHealth https://t.co/uhD55uatOa</t>
  </si>
  <si>
    <t>All East #BKLYN artists: Exhibit w/@ArtBridge @MASNYC @courtinnovation Submit works by 8/14  https://t.co/p7FGeBxZXi https://t.co/8M8MDsPiYk</t>
  </si>
  <si>
    <t>.@SalvadoriCenter &amp;amp; partners offer free after-school #STEM programs in #SI. Apply by 8/12! https://t.co/IofjfquB5y https://t.co/I6DQTXreOd</t>
  </si>
  <si>
    <t>RT @rasmiakf: Great to talk innovation and cities! @Fund4PH @NYCHA #publichousingISinnovation https://t.co/hMhm4xuo2E</t>
  </si>
  <si>
    <t>Exterior lighting + @BilldeBlasio + MAP + @CrimJusticeNYC = A safer #StapletonHouses ! https://t.co/vwRdLPmrlh https://t.co/DdKQYeIEdO</t>
  </si>
  <si>
    <t>Someone need digital access? Well the Digital Van is at Mitchel Houses! #Bx https://t.co/MZHmTpDUll</t>
  </si>
  <si>
    <t>Catch up with NYCHA's digital van at 625 Castle Hill Ave until 4pm! # BX See the full schedule: https://t.co/MZHmTpDUll</t>
  </si>
  <si>
    <t>ICYMI, @News12BX reports: NYCHA to spends over $1M on Claremont Village upgrades https://t.co/u3SgVqh8cR</t>
  </si>
  <si>
    <t>Bravo Roberto Rodriguez! John DeCarlo Memorial Award Winner; he is #NextGenNYCHA #IamNextGen https://t.co/dgz6hzCXgB https://t.co/xa53IS4NmE</t>
  </si>
  <si>
    <t>RT @rasmiakf: Super excited to be speaking on Future of Cities panel about @Fund4PH and @NYCHA on Sunday at #worldsfairnano !</t>
  </si>
  <si>
    <t>RT @SenatorPersaud: @NYCHA #BreukelenHousesFamilyDay @NYPDPSA2 #PictureSaysItAll https://t.co/5lPbc5SF9P</t>
  </si>
  <si>
    <t>Cm @Vanessalgibsonsays, “Get your #free @IDNYC @ #SedgwickHouses #BX thru 8/20.” https://t.co/Fjq3HxCjCg https://t.co/9tbl8J4zrV</t>
  </si>
  <si>
    <t>ICYMI, @fox5ny reports: NYCHA Installs New LED lights at Boulevard Houses in Brooklyn https://t.co/Op3K4nlDwt</t>
  </si>
  <si>
    <t>RT @KatieCNews12: Gas service restored sooner than planned at @nycha Cypress Hills Houses #brooklyn #news12bk @… https://t.co/obwCDzZWjs</t>
  </si>
  <si>
    <t>@BilldeBlasio’s MAP– $140 million plan to improve safety: 358 lights installed @ #Stapleton. https://t.co/QqmgTEQEsz https://t.co/elZoX1Ycb0</t>
  </si>
  <si>
    <t>RT @GreenCityForce: Great article on urban ag/jobs feat. @BKROT &amp;amp; Sandy Nurse, who is helping our corps build the new @NYCHA Farms! https:/…</t>
  </si>
  <si>
    <t>RT @SummerStreets: Run with Team @Citi &amp;amp; the @Mets at #CitiSummerStreets’ #AstorRestStop during week #1 &amp;amp; meet an @Olympics athlete! https:…</t>
  </si>
  <si>
    <t>Deadline extended w/@ArtBridge East #BKLYN artists: submit work by 8/14! #BrownsvilleMatters https://t.co/iKR8KOIXxh https://t.co/wqsDmAFVUC</t>
  </si>
  <si>
    <t>Meet Roberto Rodriguez: he works hard to ensure #NextGenNYCHA works for you! #IamNextGen https://t.co/dgz6hzCXgB https://t.co/iGEsCF5FZi</t>
  </si>
  <si>
    <t>Watch @News12BK at 3:30pm: Thinking outside the box for our emergency response to gas outages at Cypress Hills #BK https://t.co/cK8U84oaKP</t>
  </si>
  <si>
    <t>Installed yesterday: MAP's 358 exterior lights @ #StapletonHouses; Advancing public safety! https://t.co/vwRdLPmrlh https://t.co/FcQhRgmTDY</t>
  </si>
  <si>
    <t>RT @JeanBWeinberg: "This is the best change I have seen during all the years I have been living here" @NYCHA: https://t.co/LPvy2X3UbB #Next…</t>
  </si>
  <si>
    <t>Stop by Bushwick Houses in the #BK for free WiFi &amp;amp; computer access until 4pm today: https://t.co/MZHmTpDUll</t>
  </si>
  <si>
    <t>Internet access is GOOD, Kingsborough! Visit the Digital Van on 3rd Walk btw 1880 Pacific/Bergen St. #BK https://t.co/MZHmTpDUll</t>
  </si>
  <si>
    <t>Get your free @IDNYC now thru 8/20 @ #SedgwickHouses in the #BX! Make an appt. today: https://t.co/Qe9N9VaEeX https://t.co/5RsobxtMnC</t>
  </si>
  <si>
    <t>RT @nycHealthy: Select NYC farmers' markets offer free, bilingual nutrition education and cooking demos. https://t.co/KmyOUKZqFB https://t.…</t>
  </si>
  <si>
    <t>El @IDNYC centro temporal en Sedgwick Houses estará abierto desde 2-30 de agosto, de martes a sábado. https://t.co/Vju3czmm2l</t>
  </si>
  <si>
    <t>@BilldeBlasio's Mayor’s Action Plan MAP delivers: 358 new safety lights #SI #StapletonHouses https://t.co/vwRdLPmrlh https://t.co/rSuN9GE0JI</t>
  </si>
  <si>
    <t>Apply by 8/12! @SalvadoriCenter &amp;amp; partners bring free after-school #STEM programs to #SI. https://t.co/cjOZgHuvdZ https://t.co/kb4ILjS5wz</t>
  </si>
  <si>
    <t>Thx to #JohnsonHouses caretaker, Roberto Rodriguez! He truly is #NextGenNYCHA #IamNextGen https://t.co/dgz6hzCXgB https://t.co/NqGdtMP6Bm</t>
  </si>
  <si>
    <t>RT @Khanambano: @NYCHA  @smithhouses Today is the day! Construction job opportunities info sesh happening in YOUR development @ 6pm! https:…</t>
  </si>
  <si>
    <t>Hey guys! This week’s #TBT; is from 1970!
NYCHA residents learn how to slam dunk, July 1970 #NYCHASummerCamp #NYC. https://t.co/0HzhyKqRaJ</t>
  </si>
  <si>
    <t>Get your free @IDNYC now thru 8/20 @ #SedgwickHouses in the #BX! Make an appt. today: https://t.co/Qe9N9VaEeX https://t.co/4DAbnBRvbN</t>
  </si>
  <si>
    <t>RT @JeanBWeinberg: ICYMI: @eldiariony on @NYCHA 's new partnership w/@IDNYC @NYCImmigrants @nishasagarwal: https://t.co/KuUqHLCDYw</t>
  </si>
  <si>
    <t>And we're back! Digital Van @ Washington Houses in #MNH until 4pm. See our Digital Van schedule: https://t.co/L5q59cANhk</t>
  </si>
  <si>
    <t>Hey Queens! Visit our Digital Van in Queens: 4-20 Astoria Blvd. Here's our complete schedule: https://t.co/y7L2DQSJP1</t>
  </si>
  <si>
    <t>RT @BklynEagle: .@NYCHA  breaks ground on $41M @fema  Sandy recovery project in #ConeyIsland https://t.co/M0qj5Sdyfp https://t.co/MLhKCj7Pcz</t>
  </si>
  <si>
    <t>#NYCHApreneur Lance Brown just shared how he made his #FoodBizDream came true and his support for #NextGenNYCHA! https://t.co/Rt7DpNQABP</t>
  </si>
  <si>
    <t>Loved hearing from #NYCHApreneur Niani Taylor who made her #FoodBizDream come true with Munch Hours! https://t.co/eSKEAypCue</t>
  </si>
  <si>
    <t>RT @BklynEagle: .@NYCHA  breaks ground on $41M @fema  Sandy recovery project in #ConeyIsland https://t.co/M0qj5Sdyfp https://t.co/6wrRRn6fEf</t>
  </si>
  <si>
    <t>Learn more about Darold Burgess, VP of the Ingersoll Tenant Association! #IamNextGen https://t.co/MRjIXXuEXQ</t>
  </si>
  <si>
    <t>@DGraham421 If you suspect corruption, please contact our Inspector General: https://t.co/RlxMs1gqZm</t>
  </si>
  <si>
    <t>Annual Plan Public Hearing is happening right now. Watch livestream video and submit comments at: https://t.co/AWObc4cwwM</t>
  </si>
  <si>
    <t>Did you miss Chair @SholaOlatoye's #NextGenNYCHA update? Rewind/playback video, download presentation at https://t.co/AWObc4cwwM</t>
  </si>
  <si>
    <t>LIVE VIDEO: Watch via @YouTube at https://t.co/AWObc4cwwM https://t.co/Xx4VppMHu6</t>
  </si>
  <si>
    <t>Running public housing does not end at 4:30pm. Learn more about the #FlexOps pilot w/ @Teamsters Local 237 https://t.co/I82JKI8PGn</t>
  </si>
  <si>
    <t>Dr. Kim, an optometrist, is a retail tenant who provides important svc to our #Williamsburg community. https://t.co/yphw3122C9 #NextGenNYCHA</t>
  </si>
  <si>
    <t>#4. ENGAGE: Connect residents to best-in-class social services #NextGenNYCHA https://t.co/AWObc4cwwM</t>
  </si>
  <si>
    <t>#3. (Re)BUILD: Rebuild, expand, &amp;amp; preserve public and affordable housing stock #NextGenNYCHA</t>
  </si>
  <si>
    <t>#2. OPERATE: Operate as an efficient &amp;amp; effective landlord #NextGenNYCHA https://t.co/AWObc4cwwM</t>
  </si>
  <si>
    <t>#1. FUND: Achieve short-term financial stability &amp;amp; diversify funding for the long-term #NextGenNYCHA https://t.co/AWObc4cwwM</t>
  </si>
  <si>
    <t>Here are our #NextGenNYCHA goals for improving pubic housing.</t>
  </si>
  <si>
    <t>We're also one of the largest employers in #NYC with 25% of our employees living in public housing https://t.co/AWObc4cwwM</t>
  </si>
  <si>
    <t>The goal of #NextGenNYCHA is to improve the quality of life for the 600K+ residents that call NYCHA home https://t.co/AWObc4cwwM</t>
  </si>
  <si>
    <t>#NextGenNYCHA is a comprehensive plan that changes how NYCHA is funded, operates, rebuilds, &amp;amp; engages w/ residents. https://t.co/AWObc4cwwM</t>
  </si>
  <si>
    <t>Chair @SholaOlatoye is about to present an update on #NextGenNYCHA. Watch live: https://t.co/AWObc4cwwM</t>
  </si>
  <si>
    <t>Read our draft FY17 Annual Plan online at https://t.co/AWObc4cwwM</t>
  </si>
  <si>
    <t>LIVE VIDEO: We're starting our Annual Plan Public Hearing right now. https://t.co/AWObc4cwwM</t>
  </si>
  <si>
    <t>RT @NYClimate: Groundbreaking #resiliency work in Coney Island by @NYCHA  with @AMPamelaHarris  @SholaOlatoye  @MarkTreyger718 https://t.co…</t>
  </si>
  <si>
    <t>@NYCImmigrants @NYPD46Pct  @Vanessalgibson bring free @IDNYC  pop-up to @NYCHA thru 8/20! https://t.co/pGk7fplGgd https://t.co/TOSjTOkPkh</t>
  </si>
  <si>
    <t>East #BKLYN artists: Show works in #exhibit w/@ArtBridge @MASNYC @courtinnovation by 8/14 https://t.co/p7FGeBxZXi https://t.co/zONUWYqpL9</t>
  </si>
  <si>
    <t>Awareness. Help. Hope. #domesticviolence #EndDV #UpStander https://t.co/deTsEXlAQW</t>
  </si>
  <si>
    <t>@georgeweld That's terrible to hear. If you have a photo, license plate, or other info to ID the vehicle, please PM us. Thank you.</t>
  </si>
  <si>
    <t>Thx Roberto Rodriguez for being #NextGenNYCHA Congrats on the John DeCarlo Award #IamNextGen https://t.co/dgz6hzCXgB https://t.co/26B9Co7af0</t>
  </si>
  <si>
    <t>RT @MikeRosen1975: I am so excited to see this!! Love Coney Island residents!! #gonebutstillcare https://t.co/tPxVxg7Xje</t>
  </si>
  <si>
    <t>RT @Khanambano: @NYCHA breaking ground on Sandy Recovery/ Resiliency project in #ConeyIsland 4+5 aka the Pink Building #NYCHAstrong https:/…</t>
  </si>
  <si>
    <t>RT @Khanambano: Shovels in the ground. 2nd @NYCHA Recovery/Resiliency Work begins in #ConeyIsland 4+5 #NYCHAstrong @SholaOlatoye 🛠🔩💡 https:…</t>
  </si>
  <si>
    <t>.@AMPamelaHarris "I grew up in @NYCHA &amp;amp; my roots are here. Residents need these repairs." #NYCHAStrong https://t.co/Utv1Peef3J</t>
  </si>
  <si>
    <t>You can track these projects with our Interactive #Sandy Recovery Tracker Map #NYCHAstrong https://t.co/FSWCc0gPz2 https://t.co/qTNluI3CbI</t>
  </si>
  <si>
    <t>#Sandy Recovery means building a better #NYCHA. Learn more about our progress https://t.co/FSWCc0gPz2 #NYCHAstrong https://t.co/s4Nx2hzUtC</t>
  </si>
  <si>
    <t>Resident leaders &amp;amp; residents couldn't be happier about this #Sandy recovery work. #NYCHAStrong https://t.co/vj1rLMogha</t>
  </si>
  <si>
    <t>DYK, @NYCHA Residents get priority for #Sandy recovery jobs. Together we are #NYCHAStrong https://t.co/FSWCbZZeas https://t.co/NTrbB7NKJx</t>
  </si>
  <si>
    <t>New roofs + boilers, security+lighting upgrades &amp;amp; more coming to #ConeyIsland! #nychastrong  https://t.co/6LOemRyR8F https://t.co/QeXAy9OjNn</t>
  </si>
  <si>
    <t>We're building back #ConeyIsland stronger, safer, &amp;amp; more resilient. #NYCHAStrong Learn more about our progress https://t.co/FSWCbZZeas</t>
  </si>
  <si>
    <t>Thanks @MarkTreyger718 + @SenSchumer @BPEricAdams @RitchieTorres for your continued support. We are #NYCHAStrong https://t.co/yY4eZOXQeQ</t>
  </si>
  <si>
    <t>200 of our 328 developments are &amp;lt;1 mi from the coast. This major project is 1 of many projects to come #NYCHAstrong https://t.co/eCtgPoBcuJ</t>
  </si>
  <si>
    <t>RT @BPEricAdams: Thanks to @FEMA’s grant, new @NYCHA improvements aimed at #resiliency will help preserve #ConeyIsland's #publichousing wel…</t>
  </si>
  <si>
    <t>The groundbreaking is part of @FEMA's 3 bil. grant, the largest in US history. #NYCHAstrong https://t.co/6LOemRyR8F https://t.co/papfO759bL</t>
  </si>
  <si>
    <t>Today @NYCHA breaks ground on 41 mil. #Sandy Recovery project in #ConeyIsland #NYCHAStrong https://t.co/6LOemRyR8F https://t.co/urUYCouu0z</t>
  </si>
  <si>
    <t>#TriviaTuesday: Raised in @NYCHA, competing in #Rio w/@TeamUSA ? Answer: @nyknicks' @carmeloanthony #RedHookHouses https://t.co/q22T0nq2wc</t>
  </si>
  <si>
    <t>Come to the NYCHA Digital Van - offering free computer access &amp;amp; WiFi. East River Houses until 4pm https://t.co/MZHmTpDUll</t>
  </si>
  <si>
    <t>Want to connect to the web? Visit our Digital Van today at 4-20 Astoria Blvd #Queens https://t.co/MZHmTpDUll</t>
  </si>
  <si>
    <t>Breaking ground this AM in #ConeyIsland #BK! #NYCHAStrong @SenSchumer @BPEricAdams @MarkTreyger718 @RitchieTorres https://t.co/0ssVDkQjCx</t>
  </si>
  <si>
    <t>RT @NYPDPSA8: A bird's-eye view, of our diverse community enjoying a safe #NationalNightOut of fun. @NYCHA   @JeffKleinNY https://t.co/C3jy…</t>
  </si>
  <si>
    <t>RT @Vanessalgibson: Thanks Madame Chair @SholaOlatoye @NYCHA for your partnership @IDNYC pop-up enrollment site to Sedgwick  Houses! https:…</t>
  </si>
  <si>
    <t>RT @JeanBWeinberg: .@SholaOlatoye kicking off Nat'l Night Out @NYCHA 's Ingersoll Houses https://t.co/C63Q8sKOEB</t>
  </si>
  <si>
    <t>RT @galeabrewer: Now at @NYPDPSA6 #NationalNightOut! Great to see @nycha tenant leaders, staff, kids, and officers all having fun. https://…</t>
  </si>
  <si>
    <t>RT @JeanBWeinberg: .@SholaOlatoye National Night Out Against Crime 1st stop @NYCHA 's Ingersoll Houses https://t.co/JOrfJJylqC</t>
  </si>
  <si>
    <t>RT @NYCImmigrants: "This is the sort of access we envisioned with @IDNYC." @NYCImmigrants at Sedgwick Houses. With @NYCHA. https://t.co/K1g…</t>
  </si>
  <si>
    <t>RT @CitiBikeNYC: We're hiring! Come to @BSRC tmrw from 10-2 &amp;amp; become a #CitiBike Community Champion. All @NYCHA residents can apply! https:…</t>
  </si>
  <si>
    <t>RT @SholaOlatoye: .@NYCHA @NYCMayorsOffice #NationalNightOut #nextgennycha#manhattanville https://t.co/pn2UxnP66A</t>
  </si>
  <si>
    <t>RT @JeanBWeinberg: .@SholaOlatoye catching up w/residents @NYCHA 's Manhattanville #NationalNightOut #nextgennycha https://t.co/x4N7M0IY4U</t>
  </si>
  <si>
    <t>RT @NYCHA_Arts: National Night Out @NYCHA Ingersoll Houses with @NYPDPSA3 #nychaatwork #ce_pro_photos #NNO2016 https://t.co/jpm91NORPC</t>
  </si>
  <si>
    <t>.@SholaOlatoye "download our free app" @NYCHA #MyNYCHA app. Learn more: https://t.co/Jp6SqbMZp2</t>
  </si>
  <si>
    <t>Get an @IDNYC @ #SedgwickHouses' in the #BX! W/@Vanessalgibson @NYCImmigrants @NYPD46Pct https://t.co/pGk7fplGgd https://t.co/pKfxOrQHgq</t>
  </si>
  <si>
    <t>Great #Sandy Recovery event at #ConeyIsland @NYCWorkforce1 yesterday. Special thx to @MarkTreyger718 #NYCHAstrong https://t.co/zmUobscrtd</t>
  </si>
  <si>
    <t>RT @nycgob: .@SalvadoriCenter y asociados traen programas extracurriculares gratis de #STEM a #StatenIsland. Inscripción: https://t.co/kSGw…</t>
  </si>
  <si>
    <t>RT @CitiBikeNYC: Breaking News! We've installed a brand new station today on the Upper East Side at E 89 St &amp;amp; 3 Ave! #expansion https://t.c…</t>
  </si>
  <si>
    <t>RT @CitiBikeNYC: .@NYCHA Residents help us spread the word about the $5/m membership &amp;amp; get rewards! Be a #CitiBike Community Champion https…</t>
  </si>
  <si>
    <t>Roberto Rodriguez is #NextGenNYCHA! We commend him for always helping residents! #IamNextGen https://t.co/dgz6hzCXgB https://t.co/remQqPBaYh</t>
  </si>
  <si>
    <t>RT @NYPDnews: "I would like to introduce you to the next police commissioner of the NYPD, James O'Neill."- @BilldeBlasio https://t.co/yj3LY…</t>
  </si>
  <si>
    <t>RT @JohnBDias: @NYCHA launches new pop-up @IDNYC card center in the #Bronx. 1st of 26 that will open across #NYC https://t.co/n2ytEngUpb</t>
  </si>
  <si>
    <t>RT @SholaOlatoye: .@NYCHA super fun event! #connected #nextgennycha https://t.co/65D7yO5p10</t>
  </si>
  <si>
    <t>RT @JeanBWeinberg: This is what partnership looks like @SholaOlatoye @Vanessalgibson @NYCHA @IDNYC @NYCImmigrants #NextGenNYCHA https://t.c…</t>
  </si>
  <si>
    <t>RT @NYPDnews: Tonight is #NNO2016, come meet your NYPD. Follow local precinct Twitter accounts for more: https://t.co/eCrICA2dyq https://t.…</t>
  </si>
  <si>
    <t>The 2016 Summer @Olympics, begin on 8/5 in #Rio. Can you guess the former @NYCHA  resident competing for @TeamUSA? https://t.co/UjQx0QAMqZ</t>
  </si>
  <si>
    <t>Wired?! Visit our Digital Van @ Morris - 3673 3rd Ave! #BX We're there until 4. Check out our full schedule: https://t.co/MZHmTpDUll</t>
  </si>
  <si>
    <t>Writing your resume on a phone is hard. The Digital Van can help. At Ocean Hill today #BK https://t.co/MZHmTpDUll</t>
  </si>
  <si>
    <t>@toonstosave We're sorry to hear about this. Please call our Customer Contact Center at 718-707-7771 for additional assistance..</t>
  </si>
  <si>
    <t>RT @MurphyInstitute: Enterprise Community Partners Seeks Public Housing Fellow (NYC) https://t.co/qFnZFcHRwK</t>
  </si>
  <si>
    <t>RT @GreenCityForce: We're at work all around the city to build safer @NYCHA communities. More on our work at @CrimJusticeNYC MAP sites: htt…</t>
  </si>
  <si>
    <t>On Aug. 3 present your ideas on @NYCHA’s FY 2017 plan draft @BMCC during the public hearing! https://t.co/AWObc4cwwM https://t.co/dsbU0pY3gt</t>
  </si>
  <si>
    <t>.@SalvadoriCenter &amp;amp; partners bring free after-school #STEM programs to #SI. Apply by 8/12! https://t.co/IofjfquB5y https://t.co/bUmZuSq3ZB</t>
  </si>
  <si>
    <t>RT @NYC_DOT: .@CitiBikeNYC is hiring! Learn more at @BSRC event on 8/3. https://t.co/AcZ6UZwYo8  @NYCHA https://t.co/OIjCDmUI4R</t>
  </si>
  <si>
    <t>RT @nycoem: Historically, the greatest potential for hurricanes in NYC occurs from August through October. Do you #knowyourzone? https://t.…</t>
  </si>
  <si>
    <t>Stop by Melrose Houses in the #BX for free WiFi &amp;amp; computer access until 4pm today: https://t.co/MZHmTpDUll</t>
  </si>
  <si>
    <t>Internet access is GOOD, #Brooklyn! The Digital Van's @ Stuyvesant Houses today https://t.co/MZHmTpDUll</t>
  </si>
  <si>
    <t>ICYMI, looking for affordable housing? @NYCHA residents get priority for this lottery https://t.co/pw7R5Nku9H https://t.co/MumCcIYCmn</t>
  </si>
  <si>
    <t>Share your opinion on @NYCHA’s FY 2017 plan draft at August 3rd’s public hearing @BMCC! https://t.co/AWObc4cwwM https://t.co/17F7BFHZpp</t>
  </si>
  <si>
    <t>El #HighBridge conecta y fortaleza a #El Bronx y el Alto Manhattan: https://t.co/qfC8UBnUjo @NYCHA #parkequity https://t.co/5NNFdMJktT</t>
  </si>
  <si>
    <t>RT @ArtBridge: Who's prepping artwork 4 #BrownsvilleMatters? Submit now: https://t.co/zN5RGVLvIg @NYCHA @bvillepartner @MGBPOPS @teblnyc @r…</t>
  </si>
  <si>
    <t>RT @nycgob: Los residentes de @NYCHA tienen prioridad para solicitar en esta lotería de @NYCHousing: https://t.co/8HltulBK3E https://t.co/M…</t>
  </si>
  <si>
    <t>The @NYPDnews and body-worn cameras? Make your opinion count: Give feedback at https://t.co/pex2BYwGEW by 7/31 https://t.co/QbZ1oKiakT</t>
  </si>
  <si>
    <t>@chikascience We're very sorry to hear this. Thank you for sharing your ticket numbers with us. We'll report the issues and follow up.</t>
  </si>
  <si>
    <t>ICYMI, .@NY1 's @courtneycgross on @NYCHA @SholaOlatoye Mayor @BilldeBlasio resident forum in #Brooklyn: https://t.co/RzbaXt7Zrj</t>
  </si>
  <si>
    <t>Looking for affordable housing? @NYCHA residents get priority for this @NYCHousing lottery https://t.co/pw7R5Nku9H https://t.co/sVfXjnpb8w</t>
  </si>
  <si>
    <t>RT @designtrustnyc: DEADLINE EXTENDED: You now have until Monday 8/8 to apply to be a Fellow with our Opening the Edge Project w/ @NYCHA ht…</t>
  </si>
  <si>
    <t>RT @OnPointSecNYC: Mark your calendars! Sun, Aug 7 is @QueensBookFest. #astoria #AQ #LIC @NYCHA residents don't miss out! #QBF https://t.co…</t>
  </si>
  <si>
    <t>RT @rasmiakf: @GreenCityForce Energy Corps graduate And @Fund4PH Advisory Council member, Kamarky! #sethlow @NYCHA https://t.co/fz9a7gyKUv</t>
  </si>
  <si>
    <t>RT @justfood: #Flushing's Pomonok Community Farmers Market is open! Weds thru Nov 16th. @QCHnyc @NYCHA #Queens #farmersmarket https://t.co/…</t>
  </si>
  <si>
    <t>RT @Khanambano: #ConeyIsland - 8/1 &amp;amp; 8/11 @NYCHA Sandy Recovery will hold Career info sessions in YOUR neighborhood. Come Thru! https://t.c…</t>
  </si>
  <si>
    <t>RT @GrowNYC: Three Cheers for the Graduates of @GreenCityForce - for working with us to make @NYCHA a greener place to live. https://t.co/e…</t>
  </si>
  <si>
    <t>RT @SholaOlatoye: .@NYCHA @GreenCityForce #letsgettowork #nextgennycha#lovewhereyoulive https://t.co/Tz93JQdRDO</t>
  </si>
  <si>
    <t>@GiaHasAnAfro Hi. We're sorry to hear about this. Have you taken any additional measures such as calling the CCC? The number is 718-707-7771</t>
  </si>
  <si>
    <t>RT @AmandaFariasNYC: Happy Friday! Check out #SYEP young Bronxites beautifying Castle Hill Houses @NYCHA Development! #BrighterBronx https:…</t>
  </si>
  <si>
    <t>Hey Qn! Visit our Digital Van in Queens: Ravenswood Houses. Here's our complete schedule: https://t.co/MZHmTpmiWL</t>
  </si>
  <si>
    <t>BX: Need internet? Visit one of our digital vans at Patterson Houses #BX from 10am-4pm today. For more info go to: https://t.co/dmzu8kwsHe</t>
  </si>
  <si>
    <t>ICYMI, super proud of our partnership w/ @pluspoolny! See more https://t.co/Ey1bGMFILp https://t.co/EfdXkENtsu</t>
  </si>
  <si>
    <t>https://t.co/Jp6Sqbvo0s https://t.co/DMwzWzyTfY</t>
  </si>
  <si>
    <t>"#MyNYCHA app allows residents to create, manage, and track work orders-- it's fast and easy to use."- @SholaOlatoye</t>
  </si>
  <si>
    <t>Exposure to summer heat can cause serious health conditions. For more hot weather tips: https://t.co/VL0nCpIeJ9 https://t.co/PfB5IjzHKT</t>
  </si>
  <si>
    <t>RT @JeanBWeinberg: A little slice of heaven @NYCHA 's Wilson Houses. Lots of TLC from residents! https://t.co/kn6Fjfze8O</t>
  </si>
  <si>
    <t>RT @JeanBWeinberg: Good morning @NYCHA - view courtesy of Gaylord White House in East Harlem https://t.co/PnVl81eFeW</t>
  </si>
  <si>
    <t>Come to the hearing on August 3rd @BMCC to talk about the FY 2017 plan draft! https://t.co/AWObc4cwwM https://t.co/7fTiLB1eXa</t>
  </si>
  <si>
    <t>RT @Enterprise_NYC: Meet the young architect who’s helping design @NYCHA’s future https://t.co/mUdy7PEwIT Congrats Jae on the great profile…</t>
  </si>
  <si>
    <t>RT @rasmiakf: @GreenCityForce Energy Corps graduation! Know Denis Acevedo? Chief Prgm Officer GCF and @NYCHA alum! @Fund4PH https://t.co/ab…</t>
  </si>
  <si>
    <t>RT @SholaOlatoye: .@NYCHA @GreenCityForce the next Corp #nextgennycha #lovewhereyoulive https://t.co/8yHhbtuCUr</t>
  </si>
  <si>
    <t>RT @Khanambano: Great turnout @NYCHA Haber Houses TA mtg/Seniors eagerly listening to Sandy Recovery update&amp;amp; Social Services changes https:…</t>
  </si>
  <si>
    <t>RT @NYCHA_Arts: .@NYCHA Interim EVP for Community Programs &amp;amp; Development, Sideya Sherman, addresses concerns at Haber Houses, BK. https://t…</t>
  </si>
  <si>
    <t>#TBT is from June 1979! #NYCHADRUMANDBUGLECORPS march in a parade celebrating a dedication at #BetancesHouses in #BX https://t.co/USFI9kENTA</t>
  </si>
  <si>
    <t>Know someone who needs digital access? Our Digital Van is at Webster Houses in #BX from 10am-4pm today! Details @ https://t.co/6lVEpRoIyN</t>
  </si>
  <si>
    <t>Not everyone has internet access. Tell a friend about the Digital Van. @ Jefferson  today until 4pm. https://t.co/MZHmTpDUll</t>
  </si>
  <si>
    <t>Hot weather #tip: Drink more water. Avoid: alcohol, caffeine &amp;amp; sugary drinks. https://t.co/VL0nCpIeJ9 https://t.co/M88Nk77yqq</t>
  </si>
  <si>
    <t>RT @Fund4PH: Thanks @NYTLive for the opportunity to communicate the importance of public housing and its residents! https://t.co/sCAXhGMkkO</t>
  </si>
  <si>
    <t>It's HOT out there! Stay hyrdrated and check on your neighbors. More tips: https://t.co/VL0nCpIeJ9 https://t.co/oDSoZfXuP6</t>
  </si>
  <si>
    <t>You have until 7/31 to give your input on the new @NYPDnews  body-camera policy. Go to https://t.co/pex2BYwGEW https://t.co/HRa1XP9gxK</t>
  </si>
  <si>
    <t>Tune in LIVE to the video livestream of today's board meeting. Watch now https://t.co/SZDYaaOlCk</t>
  </si>
  <si>
    <t>ICYMI, thru Sandy Recovery @NYCWorkforce1, @NYCHA residents can access free union construction training #NYCHAstrong https://t.co/Tm67MElvHz</t>
  </si>
  <si>
    <t>RT @jgmoore: 'OPENING THE EDGE' PROJECT: DESIGN FELLOWSHIPS
Deadline: Thursday, July 28, 2016 https://t.co/5BY5XxMfwn @designtrustnyc @NYCHA</t>
  </si>
  <si>
    <t>RT @ArtBridge: Get paid to show your work! Submit to #BrownsvilleMatters by 8/14! https://t.co/WugCh97Tz1 @MadeinBville  @ARTsEastNewYork @…</t>
  </si>
  <si>
    <t>RT @rasmiakf: @NYCHA @GreenCityForce @Fund4PH  Team Building day at #Bayview Houses farm #urban agriculture love! https://t.co/SbPudoTIZn</t>
  </si>
  <si>
    <t>RT @rasmiakf: @NYCHA @Fund4PH @GreenCityForce  @ENYFARMS partnering to build farms today at #Bayview Houses! https://t.co/vB4ftUnksL</t>
  </si>
  <si>
    <t>Happening now: NYCHA Board Meeting. Watch the video livestream https://t.co/SZDYaaOlCk</t>
  </si>
  <si>
    <t>RT @CitiBikeNYC: Skip going underground and see the City on your way to work with #CitiBike. Only $5/month for @NYCHA residents! https://t.…</t>
  </si>
  <si>
    <t>RT @NYCMayorsOffice: Charts not your ‘thing’? Here’s something we can all get behind: more investment in NYCHA. 📊 https://t.co/h0HkeYoRNi</t>
  </si>
  <si>
    <t>Did you know we livestream our board meetings? Watch live at 10:15am: https://t.co/SZDYaaOlCk</t>
  </si>
  <si>
    <t>RT @RebeccaKKatz: Love this @NYCHA: Free Swim Lessons for NYC Kids Offer Simple Luxury https://t.co/C34EmgtWjS via @nbcnewyork https://t.co…</t>
  </si>
  <si>
    <t>Tune in LIVE to the video livestream of today's board meeting at 10:15am. View here: https://t.co/SZDYaaOlCk</t>
  </si>
  <si>
    <t>Have you seen our Digital Van? It's at Lincoln Houses today until 4! Check out the full schedule: https://t.co/MZHmTpDUll</t>
  </si>
  <si>
    <t>Stay #safe in extreme heat→avoid overexertion, rest frequently &amp;amp; drink plenty of water: https://t.co/VL0nCpIeJ9 https://t.co/RG4sxe6KdD</t>
  </si>
  <si>
    <t>Hot weather #tip: Avoid strenuous activity, especially during the peak hours: 11 AM to 4 PM. https://t.co/VL0nCpIeJ9 https://t.co/L6h2MUU2mI</t>
  </si>
  <si>
    <t>ICYMI, @pluspoolny @NYCHA team up w/ #bluefishswim camp to teach kids how to swim. Watch via @NBCNewYork https://t.co/Ey1bGMXk9Z</t>
  </si>
  <si>
    <t>Cold showers can be helpful, but extreme temperature changes may make you ill. Learn more https://t.co/VL0nCpIeJ9 https://t.co/nEw1ZL5omC</t>
  </si>
  <si>
    <t>.@NBCNewYork reports: @pluspoolny @NYCHA team up w/ #bluefishswim camp to teach kids how to swim. Check it out https://t.co/Ey1bGMXk9Z</t>
  </si>
  <si>
    <t>.@mgeorge4NY of @NBCNewYork joins #SummerBluefish w/ @pluspoolny @NYCHA as kids learn to swim. https://t.co/Afhu8iFbxk</t>
  </si>
  <si>
    <t>RT @pluspoolny: Thanks @nbcnewyork for hanging with the #Bluefish today!!!! @NYCHA https://t.co/zvao2n2zX4</t>
  </si>
  <si>
    <t>RT @pluspoolny: Tune into @NBCNewYork NOW to see our summer #Bluefish @455pm! Thanks, @NYCHA @mgeroge4NY!</t>
  </si>
  <si>
    <t>RT @NAHROnational: #AwardsOfMerit: Presented to @NYCHA for MyNYCHA, NYC Housing Authority's Mobile App. https://t.co/nokvfM8Vg9</t>
  </si>
  <si>
    <t>MT: Thru Sandy Recovery @NYCWorkforce1, @NYCHA residents can access free union construction training https://t.co/Tm67MElvHz @NYCBuilditBack</t>
  </si>
  <si>
    <t>Never leave kids, pets, or those who need special care in a parked car during intense heat. https://t.co/VL0nCpIeJ9 https://t.co/0RR4quXvSm</t>
  </si>
  <si>
    <t>The @NYPDnews and body-worn cameras? Make your opinion count: Give feedback at https://t.co/pex2BYwGEW by 7/31 https://t.co/B2CqT7pXUW</t>
  </si>
  <si>
    <t>ICYMI, here's the real @Storify behind our new digital van! Story via @DowntownPatch https://t.co/sGo83WNqTt</t>
  </si>
  <si>
    <t>RT @NYCDHS: NYC protects neighborhoods on every front: more investments in @NYCHA, regulated rent freeze, evictions down 24%: https://t.co/…</t>
  </si>
  <si>
    <t>RT @Enterprise_NYC: .@NYCHA - De Blasio Administration Pushes for More Non-Profit, MWBE Partners for Affordable Housing Development https:/…</t>
  </si>
  <si>
    <t>RT @nycgob: Los ventiladores trabajan mejor en la noche cuando pueden traer aire fresco de afuera. Más consejos en: https://t.co/OuJJXMh1UO…</t>
  </si>
  <si>
    <t>Keep skin covered with lightweight, light-colored, loose clothing. Hot weather tips:  https://t.co/VL0nCpIeJ9 https://t.co/Qlku2L6JgW</t>
  </si>
  <si>
    <t>RT @NetteCompton: Last call for fellowship applications to @designtrustnyc @NYCHA Opening the Edge Project: due Thursday! @ASLA_NY https://…</t>
  </si>
  <si>
    <t>RT @NYPD83Pct: The three amigos, part of the  summer youth employment program working at the NYCHA community center building skills https:/…</t>
  </si>
  <si>
    <t>@DGraham421 Hi. We're sorry to hear this. Plz consider reaching out to our Inspector General Office at (212-306-3355), M - F, 9 am - 5 pm</t>
  </si>
  <si>
    <t>RT @Enterprise_NYC: .@Fund4PH's @rasmiakf discusses leveraging private philanthropy to aid @NYCHA in @NYTLive City Visions talk https://t.c…</t>
  </si>
  <si>
    <t>RT @ArtBridge: Are you an #artist from Langston Hughes Houses? We want to see your #art! Submit here by 8/14: https://t.co/1idRW4vE3q @NYCH…</t>
  </si>
  <si>
    <t>Have you seen our Digital Vans? One is at Lafayette Gardens #BK until 4pm. Today! https://t.co/zVUkqj3WLo</t>
  </si>
  <si>
    <t>Internet access is GOOD! Get digital today 10a-4p @ Rangel Houses. Our Digital Van schedule: https://t.co/MZHmTpDUll</t>
  </si>
  <si>
    <t>It's HOT out there! Stay hydrated and check on your neighbors. More tips: https://t.co/VL0nCpIeJ9 https://t.co/SD74isADIh</t>
  </si>
  <si>
    <t>Hot weather puts an extra strain on the heart. Drink water &amp;amp; check on friends &amp;amp; neighbors  https://t.co/VL0nCpIeJ9</t>
  </si>
  <si>
    <t>RT @theNYHC: Register for FREE panel on @HUDgov's Fair Market Rent rules w/ @LegalAidNYC @NYCHA @FurmanCenterNYU @Enterprise_NYC https://t.…</t>
  </si>
  <si>
    <t>Fans work best at night, when they can bring in cooler air from outside. Get more tips here https://t.co/VL0nCpIeJ9 https://t.co/slPT7yI7Nu</t>
  </si>
  <si>
    <t>RT @nycgob: Los residentes de @NYCHA puede tener informes en tiempo real de solicitudes de servicio con la app #MyNYCHA. https://t.co/CHoPG…</t>
  </si>
  <si>
    <t>RT @nyc311: #CoolingCenters open today. Find one: https://t.co/FahxGELmLh or text 311-692. Be sure to call ahead. #BeatTheHeat https://t.co…</t>
  </si>
  <si>
    <t>RT @GreenCityForce: Thanks to our partners at @Unilever for volunteering w/ our corps @ #redhook @NYCHA farm on Saturday! #urbanfarming htt…</t>
  </si>
  <si>
    <t>RT @NotifyNYC: .@NWSNewYorkNY Severe Thunderstorm Watch issued for NYC until 8:00 PM tonight. Strong winds &amp;amp; heavy rain possible. https://t…</t>
  </si>
  <si>
    <t>Come to @NYCHA’s hearing @BMCC on Aug. 3, share your thoughts on the the FY 2017 plan draft! https://t.co/AWObc4cwwM https://t.co/Rf0B7wXrjO</t>
  </si>
  <si>
    <t>RT @JeanBWeinberg: ICYMI: .@SholaOlatoye "“We’re bringing technology straight to people’s doors" via @LoDownNY https://t.co/d4bHbCvnoI</t>
  </si>
  <si>
    <t>RT @CitiBikeNYC: Are you a @NYCHA member? Did you know you are eligible for an annual Citi Bike membership for only $5/month? Visit: https:…</t>
  </si>
  <si>
    <t>RT @nycoem: NYC cooling centers are open today. Visit https://t.co/1YlBqQIwK3 or call @nyc311 for locations &amp;amp; hours of operation. #BeatTheH…</t>
  </si>
  <si>
    <t>RT @NWSNewYorkNY: Correction to a previous tweet for Monday's date: it's 7/25, not 7/24 https://t.co/E4wnJBZh0P</t>
  </si>
  <si>
    <t>Need digital access? Our Digital Van is at Atlantic Terminal #BK. Now! https://t.co/0OyTjgzSHU</t>
  </si>
  <si>
    <t>Wired?! Visit our Digital Van @ Rangel Houses in Manhattan - We're there until 4. Check out our full schedule: https://t.co/MZHmTpDUll</t>
  </si>
  <si>
    <t>It's hot out there! Play it safe in extreme heat. Follow these health #safety tips: https://t.co/VL0nCpIeJ9 https://t.co/X7b4urzuAT</t>
  </si>
  <si>
    <t>Know a senior, or someone chronically ill? Please check on them. More hot weather tips: https://t.co/VL0nCpIeJ9 https://t.co/yTtFuilqpA</t>
  </si>
  <si>
    <t>STATUS UPDATE: The Riverdale/Washington Heights network reduction has been reduced from 8% to 5%. Betances service has been restored. 2/2</t>
  </si>
  <si>
    <t>STATUS UPDATE AS OF 3PM 7/24/2016: The Triboro network voltage has been restored, elevator staff is restoring service. 1/2</t>
  </si>
  <si>
    <t>Don't use energy-intensive appliances, ex. washers, microwaves, air conditioners (unless for med. reasons) until the issue is resolved. 4/4</t>
  </si>
  <si>
    <t>To prevent a system overload, @ConEdison  is asking affected residents to conserve power. 3/4</t>
  </si>
  <si>
    <t>Stair climbers have also been deployed to assist individuals w/ mobility needs while the elevators are out of service. 2/4</t>
  </si>
  <si>
    <t>We have emergency staff on standby to restore elevator service as soon as power is repaired. 1/4</t>
  </si>
  <si>
    <t>335 East 11th Street, UPACA, Wagner, East 120th Street, PS 138 Conversion, Corsi. Thank you. 5/5</t>
  </si>
  <si>
    <t>King Towers, Lincoln, Milbank-Frawley, Morris Park Senior Home, Robinson, Park Avenue-East 112nd Street, Samuel, Taft... 4/5</t>
  </si>
  <si>
    <t>We ask that you conserve energy until the problem is resolved if you live in any of the following developments: Jefferson, Johnson... 3/5</t>
  </si>
  <si>
    <t>Elevator and water service may be affected. We are working with @ConEdison  to resolve the issue ASAP. 2/5</t>
  </si>
  <si>
    <t>ALERT: @ConEdison  is working to resolve an issue in Harlem. As a precaution, they have reduced voltage while repairs are made. ​1/5</t>
  </si>
  <si>
    <t>With the #MyNYCHA App, @NYCHA residents can get real-time status updates on service requests. https://t.co/Jp6SqbMZp2</t>
  </si>
  <si>
    <t>Cold showers may be helpful, but sudden extreme temperature changes may make you feel ill or dizzy. Learn more https://t.co/VL0nCpIeJ9</t>
  </si>
  <si>
    <t>Have you seen our hot weather safety tips? Protect yourself! https://t.co/VL0nCpIeJ9 https://t.co/lFAub3T1eP</t>
  </si>
  <si>
    <t>.@NYCHA residents LOVE the new #MyNYCHA App. Available for Android + iOS devices. Download today: https://t.co/Jp6SqbMZp2</t>
  </si>
  <si>
    <t>Wear lightweight, light-colored, loose clothing that covers as much of your skin as possible. Hot weather tips:  https://t.co/VL0nCpIeJ9</t>
  </si>
  <si>
    <t>Stay #safe in extreme heat→avoid overexertion, rest frequently &amp;amp; drink plenty of water: https://t.co/VL0nCpIeJ9 https://t.co/KqCsBR6xXR</t>
  </si>
  <si>
    <t>RT @MicheleMoore24: Making progress on Sandy reconstruction of Red Hook Senior Center, installing HVAC system today #NYCHAstrong @NYCHA htt…</t>
  </si>
  <si>
    <t>The @NYPDnews + @PolicingProject want your input on officers wearing cameras, share by 7/31 https://t.co/pex2BYwGEW https://t.co/zy0eK8TQjV</t>
  </si>
  <si>
    <t>D'Andra says all goals can be achieved thru the power of respect #NextGenNYCHA #IamNextGen https://t.co/dgz6hzCXgB https://t.co/eqJLIQMDKT</t>
  </si>
  <si>
    <t>RT @HudsonGuild: Great tips on staying cool: https://t.co/JEAeoiCAOc #summernyc #hotweather #staycool https://t.co/Lr6J26WVda</t>
  </si>
  <si>
    <t>RT @nycgob: Kingsborough Houses #Brooklyn y @STVGroup ganan premio de renovaciones de edificios: https://t.co/SvuFQmADAu https://t.co/gEVhz…</t>
  </si>
  <si>
    <t>RT @nycoem: Dangerously hot weather is forecast Fri &amp;amp; Sat. @nycoem &amp;amp; @nycHealthy urge New Yorkers to take steps to stay safe: https://t.co/…</t>
  </si>
  <si>
    <t>Need online access? Use the NYCHA Digital Van! It will be at Bushwick Houses #BK til 4pm https://t.co/MZHmTpDUll</t>
  </si>
  <si>
    <t>Need free computer access? Try our NYCHA Digital Van! It will be LaGuardia Houses until 4p: https://t.co/MZHmTpDUll</t>
  </si>
  <si>
    <t>It's HOT out there! Stay hyrdrated and check on your neighbors. For more tips: https://t.co/VL0nCpIeJ9 https://t.co/G7M2OhrulL</t>
  </si>
  <si>
    <t>RT @HudsonGuild: Stop by the Elliott-Chelsea Family Fun Day this Saturday! Open to all Elliott-Chelsea residents! @NYCHA https://t.co/kRRus…</t>
  </si>
  <si>
    <t>LAST CALL: Get paid, develop the skills needed to succeed &amp;amp; jump start your dream job w/ @YearUpNewYork Learn How: https://t.co/oUsippbsvE</t>
  </si>
  <si>
    <t>Hot weather #tip: Avoid strenuous activity this weekend, especially during the sun's peak hours – 11 AM to 4 PM. https://t.co/VL0nCpIeJ9</t>
  </si>
  <si>
    <t>“All employees should be respected.” —Prez, @NYCHA #LGBTQ Employee Assn. #NextGenNYCHA https://t.co/dgz6hzCXgB https://t.co/sBXPFylQlG</t>
  </si>
  <si>
    <t>RT @designtrustnyc: One week left to apply to be a Fellow: help improve open space at Wald Houses in the #LES with @NYCHA Deadline 7/28: ht…</t>
  </si>
  <si>
    <t>RT @Khanambano: we're back biweekly updating seniors on @NYCHA #RedHook Senior Center/95% completion/ keeping our word #NYCHAstrong https:/…</t>
  </si>
  <si>
    <t>Kingsborough Houses #BK &amp;amp; @STVGroup   Win Award for Building Renovations! Read more: https://t.co/Ou9VWJixF9 https://t.co/xICQjLBgC3</t>
  </si>
  <si>
    <t>Check out this week's #TBT from 1972! A father &amp;amp; his 2 sons compete at the @NYCHA @CentralParkNYC #Fishing Contest! https://t.co/VZOcTaoC7a</t>
  </si>
  <si>
    <t>Writing a resume on a phone is hard. Stop by the Digital Van for help. On Park Ave bt Marcy/Nostrand Aves #BK https://t.co/MZHmTpDUll</t>
  </si>
  <si>
    <t>NYCHA Digital Van in Manhattan is offering free WiFi &amp;amp; computer access. Stop by LaGuardia Houses until 4pm https://t.co/MZHmTpDUll</t>
  </si>
  <si>
    <t>D'Andra: “w/ a positive atmosphere we can reach our NextGen goals” #NextGenNYCHA #IamNextGen https://t.co/dgz6hzCXgB https://t.co/Qyns49eO2S</t>
  </si>
  <si>
    <t>Come to @NYCHA’s public hearing on Aug. 3 @BMCC for a talk on the draft of the FY 2017 plan! https://t.co/AWObc4cwwM https://t.co/v6P0EFabwY</t>
  </si>
  <si>
    <t>RT @Khanambano: Full gym yest. #Redhook residents came to learn of @NYCHA Career in Construction opportunities.Next step- follow Up! https:…</t>
  </si>
  <si>
    <t>Residents get priority for #Sandy recovery jobs #NYCHAstrong. Learn more about our efforts: https://t.co/FSWCc0gPz2 https://t.co/Oh6gNFvqrJ</t>
  </si>
  <si>
    <t>Couldn't have asked for a better turnout last nite for our #Sandy Recovery Job Opportunities Info sesh! #NYCHAStrong https://t.co/O6lSzH4w7H</t>
  </si>
  <si>
    <t>@pushinxdaisies We're sorry to hear about this. Could you DM us your ticket number(s) from the CCC (718-707-7771)? We'll report &amp;amp; follow up</t>
  </si>
  <si>
    <t>RT @BKAREN23: @Felixwortiz @YESBROUGHTON @NYCHA 
NYCHA INFO SESSION AT MICCIO CENTER IN RED HOOK.  THE BROWNS,MS. MARSHALL &amp;amp; I. https://t.c…</t>
  </si>
  <si>
    <t>RT @DanWiley1: .@NydiaVelazquez with @NYCHA residents get connected to Sandy Recovery Career Opportunities Red Hook Gowanus Wyckoff https:/…</t>
  </si>
  <si>
    <t>Great having @NydiaVelazquez talk to residents about #Sandy Recovery Job Opportunities at #RedHook #NYCHAStrong https://t.co/mnRttfzhsu</t>
  </si>
  <si>
    <t>Free WiFi &amp;amp; computer access at NYCHA Digital Vans - East River Houses until 4 p.m.: https://t.co/MZHmTpDUll</t>
  </si>
  <si>
    <t>Writing a resume on a phone is hard. The Digital Van can help. @ West Brighton Plaza until 4pm https://t.co/MZHmTpDUll</t>
  </si>
  <si>
    <t>MT @rasmiakf shares message on investing in @NYCHA residents &amp;amp; public housing #nytcities https://t.co/8kfrUjUwxU @designtrustnyc</t>
  </si>
  <si>
    <t>RT @DowntownPatch: NYCHA Unveils New Digital Van at LaGuardia Houses on Lower East Side https://t.co/JrE5AORqFz https://t.co/yAal9n2Zdl</t>
  </si>
  <si>
    <t>RT @corythesaurus: Top employers of residents of public housing in NYC? Public systems: NYPD, MTA, @NYCHA itself. Thank you .@rasmiakf for…</t>
  </si>
  <si>
    <t>RT @SholaOlatoye: .@rasmiakf @NYCHA #fundforpublichousing #womenleaders #dontpassitinvestinit https://t.co/2YlbuNQcCL</t>
  </si>
  <si>
    <t>Meet D'Andra Van Heusen, Senior Community Development Coordinator #NextGenNYCHA #IamNextGen https://t.co/dgz6hzCXgB https://t.co/5uKDnnOU3Q</t>
  </si>
  <si>
    <t>RT @SholaOlatoye: .@NYCHA issues w/trees at #lagaurdia. We're on it! #nextgennycha https://t.co/HBDB2GidSC</t>
  </si>
  <si>
    <t>We're bringing residents &amp;amp; designers together to improve open space at @NYCHA's Wald Houses. Apply to be a Fellow: https://t.co/MWMQIdmjr6</t>
  </si>
  <si>
    <t>RT @JeanBWeinberg: .@SholaOlatoye catching up with team @NYCHA 's LaGuardia Houses this morning https://t.co/8cWene1GNP</t>
  </si>
  <si>
    <t>Experience the newest addition to our #digital van fleet! @ #LaguardiaHouses in #MN today! #NextGenNYCHA https://t.co/aHGaWlIfLL</t>
  </si>
  <si>
    <t>For a full list of the #digital van schedule, please visit https://t.co/dmzu8keRPG #NextGenNYCHA https://t.co/BKcvME2fKI</t>
  </si>
  <si>
    <t>RT @JeanBWeinberg: .@NYCHA @SholaOlatoye unveils 3rd digital van, expanding internet access across NYC https://t.co/iIsua02sKo</t>
  </si>
  <si>
    <t>"We must ensure residents have access to the #tech + tools they need to connect w/ @NYCHA ."—Chair &amp;amp; CEO @SholaOlatoye #NextGenNYCHA</t>
  </si>
  <si>
    <t>RT @JeanBWeinberg: .@SholaOlatoye: @NYCHA moving into the 21st century #NextGenNYCHA https://t.co/a9Aha2VzJc</t>
  </si>
  <si>
    <t>Our #digital vans offer residents 8 laptops, Wi-FI access, printer&amp;amp;scanner,  @Office classes, resume writing &amp;amp; more! https://t.co/Ol2F1VfVWm</t>
  </si>
  <si>
    <t>Our 3rd #digital van will visit 18 locations this summer, giving anyone the chance to improve their computer skills! https://t.co/zJ9XCM5eML</t>
  </si>
  <si>
    <t>Pleased to announce @NYCHA has expanded its program to bring free computer access to low-income #NYers #NextGenNYCHA #digitaltransformation</t>
  </si>
  <si>
    <t>RT @JeanBWeinberg: TA Prez @NYCHA 's LaGuardia Houses Jessica Thomas w/@fox5ny in our new digital van w/@SholaOlatoye https://t.co/agYoyJQ3…</t>
  </si>
  <si>
    <t>RT @SholaOlatoye: .@NYCHA hello LaGaurdia! Bringing  #digitaltransformation to #publichousing via digital van his AM! #nextgennycha #opport…</t>
  </si>
  <si>
    <t>RT @WhitingAwards: Congrats to @MitchSJackson on winning the @NAACP &amp;amp; @NYCHA Just READ Award for "changing the game through writing"! https…</t>
  </si>
  <si>
    <t>RT @Vanessalgibson: Proud to invest in #NYCHA public safety &amp;amp; playground renovations in #District16 #BX Thx to Claremont! @NYCHA #FY2017 ht…</t>
  </si>
  <si>
    <t>RT @Khanambano: This is today #Redhook. @NYCHA Careers in Construction. Info on Preapprenticeship opportunities / union membership. https:/…</t>
  </si>
  <si>
    <t>Hey SI! NYCHA Digital Van is at Richmond Terrace Houses until 4pm. Free WiFi &amp;amp; computer access https://t.co/MZHmTpDUll</t>
  </si>
  <si>
    <t>RT @HUDNY_NJ: HUD announces $5.4 million to help low-income residents in New York receive job training and employment. Read more: https://t…</t>
  </si>
  <si>
    <t>RT @nycforward: Minority teens learn coding at fast-growing NYC STEM nonprofit https://t.co/zfLCvbwYWQ #DiversityinTech #NYC</t>
  </si>
  <si>
    <t>RT @nycoem: Ahead of severe weather, sign up for @NotifyNYC: https://t.co/GG33dFm8JN or call @nyc311. https://t.co/cK0DbSTeLm</t>
  </si>
  <si>
    <t>RT @nycoem: Heavy rain &amp;amp; damaging winds accompanied by gusts up to 50 mph may impact NYC this afternoon &amp;amp; evening. For updates: https://t.c…</t>
  </si>
  <si>
    <t>You have until 7/31 to give your input on the new @NYPDnews  body-camera policy. Go to https://t.co/pex2BYwGEW https://t.co/yMR1PY9I6G</t>
  </si>
  <si>
    <t>@TrudiiBee Hi. We're very sorry to hear about this. Could you plz DM us your ticket number (s) so we can look into this on your behalf? Thx</t>
  </si>
  <si>
    <t>Share your opinion on @NYCHA’s FY 2017 plan draft at August 3rd’s public hearing @bmcc_cuny  https://t.co/DAeKWELhts https://t.co/Y6xk2Z9MJv</t>
  </si>
  <si>
    <t>Engage w/ Wald Houses community leaders to create a more vibrant place. Apply to be an #OpeningTheEdge Fellow at https://t.co/MWMQIdmjr6</t>
  </si>
  <si>
    <t>RT @bomee: @NYCHA energy and water data now available on @NYCDoITT Open Data! https://t.co/8NidjAK9VI</t>
  </si>
  <si>
    <t>@pct1224 Hi. We're sorry to hear about this. Have you taken any additional measures such as calling the CCC? The number is 718-707-7771</t>
  </si>
  <si>
    <t>RT @nyc311: #Coolingcenters open Mon 7/18: https://t.co/FahxGELmLh or text 311-692. Call for hours. More ways to #BeatTheHeat: https://t.co…</t>
  </si>
  <si>
    <t>It's hot out there! Play it safe in extreme heat. Follow these health #safety tips: https://t.co/VL0nCpIeJ9 https://t.co/K8atDrLebb</t>
  </si>
  <si>
    <t>Internet access is GOOD! Get digital today 10a-4p @ Richmond Terrace Houses, #SI. Our Digital Van schedule: https://t.co/MZHmTpDUll</t>
  </si>
  <si>
    <t>Wald Residents! Apply to redesign your green space with @DesignTrustNYC and @NYCHA! https://t.co/MWMQIdmjr6 #LES #NYCHA</t>
  </si>
  <si>
    <t>Repair issue in your bldg? Report it ASAP. Download the #MyNYCHA App today! https://t.co/Jp6SqbMZp2</t>
  </si>
  <si>
    <t>RT @NYPDPSA9: 🎶🍛👫 Seniors are having a wonderful time @NYCHA International Towers Family Day https://t.co/AOEuyRtYiN</t>
  </si>
  <si>
    <t>RT @nycgob: Último día para que los residentes se inscriban para ser elegibles como miembros de la junta de @NYCHA! Visite: https://t.co/lB…</t>
  </si>
  <si>
    <t>Never leave children, pets, or those who require special care in a parked car during periods of intense summer heat. https://t.co/VL0nCpIeJ9</t>
  </si>
  <si>
    <t>The @NYPDnews + @PolicingProject want your input on officers wearing cameras, share by 7/31 https://t.co/pex2BYwGEW https://t.co/DBJgiOyFRR</t>
  </si>
  <si>
    <t>Hot weather puts an extra strain on the heart. Drink water &amp;amp; check on your friends &amp;amp; neighbors  https://t.co/VL0nCpIeJ9</t>
  </si>
  <si>
    <t>Calling all @NYCHA residents: become a @NYCHA  board member. Last day to apply: 7/15! https://t.co/hjhADoffqS</t>
  </si>
  <si>
    <t>RT @AjaWorthyDavis: Soccer Player for English Champs Leicester City FC Teaches #NYCHA Kids https://t.co/WlGznz0aa1 (via @DartDClark)</t>
  </si>
  <si>
    <t>RT @nycgob: Christian Fuchs, estrella de Leicester City, entrenando niños en el #UWS (de @Brendan_Krisel). https://t.co/ShFlyAVhfa @NYCHA @…</t>
  </si>
  <si>
    <t>RT @JeanBWeinberg: .@SholaOlatoye addressing audience q about conditions @NYCHA w/@NYCMayorsOffice #EastNewYork https://t.co/xq4DGafCFp</t>
  </si>
  <si>
    <t>RT @JeanBWeinberg: .@SholaOlatoye greeting @NYCHA TA Prez ahead of Mayoral town hall @NYCMayorsOffice #EastNewYork https://t.co/1Nm4OVoeyp</t>
  </si>
  <si>
    <t>RT @SholaOlatoye: .@NYCHA resident says "there's nothing affordable about a job." #fundforpublichousing #opportunity  https://t.co/Jim8IzIP…</t>
  </si>
  <si>
    <t>It's hot out there! Play it safe in extreme heat. Follow these health #safety tips: https://t.co/VL0nCpIeJ9</t>
  </si>
  <si>
    <t>Hello SI! Visit our Digital Van today in Staten Island. Free WiFi &amp;amp; computer access https://t.co/MZHmTpDUll</t>
  </si>
  <si>
    <t>Hot weather #tip: Avoid strenuous activity, especially during the sun's peak hours – 11 AM to 4 PM. https://t.co/VL0nCpIeJ9</t>
  </si>
  <si>
    <t>RT @NYCMayorsOffice: ⚽ @FuchsOfficial and @NYCHA join forces to train a few of soccer’s future stars: https://t.co/QMdJg5T7xT https://t.co/…</t>
  </si>
  <si>
    <t>RT @DanJGross: The real story is how he teamed up with @NYCHA to award scholarships to five children living in public housing https://t.co/…</t>
  </si>
  <si>
    <t>RT @Brendan_Krisel: Leicester City star Christian Fuchs coaching kids on the Upper West Side. https://t.co/pmDEaQGNfM</t>
  </si>
  <si>
    <t>Fans work best at night, when they can bring in cooler air from outside. Get more tips here: https://t.co/VL0nCpIeJ9</t>
  </si>
  <si>
    <t>Want to #GetInvolved as a NYCHA Resident Board member? Apply by 7/15: https://t.co/hjhADoffqS</t>
  </si>
  <si>
    <t>RT @JeanBWeinberg: .@SholaOlatoye: A fantastic example of how @NYCHA is creating partnerships to make our communities more connected: https…</t>
  </si>
  <si>
    <t>So amazing! @FuchsOfficial partnered w/ @NYCHA @FoxSoccerAcadNY to  bring soccer camp to #NYCHA youth! https://t.co/ry3bveJ5YM</t>
  </si>
  <si>
    <t>RT @DanJGross: @FuchsOfficial of the @premierleague Champs @LCFC came across the pond to work with our very own @NYCHA https://t.co/ojFsQXz…</t>
  </si>
  <si>
    <t>RT @HeyNowJO: We 1st funded security cameras for @NYCHA Berry &amp;amp; South Beach in 2007; Todt Hill is the final development to receive https://…</t>
  </si>
  <si>
    <t>RT @latoyadjordan: Covering @FoxSoccerAcadNY giving @NYCHA youth scholarships to camp. W/@FuchsOfficial https://t.co/IToniNt8oK</t>
  </si>
  <si>
    <t>RT @rasmiakf: @FuchsOfficial partnering w @NYCHA and #thefundforpublichousing to bring soccer camp to @NYCHA youth! #goooooal! https://t.co…</t>
  </si>
  <si>
    <t>RT @rasmiakf: @FuchsOfficial thank you! For supporting @NYCHA young people through soccer! #fundforpublichousing #foxsoccer https://t.co/Yg…</t>
  </si>
  <si>
    <t>Residents of #BK: Come 7/15 for a special @BeautifulOnBway #BwayintheBoros performance in @fortgreenepark ! https://t.co/2ze2ZjbRh5</t>
  </si>
  <si>
    <t>RT @JeanBWeinberg: Improving safety @NYCHA 's Boulevard Houses @NYCMayorsOffice @SholaOlatoye via  https://t.co/YP7ZlptfXD</t>
  </si>
  <si>
    <t>It's HOT out there! Stay hyrdrated and check on your neighbors. More tips: https://t.co/VL0nCpIeJ9</t>
  </si>
  <si>
    <t>NYCHA Digital Vans offer free computer access + WiFi in Staten Island today! https://t.co/MZHmTpDUll</t>
  </si>
  <si>
    <t>We're looking for qualified residents to serve on the @NYCHA  board. Apply by 7/15 Learn more: https://t.co/hjhADoffqS</t>
  </si>
  <si>
    <t>Calling all #BK residents: We hope to see you at the free #BwayintheBoros show this Friday @fortgreenepark @MadeinNY https://t.co/ciQ46uQxar</t>
  </si>
  <si>
    <t>The @NYPDnews @PolicingProject and body-worn cameras? Make your opinion count by 7/31 at: https://t.co/pex2BYwGEW https://t.co/AmLiCqj8Or</t>
  </si>
  <si>
    <t>RT @nycgob: .@NYPDnews quiere tu opinión sobre las cámaras corporales para policías. Visita: https://t.co/ByEhXCLwEQ hasta el 31/7. @NYCHA</t>
  </si>
  <si>
    <t>Help unleash the potential of green space at Wald Houses in collaboration w/ @designtrustnyc​. Apply to be a Fellow https://t.co/MWMQIdmjr6</t>
  </si>
  <si>
    <t>Live in @NYCHA &amp;amp; want to make a difference in your community? Apply by 7/15 to become a resident board member: https://t.co/hjhADoffqS</t>
  </si>
  <si>
    <t>If you've been a victim, plz call the @NYCHA Office of the Inspector General at 212-306-3355. https://t.co/UKDRha3QZd via @NYDailyNews 2/2</t>
  </si>
  <si>
    <t>Applicants do not have to pay a fee to apply for a public housing apt or a Section 8 voucher https://t.co/UKDRha3QZd via @NYDailyNews 1/2</t>
  </si>
  <si>
    <t>Get Wired! Visit our Digital Van today at South Jamaica Houses #Queens https://t.co/MZHmTpDUll</t>
  </si>
  <si>
    <t>RT @Khanambano: @NYCHA Sandy Recovery+ REES will host Career in Construction session in #Redhook #MiccioCenter Tuesday, July 19th! https://…</t>
  </si>
  <si>
    <t>Wouldn’t it be great to schedule repairs on your Android + iOS devices? Now you can w/ the new #MyNYCHA App! https://t.co/Jp6SqbMZp2</t>
  </si>
  <si>
    <t>RT @BrooklynCB6: @NYCHA Sandy Construction Career Opportunities, 7/19, 6-8pm, Miccio Center #RedHook #Gowanus https://t.co/7Y6jZse7BR</t>
  </si>
  <si>
    <t>.@NYPDnews wants to hear from #NYers re: officers wearing cameras Click https://t.co/pex2BYwGEW by 7/31 for info https://t.co/5Wqh3cLwvQ</t>
  </si>
  <si>
    <t>.@NYCHA residents: new 7/15 deadline; let your voice be heard. Become a NYCHA Resident Board Member https://t.co/hjhADoffqS</t>
  </si>
  <si>
    <t>RT @NYCHousing: .@nycHealthy needs your input to make NYC healthier. Vote online today! https://t.co/FVWwNpPbqi #TCNY2020</t>
  </si>
  <si>
    <t>RT @NYCParks: Throughout the summer, we're offering free sports clinics for kids &amp;amp; teens across NYC: https://t.co/eQn2abOORP https://t.co/D…</t>
  </si>
  <si>
    <t>RT @nycoem: Are you #ReadyNewYork? Prove it by entering this month's contestfor a chance to win a Go Bag: https://t.co/04ZoJmrNHv</t>
  </si>
  <si>
    <t>RT @nycgob: NO pague $$ para ayuda de vivienda pública o #Sección8. @NYCHA está trabajando para clausurar este sitio web. https://t.co/x2S8…</t>
  </si>
  <si>
    <t>"#NextGenNYCHA is not a kitchen sink plan, but focused on stabilizing @NYCHA."—@SholaOlatoye @billritter7 @ABC7NY https://t.co/0VZ1fcKNDE</t>
  </si>
  <si>
    <t>RT @nycgob: EN VIVO: El alcalde @BilldeBlasio anuncia NYC Soccer Initiative p/ construir 50 canchas de #fútbol y más. Véalo en: https://t.c…</t>
  </si>
  <si>
    <t>RT @nycgob: .@NYCHA niega plan para vender y/o demoler viviendas públicas en NYC (asegúrese de leer fuentes confiables!) https://t.co/8MDxg…</t>
  </si>
  <si>
    <t>Recruiting Resident board members! Apply for this amazing opportunity by 7/15: https://t.co/hjhADoffqS</t>
  </si>
  <si>
    <t>RT @Enterprise_NYC: Mayor de Blasio is looking for 3 @NYCHA  residents to join the NYCHA Board in September. Residents can apply here https…</t>
  </si>
  <si>
    <t>RT @nycgob: .@NYCHA busca residentes para su Junta comunitaria (hasta el 15/7). Aprende sobre esta increíble oportunidad en: https://t.co/l…</t>
  </si>
  <si>
    <t>Writing a resume on a phone is hard. The Digital Van can help. @ King Towers until 4pm https://t.co/MZHmTpDUll</t>
  </si>
  <si>
    <t>Free WiFi, computer access now in NYCHA Digital Vans at Queensbridge South https://t.co/MZHmTpDUll</t>
  </si>
  <si>
    <t>@HOPE__NOW We do public housing and Section 8. The audiences for @NYCHousing @NYSHCR may be a better fit than ours!</t>
  </si>
  <si>
    <t>Calling all @NYCHA residents! Now is your chance to become a NYCHA board member. Apply by 7/15! https://t.co/hjhADoffqS</t>
  </si>
  <si>
    <t>SCAM ALERT: DO NOT pay $ to apply for public housing or Section 8 assistance. We're working to shut this site down. https://t.co/LHn5yadsPb</t>
  </si>
  <si>
    <t>#NextGenNYCHA = plan to save #NYC #publichousing. Learn more via @ABC7NY @billritter7 https://t.co/0VZ1fcKNDE</t>
  </si>
  <si>
    <t>Public housing in NYC is NOT being sold and demolished. Be sure what you read is from a trusted source! #Harlem https://t.co/4u7b3JazWX</t>
  </si>
  <si>
    <t>Now Recruiting Resident board members! Learn more about this amazing opportunity. Deadline 7/15! https://t.co/hjhADoffqS</t>
  </si>
  <si>
    <t>"We have to ID resources we can use to save #publichousing." —@nycha Chair &amp;amp; CEO @SholaOlatoye @billritter7 @ABC7NY https://t.co/0VZ1fcKNDE</t>
  </si>
  <si>
    <t>Nine young @NYCHA scholarship winners got to train w/ the world's best #soccer stars! Thanks @FoxSoccerAcadNY! https://t.co/AXWwPsl5oJ</t>
  </si>
  <si>
    <t>You have until 7/31 to give your input on the new @NYPDnews body-camera policy. Go to: https://t.co/pex2BYwGEW https://t.co/nkweGlErV1</t>
  </si>
  <si>
    <t>Exclusive interview w/ @NYCHA Chair &amp;amp; CEO @SholaOlatoye + @billritter7 on @ABC7NY. Watch here https://t.co/0VZ1fcKNDE</t>
  </si>
  <si>
    <t>@BlackShiite Please call @nyc311  to this issue to someone directly, we are only authorized to handle social media. Thanks</t>
  </si>
  <si>
    <t>Hello @CallipygianBest We're sorry to hear about this. Please DM us so we can further assist you.</t>
  </si>
  <si>
    <t>RT @SholaOlatoye: .@NYCHA @Nas u should look up @C4QNYC - positive stories coming outta Queensbridge.#nextgennycha  https://t.co/lJqdomU7vO</t>
  </si>
  <si>
    <t>Someone need digital access? Well the Digital Van is at Queensbridge North Houses! https://t.co/MZHmTpDUll</t>
  </si>
  <si>
    <t>Have you seen our Digital Van? It's at Castle Hill, today until 4! Check out the full schedule: https://t.co/MZHmTpDUll</t>
  </si>
  <si>
    <t>“@FUREE is proud to have helped develop the guiding principles for PACT here in #NYC.” -- @tiastrother https://t.co/xMN1wqSSCF</t>
  </si>
  <si>
    <t>Did you see @billritter7's interview w/ Chair &amp;amp; CEO @SholaOlatoye on @ABC7NY? Learn more about #NextGenNYCHA at https://t.co/LwpIFSonEH</t>
  </si>
  <si>
    <t>#NextGenNYCHA is not privatization. We have a plan. We have to ID resources we can use to save #publichousing. —Chair &amp;amp; CEO @SholaOlatoye</t>
  </si>
  <si>
    <t>#NextGenNYCHA is not a kitchen sink plan, but focused on stabilizing @NYCHA, says @SholaOlatoye to @billritter7 on @ABC7NY right now.</t>
  </si>
  <si>
    <t>Exclusive interview w/ @NYCHA  Chair &amp;amp; CEO @SholaOlatoye  + @billritter7 today at 11am. Don't miss it @ABC7NY https://t.co/hvfYNhLiGM</t>
  </si>
  <si>
    <t>Tune in this Sunday at 11am for the exclusive @billritter7 interview w/ @NYCHA  Chair &amp;amp; CEO @SholaOlatoye only on @ABC7NY</t>
  </si>
  <si>
    <t>The #HighBridge connects and strengthens the Bronx and northern Manhattan: https://t.co/qfC8UBnUjo #parkequity https://t.co/X1HZg0MgSp</t>
  </si>
  <si>
    <t>#NextGenNYCHA = plan to save #NYC #publichousing. Watch @ABC7NY  tomorrow @ 11am to learn more @billritter7 @SholaOlatoye</t>
  </si>
  <si>
    <t>Learn more about #NextGenNYCHA from @NYCHA Chair &amp;amp; CEO @SholaOlatoye this Sunday at 11am @ABC7NY @billritter7 https://t.co/Se37166cwc</t>
  </si>
  <si>
    <t>Have you seen our hot weather safety tips? Protect yourself! https://t.co/VL0nCpIeJ9 https://t.co/E9juUijfKW</t>
  </si>
  <si>
    <t>RT @Wright4Harlem: Attn @NYCHA residents-- represent tenants as a member of the #NYCHA Board APPLY by JULY 15th https://t.co/aDPEArrZzq htt…</t>
  </si>
  <si>
    <t>@phatkatmeowmeow Oh no, what could have been better? Let us know via direct message.</t>
  </si>
  <si>
    <t>RT @nycgob: Qué calor! Mantente hidratado y verifica a tus vecinos. Más sugerencias: https://t.co/OuJJXMh1UO https://t.co/6bSwr8i8RY @NYCHA</t>
  </si>
  <si>
    <t>Cold showers may be helpful, but sudden extreme temperature changes may make you ill, nauseated, or dizzy. Know more https://t.co/VL0nCpIeJ9</t>
  </si>
  <si>
    <t>RT @NYCHRA: MT @NYCSchools: #FreeSummerMeals will also be served at 4 food truck locations!
https://t.co/hVAK3jesHA https://t.co/Wxutk3ikB7</t>
  </si>
  <si>
    <t>Know a senior, homeless person, or someone chronically ill? Please check on them. More hot weather tips: https://t.co/VL0nCpIeJ9</t>
  </si>
  <si>
    <t>ICYMI, A tree in honor of the beloved supercentenarian Miss Susie at Vandalia Senior Center @NYCHA @TreesNewYork https://t.co/DmraqdoLbG</t>
  </si>
  <si>
    <t>@phatkatmeowmeow Glad to hear you had a great experience! Which development do you live in?</t>
  </si>
  <si>
    <t>@__paulaann To speak with a NYCHA Representative regarding these issues, please call us at 718-707-7771 or 212-306-3000. Thank you.</t>
  </si>
  <si>
    <t>Need free computer access? Try our NYCHA Digital Van! It will be @ Unity Plaza in #BK until 4pm: https://t.co/MZHmTpDUll</t>
  </si>
  <si>
    <t>Hello BK! NYCHA Digital Van is at Bushwick Houses (372 Bushwick Ave) until 4p. Free WiFi &amp;amp; computer access https://t.co/MZHmTpDUll</t>
  </si>
  <si>
    <t>It's hot out there! Play it safe in extreme heat. Follow these health #safety tips: https://t.co/VL0nCpIeJ9 https://t.co/uFcXfxLqF3</t>
  </si>
  <si>
    <t>@bwayintl @SholaOlatoye That doesn’t sound right. Please report it to the Inspector General: 212-306-3355, or DOI: https://t.co/C5u3DiGSbb</t>
  </si>
  <si>
    <t>.@NYPDnews wants your input on body-worn cameras, fill out the questionnaire by 7/31 https://t.co/pex2BYwGEW https://t.co/Poc0uoot1B</t>
  </si>
  <si>
    <t>RT @nycoem: Remember: pets need relief from the heat, too! Make sure they are safe &amp;amp; hydrated. #BeatTheHeat https://t.co/ituuKyyanu</t>
  </si>
  <si>
    <t>RT @nycoem: .@NYCWater Water-on-the-Go fountains are available across all five boroughs. Schedules can be found at https://t.co/0x2e4piBsL.</t>
  </si>
  <si>
    <t>.@NYCHA Chair &amp;amp; CEO @SholaOlatoye on the late Miss. Susie "she represents the values that we all should aspire to" https://t.co/DmraqdoLbG</t>
  </si>
  <si>
    <t>RT @DrAlethaMaybank: Thx for the delicious tomatoes &amp;amp; tour @GreenCityForce @NYCHA Howard Houses! @nycHealthy @DrTorian @DrMaryTBassett http…</t>
  </si>
  <si>
    <t>RT @DrMaryTBassett: Had a great time visiting the urban farm at @NYCHA's Howard Houses this morning! https://t.co/ZStPh8glXX</t>
  </si>
  <si>
    <t>RT @NYPDnews: The NYPD would like your input on body worn cameras. Visit https://t.co/ounXKEs59E for more. https://t.co/DiqBzTbV9Y</t>
  </si>
  <si>
    <t>Hot weather #tip: Avoid strenuous activity, especially during the sun's peak hours: 11AM-4PM https://t.co/VL0nCpIeJ9 https://t.co/bmEnDCA9Ck</t>
  </si>
  <si>
    <t>#TBT from  Sept. 1981! @NYCHA Chair Joseph Christian w/ Mayor Koch waiting to speak @ Bryant Avenue Houses in #BX https://t.co/1p4BAElYUn</t>
  </si>
  <si>
    <t>RT @nycgob: Hermoso jardín en complejo de @NYCHA cuidado por Rosie McKinnley: https://t.co/ya9FZ3mf9M @SholaOlatoye #NextGenNYCHA</t>
  </si>
  <si>
    <t>Wired? Today, catch the Digital Van @ Tilden Houses. Get the complete schedule here: https://t.co/MZHmTpDUll</t>
  </si>
  <si>
    <t>Get Wired! Visit our Digital Van at Park Ave bt Marcy/Nostrand #BK https://t.co/MZHmTpDUll</t>
  </si>
  <si>
    <t>RT @TreesNewYork: @TreesNewYork is proud to honor Miss Susie by donating a redbud #tree to @NYCHA in her memory ”https://t.co/GRyondFtyv</t>
  </si>
  <si>
    <t>RT @JeanBWeinberg: Brooklyn Woman Who Was World's Oldest Living Person Honored With Tree @NYCHA w/ @SholaOlatoye: via @DNAinfoNY: https://t…</t>
  </si>
  <si>
    <t>RT @NAHROnational: #AwardsOfMerit: Presented to @NYCHA for Mobile Digital Vans for Public Housing 
https://t.co/nokvfM8Vg9 https://t.co/kut…</t>
  </si>
  <si>
    <t>It's HOT out there! Stay hyrdated and check on your neighbors. More tips: https://t.co/VL0nCpIeJ9 https://t.co/P7zWVLy6yp</t>
  </si>
  <si>
    <t>Pedestrians struck by cars going 25 MPH are half as likely to die as those struck at 30 MPH - https://t.co/VkQo6C7O9S</t>
  </si>
  <si>
    <t>RT @JeanBWeinberg: Dedicating a tree in memory of the late Miss. Susie w/ @SholaOlatoye outside @NYCHA 's Vandalia Houses https://t.co/zl2o…</t>
  </si>
  <si>
    <t>RT @ZodetN: A tree in honor of the beloved supercentenarian Miss Susie at Vandalia Senior Center @NYCHA @TreesNewYork https://t.co/4Pe1pA7I…</t>
  </si>
  <si>
    <t>RT @CitiBikeNYC: See the City on your way to work with #CitiBike. Only $5/month for @NYCHA residents! https://t.co/N75ZgGaMni https://t.co/…</t>
  </si>
  <si>
    <t>RT @JeanBWeinberg: .@NYCHA 's @SholaOlatoye kicks off tribute to Miss. Susie - a resident of Vandalia Houses since 1983 https://t.co/lRiBpS…</t>
  </si>
  <si>
    <t>RT @Enterprise_NYC: .@NYCHA announces PACT—Permanent Affordability Commitment Together and plans for $1B in upgrades to 5k apts https://t.c…</t>
  </si>
  <si>
    <t>"Less mold means healthier homes for the 110k kids who live in @NYCHA buildings." --Jae Shin https://t.co/e1uinqRfD4</t>
  </si>
  <si>
    <t>RT @SholaOlatoye: .@NYCHA beautiful garden maintained by Rosie #mckinnley #nextgennycha https://t.co/Av9X26kW3b</t>
  </si>
  <si>
    <t>RT @SholaOlatoye: .@NYCHA #flexops #forresthouses #nextgennycha https://t.co/Ht2LzwSjKt</t>
  </si>
  <si>
    <t>NYCHA Digital Van in #BK offers free WiFi &amp;amp; computer access. Stop by Langston Hughes Houses until 4pm https://t.co/MZHmTpDUll</t>
  </si>
  <si>
    <t>RT @ShareForLifeNYC: "Positive anything is better than negative nothing." With @NYCHA's help, we can continue to have #GoodTimes! https://t…</t>
  </si>
  <si>
    <t>@mzlynbkny Thank you for sharing your ticket numbers with us. We'll report this issue and follow up.</t>
  </si>
  <si>
    <t>RT @archpaper: .@NYCHA's latest project in Red Hook will have its own sustainable, reslient microgrid: https://t.co/nIf1vhG1GB https://t.co…</t>
  </si>
  <si>
    <t>@angelina_lious @NYPD114Pct Hello. We're sry to hear about this. Have you reported these noise complaints to @nyc311?</t>
  </si>
  <si>
    <t>@chikascience We're sry to see this. Plz DM us your ticket number(s), from the CCC (718-707-7771) &amp;amp; we'll report/follow up</t>
  </si>
  <si>
    <t>@mzlynbkny Hi. We're sry to hear about this. Plz DM us your ticket number(s), from the Customer Contact Center (718-707-7771) &amp;amp; we'll report</t>
  </si>
  <si>
    <t>Want to learn more about employment and job training opportunities for #NYCHA residents? Visit https://t.co/oqrTzioRst</t>
  </si>
  <si>
    <t>RT @JudiKende: .@NYCHA  announces PACT—Permanent Affordability Commitment Together and plans for $1B in upgrades to 5k apts https://t.co/bg…</t>
  </si>
  <si>
    <t>Safety comes 1st for Catisha Collins, Maint. Dept. #DouglassHouses #NextGenNYCHA #IamNextGen https://t.co/dgz6hzCXgB https://t.co/0VjUL5j3ge</t>
  </si>
  <si>
    <t>RT @nycgob: Ya usted puede seguir sus solicitudes de reparaciones en proyectos de @NYCHA desde su móvil con la app #MyNYCHA: https://t.co/C…</t>
  </si>
  <si>
    <t>“The PACT initiative will ensure that @NYCHA families get to live better, healthier &amp;amp; longer lives." @MrMikeBlake https://t.co/xMN1wqSSCF</t>
  </si>
  <si>
    <t>RT @JeanBWeinberg: Changing how we do business @NYCHA - new voluntary 6am shift begins at Dyckman w/@SholaOlatoye @Teamsters local 237 http…</t>
  </si>
  <si>
    <t>RT @JeanBWeinberg: .@NYCHA elevator aide Prettina w/@SholaOlatoye: "stay positive each and every day" great outlook #NextGenNYCHA https://t…</t>
  </si>
  <si>
    <t>Hello BK! NYCHA Digital Van is at Brownville Houses until 4pm. Free WiFi &amp;amp; computer access https://t.co/MZHmTpDUll</t>
  </si>
  <si>
    <t>Our caretakers who opted for early AM #FlexOps shifts are keeping it clean at #Dyckman Houses in #Inwood! https://t.co/5nJT7QNU3K</t>
  </si>
  <si>
    <t>RT @JeanBWeinberg: .@NYCHA Chair @SholaOlatoye hearing from employees who volunteered for new 6am shift at Murphy Consolidated in Bx https:…</t>
  </si>
  <si>
    <t>RT @JeanBWeinberg: New voluntary 6am shift debuts @NYCHA 's Murphy Consolidated w/@SholaOlatoye @Teamsters local 237 #NextGenNYCHA https://…</t>
  </si>
  <si>
    <t>#FlexOps partnership w/ @Teamsters Local 237: greater flexibility for residents + staff, key part of #NextGenNYCHA</t>
  </si>
  <si>
    <t>Caretakers at Dyckman, Isaacs, Murphy, Hammel, Ravenswood, can opt for staggered #FlexOps shifts covering early AM or early PM.</t>
  </si>
  <si>
    <t>Residents can schedule repairs as late as 7:30p M-F at Murphy + Forest Houses in the #Bronx. Call CCC or use #MyNYCHA to schedule. #FlexOps</t>
  </si>
  <si>
    <t>At #FlexOps developments like Murphy, property management office open until 8pm 1 day/wk. #FlexOps</t>
  </si>
  <si>
    <t>Staggered #FlexOps shifts means getting off early to pick a child up from school or starting a later shift to drop a child off at school.</t>
  </si>
  <si>
    <t>.@Teamsters Local 237 members working at #FlexOps developments have option to take advantage of staggered shifts.</t>
  </si>
  <si>
    <t>A milestone this AM! Thx to partnership w/ @Teamsters Local 237, residents at select developments to be served by expanded hours. #FlexOps</t>
  </si>
  <si>
    <t>RT @JeanBWeinberg: .@SholaOlatoye greeting @NYCHA employees @ Murphy Consolidated. New 6am voluntary shift begins w/Teamsters Local 237 htt…</t>
  </si>
  <si>
    <t>“PACT is the primary tool @NYCHA has to show people they're no longer #NYC's forgotten residents.” @DRichards13 https://t.co/xMN1wqSSCF</t>
  </si>
  <si>
    <t>Catisha Collins reminds us: best practices keep us working safely #NextGenNYCHA #IamNextGen https://t.co/dgz6hzCXgB https://t.co/Te02V383Gx</t>
  </si>
  <si>
    <t>Today we celebrate our ideals not just as @NYCHA Residents, but as New Yorkers &amp;amp; Americans. Happy July 4th everyone! https://t.co/gQL2ADCzPl</t>
  </si>
  <si>
    <t>"PACT is good news for The #Bronx. I look forward to working w/ @NYCHA to improve conditions there." @rubendiazjr https://t.co/xMN1wqSSCF</t>
  </si>
  <si>
    <t>“We're all partners in safety”, Catisha Collins maint dept. in MNH #NextGenNYCHA #IamNextGen https://t.co/dgz6hzCXgB https://t.co/HXxxGrsFy7</t>
  </si>
  <si>
    <t>“Facing such federal disinvestment, PACT is the best tool we have to make these repairs at @NYCHA .” @RitchieTorres https://t.co/xMN1wqSSCF</t>
  </si>
  <si>
    <t>Catisha Collins always looks out for her fellow employees! #NextGenNYCHA #IamNextGen https://t.co/dgz6hzCXgB https://t.co/NYccECgC2t</t>
  </si>
  <si>
    <t>ICYMI Chair @SholaOlatoye intros our PACT to repair + preserve #publichousing https://t.co/vwppBcm5Mw #NextGenNYCHA https://t.co/kQ73qHusqz</t>
  </si>
  <si>
    <t>RT @rosefellowship: Our first day-to-day life series on @NextCityOrg about the @rosefellowship. Check out Jae Shin's experience @NYCHA
htt…</t>
  </si>
  <si>
    <t>RT @OnPointSecNYC: Happy #4thOfJuly #IndependenceDay wknd and a fun safe holiday! #astoria #AQ #streetart #united #humanfamily @NYCHA https…</t>
  </si>
  <si>
    <t>.@npratc reports on @NYCHA Pilot Program that Helps Former Convicts Find #Housing: https://t.co/Go8uh4wZFu @verainstitute #housingpolicy</t>
  </si>
  <si>
    <t>“PACT will help @NYCHA preserve the long-term affordability &amp;amp; tenant protections in #NYC” Holly Leicht of @HUDNY_NJ https://t.co/xMN1wqSSCF</t>
  </si>
  <si>
    <t>"PACT will stregthen our ability to improve the quality of life for our residents." --@SholaOlatoye https://t.co/xMN1wqSSCF</t>
  </si>
  <si>
    <t>Bravo to maintenance worker Catisha Collins! #NextGenNYCHA #IamNextGen https://t.co/dgz6hzCXgB https://t.co/bgHVhSDmZP</t>
  </si>
  <si>
    <t>"Feels like 'a moment of serendipity.' ” - @RitchieTorres  https://t.co/d7fMaa5XES</t>
  </si>
  <si>
    <t>RT @nycgob: .@NYCHA está buscando residentes para ser miembros de su junta! Aprenda más sobre esta increíble oportunidad en: https://t.co/l…</t>
  </si>
  <si>
    <t>PACT is #NYC's version of #RAD, a program started by the Obama Administration &amp;amp; @HUDgov  to preserve public housing https://t.co/kQ73qHusqz</t>
  </si>
  <si>
    <t>Visit the Digital Van at Lexington/Washington houses on 3rd Ave today 10a-4p. Free WiFi and Internet in #Harlem https://t.co/MZHmTpDUll</t>
  </si>
  <si>
    <t>@Crystalgoddess9 or for help with a transfer. Thank you for following @NYCHA. (3/3)</t>
  </si>
  <si>
    <t>@Crystalgoddess9 Please call our Customer Contact Center at 718-707-7771 with any concerns you may have regarding repairs in your unit (2/3)</t>
  </si>
  <si>
    <t>@Crystalgoddess9 Hello Here at NYCHA we strive to provide safe, affordable housing for all residents. (1/3)</t>
  </si>
  <si>
    <t>Now Recruiting Resident board members! Learn more about this amazing opportunity: https://t.co/hjhADoffqS</t>
  </si>
  <si>
    <t>Chair @SholaOlatoye introduces our PACT to repair and preserve public housing. https://t.co/vwppBcm5Mw #NextGenNYCHA https://t.co/Ym9ojzMETx</t>
  </si>
  <si>
    <t>We just hit 18K followers on Twitter. That was fast! Thank you! #SocialMediaDay</t>
  </si>
  <si>
    <t>We look forward to working w/ partners—@NYCHousing @RitchieTorres HDC @bfcpartners @sageusa to see this project become a reality.</t>
  </si>
  <si>
    <t>New 100% affordable senior housing + a new safe space for our aging #LGBTQ population.</t>
  </si>
  <si>
    <t>Ingersoll Senior will be a model for inclusive affordable housing for all seniors #Pride</t>
  </si>
  <si>
    <t>Fact: low-income #LGBT seniors have very few services available. #Pride</t>
  </si>
  <si>
    <t>We agree w/residents: need more affordable housing in NYC for #seniors in the communities they’ve called home for years.</t>
  </si>
  <si>
    <t>We’re celebrating partnership:  new affordable senior housing + senior center + #LGBTQ elder services coming to Fort Greene</t>
  </si>
  <si>
    <t>RT @sageusa: NYC Housing Ventures to Set Out a Welcome Mat for LGBT Seniors https://t.co/0NkZc6GEJq #SAGEHousing #LGBTHousing @NYCHA @NYCHo…</t>
  </si>
  <si>
    <t>Happy #SocialMediaDay! Thank you to all of our Twitter followers. Will you be our 18,000th follower? Just two away!</t>
  </si>
  <si>
    <t>RT @ric_shark: Another miracle, standing with Chair &amp;amp; CEO of @NYCHA Ms. @SholaOlatoye . Believing is the beginning.@NYCMayorsOffice https:/…</t>
  </si>
  <si>
    <t>RT @FreyWfrey: Great piece by @JudiKende and @NYULMCpophealth about the need to invest in @NYCHA to improve public health https://t.co/ABc3…</t>
  </si>
  <si>
    <t>@_mjwilliams_ Wow, those don't need to be on in the middle of the day. When and where was the video taken? Gowanus?</t>
  </si>
  <si>
    <t>New mural at St. Nicholas Houses! THX @GswellMural @samurye_sid Mr. Rodriguez &amp;amp; resident teens. https://t.co/tlVgGdiExw</t>
  </si>
  <si>
    <t>@transalt @MTA @JimmyVanBramer Apologies. We will take corrective action.</t>
  </si>
  <si>
    <t>RT @NYCHA_Arts: @NYCHA staff talk safety at the 2016 Safety Symposium... Because "accidents are no accident". https://t.co/ustxTG2Vtj</t>
  </si>
  <si>
    <t>#TBT In June 26, 2000, @HillaryClinton visited these young @NYCHA residents w/ Sgt. at Arms Richard Hogan! https://t.co/vPCqS2hn08</t>
  </si>
  <si>
    <t>RT @nycgob: TÚ podrías ser elegido p/ entrenar con superestrellas de #fútbol en @FoxSoccerAcadNY! https://t.co/4rq8KRKpDV https://t.co/m2Ih…</t>
  </si>
  <si>
    <t>RT @nycHealthy: Today is the LAST DAY to sign up for free nicotine patches and gum. You can quit smoking! https://t.co/jRtX7STgNS https://t…</t>
  </si>
  <si>
    <t>Need to use a computer? A NYCHA Digital Van will also be at St Nicholas Houses in Manhattan until 4pm: https://t.co/MZHmTpDUll</t>
  </si>
  <si>
    <t>@GOD_HASSPOKEN47 Hello. These monthly meetings are open to the public. The next one is 7/27. For more info, visit https://t.co/HIJ5TZOSMy</t>
  </si>
  <si>
    <t>RT @JudiKende: Enterprise was pleased to partner w @NYULMCpophealth calling for funding to make public housing healthy https://t.co/dfvvYD8…</t>
  </si>
  <si>
    <t>RT @nycgob: Quieres enseñar #reciclaje a residentes de @NYCHA? Inscríbete para servir con @NYCService en DSNY: https://t.co/grc7jRawoL @NYC…</t>
  </si>
  <si>
    <t>RT @GreenCityForce: TY staff of @JRMConstruction for visiting our corps at #RedHook @NYCHA Farm last week! #UrbanAgricultureInitiative http…</t>
  </si>
  <si>
    <t>43% de estudiantes, pero sólo 8.3 de maestros, son varones latinos, asiáticos o afroamericanos: https://t.co/4xSG4eMOdo @NYCHA #NYCMenTeach</t>
  </si>
  <si>
    <t>RT @Enterprise_NYC: Public housing and Public health https://t.co/gZKOuiNXrt @JudiKende @NYCHA @MarcGourevitch @NYULMCpophealth @thehill</t>
  </si>
  <si>
    <t>RT @JeanBWeinberg: Public housing &amp;amp; Public health via @JudiKende @Enterprise_NYC : https://t.co/nMpXA9AJZ3 cc: @NYCHA @SholaOlatoye</t>
  </si>
  <si>
    <t>Happening now: NYCHA Board Meeting. Watch the video livestream https://t.co/Ly79zhY01H</t>
  </si>
  <si>
    <t>RT @HUDNY_NJ: .@WNYC @cynrod on @NYCHA plan to preserve 5,000 #publichousing units w/HUD Rental Assistance Demonstration: https://t.co/YWwh…</t>
  </si>
  <si>
    <t>Tune in LIVE to the video livestream of today's board meeting at 10:15am. View here: https://t.co/Ly79zhY01H</t>
  </si>
  <si>
    <t>RT @NYCHousing: @NYCHA &amp;amp; HPD release a RFP for 100% #affordablehousing in Mott Haven, South Bronx https://t.co/Cnt91fSd2M https://t.co/TFCs…</t>
  </si>
  <si>
    <t>RT @JeanBWeinberg: ICYMI: @NYCHA @SholaOlatoye Plans Sustainable Heat &amp;amp; Power System for Red Hook Houses via DNAinfo https://t.co/9Yx1RYhVs…</t>
  </si>
  <si>
    <t>Did you know we livestream our board meetings? Watch live at 10:15am: https://t.co/Ly79zhY01H</t>
  </si>
  <si>
    <t>You wired? Go to the Digital Van @ Drew Hamilton Houses. Complete schedule here: https://t.co/MZHmTpDUll</t>
  </si>
  <si>
    <t>RT @nycgob: Ayuda a aprovechar #áreasverdes de Wald Houses como asociado junto a @designtrustnyc. Solicita en: https://t.co/q84xHxQyDY @NYC…</t>
  </si>
  <si>
    <t>Learn more about our “do’s and don’ts” fire safety tips, courtesy of @FDNY https://t.co/6g5VFt2Djs   #SafeNYCHA https://t.co/2BkWzuXFAk</t>
  </si>
  <si>
    <t>RT @weact4ej: .@NYCHA seeking proposals for a energy microgrid for 28 buildings with 6,300 people on 39 acres in #Brooklyn https://t.co/z9z…</t>
  </si>
  <si>
    <t>.@NYCHA + @NYCHousing announce new affordable housing plan for seniors https://t.co/kGnKbxeIv7</t>
  </si>
  <si>
    <t>Attn NYCHA residents: The time is now. Let your voice be heard. Become a NYCHA Resident Board Member today! https://t.co/D5duvRXGm2</t>
  </si>
  <si>
    <t>Happy to say that Safety Associate Michael Iglesias is #NextGenNYCHA #IamNextGen https://t.co/dgz6hzCXgB https://t.co/0z0MYbvIom</t>
  </si>
  <si>
    <t>Do you live in @NYCHA &amp;amp; want to make a difference in your community? Become a NYCHA Resident Board Member. More https://t.co/hjhADoffqS</t>
  </si>
  <si>
    <t>.@News12BX reports: New Joint @NYCHA - @FDNY Fire Safety Initiative. Learn more https://t.co/6g5VFt2Djs #SafeNYCHA https://t.co/2BkWzuXFAk</t>
  </si>
  <si>
    <t>RT @SiteCompli: It's #NationalSafetyMonth! Learn how to stay ALIVE w/ @NYCHA and @FDNY safety tips https://t.co/WSRzZRnPR6</t>
  </si>
  <si>
    <t>You could be selected to join @FoxSoccerAcadNY &amp;amp; train w/ #soccer stars! Deadline 6/30 https://t.co/3n3o7gncfQ https://t.co/wV77repJyo</t>
  </si>
  <si>
    <t>RT @ShareForLifeNYC: "When we stick together, we #Prosper together!" #Brotherhood #Sisterhood Keep the #Community together! @NYCHA https://…</t>
  </si>
  <si>
    <t>RT @AjaWorthyDavis: .@Princeton Architect Helping Design #NextGenNYCHA https://t.co/Y3Au8lE6bp @NYCHA</t>
  </si>
  <si>
    <t>Live in the Bronx &amp;amp; need to use a computer? Visit our digital van today at Webster Houses https://t.co/dmzu8keRPG</t>
  </si>
  <si>
    <t>ICYMI, @NYCHA residents! Check out these Fire Safety tips courtesy of @FDNY! https://t.co/6g5VFt2Djs https://t.co/3TgOxrzehA</t>
  </si>
  <si>
    <t>.@NYCHA residents! Check out these Fire Safety tips courtesy of @FDNY &amp;amp; our new initiative! https://t.co/6g5VFt2Djs https://t.co/knzL1BWdVD</t>
  </si>
  <si>
    <t>ICYMI, @NYCHA and @FDNY Teaming Up for Fire Safety Workshops https://t.co/mWfuTjhiwq</t>
  </si>
  <si>
    <t>.@NYCHA residents! Check out these Fire Safety tips courtesy of @FDNY &amp;amp; our new initiative! https://t.co/6g5VFt2Djs https://t.co/Z6ZMJuvQP4</t>
  </si>
  <si>
    <t>.@NY1 reports: @NYCHA &amp;amp; @FDNY Team Up for Fire Safety Workshops #NationalSafetyMonth https://t.co/mWfuTjhiwq</t>
  </si>
  <si>
    <t>RT @AjaWorthyDavis: @NYCHA Plans Sustainable Heat and Power System for Red Hook Houses #NextGenNYCHA https://t.co/QLanktypUT (via @nkvenugo…</t>
  </si>
  <si>
    <t>RT @nycgob: Escuelas, parques, piscinas, #bibliotecas y @NYCHA ofrecerán comidas gratis de verano!! https://t.co/xH6mtIf0QD @NYCSchools #Fr…</t>
  </si>
  <si>
    <t>Take a look at our Fire Safety Tips from @FDNY for #NationalSafetyMonth https://t.co/6g5VFt2Djs https://t.co/ZNTdfYp5W5</t>
  </si>
  <si>
    <t>Michael Iglesias, Manhattan's plumber’s helper, is #NextGenNYCHA! #IamNextGen https://t.co/dgz6hzCXgB https://t.co/PYXIXV5FFP</t>
  </si>
  <si>
    <t>RT @nycgob: Hoy es el último día para solicitar la #beca de @NYCHA y #CUNY. Aprovechemos el tiempo... https://t.co/mNK86XLtSQ https://t.co/…</t>
  </si>
  <si>
    <t>RT @nycgob: Vea oportunidades de capacitación y empleo de Sección 3 para residentes de @NYCHA en: https://t.co/AscsyNRKbN</t>
  </si>
  <si>
    <t>RT @NYPDPSA7: Hey @NYCHA res! Farm Markets are open in the #SouthBronx. Check out the interactive map!
https://t.co/fjOTVKO8WJ https://t.co…</t>
  </si>
  <si>
    <t>BK: Need internet? Visit one of our digital vans at Stuyvesant Gardens Senior Center - 150 Malcolm X Blvd https://t.co/dmzu8keRPG</t>
  </si>
  <si>
    <t>Bronx: You have to check out @NYCHA's mobile computer lab! Visit one of our digital van's today at Mitchel Houses https://t.co/dmzu8keRPG</t>
  </si>
  <si>
    <t>@AmyLangfield Thanks for letting us know. Where were these photos taken?</t>
  </si>
  <si>
    <t>.@NYCHA employees represent at #NYCPride today! #NYCHAPRIDE2016 #Pride2016 https://t.co/IiuXqROkPS</t>
  </si>
  <si>
    <t>We're looking for qualified residents to serve on the NYCHA board. Learn more: https://t.co/hjhADoffqS</t>
  </si>
  <si>
    <t>#NextGenNYCHA is looking good thanks to people such as Michael Iglesias #IamNextGen https://t.co/dgz6hzCXgB https://t.co/alg4T59THU</t>
  </si>
  <si>
    <t>RT @NYCzerowaste: Hop over to the SAFE Disposal event today @TeachersCollege before 4pm with paints, cleaning products or electronics. http…</t>
  </si>
  <si>
    <t>RT @NYCSchools: Schools, parks, pools, libraries &amp;amp; @NYCHA facilities will provide #FreeSummerMeals! → https://t.co/yeIlIDQIAZ</t>
  </si>
  <si>
    <t>Congrats to Mr.Michael Iglesias, a plumber’s helper in Manhattan! #NextGenNYCHA IamNextGen https://t.co/dgz6hzCXgB https://t.co/W4Ag11RdX9</t>
  </si>
  <si>
    <t>Calling all @NYCHA residents! Now is your chance. Apply to be on a NYCHA board member! https://t.co/hjhADoffqS</t>
  </si>
  <si>
    <t>RT @mayorsCAU: Beautifying our neighborhood! Marcy Clean-Up Day 2O16 #MarcyHouses #Brooklyn @NYCHA @RobertCornegyJr @SholaOlatoye https://t…</t>
  </si>
  <si>
    <t>#BK residents: Learn about the @FDNY + participate in family fun &amp;amp; games! See flyer for full details. https://t.co/JxkLuRfH7v</t>
  </si>
  <si>
    <t>LAST DAY - Final chance! Apply to get your NYCHA-CUNY Scholar before it's too late! https://t.co/qvOfhB533z https://t.co/AXJY4lXKXt</t>
  </si>
  <si>
    <t>Happy #Pride2016, NYC! @nycHealthy reminds all New Yorkers to #PlaySure to prevent HIV: https://t.co/ulZpVd08TO https://t.co/JGDC1EnC9a</t>
  </si>
  <si>
    <t>RT @DRichards13: With our amazing @NYCHA Chair @SholaOlatoye and resident leaders celebrating resilency and sustainability. #OceanBay https…</t>
  </si>
  <si>
    <t>RT @DRichards13: $67 million History in the Roc! Breaking ground on the largest FEMA allocation in history at the Ocean Bay Houses. https:/…</t>
  </si>
  <si>
    <t>One more day! Apply to the NYCHA-CUNY Scholarship. https://t.co/qvOfhB533z https://t.co/FFvjtq6Q72</t>
  </si>
  <si>
    <t>RT @DNRosario: JoAnne @thefortunesoc discussing @NYCHA Pilot program helping Fortune to reunite families. #FairChanceAtHousing https://t.co…</t>
  </si>
  <si>
    <t>RT @rhookinitiative: Apply today for RHI's Local Leaders! Training for Red Hook @NYCHA residents ensures #preparedness #resiliency. https:/…</t>
  </si>
  <si>
    <t>RT @dzarrilli: Today's groundbreaking continues the work of adapting @NYCHA against the risks of #climatechange. https://t.co/dTZ3SUCAXU @N…</t>
  </si>
  <si>
    <t>#NYCHAStrong https://t.co/BCKmCPKIZF</t>
  </si>
  <si>
    <t>RT @dzarrilli: Marking another critical #OneNYC milestone: the first groundbreaking on $3b @NYCHA #resiliency program. @NYClimate https://t…</t>
  </si>
  <si>
    <t>RT @SPUCOTD: Recovery and resiliency for NYCHA communities resonates as opportunities for NYCs next generations. https://t.co/qycopMGRaq</t>
  </si>
  <si>
    <t>@cintimha Thanks for the Cincinnatian love!</t>
  </si>
  <si>
    <t>RT @Khanambano: Shovels in the ground to make Oceanbay-Oceanside resilient &amp;amp; #NYCHAstrong @NYCHA @SenSchumer @SholaOlatoye #FarRock https:/…</t>
  </si>
  <si>
    <t>For more information regarding @NYCHA's Recovery to Resiliency efforts, please visit https://t.co/FSWCc0gPz2 #NYCHAStrong</t>
  </si>
  <si>
    <t>RT @TheWaveNews: @drichards13 talkiing about NYCHA at Ocean Bay Houses #Rockaway https://t.co/DockRI8Mmf</t>
  </si>
  <si>
    <t>.@BilldeBlasio, @SenSchumer to hard-hit, Sandy-impacted @NYCHA residents: "There’s more help where this came from." #NYCHAStrong</t>
  </si>
  <si>
    <t>RT @DMAliciaGlen: With @SenSchumer @NYCHA to make our public housing more resilient. Largest grant in FEMA history at work. https://t.co/gK…</t>
  </si>
  <si>
    <t>RT @TheWaveNews: @senschumer in #Rockaway to applaud NYCHA Grant from fema @ Arverne View https://t.co/s1BFintCYS</t>
  </si>
  <si>
    <t>For more info on​ @NYCHA's Section 3 job opportunities/training, see https://t.co/vOa0PuZn4u</t>
  </si>
  <si>
    <t>More than 110 @NYCHA residents have been employed through Section 3 on Sandy-related contracts at @NYCHA developments. ​#NYCHAStrong</t>
  </si>
  <si>
    <t>A priority of our reconstruction + resiliency centers is resident engagement, including providing training &amp;amp; job opportunities #NYCHAStrong</t>
  </si>
  <si>
    <t>To date, more than $396M in other federal disaster assistance &amp;amp; insurance payments have funded pre-construction work. #NYCHAStrong</t>
  </si>
  <si>
    <t>Using the best available science, innovative design and cutting-edge technology, @NYCHA is building back stronger than ever #NYCHAStrong</t>
  </si>
  <si>
    <t>Funding is part of @BilldeBlasio​'s larger interagency effort to provide $20B across #NYC to Sandy damaged areas. #NYCHAStrong @NYClimate</t>
  </si>
  <si>
    <t>$67 mil in recovery + resiliency work underway + renderings &amp;amp; a project description can be viewed at https://t.co/JzPS06MV9x  #NYCHAStrong</t>
  </si>
  <si>
    <t>“NYCHA is putting FEMA’s historic investment to work. Will preserve public housing for this &amp;amp; next generation.” —@SholaOlatoye #NYCHAStrong</t>
  </si>
  <si>
    <t>RT @JeanBWeinberg: .@SholaOlatoye talking roofs behind the scenes with construction manager pre-press conference @NYCHA https://t.co/S7u28a…</t>
  </si>
  <si>
    <t>Ocean Bay-Oceanside is home to more than 400 families, &amp;amp; was hard hit by Hurricane Sandy. #NYCHAStrong</t>
  </si>
  <si>
    <t>RT @Khanambano: Ground breaking at Oceanbay-Oceanside. @NYCHA's major Sandy recovery project is underway. @SholaOlatoye https://t.co/M4vzR8…</t>
  </si>
  <si>
    <t>Happening now! @SholaOlatoye speaking at groundbreaking in #Rockaways thx to largest @fema grant ever. #NYCHAStrong https://t.co/BBwIQ6z19H</t>
  </si>
  <si>
    <t>This groundbreaking marks the beginning of roof replacement, improvements + security upgrades at Ocean Bay-Oceanside #NYCHAStrong</t>
  </si>
  <si>
    <t>.@FEMA grant was secured by @BilldeBlasio @SenSchumer @GregoryMeeks + NY Congressional Delegation. #NYCHAStrong</t>
  </si>
  <si>
    <t>This groundbreaking marks 1st of 33 major public housing recovery + resiliency projects funded by the historic $3B from @fema</t>
  </si>
  <si>
    <t>It marks the 1st Funded Project of a $3B @fema grant, the largest in US history. #NYCHAStrong https://t.co/1UB4HijbSp</t>
  </si>
  <si>
    <t>.@BilldeBlasio @DMAliciaGlen @SholaOlatoye @SenSchumer @GregoryMeeks break ground on $87M #Sandy Recovery+Resilency project in Rockaways</t>
  </si>
  <si>
    <t>Proud of Safety Associate Michael Iglesias for being a part of #NextGenNYCHA! #IamNextGen https://t.co/dgz6hzCXgB https://t.co/4UhN9wHdIU</t>
  </si>
  <si>
    <t>Major announcement on Sandy recovery at 2:30p! #NYCHAStrong @SenSchumer @GregoryMeeks @DMAliciaGlen @NYClimate @JSandersNYC @DRichards13</t>
  </si>
  <si>
    <t>You could be selected to join @FoxSoccerAcadNY &amp;amp; train w/ #soccer stars! Deadline 6/30 https://t.co/3n3o7gncfQ</t>
  </si>
  <si>
    <t>RT @helloarchitexx: Excellent profile of Jae Shin, design fellow w/ @NYCHA on @CurbedNY ! https://t.co/pAAfQV6jRM #womeninarchitecture #arc…</t>
  </si>
  <si>
    <t>On Sunday, come out to @FDNY’s even at Breukelen Playgrounds! Learn about NYC’s bravest w/ games + family fun! https://t.co/AwRWuMVhcz</t>
  </si>
  <si>
    <t>RT @bomee: TY 4 supporting RH #microgrid @BPEricAdams @NydiaVelazquez @Felixwortiz @cmenchaca @BrooklynCB6@rhookinitiative https://t.co/dOr…</t>
  </si>
  <si>
    <t>RT @redhookhub: Apply today for #RedHook Local Leaders @rhookinitiative ! Training for Red Hook NYCHA residents #prepare #resiliency https:…</t>
  </si>
  <si>
    <t>Digital Vans scheduled at Claremont Rehab III today are delayed. Full schedule: https://t.co/dmzu8keRPG</t>
  </si>
  <si>
    <t>Come to Bushwick Houses for free internet access! Come find our Digital Van. Learn more: https://t.co/dmzu8keRPG</t>
  </si>
  <si>
    <t>RT @BilldeBlasio: Tonight, @Chirlane and I kick off #NYCPride at @QueensMuseum. On Sunday, we MARCH. Join us: https://t.co/qBYdkgsohJ</t>
  </si>
  <si>
    <t>RT @nycgob: Traiga pintura y electrónicos viejos al #SAFEdisposal de Manhattan este domingo en @TeachersCollege. https://t.co/sv3WftACsY @N…</t>
  </si>
  <si>
    <t>Deadline June 25! Apply to the NYCHA-CUNY Scholarship. https://t.co/qvOfhB533z https://t.co/UnZKfVQf1b</t>
  </si>
  <si>
    <t>RT @GreenCityForce: 3 garden beds built yesterday by our corps at @NYCHA Wagner Houses Farm in #EastHarlem! #UrbanAgricultureInitiative htt…</t>
  </si>
  <si>
    <t>RT @nycgob: Beca para residentes de @NYCHA que estudian en #CUNY: https://t.co/xKuopkduYK https://t.co/j0lt8ga7qM</t>
  </si>
  <si>
    <t>@soso_blue @SholaOlatoye @NYCHA_Tenants @nyc311 FYI, the link in the DM was https://t.co/WUmiGXAVtp</t>
  </si>
  <si>
    <t>RT @NYCDCA: #Bronxites can get @IDNYC card at pop-up enrollment center @SpringBankNY (69 E167th St)! https://t.co/0amr2GYIAN https://t.co/N…</t>
  </si>
  <si>
    <t>&amp;gt;3500 residents placed into jobs + more than 5900 residents achieved at least 1 financial or educational outcome.</t>
  </si>
  <si>
    <t>Since launching Jobs-Plus in 2009, the program has grown from 1 to 9 centers.</t>
  </si>
  <si>
    <t>9 Jobs-Plus Centers serve &amp;gt;24 developments, offering residents quality services. @BSRC  @BronxWorks @EastSideHouse33 @UrbanUpboundJP</t>
  </si>
  <si>
    <t>Jobs-Plus: collaborative w/ @NYCOpportunity @NYCHRA @NYCDCA that's one of most successful workforce development programs we participate in.</t>
  </si>
  <si>
    <t>@soso_blue @SholaOlatoye @NYCHA_Tenants Hi. We also sent DM regarding this matter. Plz contact @nyc311 + report to your PM office directly</t>
  </si>
  <si>
    <t>Proud of Bayview Houses' Advanced Safety Associate Cephas Suber! #IamNextGen #NextGenNYCHA https://t.co/IVVOWG1LWv https://t.co/D1o5nQUS0J</t>
  </si>
  <si>
    <t>RT @bomee: @NYCHA Red Hook residents will soon get #cogen #migrogrid propsed in @NYPAenergy 2014 study https://t.co/dOr5rNUNYa https://t.co…</t>
  </si>
  <si>
    <t>#TBT Four ladies play cards at the #Sunnyside CC in #Queens.  #Timewarp https://t.co/NYXjcbBrdS</t>
  </si>
  <si>
    <t>RT @RitchieTorres: TY @NYCHA for having me at your 1st LGBT Employee Association #Pride2016 event. https://t.co/ZaMIejh2i7</t>
  </si>
  <si>
    <t>RT @SholaOlatoye: .@NYCHA proud 2 host 1st annual LGBTQ employee Pride event! #LoveIsLove https://t.co/VHOvp9hPpR</t>
  </si>
  <si>
    <t>Bk! Go to Marcy Houses for free internet at our Digital Van. Learn more https://t.co/dmzu8keRPG</t>
  </si>
  <si>
    <t>Need internet access Bronx? Visit our Digital Van today at Edenwald at 1145 East 229th Street https://t.co/dmzu8keRPG</t>
  </si>
  <si>
    <t>RT @BrooklynCB6: #RedHook is getting more resilient thanks to @NYCHA's investment in Red Hook East and West Houses. https://t.co/zid5VTmqh2</t>
  </si>
  <si>
    <t>Just a few more days left! Apply to the NYCHA-CUNY Scholarship. https://t.co/qvOfhB533z https://t.co/lnuHNOnMm6</t>
  </si>
  <si>
    <t>RT @bomee: Just posted - announcing the Red Hook microgrid and cogeneration RFP. Pre-bid presentation is June 29! https://t.co/dOr5rNUNYa</t>
  </si>
  <si>
    <t>.@MadeinNY’s inaugural 'Broadway in the Boros' show is Friday in #StatenIsland Hope to see you there #OnStatenIsland https://t.co/icAtpEhpdL</t>
  </si>
  <si>
    <t>Monique Johnson knows that #NextGenNYCHA means working w/ residents to improve @NYCHA. https://t.co/LwpIFSonEH https://t.co/od9cMzKvPy</t>
  </si>
  <si>
    <t>ICYMI, Meet Cephas Suber, @NYCHA Advanced Safety Associate #IamNextGen #NextGenNYCHA https://t.co/IVVOWG1LWv https://t.co/3FTnD2ynap</t>
  </si>
  <si>
    <t>Scholarship for NYCHA residents who are also CUNY students https://t.co/HN0dqJdOgK https://t.co/HRuYkroGx4</t>
  </si>
  <si>
    <t>RT @GrowNYC: Live @NYCHA? Join the Environmental Ambassadors &amp;amp; improve recycling in your community. https://t.co/wNda9Rn7NK https://t.co/m1…</t>
  </si>
  <si>
    <t>RT @JeanBWeinberg: .@SholaOlatoye w/@NYCHA leaders talking gender identity @NYCCHR @NYCMayorsOffice https://t.co/kkwggoodaO</t>
  </si>
  <si>
    <t>RT @HUDNY_NJ: @NYCHA @verainstitute#fairhousing #reentry https://t.co/of9d6U2KlW</t>
  </si>
  <si>
    <t>RT @nycgob: 238K + residentes de @NYCHA (59%) ya tienen acceso a servicios de #reciclaje! https://t.co/FXvd5Ag8a0 https://t.co/6B7jW4H3Xa @…</t>
  </si>
  <si>
    <t>RT @JeanBWeinberg: Thanks @TweetBenMax for your insightful questions @SholaOlatoye @NYCHA #latergram #crainsevents https://t.co/N841DLymzu</t>
  </si>
  <si>
    <t>RT @nycgob: California tiene #SiliconValley, pero #HowardHouses pronto tendrá “El Campus”. Más info: https://t.co/dVwI6YpeR1 @NYCHA</t>
  </si>
  <si>
    <t>Manhattan! Visit our Digital Van at East River (Also serving Wilson and Metro-North)
425 E 105th Street. https://t.co/dmzu8keRPG</t>
  </si>
  <si>
    <t>Hey Brooklyn! Visit our Digital Van today at Warren Street Houses – 572 Warren Street Between 3rd and 4 Ave.  https://t.co/dmzu8keRPG</t>
  </si>
  <si>
    <t>RT @theintersector: What effect is an increasing number of #partnerships having on @NYCHA's work? https://t.co/q1MXvJ8uft via @SavitchLew @…</t>
  </si>
  <si>
    <t>RT @verainstitute: We're grateful for our @NYCHA pilot partners who work to reunite families in public housing: https://t.co/Ditx9ruTZ1 htt…</t>
  </si>
  <si>
    <t>RT @NYCzerowaste: Educate @NYCHA staff and residents about recycling with an @NYCService position at DSNY! Apply today: https://t.co/uIU0OZ…</t>
  </si>
  <si>
    <t>RT @verainstitute: We're proud to have worked w/ @NYCHA to reunite 150 people who were once incarcerated w/ families in public housing: htt…</t>
  </si>
  <si>
    <t>RT @SholaOlatoye: @NYCHA @NYCMayorsOffice @HarlemRBI #nextgennycha  https://t.co/0bFmmVFfuK</t>
  </si>
  <si>
    <t>California may have the #SiliconValley, but @NYCHA's #HowardHouses will soon have “The Campus" - Learn more. https://t.co/fbFtX64VIF</t>
  </si>
  <si>
    <t>@JonMcL Hello. If illegally parked, report online: https://t.co/OMIb299w1Y . Or you can contact @nyc311 to report a #NYC vehicle issue w/rep</t>
  </si>
  <si>
    <t>RT @Enterprise_NYC: Enterprise spoke with @CityLimitsNews about our #ProgressMakers grant from @Citi Fdn &amp;amp; our work w/ @NYCHA https://t.co/…</t>
  </si>
  <si>
    <t>.@NYCDHS on #Periscope: Connecting families with anti-eviction and homelessness prevention in Brooklyn. https://t.co/i2M1GLWce4</t>
  </si>
  <si>
    <t>You could be selected to join @FoxSoccerAcadNY &amp;amp; train w/ #soccer stars! Deadline 6/30 https://t.co/3n3o7gncfQ https://t.co/O75RvQRkQk</t>
  </si>
  <si>
    <t>@HoyoFrio We're sry to hear that. Have you taken Have you taken any additional measures such as calling the CCC? The number is 718-707-7771</t>
  </si>
  <si>
    <t>“Everyone deserves to have a safe place to live." Cephas Suber #IamNextGen #NextGenNYCHA https://t.co/IVVOWG1LWv https://t.co/s6hhAol9fg</t>
  </si>
  <si>
    <t>RT @NYCzerowaste: 238,000+ @NYCHA residents (59%) now have access to recycling services! https://t.co/6u1Ssrl2In #progress https://t.co/BVZ…</t>
  </si>
  <si>
    <t>Assembly member @harris4assembly stands behind #NextGenNYCHA https://t.co/LwpIFSonEH https://t.co/nuGlqgD7Og</t>
  </si>
  <si>
    <t>Hey Bk! Visit our Digital Van today at Kingsborough – 3rd Walk between 1880 Pacific Street and Bergen Street! https://t.co/dmzu8keRPG</t>
  </si>
  <si>
    <t>Hey Bronx! Visit our Digital Van today at Morris Houses for free internet access! https://t.co/dmzu8keRPG</t>
  </si>
  <si>
    <t>RT @megoconnor13: NYCHA Chair Outlines Some Movement Up Steep Hill
https://t.co/qoysFQEbdT by @samarkhurshid, @GothamGazette</t>
  </si>
  <si>
    <t>RT @NYCImmigrants: This #WorldRefugeeDay, NYC is proud to continue our pledge to welcome refugees. #RefugeesWelcome  https://t.co/6HQ4FXFCxf</t>
  </si>
  <si>
    <t>RT @GreenCityForce: We can't wait to see how much #healthyfood our Corps Members &amp;amp; volunteers will grow @ the @NYCHA farms this summer! htt…</t>
  </si>
  <si>
    <t>ICYMI, @NY1 @errollouis Talks Public Safety in City's Public Housing Complexes. View here. https://t.co/2x6WVfqQkI</t>
  </si>
  <si>
    <t>Meet Cephas Suber, @NYCHA Advanced Safety Associate #IamNextGen #NextGenNYCHA https://t.co/IVVOWG1LWv https://t.co/6hhkeuserG</t>
  </si>
  <si>
    <t>RT @NYCSchools: Schools, parks, pools, libraries &amp;amp; @NYCHA facilities will provide #FreeSummerMeals! → https://t.co/yeIlIDQIAZ https://t.co/…</t>
  </si>
  <si>
    <t>RT @nycgob: ¿Vives en @NYCHA? Este es el momento de dejar oír tu voz. Postúlate como miembro de la Junta de residentes: https://t.co/lBYZ9A…</t>
  </si>
  <si>
    <t>RT @GrowNYC: Environmental Ambassadors Workshop exclusively 4 @NYCHA residents Tuesday near @smithhouses https://t.co/wNda9Rn7NK https://t.…</t>
  </si>
  <si>
    <t>ICYMI, @NYCHA residents: The time is now. Let your voice be heard. Become a NYCHA Resident Board Member https://t.co/hjhADoffqS</t>
  </si>
  <si>
    <t>.@NYCHA residents: The time is now. Let your voice be heard. Become a NYCHA Resident Board Member https://t.co/hjhADoffqS</t>
  </si>
  <si>
    <t>@MikeRosen1975 We miss you too! @BrGround is lucky to have you!</t>
  </si>
  <si>
    <t>RT @JerrelBurney: @SholaOlatoye give @GreenCityForce big shout out at community townhall hosted by @DRichards13 and @BilldeBlasio https://t…</t>
  </si>
  <si>
    <t>RT @SholaOlatoye: @NYCHA Sumner Residents Association #worktodo #nextgennycha https://t.co/IBV7opCXqn</t>
  </si>
  <si>
    <t>RT @Enterprise_NYC: .@NYCHA @HUDNY_NJ @CSSNYorg &amp;amp; resident assoc leaders explain why we need #RAD to help preserve public housing #PACT htt…</t>
  </si>
  <si>
    <t>Tomorrow! 13th annual Children’s Sports &amp;amp; Fitness Expo on 6/18 at Public School 92! Don't miss it! https://t.co/TqQTLe5yKL</t>
  </si>
  <si>
    <t>RT @SholaOlatoye: @NYCHA RAD stakeholder discussion led by RA leader from Oceanbay Bayside. #publichousingmatter #pact https://t.co/pROLYHp…</t>
  </si>
  <si>
    <t>RT @ElizabethWisman: Resident Assoc leaders, @SholaOlatoye @HUDNY_NJ explain the need 4 #RAD to preserve @NYCHA https://t.co/AJPiM7GSk1</t>
  </si>
  <si>
    <t>Happening now: resident + elected leaders learning about our #PACT. More info next week! #NextGenNYCHA #RAD https://t.co/kKeJKxhc61</t>
  </si>
  <si>
    <t>. @News12BX reports: Mayor Announces Major @NYCHA Safety Upgrades
https://t.co/8VzKHYgrMd</t>
  </si>
  <si>
    <t>.@News12BK reports: NYCHA Seeks to Rent More Space to Renters: https://t.co/SpAx9HIbqa</t>
  </si>
  <si>
    <t>RT @SholaOlatoye: @NYCHA @DCTVny #nextgennycha #pact https://t.co/q157QHruil</t>
  </si>
  <si>
    <t>@MomGOTgame Glad to hear you appreciate the aesthetics. The lights are even better than fluorescent. They're LED! :-)</t>
  </si>
  <si>
    <t>RT @GrowNYC: Live @NYCHA? Love your community? Become an Environmental Ambassador @smithhouses! https://t.co/wNda9Rn7NK</t>
  </si>
  <si>
    <t>RT @GreenCityForce: Thank you @Bomee for sharing the #nextgennycha plan w/ our Corps Members &amp;amp; alums at yesterday's #GCFYouthSummit! https:…</t>
  </si>
  <si>
    <t>RT @CurbedNY: Meet the young architect who's helping design the future of New York City's public housing. https://t.co/NBs9bQc6DA https://t…</t>
  </si>
  <si>
    <t>RT @ElevatorWorld: .@NY1 reports that @NYCHA has launched ads as part of a new elevator safety campaign. https://t.co/UShAFsWVgH #NYC https…</t>
  </si>
  <si>
    <t>.@NY1 Reports: Officials Announce Installation of New LED Fixtures at Bushwick Houses in Williamsburg https://t.co/HoBVlZPnCy</t>
  </si>
  <si>
    <t>RT @NYCMayoralPhoto: .@BilldeBlasio has dedicated $140M to reducing crime at @NYCHA as part of the Mayor’s Action Plan. https://t.co/qStxlc…</t>
  </si>
  <si>
    <t>#TBT is from Pink Houses Community Farm Opening Celebration last year! https://t.co/QpFIZsescB</t>
  </si>
  <si>
    <t>RT @BilldeBlasio: We keep our promises to @NYCHA residents. That's why we're investing in new lighting, youth programs and more. https://t.…</t>
  </si>
  <si>
    <t>RT @RitchieTorres: Please join us tonight to remember the #Orlando victims. BX Supreme Court steps @ 5pm. @rubendiazjr @JamesVacca13 https:…</t>
  </si>
  <si>
    <t>Showcasing tech + entrepreneurship in DC today! Become a NYCHApreneur at https://t.co/oqrTzioRst. #WorkerVoice https://t.co/TWLI6mwmKC</t>
  </si>
  <si>
    <t>RT @NYC_DOT: Tonight we're presenting #Wyckoff #MyrtleAve #nycplaza project to #Brooklyn CB4 at 6pm, Hope Gardens Center @NYCHA 195 Linden…</t>
  </si>
  <si>
    <t>RT @SholaOlatoye: @NYCHA @NYCMayorsOffice @CMReynoso34 New Lights at Bushwick. #nextgennycha #collaboration https://t.co/g4ZV5vbDdg</t>
  </si>
  <si>
    <t>RT @HerminiaPalacio: Mayor @BilldeBlasio, @NYCHA CEO @SholaOlatoye, @CMReynoso34 huddle to brainstorm w/ Tenant Assoc Pres Audrey Frasier h…</t>
  </si>
  <si>
    <t>RT @jdavidgoodman: .@BilldeBlasio shaking hands in Bushwick before news conference. "He's coming this way!" one excited girl shouted. https…</t>
  </si>
  <si>
    <t>RT @HerminiaPalacio: Lights on 4 safety! Mayor @BilldeBlasio &amp;amp; Commish @SholaOlatoye announce  new lights Bushwick Housing &amp;amp; more @NYCHA ht…</t>
  </si>
  <si>
    <t>RT @AjaWorthyDavis: "For the first time since the 80's we're replacing and moderning lights." - @BilldeBlasio at #NYCHA Bushwick Houses htt…</t>
  </si>
  <si>
    <t>RT @JeffCMays: .@BilldeBlasio announcing new lighting at @NYCHA developments. First new lighting at Bushwick Houses since the '80s. https:/…</t>
  </si>
  <si>
    <t>RT @TweetBenMax: All NYers want well-lit streets to walk, incl @NYCHA residents, Mayor says; 15 complexes w new lighting, incl Bushwick Hou…</t>
  </si>
  <si>
    <t>RT @NYCImmigrants: #DACA significa una licencia de conducir, un permiso de trabajo, y mantener unidas a nuestras familias. #DACAWorks https…</t>
  </si>
  <si>
    <t>Free event! 13th annual Children’s Sports &amp;amp; Fitness Expo on 6/18 at Public School 92. Don't miss out! https://t.co/KnH1DvMfpz</t>
  </si>
  <si>
    <t>RT @NYSYLC: Scholarship for @nycha residents who are also #cuny students, regardless of #immigration status https://t.co/B1VpBAyIMq #nycha…</t>
  </si>
  <si>
    <t>Our own @JeaniqueR will #StartTheConvo on tech + entrepreneurship for #WorkerVoice at #StateOfWomen summit in DC! https://t.co/xPUzycDGws</t>
  </si>
  <si>
    <t>RT @rasmiakf: Service, sustainability, training and justice. Great @GreenCityForce principals! #lovewhereyoulive @NYCHA</t>
  </si>
  <si>
    <t>RT @SholaOlatoye: @NYCHA @GreenCityForce so happy to be here! #GCFYOUTHSUMMIT #nextgennycha #drumcircle https://t.co/rOrjZ3WYP0</t>
  </si>
  <si>
    <t>RT @rasmiakf: @GreenCityForce Youth Summit. An incredibly powerful partnership w @NYCHA #lovewhereyoulove! https://t.co/ihxkA6vZFU</t>
  </si>
  <si>
    <t>Hey Harlem! Visit our Digital Van today at Jefferson Houses at 300 East 115th Street.  https://t.co/dmzu8keRPG</t>
  </si>
  <si>
    <t>Help @NYCHA Celebrate out 1st Annual Pride+Diversity Celebration. Arrive early! Event starts promptly at 6pm https://t.co/F6ddya0Vve</t>
  </si>
  <si>
    <t>RT @nycHealthy: Stress after trauma is normal, but it can negatively impact your body &amp;amp; mind: https://t.co/fxLcGj0DFj #WeAreOrlando https:/…</t>
  </si>
  <si>
    <t>RT @nycgob: Joven de @NYCHA: Tú podrías ser elegido para @FoxSoccerAcadNY y entrenar con estrellas de #fútbol! Solicita en: https://t.co/g9…</t>
  </si>
  <si>
    <t>RT @CrainsNewYork: #CrainsEvents: In 2 days @NYCHA’s CEO will discuss strategies to clear $17 billion repair backlog. Register now! https:/…</t>
  </si>
  <si>
    <t>RT @KakeMagic1: Fresh &amp;amp; Free: Mobile Markets at NYCHA » greenNYCHA https://t.co/zCr1fHtfwL</t>
  </si>
  <si>
    <t>You could be selected to join @FoxSoccerAcadNY &amp;amp; train w/ #soccer stars! Deadline 6/30 https://t.co/3n3o7gncfQ https://t.co/AxzTZXXV7R</t>
  </si>
  <si>
    <t>RT @nycgob: ¿Sabe cuál calificación de crédito necesita para un préstamo comercial? Mejore la suya en #MindMyBiz: https://t.co/bb0ftNMaip @…</t>
  </si>
  <si>
    <t>RT @bomee: @NYCHA will use state-of-shelf tech to get on #80x50 path https://t.co/xb7ZVbbhi7 #EarthDayEveryDay @NYCSustainable https://t.co…</t>
  </si>
  <si>
    <t>Young residents: you could be selected to join @FoxSoccerAcadNY &amp;amp; train w/ #soccer stars!  Apply today! https://t.co/l7LjPC9GIK</t>
  </si>
  <si>
    <t>Councilman @Costa4NY knows we must act in order to save #NYC public housing.  #NextGenNYCHA https://t.co/LwpIFSonEH https://t.co/tqzGMsVwvg</t>
  </si>
  <si>
    <t>Need to use a computer? A NYCHA Digital Van will also be at Jefferson Houses in Manhattan until 4pm: https://t.co/dmzu8keRPG</t>
  </si>
  <si>
    <t>Scholarship for @nycha residents who are also #cuny students https://t.co/mNDn4g3mGZ … #nychacuny</t>
  </si>
  <si>
    <t>Don’t miss #MindMyBiz on 6/14 at Carey Gardens and your chance to improve your credit and win a raffle prize. 6PM https://t.co/q6QeaMYNmv</t>
  </si>
  <si>
    <t>Do you know what credit score is needed for a business loan? Improve yours at #MindMyBiz: https://t.co/q6QeaMYNmv</t>
  </si>
  <si>
    <t>Join NYC at The Stonewall Inn today at 7 to honor victims of #Orlando #PulseShooting. https://t.co/gTV71sKvMO</t>
  </si>
  <si>
    <t>.@NYCHA Tech Up students to learn Adobe Creative Suite, video production, graphic design, basic coding + web design https://t.co/ieGptXdCu6</t>
  </si>
  <si>
    <t>Join NYC today in remembering victims of the #PulseShooting. Love and unity will always win. https://t.co/vBRErDWU2L</t>
  </si>
  <si>
    <t>Know someone who needs digital access? Well the Digital Van is at Ravenswood! #Queens https://t.co/dmzu8keRPG</t>
  </si>
  <si>
    <t>Wired?! Visit our Digital Van @ Jefferson - 300 East 115th Street! We're there until 4. Check out our full schedule: https://t.co/dmzu8keRPG</t>
  </si>
  <si>
    <t>So Proud of Rachael Terebo, NYCHA Safety Associate since 2013 #IamNextGen #NextGenNYCHA https://t.co/IVVOWG1LWv https://t.co/xowq7wXbAl</t>
  </si>
  <si>
    <t>ICYMI, Meet Rachael Terebo, Caretaker at #CooperParkHouses! #IamNextGen #NextGenNYCHA: https://t.co/IVVOWG1LWv https://t.co/BpEQ2bhL1p</t>
  </si>
  <si>
    <t>.@NYCHA Revamps Sec8 Voucher Process for Property Owners. Fast 3 = fast inspections&amp;amp;payments https://t.co/FcGTUA1K54 https://t.co/AdZ3MsyXwV</t>
  </si>
  <si>
    <t>RT @SholaOlatoye: @NYCHA John DiCarlo awardee - best caretaker! #nextgennycha #EmployeeEngagement https://t.co/IEhPweYUMN</t>
  </si>
  <si>
    <t>RT @nycgob: Le interesa avanzar su negocio? Venga al taller #gratis de #MindMyBiz el 14 de junio! Registro: https://t.co/V17WWZlftE @NYCHA</t>
  </si>
  <si>
    <t>Meet Rachael Terebo, Caretaker at #CooperParkHouses! #IamNextGen #NextGenNYCHA: https://t.co/IVVOWG1LWv https://t.co/vxU8xsPimH</t>
  </si>
  <si>
    <t>NYCHApreneur, Chef Sherri, caters #MindMYBiz at Carey Gardens, 6/14 at 6PM. Register Now. https://t.co/q6QeaMYNmv</t>
  </si>
  <si>
    <t>Happening on 6/14: Interested in moving your business forward? Attend a Free #MindMyBiz Workshop. Register https://t.co/cZXAdnhuTy</t>
  </si>
  <si>
    <t>You could be selected to join @FoxSoccerAcadNY &amp;amp; train w/ #soccer stars! Deadline 6/30 https://t.co/3n3o7gncfQ https://t.co/cVwcnrBtgv</t>
  </si>
  <si>
    <t>Wednesday, @NYCHA Chair+CEO Shola Olatoye caught up w/ Resident Association leaders &amp;amp; enjoyed the #HowardHousesFarm! https://t.co/hnO2yN9gq8</t>
  </si>
  <si>
    <t>.@JudiKende understands that @NYCHA needs to remain an essential springboard of opportunity for #NYC. #NextGenNYCHA https://t.co/LkjC6r6uC8</t>
  </si>
  <si>
    <t>Hello BK! Tell your friends about our Digi Van @ Kingsborough 3rd Walk, btw. 1880 Pacific &amp;amp; Bergen https://t.co/dmzu8keRPG</t>
  </si>
  <si>
    <t>RT @AskAngy: Scholarship for @nycha residents who are also #cuny students, regardless of #immigration status https://t.co/0WupVpTJpw #nycha…</t>
  </si>
  <si>
    <t>#TBT Mayor William O Dwyer &amp;amp; other city officials greet Chelsea residents on ribbon-cutting of #ElliotHouses https://t.co/PtQRWIolOF</t>
  </si>
  <si>
    <t>.@DRichards13 understands #NextGenNYCHA means better days ahead for our residents. More https://t.co/LwpIFSonEH https://t.co/TFvdEdK5tp</t>
  </si>
  <si>
    <t>“Everyone’s safety is important to me." Rachael Terebo. #IamNextGen #NextGenNYCHA https://t.co/IVVOWG1LWv https://t.co/D5saMGne2c</t>
  </si>
  <si>
    <t>@selphieny We're sorry to see this. Please DM us your ticket # for follow up. As this is an emergency repair, staff should be on their way</t>
  </si>
  <si>
    <t>RT @NY_Aff_Housing: @NYCHA Revamps Sec8 Voucher Process for Property Owners. Fast 3 = fast inspections&amp;amp;payments https://t.co/JIBkkHjMAo htt…</t>
  </si>
  <si>
    <t>Have you seen one of our Digital Vans? They're at Astoria Houses #Queens until 4pm https://t.co/dmzu8keRPG</t>
  </si>
  <si>
    <t>We spotted Hon. @RitchieTorres last week catching up on the latest issue of #OurJournal https://t.co/oyEsOMpl0Q https://t.co/caIL3V1YZV</t>
  </si>
  <si>
    <t>RT @SholaOlatoye: @NYCHA @GreenCityForce The clouds were rolling in but look at this farm! #howardhouses https://t.co/muEV5L6gc7</t>
  </si>
  <si>
    <t>.@CoreyinNYC supports to the plan to save NYC public housing. Learn more about #NextGenNYCHA https://t.co/LwpIFSonEH https://t.co/kjrRLVgfzp</t>
  </si>
  <si>
    <t>RT @SholaOlatoye: @NYCHA @Chuletagirl resident leaders at Howard Houses! #nextgennycha https://t.co/RnoCztovzY</t>
  </si>
  <si>
    <t>RT @SholaOlatoye: @NYCHA @GreenCityForce so impressed w/young these young leaders.#nextgennycha https://t.co/IDuaLWzGcP</t>
  </si>
  <si>
    <t>RT @SholaOlatoye: @NYCHA @GreenCityForce amazing partnerships &amp;amp; dynamic leaders at Howard. #BlackGirlMagic #nextgennycha https://t.co/Riyqa…</t>
  </si>
  <si>
    <t>RT @AjaWorthyDavis: Something that destroys communities turned into something positive-- go #NYCHA! https://t.co/cLWcoq3D5f(via @DartDClark)</t>
  </si>
  <si>
    <t>RT @nycgov: Heads up, NYC. Some heavy weather moving this way from N.J. https://t.co/fzdbOY2xFj</t>
  </si>
  <si>
    <t>Have you heard? 13th annual Children’s Sports &amp;amp; Fitness Expo on 6/18 at Public School 92. Fun for the whole family! https://t.co/W9rMMkSr8f</t>
  </si>
  <si>
    <t>RT @Reach1SocMedia: City Used Seized Drug Profits To Refurbish NYCHA Community Gym  https://t.co/fOlEVFSnOj via @DNAinfo https://t.co/IeNhN…</t>
  </si>
  <si>
    <t>Patterson Houses: Free PC access and Wifi in our Digital Van. It's at 143rd bt 3rd/Morris aves #BX https://t.co/dmzu8keRPG</t>
  </si>
  <si>
    <t>ICYMI, @NY1 reports: New @NYCHA Safety Campaign Focuses on #Elevator Dangers https://t.co/dfRLO9ytNY NextGenNYCHA</t>
  </si>
  <si>
    <t>ICYMI, young residents: you could be selected to join @FoxSoccerAcadNY &amp;amp; train w/ #soccer stars!  Apply today! https://t.co/gCYKjproU2</t>
  </si>
  <si>
    <t>This just in! @NY1 reports on New @NYCHA Safety Campaign Focuses on #Elevator Dangers https://t.co/dfRLO9Q4Fw #NextGenNYCHA</t>
  </si>
  <si>
    <t>RT @SouthHarlemCERT: A wonderful new facility for @NYCHA from @snpnyc @NYPD28Pct Everyone is here!! https://t.co/wtiB6Uk8EX</t>
  </si>
  <si>
    <t>RT @SouthHarlemCERT: So many luminaries have come out to celebrate @snpnyc @NYCHA @NYPDPBMN @PALNewYork @NYPD32Pct @NYPDPSA6 @32PCC https:/…</t>
  </si>
  <si>
    <t>RT @ZodetN: Score. NYC Special Narcotics Prosecutor, @NYPDnews PAL coming together to bring
@NYCHA youth new gym floor Samuel CC https://t.…</t>
  </si>
  <si>
    <t>Start Your Business at #MindMyBiz w/ NYCHA 6PM- Carey Gardens Community Center, 6/7 &amp;amp; 6/14 https://t.co/oARCfSESlZ https://t.co/u9SgcFUaAD</t>
  </si>
  <si>
    <t>.@NY1 reports: New @NYCHA Safety Campaign Focuses on #Elevator Dangers https://t.co/dfRLO9ytNY #NextGenNYCHA</t>
  </si>
  <si>
    <t>RT @rasmiakf: @devynhumphrey @nycha representing at @socinnovation to innovate public housing! #fundforpublichousing https://t.co/zNrRolGCSR</t>
  </si>
  <si>
    <t>@siebenburgen_c Sorry about that. We'll fix the shortlink that shows up on Google. Please use this link: https://t.co/xq1naxwrTI</t>
  </si>
  <si>
    <t>Interested in moving your business forward? Attend a Free #MindMyBiz Workshop. Happening 6/7 + 6/14. Register https://t.co/dCbdS98f5V</t>
  </si>
  <si>
    <t>You have the right to safely use the restroom. No questions asked. https://t.co/iBCfT3EM0u #BeYouNYC #PrideMonth https://t.co/aLBuoZxFl2</t>
  </si>
  <si>
    <t>.@NYCHA residents! You could be selected to join @FoxSoccerAcadNY &amp;amp; train w/ #soccer stars + coaches! Apply today!  https://t.co/l7LjPC9GIK</t>
  </si>
  <si>
    <t>@Koko_Smilez We apologize for this matter and are reporting it on your behalf. Please also follow up by calling the CCC at 718-707-7771</t>
  </si>
  <si>
    <t>@ECEWatch Please call us ASAP at 718-707-7771. Thanks</t>
  </si>
  <si>
    <t>Mayor @BilldeBlasio’s #NextGenerationNYCHA plan is moving @NYCHA in the right direction. #NextGenNYCHA https://t.co/b1YspwT1dQ</t>
  </si>
  <si>
    <t>Need free computer access? Try our NYCHA Digital Van! It will be Ocean Hill Parking Lot in #BK until 4p: https://t.co/dmzu8keRPG</t>
  </si>
  <si>
    <t>Free WiFi &amp;amp; free computer access till 4pm today @NYCHA Digital Van, at Forest Houses #Bronx: https://t.co/dmzu8keRPG</t>
  </si>
  <si>
    <t>@MRClueuin Please speak with a NYCHA Representative directly regarding this issue ASAP, Tel. 718-707-7771 or 212-306-3000. Thank you.</t>
  </si>
  <si>
    <t>In #NYC, safe and equal bathroom access is the law of the land! Learn more https://t.co/iBCfT3EM0u #BeYouNYC @NYCCHR https://t.co/0Pcef3PIWT</t>
  </si>
  <si>
    <t>@Koko_Smilez Hello. We're sorry to hear about this. Please send us your ticket number (s) re this issue + we will report on your behalf. Thx</t>
  </si>
  <si>
    <t>RT @RiverSpringHlth: The Weinberg Center was at @NYCHA Senior Health &amp;amp; Fitness Fair to share info on health &amp;amp; the impact of elder abuse. ht…</t>
  </si>
  <si>
    <t>‘We cannot ignore the importance of family relationships &amp;amp; people having a place to live. ’ —David Farber Read more https://t.co/IMOzLzBGyQ</t>
  </si>
  <si>
    <t>"We are promoting safety while preserving family stability, ensuring fairer outcomes.” —Chair &amp;amp; CEO Shola Olatoye https://t.co/nsGeo0WxHI</t>
  </si>
  <si>
    <t>Hon. Ritchie Torres sees our vision. Learn more about #NextGenNYCHA: https://t.co/LwpIFSonEH https://t.co/RhRfuC1R0Q</t>
  </si>
  <si>
    <t>RT @twobridgesnyc: There's still time to apply for the 2016 NYCHA-CUNY Resident Scholarship Program. Deadline is June 25th. Full info: http…</t>
  </si>
  <si>
    <t>Internet access is GOOD! Get digital @ Stuyvesant Gardens Senior Center #BK until 4pm. Our Digital Van schedule: https://t.co/dmzu8keRPG</t>
  </si>
  <si>
    <t>NYCHA Digital Vans offer free computer access + WiFi at Mitchel Houses #BX today https://t.co/dmzu8keRPG</t>
  </si>
  <si>
    <t>RT @NYC_DOT: .@NYCHA residents 16+ are eligible for an annual @CitiBikeNYC membership for only $5/month! https://t.co/i4oHGwWjJg https://t.…</t>
  </si>
  <si>
    <t>RT @GrowNYC: Please help us find Environmentalists who are @NYCHA Residents + ❤️ Recycling to join the Environmental Ambassadors! https://t…</t>
  </si>
  <si>
    <t>Leaky roofs = more repairs. Thru #NextGenNYCHA, we're prioritizing roof repairs at our developments. https://t.co/iuwmImoNIo</t>
  </si>
  <si>
    <t>RT @nycgob: Saluda a junio con un casco de #bicicleta #gratis este sábado en #ElBronx y más eventos este mes: https://t.co/1hWWDkAArf @NYC_…</t>
  </si>
  <si>
    <t>RT @SholaOlatoye: @NYCHA community programs &amp;amp; dev staff #partnershipmodel #nextgennycha #johnsonhouses https://t.co/YfWTvoY4oM</t>
  </si>
  <si>
    <t>RT @GrowNYC: Environmentalists + @NYCHA Residents + ❤️ Recycling = Environmental Ambassadors! https://t.co/wNda9Rn7NK https://t.co/1DqybR3X…</t>
  </si>
  <si>
    <t>RT @JoshWLockwood: @SholaOlatoye wowed @redcrossny leadership w/bold plans #NextGenNYCHA, keen insights! @Ozzypallooza @nycha https://t.co/…</t>
  </si>
  <si>
    <t>Hello BK! NYCHA Digital Van is at Bushwick Houses (372 Bushwick Ave) until 4p. Free WiFi &amp;amp; computer access https://t.co/dmzu8keRPG</t>
  </si>
  <si>
    <t>.@NY1 reports: @NYCHA Chair &amp;amp; CEO talks crime + efforts to increase repairs in public housing: https://t.co/anHQJmxK0J</t>
  </si>
  <si>
    <t>ICYMI, @NYCHA Chair &amp;amp; CEO addressed concerns over crime + discussed efforts to increase repairs in public housing: https://t.co/anHQJmxK0J</t>
  </si>
  <si>
    <t>Ready Girl wants you to be prepared for hurricane season. Check out @nycoem’s new video on @YouTube: https://t.co/nObVkhOZDN</t>
  </si>
  <si>
    <t>@wil6728 Hello, could you please send us the ticket number(s) regarding the inspections? Thank you.</t>
  </si>
  <si>
    <t>#BikeNYC between Manhattan and the Bronx on NYC's oldest bridge, now open! Learn more: https://t.co/qfC8UBnUjo https://t.co/qFLPtjn5Lg</t>
  </si>
  <si>
    <t>MT: @NYCHA Chair &amp;amp; CEO addressed concerns over crime + discussed efforts to increase repairs in public housing: https://t.co/anHQJmxK0J</t>
  </si>
  <si>
    <t>MT: #TBT - Free construction training for women in #RedHook #BK More https://t.co/BF5jSGsUK0 https://t.co/5C148MoWDx</t>
  </si>
  <si>
    <t>RT @rasmiakf: Honored to be speaking about #fundforpublichousing @NYCHA at the @socinnovation #SIS16 next week!! https://t.co/ke6RLp0fII</t>
  </si>
  <si>
    <t>Writing a resume on a phone is hard. The Digital Van can help, on Park Ave btwn Marcy/Nostrand Aves #BK https://t.co/dmzu8keRPG</t>
  </si>
  <si>
    <t>Know someone who needs digital access? The Digital Van is at Edenwald Houses! #Bronx https://t.co/dmzu8keRPG</t>
  </si>
  <si>
    <t>RT @InsideCityHall: The @NYCHA chair and CEO addressed concerns over crime and discussed efforts to increase repairs in public housing: htt…</t>
  </si>
  <si>
    <t>Did you miss @errollouis's interview with Chair @SholaOlatoye on @NY1 @InsideCityHall? It airs again at 10pm tonight!</t>
  </si>
  <si>
    <t>"People won't have to take days off from work to get repairs done." —Chair @SholaOlatoye talks #FlexOps w/ @errollouis @NY1 @InsideCityHall</t>
  </si>
  <si>
    <t>"For the 2nd year in a row we've balanced the budget." —@NYCHA Chair@SholaOlatoye during interview w/ @errollouis on @NY1 @InsideCityHall.</t>
  </si>
  <si>
    <t>"NYCHA residents should enjoy the same safety as the rest of New York." —Chair @SholaOlatoye on NY1 @InsideCityHall w/ @errollouis</t>
  </si>
  <si>
    <t>LIVE in 5 minutes: @errollouis interviews Chair @SholaOlatoye on @NY1 @InsideCityHall.</t>
  </si>
  <si>
    <t>Tune in @NY1  tonight at 7pm to watch @errollouis interview Chair @SholaOlatoye on @InsideCityHall! https://t.co/oE9YUW0Ifk</t>
  </si>
  <si>
    <t>RT @CrainsNewYork: #CrainsEvents: Hear CEO of @NYCHA discuss strategies to clear a $17 billion repair backlog, 6/16. Register today! https:…</t>
  </si>
  <si>
    <t>RT @rasmiakf: When u 💜working together, possibilities and innovations r endless and real! @NYCHA @SholaOlatoye @womenlead #disrupt https://…</t>
  </si>
  <si>
    <t>RT @GrowNYC: We're inviting Environmentalists @NYCHA to 2 classes &amp;amp;12 hours of outreach training to improve recycling in @NYC. https://t.co…</t>
  </si>
  <si>
    <t>RT @SholaOlatoye: @NYCHA @rubendiazjr @AndyKingNYC - thanks 4 ur continued support of NextGen &amp;amp; affordable housing in the Boogie Down! http…</t>
  </si>
  <si>
    <t>RT @HUDNY_NJ: Ribbon cut! #bronx #seniorhousing #202 #HOME https://t.co/QdxIOM7Ui7</t>
  </si>
  <si>
    <t>RT @NYCMayorsOffice: NYC has 6 hurricane evacuation zones. Be prepared! Always #knowyourzone. Go to https://t.co/lbK1MfU7dH or call 311. ht…</t>
  </si>
  <si>
    <t>Just cut the ribbon with @rubendiazjr for opening of two senior housing communities in the #Bronx! https://t.co/AuefzaEjW7</t>
  </si>
  <si>
    <t>Grateful for partnership w/ @HUDNY_NJ @NYCMayorsOffice, HDC, Arker Companies, the @MetCouncil. LIVE opening video! https://t.co/AuefzaEjW7</t>
  </si>
  <si>
    <t>Spread the word! 13th annual Children’s Sports+Fitness Expo, 6/18 at P.S. 92. Come for the Free Fitness Fun! https://t.co/HPuoFf1IMj</t>
  </si>
  <si>
    <t>We're live on Facebook with @NYCHousing for the opening of two senior housing communities in the #Bronx!  https://t.co/AuefzaEjW7</t>
  </si>
  <si>
    <t>Need to use a computer? A NYCHA Digital Van will also be at East River Houses in Manhattan until 4pm: https://t.co/dmzu8keRPG</t>
  </si>
  <si>
    <t>Need to use a PC? Come visit our Digital Van today at 572 Warren St b/t 3rd/4th aves. #BK https://t.co/dmzu8keRPG</t>
  </si>
  <si>
    <t>Happy 60th, #BayviewHouses! #Brookyln https://t.co/ig6JQtGPik</t>
  </si>
  <si>
    <t>Happy 50th, Kingsborough Ext! #Brooklyn https://t.co/UtNvJOMRXk</t>
  </si>
  <si>
    <t>Happy 80th #FirstHouses, born in 1936! #Manhattan https://t.co/L0vedLbWbE</t>
  </si>
  <si>
    <t>RT @nycgob: Residente de @NYCHA: Descarga la app #MyNYCHA hoy en https://t.co/CHoPG4iRx4 https://t.co/xeSWvSoYms</t>
  </si>
  <si>
    <t>RT @NYCHA_Arts: @NYCHA staff come together with @NYPDPSA8 and @mayorsCAU at Castle Hill community outreach event https://t.co/KFxTatkaIq</t>
  </si>
  <si>
    <t>RT @NYCHA_Arts: @NYCHA Castle Hill Houses Community Outreach event.  @NYPDPSA8 @mayorsCAU https://t.co/ZpV3WNYbCG</t>
  </si>
  <si>
    <t>RT @verainstitute: We're working with @NYCHA to help people reunite with families in public housing, some who were permanently banned: http…</t>
  </si>
  <si>
    <t>See the NYCHA Digital Van - offering free computer access &amp;amp; WiFi. Kingsborough #brooklyn until 4pm https://t.co/dmzu8keRPG</t>
  </si>
  <si>
    <t>Get Wired! Visit our Digital Van @ Morris - 3673 3rd Ave! #BX We're there until 4. Check out our full schedule: https://t.co/dmzu8keRPG</t>
  </si>
  <si>
    <t>RT @bomee: Proper controls improve heating efficiency - a lot! https://t.co/xb7ZVbbhi7 #EarthDayEveryDay @NYCHA https://t.co/iMpuOWYmi6</t>
  </si>
  <si>
    <t>Let us take a moment to honor those who made the ultimate sacrifice for our country. #HappyMemorialDay https://t.co/zRdrJ2Usff</t>
  </si>
  <si>
    <t>RT @NYPDPSA9: Today we celebrated May birthdays with our seniors @NYCHA Shelton Houses. https://t.co/jqovUA7X7h</t>
  </si>
  <si>
    <t>RT @NYC_DOT: #BivonaSt's new crosswalk in action! #theBronx Project also includes traffic calming markings. #VisionZero (2/2) https://t.co/…</t>
  </si>
  <si>
    <t>RT @JimmyVanBramer: Swearing in the new board of the Woodside Senior Center in the Woodside Houses! https://t.co/sTfGREjOQK</t>
  </si>
  <si>
    <t>RT @NYCHA_Arts: @NYCHA staff join @NYPDPSA2 and @NYCMayorsOffice staff for Community outreach at Van Dyke Houses... https://t.co/IaJkW4GdRo</t>
  </si>
  <si>
    <t>RT @NYCHA_Arts: Are those double dutch jumpers?  Man, that is a lost art!  And these ladies killed in Brownsville (Van Dyke Houses). https:…</t>
  </si>
  <si>
    <t>RT @NYCDepartment: NYC_DOT: New enhanced crosswalk for #BivonaSt in #theBronx near NYCHA's #BostonSecorHouses. #VisionZero (1/2) https://t.…</t>
  </si>
  <si>
    <t>California may have the #SiliconValley, but @NYCHA's #HowardHouses will soon have “The Campus" - Learn more. https://t.co/fbFtX5NkR7</t>
  </si>
  <si>
    <t>RT @JuliaCocuzza: Then, crosstown to Castle Hill to assist #EricMiles on his NYCHA mural. good day in the #bronx! #groundswellnyc https://t…</t>
  </si>
  <si>
    <t>ICYMI, Video of Darold Burgess, resident of Ingersoll Houses + VP of the Resident Association. #NextGenNYCHA https://t.co/5AVjoJT82k</t>
  </si>
  <si>
    <t>RT @nycgob: .@NYCHA completa monitoreo por video en docenas de proyectos (de @NY1). https://t.co/Wgx25QymVx @NYCHA</t>
  </si>
  <si>
    <t>RT @NYPDPSA6: PSA 6 cops &amp;amp; kids basketball game at Douglas Community center. @NYCHA #NCO#youthofficers https://t.co/c0X4LYllyN</t>
  </si>
  <si>
    <t>RT @JeanBWeinberg: Great moment after today's @NYCHA mtg - candid w/@SholaOlatoye + Prof Nick Bloom +Prof Altwicker @nyit #NextGenNYCHA htt…</t>
  </si>
  <si>
    <t>Wired? Today, catch the Digital Van @ Myrtle Avenue bet. Throop and Tompkins Avenues. Get the complete schedule here https://t.co/dmzu8keRPG</t>
  </si>
  <si>
    <t>We all need to connect! Tell your friends about our Digi Van @ Kingsborough 3rd Walk, btw. 1880 Pacific &amp;amp; Bergen https://t.co/dmzu8keRPG</t>
  </si>
  <si>
    <t>Hi @ConradGangone, seeing that it's a recurring issue, we're escalating this internally. Bike safe! cc: @JimmyVanBramer @transalt</t>
  </si>
  <si>
    <t>We're excited to participate in @EDFbiz's Climate Corps program this summer! #EDFCC https://t.co/HepOnGLdhM https://t.co/5ftFQFMPON</t>
  </si>
  <si>
    <t>Nicholas Bloom &amp;amp; Matthias Altwicker speaking w/ NYCHA leadership on history &amp;amp; future of public housing #NextGenNYCHA https://t.co/4P0kygIAcI</t>
  </si>
  <si>
    <t>RT @GreenCityForce: GCF @AmeriCorps members are working w/ partners to build &amp;amp; plant a new garden for @NYCHA residents at B41 Rockaways! ht…</t>
  </si>
  <si>
    <t>@ConradGangone If illegally parked, report online: https://t.co/OMIb299w1Y . Or you can call 311 to report a City vehicle issue w/phone rep.</t>
  </si>
  <si>
    <t>RT @CityJournal: Hope for @NYCHA public housing in #nyc https://t.co/sJFG6LdsG5 https://t.co/AtZ71HEb3H</t>
  </si>
  <si>
    <t>RT @NYCBuilditBack: We teamed up w @NYCHA @NEWStrongWomen @NYCWorkforce1 to tell women in Red Hook abt free construction training in BK htt…</t>
  </si>
  <si>
    <t>ICYMI, Video of Darold Burgess, resident of Ingersoll Houses + VP of the Resident Association. https://t.co/MRjIXXuEXQ #NextGenNYCHA</t>
  </si>
  <si>
    <t>#TBT Prospective tenants dressed their best as they applied in person for apartments in #LowerManhattan circa 1946! https://t.co/YOraoT0OxL</t>
  </si>
  <si>
    <t>On 1-yr anniversary of #NextGeneration, @NYCHA engages w residents for more connected communities. https://t.co/fN6iCNVyNA #NextGenNYCHA</t>
  </si>
  <si>
    <t>ICYMI: Chair @SholaOlatoye spoke with staff at Isaacs Houses yesterday about #FlexOps. https://t.co/I82JKI8PGn https://t.co/WlGvwd1gNd</t>
  </si>
  <si>
    <t>Learn about Darold Burgess, resident of Ingersoll Houses + VP of the Resident Association. https://t.co/MRjIXXuEXQ   #NextGenNYCHA</t>
  </si>
  <si>
    <t>Someone need digital access? Well the Digital Van is at Astoria Houses! #Qn 
https://t.co/dmzu8keRPG</t>
  </si>
  <si>
    <t>Need digital access? Our Digital Van is at Lexington/Washington @ 1773 3rd Av 
https://t.co/dmzu8kwsHe</t>
  </si>
  <si>
    <t>Learn about Gerald Nelson, VP of Public Safety for safe, clean + connected @NYCHA  communities. https://t.co/HBkimlGzai  #NextGenNYCHA</t>
  </si>
  <si>
    <t>.@NY1 Reports: @NYCHA Completes Video Surveillance at Dozens of Developments. Watch via @YouTube: https://t.co/O60RLIzejC</t>
  </si>
  <si>
    <t>ICYMI, Video of Gerald Nelson, VP of Public Safety for safe, clean + connected @NYCHA communities. https://t.co/HBkimlGzai  #NextGenNYCHA</t>
  </si>
  <si>
    <t>On 1-yr anniversary of #NextGeneration, @NYCHA teams w experts to make public safety a top priority. https://t.co/HBkimlGzai #NextGenNYCHA</t>
  </si>
  <si>
    <t>Chair @SholaOlatoye spoke with staff at Isaacs this afternoon about #FlexOps! https://t.co/UZ2bvlXIbM</t>
  </si>
  <si>
    <t>RT @cnybrealestate: #CrainsEvents: @NYCHA chair to discuss the agency’s proposed developments. Register for 6/16 https://t.co/vKNmFusUiX</t>
  </si>
  <si>
    <t>ICYMI, Video of Gerald Nelson, VP of Public Safety for safe, clean + connected @NYCHA communities. https://t.co/iHmkLeHVwN #NextGenNYCHA</t>
  </si>
  <si>
    <t>MT @CityJournal reports: "Hope for Public Housing in #NYC" https://t.co/Gk7ltbEQYb  @NYCHA</t>
  </si>
  <si>
    <t>Happening now: NYCHA Board Meeting. Watch the video livestream https://t.co/czrpgmTTYh</t>
  </si>
  <si>
    <t>RT @SholaOlatoye: @NYCHA @nnennajean @NYCMayorsOffice - welcome to the board!! #nextgenerationNYCHA https://t.co/plpxezGe0Q</t>
  </si>
  <si>
    <t>Tune in LIVE to the video livestream of today's board meeting at 10:15am. View here: https://t.co/czrpgmTTYh</t>
  </si>
  <si>
    <t>Did you know we livestream our board meetings? Watch live at 10:15am: https://t.co/czrpgmTTYh</t>
  </si>
  <si>
    <t>Hey Qn! Visit our Digital Van in Queens: 4-20 Astoria Blvd. Here's our complete schedule: https://t.co/dmzu8keRPG</t>
  </si>
  <si>
    <t>Yo Patterson Houses! Free Wifi in our Digital Van. It's at 143rd bt 3rd/Morris aves #BX https://t.co/dmzu8keRPG</t>
  </si>
  <si>
    <t>Folks excited for pre-apprentice opps in #redhook! @NYCBuilditBack @NYCSmallBizSvcs #nychastrong #sandyrecovery https://t.co/C3M75G95KJ</t>
  </si>
  <si>
    <t>RT @SholaOlatoye: "NYers are digital and NYCHA will be too!" #nextgenNYCHA #investinpeople https://t.co/QttnjCQtXQ</t>
  </si>
  <si>
    <t>ICYMI, Video of Denise Guess, a Community Coordinator who supports resident leadership in #Brooklyn. https://t.co/bml6Kd3vC3  #NextGenNYCHA</t>
  </si>
  <si>
    <t>RT @HarlemPieman: Me and my wife at Wholefoods Market, giving samples, we sold out https://t.co/bIT0bLij6n</t>
  </si>
  <si>
    <t>On 1-yr anniversary of #NextGeneration, @NYCHA continues to empower residents in their communities. https://t.co/bml6Kd3vC3  #NextGenNYCHA</t>
  </si>
  <si>
    <t>We're celebrating the first year anniversary of #NextGenNYCHA! Learn more about our accomplishments: https://t.co/Ahu9A0pgH2</t>
  </si>
  <si>
    <t>RT @NYPDPSA1: Join us today for a Domestic Violence awareness seminar b/t 6pm-9pm @ the Miccio Community Center #RedHook @NYPDDV @sffny @NY…</t>
  </si>
  <si>
    <t>RT @JeanBWeinberg: Learning about new handhelds to improve service @NYCHA @SholaOlatoye w/Mr.Scott at Wagner Houses! #NexGenNYCHA https://t…</t>
  </si>
  <si>
    <t>RT @GrowNYC: Environmentalists @NYCHA are invited to join the Environmental Ambassadors Program https://t.co/8ODzhqZNnp https://t.co/U3ty6u…</t>
  </si>
  <si>
    <t>RT @JeanBWeinberg: Great visit @NYCHA 's Wagner Houses today w/ @thomaslengo ! #NextGenNYCHA 1 year later! https://t.co/K1W5JY0bmi</t>
  </si>
  <si>
    <t>RT @bomee: @NYCHA staff make it happen every single day https://t.co/xb7ZVbbhi7  #EarthDayEveryDay https://t.co/rWyURxXNkO</t>
  </si>
  <si>
    <t>Learn more about Denise Guess, a Community Coordinator who supports resident leadership in #Brooklyn. https://t.co/bml6Kd3vC3 #NextGenNYCHA</t>
  </si>
  <si>
    <t>Need free computer access? Try our NYCHA Digital Van! It will be Ocean Hill Parking Lot in #BK until 4pm: https://t.co/dmzu8keRPG</t>
  </si>
  <si>
    <t>Have you seen one of our Digital Vans? They're at Forest Houses #BX &amp;amp; until 4pm. Full schedule here https://t.co/dmzu8keRPG</t>
  </si>
  <si>
    <t>RT @CityLimitsNews: Looks Like Good News for NYCHA's Financial Stability #NYC https://t.co/MQWVhN1IMz https://t.co/Wc6KwCJ2F1</t>
  </si>
  <si>
    <t>RT @CM_RubenWills: The @NYCYouth of @NYCHA South Jamaica Houses added some color to their Community Center this past Sat. https://t.co/vM89…</t>
  </si>
  <si>
    <t>RT @NYCParks: This week's free movie nights in parks: Happy Feet, When Harry Met Sally, Jumanji, &amp;amp; more! https://t.co/yvh9CJ8alm https://t.…</t>
  </si>
  <si>
    <t>#LES residents, looking for opportunities in your area? Come to our resource fair! https://t.co/VLWn7ZzVvt https://t.co/7NJN7k9Cfb</t>
  </si>
  <si>
    <t>#NYCHA resident in need of job training or employment opportunities?
Look no further! Use our Programs Near Me map: https://t.co/VgvOuZUFmw</t>
  </si>
  <si>
    <t>Hey @NYCHA residents: interested in a career in Tech? Attend the TechPortal workshop on 5/24. Last day to register: https://t.co/Vmkw3sqV1N</t>
  </si>
  <si>
    <t>RT @TweetBenMax: .@SholaOlatoye gives press briefing re @NYCHA NextGen plan to @politicony @NYDailyNews @NYTMetro @GothamGazette https://t.…</t>
  </si>
  <si>
    <t>.@joanncakes living the #FoodBizDream! You can too. Sign up for an info session: https://t.co/0UsRq4Iehf https://t.co/hzXOPuhzr6</t>
  </si>
  <si>
    <t>RT @lnz37: Victoria and Lee help lead our team! #TKFLOR @nyrp @greencityforce @newschoolTEDC @druryuniversity @nycha https://t.co/3GqHnajjOT</t>
  </si>
  <si>
    <t>Internet access is ROCKS! Go digital @ Stuyvesant Gardens SC #BK until 4pm. Our Digital Van schedule: https://t.co/dmzu8keRPG</t>
  </si>
  <si>
    <t>Free WiFi, computer access in NYCHA Digital Vans at Mitchel Houses #bronx until 4pm: https://t.co/dmzu8keRPG</t>
  </si>
  <si>
    <t>NYCHA's vision document outlines our #Sandy recovery efforts. #NYCHAStrong Lear more https://t.co/jIiHlacx6w https://t.co/gXHgp0m9gT</t>
  </si>
  <si>
    <t>Hey @NYCHA residents: interested in a career in Tech? Attend the TechPortal workshop on 5/24. Register: https://t.co/Vmkw3sqV1N</t>
  </si>
  <si>
    <t>RT @HotBreadKitchen: Taste the treats of #HBKIncubates members Jaynine Taylor &amp;amp; Joanne Poe at the @Citi Cardmember lounge at #HarlemEatUp t…</t>
  </si>
  <si>
    <t>RT @CitiBikeNYC: “#CitiBike benefits me exercise-wise, work-wise &amp;amp; I save money.” ~Kwelli, Bed Stuy. @NYCHA residents join today 4 only $5/…</t>
  </si>
  <si>
    <t>RT @GreenCityForce: #TBT Glad to be part of Monday's #NYC #Youth Funders Forum w/ @UnivSettlement @rhookinitiative @NYCHA, @DYCD &amp;amp; MOCJ htt…</t>
  </si>
  <si>
    <t>RT @EastSideHouse33: #TBT #CommunityDay 2013 at Mitchel Houses @nycha. #MottHaven #BronxPride https://t.co/gxxMfAYd0h</t>
  </si>
  <si>
    <t>@RosaGoldensohn Please contact us using this form so we can respond by deadline: https://t.co/83p5IGE1FB</t>
  </si>
  <si>
    <t>RT @start_small: Check out this great news story on @Jamaica_Grill restaurant in Clinton Hill! #smallbiz #SuccessStory https://t.co/zC7Nk2n…</t>
  </si>
  <si>
    <t>ICYMI: Video of Dr. James Kim, an optometrist who opened a new office at #Williamsburg Houses: https://t.co/OO2xj6S6Nd  #NextGenNYCHA</t>
  </si>
  <si>
    <t>RT @usfs_nrs: #Volunteer to help plant more than 800 plants at @NYCHA Beach in Rockaway - #tomorrow  #NYC https://t.co/0EmErZKtJb https://t…</t>
  </si>
  <si>
    <t>Happy 75th b-day, #EastRiverHouses! #Manhattan https://t.co/R5vzsBWmV8</t>
  </si>
  <si>
    <t>Seen our Digital Van? It's at Ravenswood Houses today until 4p! #Queens 
https://t.co/dmzu8keRPG</t>
  </si>
  <si>
    <t>Not everyone has internet access. Tell a friend about the Digital Van. @ Lincoln Houses today https://t.co/dmzu8keRPG</t>
  </si>
  <si>
    <t>RT @GrowNYC: Know environmentalists @NYCHA ♖? Inviation to join the Environmental Ambassadors Program https://t.co/8ODzhqZNnp https://t.co/…</t>
  </si>
  <si>
    <t>RT @NYCCouncil: DYK: You can make work orders via the #MyNYCHA app? Learn more: https://t.co/phXV0omvCX #NYCbudget17 via @NYCHA</t>
  </si>
  <si>
    <t>We're upgrading 1400 apartments at Ocean Bay Apartments (Bayside) through #RAD. Learn more: https://t.co/lUbcn1AjuK https://t.co/7kFlr1CJyb</t>
  </si>
  <si>
    <t>Thx to @FEMA funding we've begun construction at 21 developments damaged by #Sandy: https://t.co/FSWCc0gPz2 https://t.co/YLWoo5Dnlh</t>
  </si>
  <si>
    <t>Learn more about Dr. James Kim, an optometrist who opened a new office at #Williamsburg Houses: https://t.co/OO2xj6S6Nd #NextGenNYCHA</t>
  </si>
  <si>
    <t>"We cannot afford to stand still." —@NYCHA Chair @SholaOlatoye on #NextGenNYCHA progress: https://t.co/dXpCX7wE07</t>
  </si>
  <si>
    <t>1 year ago today, we launched #NextGenNYCHA. We've come a long way thanks to our partners. https://t.co/LwpIFSonEH https://t.co/F2eAiRapUt</t>
  </si>
  <si>
    <t>RT @SholaOlatoye: @NYCHA #TBT #NGN #collaborationinaction #lookatthatbelly https://t.co/gRx3JTcrXd</t>
  </si>
  <si>
    <t>#TBT 1 year ago today, launch of #NextGenNYCHA! Making difference thx to great partners @MMViverito  @RitchieTorres https://t.co/HwPaFseklY</t>
  </si>
  <si>
    <t>Between ages 18-24? Attend a #TechPortal workshop w/ @PerScholas &amp;amp; set yourself on a path to success! https://t.co/Vmkw3sqV1N</t>
  </si>
  <si>
    <t>#TBT 1 year ago today at launch of #NextGenNYCHA! Making difference thx to great partners @MMViverito  @RitchieTorres</t>
  </si>
  <si>
    <t>RT @NYCSchools: #EducateNYC: DYK? 2016 #SummerInTheCity includes STEM classes: https://t.co/bsEJo84Sd8 https://t.co/mUX9b2ck5Q</t>
  </si>
  <si>
    <t>RT @CitiBikeNYC: .@NYCHA residents: get a bike &amp;amp; get going today! Annual Citi Bike memberships only $5/mo at https://t.co/N75ZgGsneQ https:…</t>
  </si>
  <si>
    <t>RT @bomee: @greenhomenyc  @NYCSustainable @UrbanGreenNY @NYCHA discuss 80x50 https://t.co/zBrR0bfmwg</t>
  </si>
  <si>
    <t>RT @usfs_nrs: Volunteers invited to help plant more than 800 plants at @NYCHA Beach in Rockaway - 5/21 https://t.co/0EmErZKtJb https://t.co…</t>
  </si>
  <si>
    <t>Come by a NYCHA Digital Van - offering free computer access &amp;amp; WiFi. Ravenswood #Queens until 4pm https://t.co/dmzu8keRPG</t>
  </si>
  <si>
    <t>Get Wired! Visit our Digital Van at Jefferson Houses #Uptown https://t.co/dmzu8keRPG</t>
  </si>
  <si>
    <t>RT @NYCSmallBizSvcs: #FoodBizDream alum Jaynine Taylor @TM__Creations was invited to participate - congrats! cc: @NYCHA @NYCEDC @Citi  http…</t>
  </si>
  <si>
    <t>RT @nycgob: ¿Quieres un #empleo en la industria de #tecnología? Ven al taller de #TechPortal el 24 de mayo en: https://t.co/XB95YHAysQ @NYC…</t>
  </si>
  <si>
    <t>RT @bomee: hey @Rev4NY we're looking forward to resilient microgrids for @NYCHA  residents https://t.co/xb7ZVbbhi7 https://t.co/imzL7J6TDl</t>
  </si>
  <si>
    <t>RT @NYPDPSA9: Happening now, Capt. Bogle addresses community concerns with  Queens R/A Presidents and NYCHA management https://t.co/NF81h8w…</t>
  </si>
  <si>
    <t>RT @nycoem: You may need to shelter in place during &amp;amp; after a hurricane. Keep enough supplies for up to 7 days: https://t.co/cqqaUvcBPZ #Hu…</t>
  </si>
  <si>
    <t>@asm212 Hi, we don't work with Mitchell Lama. @NYCHousing (HPD) may be able to help with your concerns. More: https://t.co/E4YhrZBuUf</t>
  </si>
  <si>
    <t>RT @rasmiakf: Headed to Philly to talk @NYCHA #fundforpublichousing with @AIANational #AIACon16! Excited for new connections!</t>
  </si>
  <si>
    <t>RT @bomee: @NYCHA will be at @greenhomenyc  Patty Noonan Forum tonight at 6pm https://t.co/0hrekZzt5S (join us)! pls RT</t>
  </si>
  <si>
    <t>Internet access is GOOD! Get digital today 10a-4p @ Ravenswood Houses, #Queens. Our Digital Van schedule: https://t.co/dmzu8keRPG</t>
  </si>
  <si>
    <t>Someone need to go online? Tell them about our Digital Van! @ Lincoln Houses #Harlem https://t.co/dmzu8keRPG</t>
  </si>
  <si>
    <t>RT @NYCBuilditBack: Glad to partner with @NYCWorkforce1 @NYCHA to bring BuildingWorks to Rockaway to talk about NYC pre-apprenticeships htt…</t>
  </si>
  <si>
    <t>ICYMI, NYCHA's vision document outlines our #Sandy recovery efforts. #NYCHAStrong Lear more https://t.co/jIiHlacx6w https://t.co/iNAuJX3a50</t>
  </si>
  <si>
    <t>@_itzkimmi3 If you've already called the CCC, please follow us so that we can initiate a DM and get more info.</t>
  </si>
  <si>
    <t>@_itzkimmi3 Sorry to hear about these issues. Have you reported them to our Customer Contact Center at 718-707-7771?</t>
  </si>
  <si>
    <t>RT @usfs_nrs: Volunteers Invited to Help May 21st - Enhance Green Space at NYCHA Beach in Rockaway https://t.co/0EmErZKtJb https://t.co/cG8…</t>
  </si>
  <si>
    <t>RT @CitiBikeNYC: Thousands of bikes at hundreds of stations for only $5/mo for @NYCHA residents. Visit: https://t.co/aZoQVJAqsy https://t.c…</t>
  </si>
  <si>
    <t>RT @bomee: @RoryChristianNY 's favorite GSHP project in the whole wide world is... #EarthDayEveryDay @NYCHA https://t.co/hKrwAz9kP3</t>
  </si>
  <si>
    <t>Want to start a career in the tech industry? Grab a seat on 5/24 at a #TechPortal workshop. Don't miss out! https://t.co/Vmkw3sqV1N</t>
  </si>
  <si>
    <t>Get Wired! Visit our Digital Van at Ravenswood Houses #Queens 
https://t.co/dmzu8keRPG</t>
  </si>
  <si>
    <t>Wired? Today, catch the Digital Van @ Jefferson Houses. Get the complete schedule here https://t.co/dmzu8keRPG</t>
  </si>
  <si>
    <t>RT @NYCSmallBizSvcs: #FoodBizDream Program helps @NYCHA resident open restaurant (@Jamaica_Grill) https://t.co/9LbPVxpy9r via @News12BK</t>
  </si>
  <si>
    <t>RT @Enterprise_NYC: NYCHA Releases Sandy Recovery Report @NYCHA @nylcv  https://t.co/7gVMagKfQL</t>
  </si>
  <si>
    <t>YES! @NYCHA Digi Vans ranked semifinalist in @Harvard’s 2015 Innovations in American Government Awards. Read more: https://t.co/aBHOWJwcAm</t>
  </si>
  <si>
    <t>RT @nahmias: Program helps NYCHA resident open restaurant  https://t.co/skg3CvHQ0i</t>
  </si>
  <si>
    <t>RT @greenhomenyc: This Wed: The Patty Noonan Memorial Forum on Policy https://t.co/m7lgppBn5v @NYCSustainable @sbloomquist #onenyc https://…</t>
  </si>
  <si>
    <t>Free WiFi, free computer access till 4pm today @NYCHA Digital Van, at Ravenswood Houses #Queens: https://t.co/dmzu8keRPG</t>
  </si>
  <si>
    <t>Wired? Today, catch the Digital Van @ Lincoln Houses. Get the complete schedule here https://t.co/dmzu8keRPG</t>
  </si>
  <si>
    <t>RT @GreenCityForce: The #RedHook @NYCHA Farm is coming back to life thanks to our Cohort 12 Urban Farm Corps members! #AmericorpsWorks http…</t>
  </si>
  <si>
    <t>NYCHA's vision document outlines our #Sandy recovery efforts. #NYCHAStrong Lear more https://t.co/jIiHlacx6w https://t.co/8pVFDebdGN</t>
  </si>
  <si>
    <t>Our dedicated resources will protect our communities from future storms. #NYCHAStrong #NextGenNYCHA @BrianKavanaghNY https://t.co/97an32cEDi</t>
  </si>
  <si>
    <t>With the help of our community partners, this recovery will be stronger than the storm. #NYCHAStrong #NextGenNYCHA https://t.co/XD2m1h059b</t>
  </si>
  <si>
    <t>Residents + community leaders: Together we can tackle the problems of tomorrow today. #NYCHAStrong #NextGenNYCHA https://t.co/oTohymMUM0</t>
  </si>
  <si>
    <t>We've become #NYCHAStrong after Hurricane Sandy. #Recovery to #resiliency @Carlos4Council @NYCCouncil https://t.co/W6UZxPy8AX</t>
  </si>
  <si>
    <t>The recovery after Hurricane Sandy has made our communities stronger. #NYCHAStrong #NextGenNYCHA @RitchieTorres https://t.co/nXDrIIOHQe</t>
  </si>
  <si>
    <t>.@NYCHA ’s Family Reentry Pilot supports housing for formerly incarcerated people &amp;amp; their families. Watch &amp;amp; share: https://t.co/IkcmcGkR9J</t>
  </si>
  <si>
    <t>RT @bomee: Some national context for @NYCHA #NextGenNYCHA sustainability agenda (w/ a mention) https://t.co/e4XPVf6DR9</t>
  </si>
  <si>
    <t>RT @nycgob: Desde el lanzamiento de #MyNYCHA, casi 1/2 solicitudes de servicio pendientes han sido resueltas. Ahora en #español! https://t.…</t>
  </si>
  <si>
    <t>RT @SholaOlatoye: @NYCHA RIP oldest resident Ms. Susannah Jones, oldest woman in the world who ate bacon and chewed gum for 116+ years. #ge…</t>
  </si>
  <si>
    <t>RT @SholaOlatoye: @NYCHA so impressed w/leadership, staff and grounds at Soundview. #nextgennycha #collaboration #wewillgetthatsweeper</t>
  </si>
  <si>
    <t>@EvillPunki We're sry to see this. Have you called the CCC about this issue? If not, there number is Tel. 718-707-7771</t>
  </si>
  <si>
    <t>RT @SholaOlatoye: @NYCHA recycling is a way of life. #nextgennycha https://t.co/3nF2B5PeX5</t>
  </si>
  <si>
    <t>Need web access? Use the NYCHA Digital Van! It will be Ocean Hill Parking Lot #BK til 4pm https://t.co/dmzu8keRPG</t>
  </si>
  <si>
    <t>Not everyone has internet access. Tell a friend about the Digital Van. @ 372 Bushwick Avenue today https://t.co/dmzu8keRPG</t>
  </si>
  <si>
    <t>RT @SholaOlatoye: @NYCHA enabling inclusive communities. #womenlead https://t.co/4HjNbwBFPg</t>
  </si>
  <si>
    <t>@lawclerk114 Thanks for reaching out! We just sent you a DM for more info.</t>
  </si>
  <si>
    <t>Looking for a paid #SummerInternship? Apply today for #NYCLadders for Leaders. https://t.co/d7gy1JidI4</t>
  </si>
  <si>
    <t>RT @SholaOlatoye: @NYCHA Soundview. 30+years Angelo. He's awesome. The grounds were immaculate and not just b/c I was there! https://t.co/c…</t>
  </si>
  <si>
    <t>Read how we've become #NYCHAStrong after Hurricane Sandy. https://t.co/I8YpbjuN6k https://t.co/87IGrgHlND</t>
  </si>
  <si>
    <t>RT @Vanessalgibson: Thank You Madame Chairwoman @SholaOlatoye @NYCHA for the attention given to #ClaremontVillage #BX Much appreciated! htt…</t>
  </si>
  <si>
    <t>Get Wired! Visit our Digital Van at Park Ave bt Marcy/Nostrand #BK</t>
  </si>
  <si>
    <t>Someone need digital access? Well the Digital Van is at Edenwald Houses! #Bx 
https://t.co/dmzu8keRPG</t>
  </si>
  <si>
    <t>We made largest commitment, 175M sq ft, to achieve 20% energy savings, part of @WhiteHouse program. #NextGenNYCHA https://t.co/N1dmhpyi24</t>
  </si>
  <si>
    <t>RT @bomee: @NYCHA is headed to @AIAConv next week! https://t.co/uJxo9sBI5J</t>
  </si>
  <si>
    <t>.@NYCHA residents: Interested in tech? Come on 5/24, 1-4:30pm to the #TechPortal workshop. Register: https://t.co/4YN2Ye3tfs</t>
  </si>
  <si>
    <t>RT @Khanambano: Caret Garden Resident testimony after attending the @NYCHA Career in Construction Resource Fair. #NYCHAStrong https://t.co/…</t>
  </si>
  <si>
    <t>RT @Khanambano: EastRiver hopeful resident at @NYCHA Career in Construction Resource Fair happening now at 50 MadisonSt #NYCHAStrong https:…</t>
  </si>
  <si>
    <t>RT @JeanBWeinberg: .@SholaOlatoye w/ @NYCHA 's Chief Nelson before @NYCMayorsOffice @BilldeBlasio townhall mtg in the Bronx https://t.co/XU…</t>
  </si>
  <si>
    <t>RT @JeanBWeinberg: .@SholaOlatoye listening to @NYCHA resident q before townhall kicks off in the Bronx https://t.co/BHpRrHpkfH</t>
  </si>
  <si>
    <t>RT @JeanBWeinberg: .@SholaOlatoye addressing @NYCHA resident concern at Butler houses https://t.co/2dmVG1U4Qe</t>
  </si>
  <si>
    <t>RT @AnnieEMinguez: .@deBlasioNYC takes Qs from residents on #crime #education #homelessness #MorrisHS scaffolding &amp;amp; @NYCHA repairs https://…</t>
  </si>
  <si>
    <t>RT @JeanBWeinberg: .@SholaOlatoye answers question about free summer lunch @NYCHA (staying this year NOT going away) https://t.co/z7PIQibKka</t>
  </si>
  <si>
    <t>RT @Gotham360: Props to @NYCHA for their #sustainability agenda, including a pledge to install 2.5M sqft of #solar! @SecretaryCastro @HUDgo…</t>
  </si>
  <si>
    <t>NYCHA Digital Van in Manhattan offers free WiFi &amp;amp; computer access. Stop by East River Houses until 4pm https://t.co/dmzu8keRPG</t>
  </si>
  <si>
    <t>Hey BK!  Check out our Digital Van @ 572 Warren St (btwn 3rd &amp;amp; 4th Ave) until 4p #BK https://t.co/dmzu8keRPG</t>
  </si>
  <si>
    <t>A #CareyGardens resident at our Careers in Construction Resource Fair happening now at 50 Madison St. #NYCHAStrong https://t.co/ls5zNx7xc5</t>
  </si>
  <si>
    <t>.@DC9_IUPAT telling #NYCHAStrong residents about careers in painting. More trades here at 50 Madison St til 7pm! https://t.co/WOUQEcCFEQ</t>
  </si>
  <si>
    <t>Still going on #NYCHAStrong at 50 Madison St. People signing up for free OSHA safety cert classes. Here til 7. https://t.co/YwKW7fNfp5</t>
  </si>
  <si>
    <t>Packed house for Careers in Construction Resource Fair at 50 Madison St! We're here until 7pm. #LES #NYCHAStrong https://t.co/NSsmGM1M2w</t>
  </si>
  <si>
    <t>RT @Khanambano: @NYCHA Careers in Construction Resource Fair in full swing #NYCHAStrong https://t.co/j3moXBKbCQ</t>
  </si>
  <si>
    <t>RT @GrowNYC: Put your  passion for sustainability in action. Join the Environmental Ambassadors &amp;amp; create a sustainable @NYCHA  https://t.co…</t>
  </si>
  <si>
    <t>RT @NYCagainstabuse: Patterson Houses outreach with @NYCHA @NYPDPSA7 @NYCSeniors @NYPDDV @NYPDnews https://t.co/3726Uz35iR</t>
  </si>
  <si>
    <t>If you’re into technology + career opportunities, attend the #Techportal workshop on 5/24. More:  https://t.co/mUlJGGY7ya</t>
  </si>
  <si>
    <t>ICYMI, @NYCHA to build LBGT senior housing at #IngersollHouses in Fort Greene, BK: 
https://t.co/uhClCiFGzP 
@bfcpartners @sageusa</t>
  </si>
  <si>
    <t>RT @politicony: .@BilldeBlasio adds $72.9 million for @NYCHA facade repairs https://t.co/D6rLE3ki6I https://t.co/3NSoQGQ70L</t>
  </si>
  <si>
    <t>RT @KingsCountyPols: Make way for the City's first LBGT subsidized senior housing slated for Ft. Greene https://t.co/tCgmvrLHa2 https://t.c…</t>
  </si>
  <si>
    <t>Come by a NYCHA Digital Van - offering free computer access &amp;amp; WiFi. Kingsborough #brooklyn until 4pm https://t.co/dmzu8keRPG</t>
  </si>
  <si>
    <t>Internet access is GOOD! Get digital today 10a-4p @ Morris Houses, #BX. Our Digital Van schedule: https://t.co/dmzu8keRPG</t>
  </si>
  <si>
    <t>RT @rvantosh: Celebrating the latest Food Biz Pathway grads @NYCSmallBizSvcs @NYCHA @NYCEDC @BobAnnibaleCiti https://t.co/Gnyv4hCXiY</t>
  </si>
  <si>
    <t>RT @nycgob: .@NYCHA anunció la nueva app #MyNYCHA en #español! Descárgala ahora en: https://t.co/CHoPG4iRx4 https://t.co/vvbwQIYuHS</t>
  </si>
  <si>
    <t>RT @nycgob: Residente de @NYCHA: Ya puedes descargar la app #MyNYCHA en #español para solicitar reparaciones en: https://t.co/CHoPG4iRx4</t>
  </si>
  <si>
    <t>RT @HotBreadKitchen: #HBKIncubates congratulates today's grads of @NYCHA's #FoodBusinessPathways program on their hard work! https://t.co/k…</t>
  </si>
  <si>
    <t>This is what #NextGenNYCHA is all about. New 100% affordable housing to come to #Brooklyn + the #Bronx. Learn more. https://t.co/Ixe7npXRTa</t>
  </si>
  <si>
    <t>RT @NYCMayorsOffice: We're also streaming the Digital Playbook event with @BilldeBlasio and @ariannahuff on Facebook Live. Watch here: http…</t>
  </si>
  <si>
    <t>RT @juliafredenburg: Mayor's https://t.co/8cpuRU0ZgX wants New Yorkers to receive city services #nycdigital @CivicHall @BilldeBlasio https:…</t>
  </si>
  <si>
    <t>RT @NYCMayorsOffice: Live now at https://t.co/10woidEfEd: Watch @BilldeBlasio and @ariannahuff discuss the new Digital Playbook. #NYCdigital</t>
  </si>
  <si>
    <t>RT @NYCMayorsOffice: .@BilldeBlasio on the Digital Playbook: Stresses the importance of reaching out to New Yorkers and inviting them to us…</t>
  </si>
  <si>
    <t>RT @jessay286: .@BilldeBlasio: The digital playbook says we want gov to think differently. #nycdigital https://t.co/XRbSots1Uu https://t.co…</t>
  </si>
  <si>
    <t>RT @NYCMayorsOffice: We want government to think differently. It’s our obligation to be in contact with people. #NYCdigital</t>
  </si>
  <si>
    <t>RT @BetterBldgsDOE: .@NYCHA sharing successful portfolio-wide sustainability plan for largest affordable housing portfolio in country #BBSu…</t>
  </si>
  <si>
    <t>Last day to register for the fair on 5/10. RSVP now! #NYCHAstrong https://t.co/LEyCXymrZq https://t.co/454eeAjvnx</t>
  </si>
  <si>
    <t>Stop by Melrose Houses in the #bronx today for free WiFi &amp;amp; computer access until 4pm today: https://t.co/dmzu8keRPG</t>
  </si>
  <si>
    <t>RT @LGBTbrooklyn: NYCHA to build LBGT senior housing at Ingersoll Houses in Fort Greene, Brooklyn: 
https://t.co/u4QzPO0z7W 
@bfcpartners @…</t>
  </si>
  <si>
    <t>On @thenation: The Case for Public Housing https://t.co/ty0iwFCmpG</t>
  </si>
  <si>
    <t>100% affordable housing plan "reflects the community conversations we had w/residents,” @SholaOlatoye  #NextGenNYCHA https://t.co/Ixe7npXRTa</t>
  </si>
  <si>
    <t>Come learn about upcoming union and construction opportunities! Register https://t.co/kOxvnpjkWJ #NYCHAStrong https://t.co/0JRpkxst0k</t>
  </si>
  <si>
    <t>RT @bomee: "@NYCHA’s new sustainability and resiliency agenda is a game-changer" @dzarrilli https://t.co/xb7ZVbbhi7</t>
  </si>
  <si>
    <t>Residents + community leaders: we heard you! 100% affordable housing on @NYCHA land. #NextGenNYCHA https://t.co/Ixe7npXRTa</t>
  </si>
  <si>
    <t>Interested in learning about union opportunities and pre-apprenticeship classes. Join our fair on 5/10. RSVP today! https://t.co/LEyCXymrZq</t>
  </si>
  <si>
    <t>RT @NotifyNYC: NYC experiencing wind gusts in excess of 40MPH. Caution when walking/driving, wind causes flying debris. https://t.co/VYE0sy…</t>
  </si>
  <si>
    <t>RT @cnybrealestate: #CrainsEvents: @NYCHA chair to discuss the agency’s proposed developments. Register for 6/16. https://t.co/4BhvUt8Z66</t>
  </si>
  <si>
    <t>RT @gregjmorris: We always end on a song ('cuz there's a song in our hearts.) @IsaacsCenterNYC @NYCHA @NYCSeniors #happymothersday https://…</t>
  </si>
  <si>
    <t>RT @gregjmorris: Happy Mothers Day to all of our wonderful moms, grandmoms, and great grand moms @IsaacsCenterNYC @NYCHA @NYCSeniors https:…</t>
  </si>
  <si>
    <t>Translation: "A Green NYCHA is... a beautiful garden!" Learn about our recycling roll out: https://t.co/fkrXkv00ZR https://t.co/sSudQWwbdA</t>
  </si>
  <si>
    <t>RT @gregjmorris: Despite the rotten weather, it is very sunny here. @IsaacsCenterNYC @NYCHA @NYCSeniors https://t.co/fWeteaaKEc</t>
  </si>
  <si>
    <t>RT @gregjmorris: Celebrating @IsaacsCenterNYC moms with some musical accompaniment. @NYCHA @NYCSeniors #HappyMothersDayWeekend https://t.co…</t>
  </si>
  <si>
    <t>#FoodBizDream alumnus Lancelot Brown recently launched his restaurant, Jamaica Grill! More: https://t.co/bmqVF6GAVw https://t.co/SfcSzMqaYn</t>
  </si>
  <si>
    <t>RT @Brooklyn_Paper: Canarsie chef opens Jamaican restaurant in Fort Greene thanks to public housing program https://t.co/ewOu8OR7df https:/…</t>
  </si>
  <si>
    <t>RT @NYCHousing: @NYCHA &amp;amp; HPD announced expansion of #affordablehousing at Mill Brook Houses in Mott Haven, Bronx, among other sites https:/…</t>
  </si>
  <si>
    <t>RT @NYCHousing: @NYCHA &amp;amp; HPD announced expansion of #affordablehousing at Van Dyke Houses in Brownsville Brooklyn among other sites https:/…</t>
  </si>
  <si>
    <t>RT @NYCHousing: @NYCHA &amp;amp; HPD announced expansion of #affordablehousing at Ingersoll Houses in Fort Greene Brooklyn among other sites https:…</t>
  </si>
  <si>
    <t>RT @nycgob: A los residentes de @NYCHA les encanta la nueva app #MyNYCHA para Android y iOS en #español! https://t.co/CHoPG4iRx4 https://t.…</t>
  </si>
  <si>
    <t>Live in a Sandy impacted development? Interested in construction jobs? Register https://t.co/98I4m9IcYC #NYCHAStrong https://t.co/sssWqP6lcV</t>
  </si>
  <si>
    <t>RT @EastSideHouse33: Thanks to @nycha @MMViverito @HostosCollege for their participation and years of committed partnership to #JobsPlus. h…</t>
  </si>
  <si>
    <t>500 affordable units to rise on @NYCHA in #Bronx + #Brooklyn. This means more #SeniorHousing for NYC #NextGenNYCHA https://t.co/Ixe7npXRTa</t>
  </si>
  <si>
    <t>ICYMI, @NYCHA announces plans to revamp the #Brooklyn Van Dyke &amp;amp; Ingersoll Houses, and #Bronx Mill Brook Houses https://t.co/9AXdEzTpPm</t>
  </si>
  <si>
    <t>RT @builtbrooklyn: Groundbreaking, Ft Greene Houses 75 yrs ago today (now Whitman/Ingersoll) @NYCHA @DowntownBklyn @BklynEagle @BLDG92 http…</t>
  </si>
  <si>
    <t>RT @CurbedNY: Hundreds of affordable units are coming to public housing land in Brooklyn and the Bronx. https://t.co/SEQjw7GAwD https://t.c…</t>
  </si>
  <si>
    <t>RT @DanielSquadron: Join @NYCHA for Construction Career Resource Fair Tuesday, 4pm, at @HamiltonMadison (50 Madison St) https://t.co/JGQ9gw…</t>
  </si>
  <si>
    <t>RT @JeanBWeinberg: ICYMI: @NYCHA @SholaOlatoye delivers on #NextGenerationNYCHA promise  https://t.co/caLvheG0Mq</t>
  </si>
  <si>
    <t>. @NYCHA announces plans to revamp the #Brooklyn Van Dyke Houses &amp;amp; Ingersoll Houses, and #Bronx Mill Brook Houses https://t.co/9AXdEzTpPm</t>
  </si>
  <si>
    <t>RT @NYCHousing: Today, @NYCHA &amp;amp; HPD announced selection of 3 development teams to expand #affordablehousing at 3 NYCHA developments https:/…</t>
  </si>
  <si>
    <t>RT @NatalieBx212: Construction Resource fair for NYCHA residents.Tuesday May 10th RSVP required. #jobs #nycha #construction #jobsplus https…</t>
  </si>
  <si>
    <t>RT @swaystay: Launched the NYCHA recycling program in 850 public housing buildings. #OneNYCProgress - https://t.co/w8X3WInxQg https://t.co/…</t>
  </si>
  <si>
    <t>100% affordable housing plan "reflects the community conversations we had w/residents,” @SholaOlatoye #NextGenNYCHA https://t.co/Ixe7npXRTa</t>
  </si>
  <si>
    <t>RT @GreenCityForce: Thx to our @neubergerberman volunteers for hard work w/ our Corps @ the #RedHook @NYCHA Farm yesterday! https://t.co/85…</t>
  </si>
  <si>
    <t>RT @RMansonLISC: Congrats! @LISC_HQ partner @WSFSSH selected to build new #AffordableHousing on @NYCHA land in #SouthBronx https://t.co/Ypk…</t>
  </si>
  <si>
    <t>Breaking news: 100% affordable units to rise in #VanDyke #Ingersoll + #MillBrook. This is #NextGenNYCHA https://t.co/Ixe7npXRTa</t>
  </si>
  <si>
    <t>ICYMI Wyckoff+Holmes residents: last chance to be on the #NextGenNYCHA neighborhoods Stakeholder Cmtes! Apply today: https://t.co/5JeJ8In26x</t>
  </si>
  <si>
    <t>RT @HUDNY_NJ: .@NYCHA is building 156 units of #seniorhousing in the Bronx. Here's what it looked like in 1936 via @nypl #TBT https://t.co/…</t>
  </si>
  <si>
    <t>Come learn about upcoming union and construction opportunities! Register https://t.co/LZdPnhxhTG #NYCHAStrong https://t.co/IA3Dshv5ss</t>
  </si>
  <si>
    <t>RT @LISC_NYC: Congrats @WSFSSH @NYCHA on commitment to &amp;gt;150 units of affordable senior housing in the #SouthBronx! https://t.co/LNHK5354dN</t>
  </si>
  <si>
    <t>RT @AjaWorthyDavis: Good luck to #NYCHA food biz grad Lancelot Brown, who opened this spot in my neighb! Coming for your oxtails, sir! http…</t>
  </si>
  <si>
    <t>Wyckoff+Holmes residents: last chance to be on  the #NextGenNYCHA neighborhoods Stakeholder Cmtes! Apply today: https://t.co/5JeJ8In26x</t>
  </si>
  <si>
    <t>RT @lenholehouse: Jamaican chef opens Fort Greene restaurant thanks to public housing program #RecipesofAfrica https://t.co/DWMyfQFIiQ http…</t>
  </si>
  <si>
    <t>RT @AjaWorthyDavis: 500 Affordable Units to Rise on #NYCHA Land in Bronx and Brooklyn https://t.co/b3aiL5dgmA (via @Mireyawrites)</t>
  </si>
  <si>
    <t>RT @nycgob: Venga a la Feria de #empleos de construcción p/ residentes de @NYCHA! Registro: https://t.co/r19YBUBRfD #NYCHAStrong https://t.…</t>
  </si>
  <si>
    <t>#TBT 2/2015. 500 residents from 42 different @NYCHA complexes in #Bk got a free screening of Selma @BAMcinematek! https://t.co/NOuB20Hfcc</t>
  </si>
  <si>
    <t>We all need to connect! Tell your friends about our Digi Van @ Astoria Houses (4-20 Astoria Blvd parking lot) https://t.co/dmzu8keRPG</t>
  </si>
  <si>
    <t>RT @MikeRosen1975: Exterior lighting upgrade@Ravenswood=better safety for @NYCHA residents, employees&amp;amp;community! #NYCHACapitalProjects http…</t>
  </si>
  <si>
    <t>RT @GrowNYC: Live at @NYCHA and love your community? Become an Environmental Ambassador! https://t.co/QT5omhFf0P https://t.co/bL6uUNMjpU</t>
  </si>
  <si>
    <t>Calling all residents: Come to @NYCHA's Construction Career Fair! Register https://t.co/98I4m9IcYC #NYCHAStrong https://t.co/XAwyoDSGFT</t>
  </si>
  <si>
    <t>RT @nycgob: Gane mientras desarrolla destrezas para triunfar y empezar su carrera de ensueño con @YearUpNewYork: https://t.co/fCuVhHYvVk @N…</t>
  </si>
  <si>
    <t>Live in #Wyckoff or #Holmes &amp;amp; want to make a difference in your community? Apply to the Stakeholder Cmtes. More https://t.co/5JeJ8In26x</t>
  </si>
  <si>
    <t>RT @GreatForestInc: Infographics on how #solar panels are leading @NYCHA's #sustainability agenda! #energy https://t.co/NTTOnRnHau</t>
  </si>
  <si>
    <t>RT @nycgob: Te interesa una carrera en #tecnología? Ven a taller de #TechPortal mañana! Registro: https://t.co/XB95YHAysQ https://t.co/KbsU…</t>
  </si>
  <si>
    <t>#Wyckoff + #Holmes residents’ voices need to be represented. Serve on a Stakeholder Cmte. https://t.co/5JeJ8In26x</t>
  </si>
  <si>
    <t>Get paid to develop the skills needed to succeed &amp;amp; jump start your dream career with @YearUpNewYork Learn how: https://t.co/wO6CT0vXu9</t>
  </si>
  <si>
    <t>Tech savvy? Register today for a seat at #Techportal's workshop. Your new career starts now! https://t.co/mUlJGGGw9A https://t.co/DdJGf0egJI</t>
  </si>
  <si>
    <t>@Koreat0wn Hi. We're sorry to hear about this. Have you taken any additional measures such as calling the CCC? The number is 718-707-7771</t>
  </si>
  <si>
    <t>Have you seen one of our Digital Vans? They're at Forest Houses #BX &amp;amp; Ocean Hill #BK until 4pm https://t.co/dmzu8keRPG</t>
  </si>
  <si>
    <t>Live in a Sandy impacted development? Interested in a career in construction? Come to our event 5/10 on the #LES. https://t.co/LEyCXymrZq</t>
  </si>
  <si>
    <t>Interested in starting a career in Tech? Attend #TechPortal's workshop on 5/4. Register: https://t.co/Vmkw3sqV1N https://t.co/JranmDELnu</t>
  </si>
  <si>
    <t>The #MyNYCHA App was a huge success! Don't have a smartphone? No need! Access #MyNYCHA online today: https://t.co/Jp6SqbMZp2</t>
  </si>
  <si>
    <t>5 more days #Wyckoff #Holmes @NYCHA residents! Don't miss the chance to be on a #NGN Stakeholder Cmte! https://t.co/5JeJ8In26x</t>
  </si>
  <si>
    <t>RT @NYCzerowaste: Launched the NYCHA recycling program in 850 public housing buildings. #OneNYCProgress - https://t.co/tpRniDEb5i https://t…</t>
  </si>
  <si>
    <t>Internet access is GOOD! Go digital @ Stuyvesant Gardens Senior Center #BK until 4pm. Our Digital Van schedule: https://t.co/dmzu8keRPG</t>
  </si>
  <si>
    <t>NYCHA Digital Vans offer free computer access + WiFi at Mitchel Houses #BX today 
https://t.co/dmzu8keRPG</t>
  </si>
  <si>
    <t>ICYMI, @NY1 Reports: @NYCHA Resident Lives Lifetime Dream, Starts His Own Restaurant! #FoodBizDream https://t.co/DrE0MPK2FH</t>
  </si>
  <si>
    <t>Now Recruiting #Wyckoff #Holmes residents! Learn more about these #NextGenNYCHA Neighborhoods Stakeholder Cmtes: https://t.co/5JeJ8In26x</t>
  </si>
  <si>
    <t>RT @nyc311: We’d love to know how you think we’re doing on Twitter. Please take our short survey. Thank you! https://t.co/DG8QBo4l3u</t>
  </si>
  <si>
    <t>RT @MikeRosen1975: Thank you CMAA Metro NY/NJ for the warm reception last night. Proud to present @NYCHA 's Sandy Recovery Program. https:/…</t>
  </si>
  <si>
    <t>RT @CrainsNewYork: #CrainsEvents: @NYCHA CEO to speak on 6/16. Register today! https://t.co/gpcqUHV4Rn</t>
  </si>
  <si>
    <t>RT @NYCParks: Happy Arbor Day! Join us live on https://t.co/qVj20N8BRU at 10:15am to preview the new Ft. Greene Park Tree Trail w/the Urban…</t>
  </si>
  <si>
    <t>@UndrcvrMother Hi. We're sry to hear about this. Do you have a ticket number from the Customer Contact Center? We will report + do follow up</t>
  </si>
  <si>
    <t>RT @nycgob: Residente de @NYCHA: Ya puedes descargar la app #MyNYCHA en #español para solicitar reparaciones en: https://t.co/CHoPG4AsoC</t>
  </si>
  <si>
    <t>Need free computer access? Try our NYCHA Digital Van! It will be Ocean Hill Parking Lot in #brooklyn until 4pm: https://t.co/dmzu8keRPG</t>
  </si>
  <si>
    <t>RT @MicheleMoore24: NYCHA Disaster Recovery presenting 2 leading construction professional on SandyRecovery #NYCHAstrong @MikeRosen1975 htt…</t>
  </si>
  <si>
    <t>RT @NYCSmallBizSvcs: Congrats @Jamaica_Grill on realizing your #FoodBizDream! https://t.co/5SZwe1pcjv via @NY1 cc: @NYCHA @NYCEDC @Citi htt…</t>
  </si>
  <si>
    <t>RT @NY1noticias: NYCHA lanza App en español para solicitar reparaciones en apartamentos de viviendas públicas https://t.co/m3MSKuXdWw https…</t>
  </si>
  <si>
    <t>Want to grow food in your community or at your school? Learn more about gardening in NYC: https://t.co/QWjvZdclKZ https://t.co/y8n8UVIxRG</t>
  </si>
  <si>
    <t>RT @NYPD122Pct: Cops vs Kids @NYCHA Berry Homes! https://t.co/KGdiosMSa5</t>
  </si>
  <si>
    <t>It's #NationalSuperheroDay! Here's Spiderman at 2014's Fort Independence Towers &amp;amp; Taylor-Wythe Houses Family Day. https://t.co/I57lBdqYoz</t>
  </si>
  <si>
    <t>Want to make an impact on the #HolmesTowers community? Serve on the new Stakeholder Cmte. Application here: https://t.co/5JeJ8In26x #UES</t>
  </si>
  <si>
    <t>RT @EastSideHouse33: #TBT 3 years ago our @jobsplusmill program kicked off at Millbrook Houses @nycha. Happy birthday, Jobs-Plus! https://t…</t>
  </si>
  <si>
    <t>RT @MikeRosen1975: Recovery to Resiliency
@NYCHA Superstorm Sandy Recovery Program
CMAA New York/New Jersey - Meeting/Event Information htt…</t>
  </si>
  <si>
    <t>RT @NYPDPSA4: #HappeningNow basketball game with teens from @NYCHA @USSNYCAMPOS Community Center https://t.co/BnZSGYjksc</t>
  </si>
  <si>
    <t>RT @NYPDPSA9: Thanking Sgt. Palmer @NYPD School Safety Division for educating PSA 9 NYCHA residents on gang awareness https://t.co/pUrLKpK4…</t>
  </si>
  <si>
    <t>RT @RajathNY1: Lancelot Brown has opened his Myrtle Av restaurant after graduating from a food business program for NYCHA residents https:/…</t>
  </si>
  <si>
    <t>.@NY1 Reports: @NYCHA Resident Lives Lifetime Dream, Starts His Own Restaurant! #FoodBizDream https://t.co/QV2EOBf2T4</t>
  </si>
  <si>
    <t>#TBT dates back to July 14, 1941 &amp;amp; features kids playing at #VladeckHouses, Madison St in the Lower East Side. #LES https://t.co/BJrgzSDDfP</t>
  </si>
  <si>
    <t>Get Wired! Visit our Digital Van at Park Ave bt Marcy/Nostrand #BK 
https://t.co/dmzu8keRPG</t>
  </si>
  <si>
    <t>RT @QCHnyc: Our Pomonok site planted its Community Garden for another great season! @NYCHA #greenliving #gardeningisfun https://t.co/0clBzs…</t>
  </si>
  <si>
    <t>RT @JulianneBond: Good we are planning for future sustainability! #greenday #nycbroker #solarpanels 
https://t.co/b6hN4KUVDb https://t.co/z…</t>
  </si>
  <si>
    <t>From @NYCHA  to @NASA , Dr. Ericsson advocates for math + science programs for all children. https://t.co/6hluyUoCPD https://t.co/jC8vD6jXVc</t>
  </si>
  <si>
    <t>Crea, vea y ponga orden de trabajo https://t.co/MKuYxAbH0s</t>
  </si>
  <si>
    <t>Meet Pamela Azore &amp;amp; Joy Junious, NYCHA Environmental Ambassadors! #IamNextGen #NextGenNYCHA: https://t.co/IVVOWG1LWv https://t.co/1pBJK4xOFC</t>
  </si>
  <si>
    <t>RT @Chirlane: Ppl all over are wearing jeans to show that we're not accepting a society that blames victims for rape. 
#DenimDay https://t…</t>
  </si>
  <si>
    <t>RT @CitizensNYC: #LoveYourBlock in full swing thanks 2 great #Queens @NYCHA_Tenants! @NYCommTrust @Citi @JimmyVanBramer @SholaOlatoye https…</t>
  </si>
  <si>
    <t>#HolmesTowers residents! Now is your time to get involved! Apply to a Stakeholder Cmte. Deadline 5/6. https://t.co/5JeJ8In26x #UES</t>
  </si>
  <si>
    <t>@StanleyLatiya Yes! The Red Hook Urban Farm is run by our partners Added Value Farms + @GreenCityForce. https://t.co/DPWUxlVuFm</t>
  </si>
  <si>
    <t>Happening now: NYCHA Board Meeting. Watch the video livestream https://t.co/qJBmyYdMCx</t>
  </si>
  <si>
    <t>Wearing jeans on #DenimDay  has become a symbol of protest against victim-blaming &amp;amp; myths surrounding sexual assault https://t.co/D5jg9slpJ6</t>
  </si>
  <si>
    <t>@MariaMoiseeva1 Hi. We're sorry to hear about this. Please send us your ticket number(s) and we'll investigate + do follow up. Thx</t>
  </si>
  <si>
    <t>Tune in LIVE to the video livestream of today's board meeting at 10am. View here: https://t.co/qJBmyYdMCx</t>
  </si>
  <si>
    <t>Did you know we livestream our board meetings? Watch live at 10am: https://t.co/qJBmyYdMCx</t>
  </si>
  <si>
    <t>RT @NY_Aff_Housing: Cannon Heyman &amp;amp; Weiss is offering $17K in scholarships for students in affordable housing https://t.co/MnP5mxF0XL @NYCH…</t>
  </si>
  <si>
    <t>Thank you to @UCSUSA for the great coverage + support of @NYCHA's comprehensive sustainability agenda! Learn more: https://t.co/26t68MmVVw</t>
  </si>
  <si>
    <t>RT @GreenCityForce: Great progress being made by GCF's Urban Farm Corps &amp;amp; partners on @NYCHA's #HowardHouses urban farm in #Brownsville! ht…</t>
  </si>
  <si>
    <t>#Wyckoff residents! Make your voice heard. Serve on #NextGenNYCHA Neighborhoods Stakeholder Cmte by 5/6. #BK https://t.co/5JeJ8In26x</t>
  </si>
  <si>
    <t>RT @NYPDPSA8: Everyone came out @JeffKleinNY @NYCHA @NYPDPSA8 in support of the Community Clean-Up Day @ #ThroggsNeck Houses. https://t.co/…</t>
  </si>
  <si>
    <t>RT @NYCSanitation: #OneNYCProgress - Launched the NYCHA recycling program in 850 public housing buildings. More: https://t.co/vMihIbEA2V</t>
  </si>
  <si>
    <t>Easier than ever to navigate @nyc_nonprofit. Get info re funding, digital marketing &amp;amp; more: https://t.co/tFXI1vH4A8 https://t.co/bnotqkUvfK</t>
  </si>
  <si>
    <t>RT @nycgob: Invertir $300M de EPCs @HUDgov es parte clave de #sustentabilidad de #NextGenNYCHA: https://t.co/bQUa7XxPKJ @NYCHA #EarthWeek</t>
  </si>
  <si>
    <t>#Wyckoff residents! Make an impact, apply to be on #NextGenNYCHA Neighborhoods Stakeholder Cmte. Deadline 5/6. #BK https://t.co/5JeJ8In26x</t>
  </si>
  <si>
    <t>RT @SINYCliving: NYC Housing Authority partnering with Green City Force to create 5 new urban farms  in 2017 https://t.co/aHCKy6Tlnr</t>
  </si>
  <si>
    <t>Meet Pamela Azore &amp;amp; Joy Junious, NYCHA Environmental Ambassadors! #IamNextGen #NextGenNYCHA: https://t.co/IVVOWG1LWv https://t.co/NGMjW6FB3A</t>
  </si>
  <si>
    <t>RT @GreenCityForce: Thx to the women of All In Brooklyn for visiting our Urban Farm Corps @ the #RedHook Houses #NYCHA farm last week! http…</t>
  </si>
  <si>
    <t>RT @privatewifi: Two more NYCHA developments in Brooklyn set to get free public Wi-Fi via @NYDailyNews https://t.co/N7BOMMUcxq https://t.co…</t>
  </si>
  <si>
    <t>Someone need to go online? Tell them about our Digital Van! @ 625 Castle Hill Ave #BX https://t.co/dmzu8keRPG</t>
  </si>
  <si>
    <t>Seen our Digital Van? It's at Melrose btwn 153rd &amp;amp; 156th St today until 4p! #BX 
https://t.co/dmzu8keRPG</t>
  </si>
  <si>
    <t>RT @MikeRosen1975: True community engagement = residents, electeds + @NYCHA working together @MarkTreyger718 #SandyRecovery https://t.co/Jo…</t>
  </si>
  <si>
    <t>ICYMI: In a city of concrete, @FarmSchoolNYC admires how Green @NYCHA is. #EarthDay #GoGreen https://t.co/Rqw5AoyB03</t>
  </si>
  <si>
    <t>ICYMI: What is @GreenCityForce? Click to learn more. #EarthDay #GoGreen https://t.co/LdzQeG24BW</t>
  </si>
  <si>
    <t>ICYMI: What does a Greener @NYCHA look like? Partners like @Unilever are helping us open up the conversation. https://t.co/GaTvvOlASU</t>
  </si>
  <si>
    <t>ICYMI: What does a Greener @NYCHA look like? Partners like @Unilever are helping us open up the conversation. https://t.co/GaTvvODbKs</t>
  </si>
  <si>
    <t>Meet Pamela Azore &amp;amp; Joy Junious, NYCHA Environmental Ambassadors! #IamNextGen #NextGenNYCHA: https://t.co/IVVOWG1LWv https://t.co/P68nXjB4R0</t>
  </si>
  <si>
    <t>Happy Seder! #Passover https://t.co/uWtq7b9iFm</t>
  </si>
  <si>
    <t>Investing $300M via @HUDgov EPCs are a key part of #NextGenNYCHA #Sustainability https://t.co/uPTBV2hzUV</t>
  </si>
  <si>
    <t>@Joe_Telometo Sorry to hear about that. That's an emergency issue, so please be sure to report it to our CCC: 718-707-7771</t>
  </si>
  <si>
    <t>Let’s have resilient #microgrids for our residents. Good luck to #NYPrize applicants @REV4NY @NYSERDA #NextGenNYCHA 
https://t.co/dOlnIM35zk</t>
  </si>
  <si>
    <t>Friends make it possible! #EarthDay @GreenCityForce @Weact4ej @FACbrooklyn @PhippsNY @GrowNYC @NYRP @MillionTreesNYC https://t.co/uPTBV2hzUV</t>
  </si>
  <si>
    <t>RT @AlexGleas: #ClimateWorksForAll has a plan, @NYCHA, and working together we could create pathways to careers and green energy  https://t…</t>
  </si>
  <si>
    <t>RT @HUDNY_NJ: Beautiful day, beautiful homes, beautiful community! #publichousing #NextgenNYCHA #welcomehome https://t.co/vOkq6ZvAFa</t>
  </si>
  <si>
    <t>RT @Enterprise_NYC: #Welcomehome, Randolph Houses residents! Great day to celebrate a green, sustainable, and affordable home! #EarthDay ht…</t>
  </si>
  <si>
    <t>RT @GreenCityForce: GCF CMs had a blast meeting other resident gardeners &amp;amp; enviro. orgs. @ 2016 #NYCHA Garden &amp;amp; Greening Conference! https:…</t>
  </si>
  <si>
    <t>Investing in green infrastructure for 30 developments. Thx for your partnership @NYCWater https://t.co/uPTBV2hzUV #EarthDay #NextGenNYCHA</t>
  </si>
  <si>
    <t>Foundation for zero waste at NYCHA: waste composition study in 2017 #NextGenNYCHA  @NYCzerowaste https://t.co/uPTBV2hzUV #EarthDay</t>
  </si>
  <si>
    <t>In a city of concrete, @FarmSchoolNYC admires how Green @NYCHA is. #EarthDay #GoGreen #NextGenNYCHA https://t.co/Rqw5AoyB03</t>
  </si>
  <si>
    <t>Porque sólo hay una Tierra. #DiaDeLaTierra #EarthDay #NextGenNYCHA https://t.co/YqchHQRfim</t>
  </si>
  <si>
    <t>RT @NY1noticias: ¡Con esta medida pagarás menos por la luz!
Te decimos cómo NYCHA piensa lograrlo. =&amp;gt; https://t.co/HM0Z7H4fOE</t>
  </si>
  <si>
    <t>NYCHA will be on track to reduce GHG by 30% by 2025 #EarthDay #NextGenNYCHA @NYCSustainable
https://t.co/uPTBV2hzUV</t>
  </si>
  <si>
    <t>RT @cbrangel: "Welcome Home" to historic A Philip Randolph Houses! Thx @WestHarlemGroup @inezdickens2013 @NYCHA Trinity https://t.co/7NOgrr…</t>
  </si>
  <si>
    <t>What is @GreenCityForce? Click to learn more. #EarthDay #GoGreen https://t.co/LdzQeG24BW</t>
  </si>
  <si>
    <t>RT @HUDNY_NJ: .@Enterprise_NYC @NYCHA Randolph Houses will be green and sustainable benefitting residents and community #EarthDay https://t…</t>
  </si>
  <si>
    <t>RT @HUDNY_NJ: .@SholaOlatoye's leadership and trust of #publichousing residents key in success @NYCHA Randolph Houses @NYCHousing https://t…</t>
  </si>
  <si>
    <t>RT @ZodetN: .@SholaOlatoye  welcomes @NYCHA  residents to newly renovated Randolph Houses in Central Harlem https://t.co/NXSWxzBU8h</t>
  </si>
  <si>
    <t>RT @Enterprise_NYC: .@NYCHA's bold new Sustainability Agenda https://t.co/QQirMwTfEe  @GothamGazette #EarthDay</t>
  </si>
  <si>
    <t>RT @Khanambano: Successful @NYCHA Sandy Recovery Design meeting 4 residents of #Surfside #Odwyer #CISite8 meeting. @MarkTreyger718 https://…</t>
  </si>
  <si>
    <t>RT @SholaOlatoye: @NYCHA future engineers at work! #nextgeneration #proresident https://t.co/QBoA8aGmPi</t>
  </si>
  <si>
    <t>RT @GreenCityForce: TY to @Unilever &amp;amp; @FPHNY staff &amp;amp; @NYCHA residents who volunteered this week for Howard Houses farm build! #EarthWeek ht…</t>
  </si>
  <si>
    <t>What does a Greener @NYCHA look like? Partners like @Unilever are helping us open up the conversation. https://t.co/GaTvvOlASU</t>
  </si>
  <si>
    <t>We're working on making @NYCHA Sustainable #EarthDay #NextGenNYCHA More via @JudiKende @GothamGazette https://t.co/kxK99AW1CC</t>
  </si>
  <si>
    <t>@osodee05 Hi. We're sry to hear about this. Do you have a ticket number from the our Customer Contact Center? We will report &amp;amp; do follow up</t>
  </si>
  <si>
    <t>@charmalique3 Hi. Our Digital Vans travel all over @NYCHA. To learn more/ see the van schedule, visit https://t.co/dmzu8keRPG</t>
  </si>
  <si>
    <t>You wired? Go to the Digital Van @ Tompkins Houses. Complete schedule here: 
https://t.co/dmzu8keRPG</t>
  </si>
  <si>
    <t>Happy #EarthDay @NYCHA! Lets keep our neighborhoods &amp;amp; planet healthy by being more eco-friendly #GoGreen #GreenTeam https://t.co/JmIf0NI927</t>
  </si>
  <si>
    <t>RT @bomee: Must get heat right to get to 80x50 @NYCHA https://t.co/6W1Hs1zDWo https://t.co/SSuBYqH931</t>
  </si>
  <si>
    <t>RT @MikeRosen1975: Fantastic design workshop on Coney Island. Residents &amp;amp; @NYCHA collaboration @ its best #sandyrecovery #NextGenNYCHA http…</t>
  </si>
  <si>
    <t>.@NYCHA's new sustainability agenda unveils plan to generate 25 megawatts of power from solar panels by 2025! https://t.co/sjsuw4pjhW</t>
  </si>
  <si>
    <t>RT @bomee: @NYCHA's GHG goals for 2025 depend on getting heating right https://t.co/6W1Hs1zDWo https://t.co/SSuBYqH931</t>
  </si>
  <si>
    <t>RT @NYCHRA: MT @NYC_DOT: 1 day until #EarthDay2016 &amp;amp; @CarFreeNYC! Join us tomorrow 10am-2pm on #Broadway to celebrate https://t.co/tx40ka2L…</t>
  </si>
  <si>
    <t>RT @bomee: @NYCHA history of sustainability - strong foundations by @RoryChristianNY @Lloyd_Kass  Bill Steinmann #EarthDay https://t.co/4s2…</t>
  </si>
  <si>
    <t>RT @EastSideHouse33: .@GreenCityForce is an excellent program for young adults living in @NYCHA. #NextGenNYCHA https://t.co/YXIaQ7qaOj</t>
  </si>
  <si>
    <t>#Holmes + #Wyckoff residents: Apply to be on #NextGenNYCHA Neighborhoods Stakeholder Cmte. Deadline 5/6. https://t.co/5JeJ8In26x</t>
  </si>
  <si>
    <t>RT @bomee: @NYCHA will cut energy intensity by 20% by 2025 #BetterBuildingsChallenge @HUDNY_NJ https://t.co/P2weXHjnVi</t>
  </si>
  <si>
    <t>RT @bomee: #EarthDay factoid: folks who pay own electricity pay more attention to conservation https://t.co/6W1Hs1zDWo https://t.co/hRTYmg6…</t>
  </si>
  <si>
    <t>#TBT What does a Green @NYCHA mean? @GreenCityForce member Chris Escoboza knows what it means to him. #NextGenNYCHA https://t.co/VJwyozcXab</t>
  </si>
  <si>
    <t>We'll start installing solar panels on our buildings in 2017. #NextGenNYCHA https://t.co/ATaLa2ZEcF</t>
  </si>
  <si>
    <t>RT @ElizabethWisman: Early #EarthDay present! @NYCHA releases Sustainability Agenda as part of #NextGenNYCHA. https://t.co/U0XvPKeayv via @…</t>
  </si>
  <si>
    <t>RT @SholaOlatoye: @NYCHA @DeutscheBank Sustainability not just a luxury. #proresident #propublichousing #nextgeneration https://t.co/yQh6JR…</t>
  </si>
  <si>
    <t>RT @Enterprise_NYC: Housing Agency Plans Energy Efficiencies https://t.co/DbiKcDl9s4 @NYCHA #NextGenNYCHA</t>
  </si>
  <si>
    <t>RT @JudiKende: "Housing Agency Plans Energy Efficiencies" Excited about this bold new plan @NYCHA. Congrats @SholaOlatoye @bomee  https://t…</t>
  </si>
  <si>
    <t>Free WiFi, computer access in NYCHA Digital Vans at Queens: 4-20 Astoria Blvd until 4pm: https://t.co/dmzu8keRPG</t>
  </si>
  <si>
    <t>Need digital access? Our Digital Van is at Lexington/Washington @ 1773 3rd Av 
https://t.co/dmzu8keRPG</t>
  </si>
  <si>
    <t>Meet Pamela Azore &amp;amp; Joy Junious, NYCHA Environmental Ambassadors! #IamNextGen #NextGenNYCHA: https://t.co/IVVOWG1LWv https://t.co/PD2nBFzvOQ</t>
  </si>
  <si>
    <t>#Holmes + #Wyckoff: Make sure your voice is heard. Apply to be on #NextGenNYCHA Neighborhoods Stakeholder Cmte. https://t.co/5JeJ8In26x</t>
  </si>
  <si>
    <t>For #EarthDay, we asked @GreenCityForce member Paul Philpott about what a Green @NYCHA looks like. #NextGenNYCHA https://t.co/I8LagQjb8J</t>
  </si>
  <si>
    <t>RT @NYPDPSA4: Don't forget Basketball Game tonight from 6-8 pm between @NYPDPSA4 and teens from @Nycha Campos Plaza @USSNYCampos https://t.…</t>
  </si>
  <si>
    <t>We're looking for Wyckoff+Holmes residents for the new #NextGenNYCHA neighborhoods Stakeholder Cmtes! Learn more: https://t.co/5JeJ8In26x</t>
  </si>
  <si>
    <t>Gardener Caroline Thunder Goes Green w/ Pink Houses' Farm Manager Nefratia Coleman! #NextGenNYCHA https://t.co/ApD92pqM1g</t>
  </si>
  <si>
    <t>Calling all @NYCHA residents! Check your polling location here: https://t.co/E4oArLqc54
and go vote! https://t.co/x6D6uEMSdG</t>
  </si>
  <si>
    <t>For all things #NYC – past and present – visit @nycrecords on Instagram: [one of the attached pictures] https://t.co/aSxDQ2GAub.</t>
  </si>
  <si>
    <t>Do you live in #Wyckoff or #Holmes &amp;amp; want to make a difference in your community? Apply to a Stakeholder Cmtes. More https://t.co/5JeJ8In26x</t>
  </si>
  <si>
    <t>RT @RitchieTorres: Thank you @BernieSanders for touring @NYCHA housing in Brownsville. @anniekarni @TheLastWord https://t.co/3ZwDWkL3hq</t>
  </si>
  <si>
    <t>Internet access ROCKS! Go digital @ Stuyvesant Gardens SC #BK until 4pm. Our Digital Van schedule: https://t.co/dmzu8keRPG</t>
  </si>
  <si>
    <t>RT @joshrobin: 1st pres candidate in recent memory to tour @NYCHA bldg, @HillaryClinton visits w @MMViverito https://t.co/MXKcNNMh26 @NY1</t>
  </si>
  <si>
    <t>RT @RitchieTorres: The experiences of @NYCHA residents is rich, diverse and we have to reinvest in public housing.</t>
  </si>
  <si>
    <t>RT @tamara537: Impressive young people from @GreenCityForce @NYCHA gardener summit #buildinghealthycommunities https://t.co/oiYCFbaamm</t>
  </si>
  <si>
    <t>RT @FarmSchoolNYC: Telling people about Farm School at @NYCHA Grows with Its Gardeners #Gardening and #UrbanFarming  Conference! https://t.…</t>
  </si>
  <si>
    <t>RT @EPAregion2: Are you resident of @NYCHA and love your community? Help keep it clean and green with the Environmental Ambassadors! https:…</t>
  </si>
  <si>
    <t>.@HillaryClinton spoke to NYCHA residents at Corsi Senior Center today! #ElBarrio https://t.co/IZ7uWO2FkI</t>
  </si>
  <si>
    <t>NYC Missing Persons Day returns on Sat Apr 16. For help finding a loved one, call 212 323 1201 to schedule an appt. https://t.co/GDyG0cijWt</t>
  </si>
  <si>
    <t>Need free computer access? Try our NYCHA Digital Van! It will be at Lincoln Houses #Harlem until 4pm: https://t.co/dmzu8keRPG</t>
  </si>
  <si>
    <t>See the Digital Van! It's at Jefferson Houses til 4p! #Uptown https://t.co/dmzu8keRPG</t>
  </si>
  <si>
    <t>RT @RitchieTorres: .@Lawrence interview asking Presidential candidates to tour public housing: https://t.co/I7N4ZqJb6a @NYCHA</t>
  </si>
  <si>
    <t>RT @RitchieTorres: Hear directly from @NYCHA tenants on @TheLastWord: https://t.co/d5aZkhHosj</t>
  </si>
  <si>
    <t>RT @RepGraceMeng: Meeting w/ #NYCHA Chair Shola Olatoye during briefing she held for #NY Reps. in Washington. https://t.co/EYJw6PcEDe</t>
  </si>
  <si>
    <t>RT @NYSlant: It’s time for Albany to close @NYCHA's funding gap, @nycfuture's Adam Forman writes https://t.co/XrpljGmHKb https://t.co/7pcet…</t>
  </si>
  <si>
    <t>Calling #Wyckoff #Holmes @NYCHA residents! Apply to be on a #NextGenNYCHA Neighborhoods Stakeholder Cmte! https://t.co/5JeJ8In26x</t>
  </si>
  <si>
    <t>RT @Enterprise_NYC: Lawrence O'Donnell of MSNBC tours “the hidden city” https://t.co/CrnV4JGCbN @RitchieTorres @bradlander @NYCHA</t>
  </si>
  <si>
    <t>Want to do business with NYCHA? Attend our trade show on 4/19. RSVP is required by 4/15. #contracting https://t.co/H8spdzvuum</t>
  </si>
  <si>
    <t>NYCHA Digital Van in Queens offers free WiFi &amp;amp; computer access. Stop by Ravenswood Houses until 4pm https://t.co/dmzu8keRPG</t>
  </si>
  <si>
    <t>NYCHA Digital Vans offer free computer access + WiFi at Lincoln Houses #Harlem today! https://t.co/dmzu8keRPG</t>
  </si>
  <si>
    <t>RT @Enterprise_NYC: Watch @RitchieTorres on @Lawrence tonight, discussing @NYCHA and why the pres candidates need to discuss housing https:…</t>
  </si>
  <si>
    <t>Want to do business with NYCHA? Attend our trade show on 4/19. RSVP is required by 4/15. #contracting https://t.co/z3WD94bf2R</t>
  </si>
  <si>
    <t>RT @NYCHA_Arts: .@NYCHA Resident Leaders of Brooklyn South discuss district - wide initiatives and events with staff and @NYPDPSA1 https://…</t>
  </si>
  <si>
    <t>El Dia de Personas Desaparecidas regresa el Sabado 16 de Abril. Para hacer una cita llamen al 212-323-1201.</t>
  </si>
  <si>
    <t>Have you seen our Digital Van? It's at Jefferson Houses today until 4! Check out the full schedule: https://t.co/dmzu8keRPG</t>
  </si>
  <si>
    <t>Catch up with our digital van at Lincoln houses until 4pm! # Harlem See the full schedule: https://t.co/dmzu8keRPG</t>
  </si>
  <si>
    <t>RT @nycgov: A summer job isn’t just a job—it’s a beginning, for youth &amp;amp; your business.
Get started today: https://t.co/UHwbgob7lB #YouthWor…</t>
  </si>
  <si>
    <t>NYC Missing Persons Day returns on Sat Apr 16. For help finding a loved one, call 212 323 1201 to schedule an appt. https://t.co/L5bRWu1wwR</t>
  </si>
  <si>
    <t>RT @Isaac_McGinn: Young @NYCHA residents bring ideas to life, paint new murals cc @GswellMural @RitchieTorres https://t.co/F6xTMrMrX9 https…</t>
  </si>
  <si>
    <t>RT @GswellMural: Check out this @nytimes article on our "Public Art/Public Housing" #mural series with @NYCHA and @RitchieTorres: https://t…</t>
  </si>
  <si>
    <t>RT @nycHealthy: Only 2 MORE DAYS to sign up for free nicotine patches &amp;amp; gum! Call @nyc311 or visit https://t.co/dwH9ekv35S #NYCQuits https:…</t>
  </si>
  <si>
    <t>RT @foodenterprise: A Tree Grows in Brooklyn, a book; A Farm is Built in Brownsville, a reality @GreenCityForce. @NYCHA #FESummit2016 https…</t>
  </si>
  <si>
    <t>RT @nycgob: ¡Afila el lápiz! Escribe un poema esta semana y concursa con #PoetweetNYC: https://t.co/z5sGECwh1b #NPM2016 @NYCHA</t>
  </si>
  <si>
    <t>Internet access is GOOD! Get digital @ Ravenswood Houses #Queens until 4pm. 
https://t.co/dmzu8keRPG</t>
  </si>
  <si>
    <t>Know someone who needs digital access? Well the Digital Van is at Lincoln Houses! #Uptown https://t.co/dmzu8keRPG</t>
  </si>
  <si>
    <t>ICYMI, @NASA Aerospace Engineer Dr. Ericsson talks to @NYCHA Youth about pursuing careers in Science+Technology. 
https://t.co/HVOHfeDjPP</t>
  </si>
  <si>
    <t>Want to do business with NYCHA? Attend our trade show on 4/19. RSVP is required by 4/15. #contracting https://t.co/MNPv53O2uN</t>
  </si>
  <si>
    <t>Do you live in #Wyckoff or #Holmes &amp;amp; want to make a difference in your community? Apply to the Stakeholder Cmtes. https://t.co/5JeJ8In26x</t>
  </si>
  <si>
    <t>RT @SenatorPersaud: Thanks @SholaOlatoye for meeting to discuss issues affecting NYCHA residents in the 19th SD.#workingtogether https://t.…</t>
  </si>
  <si>
    <t>Show off your poetry skills this National Poetry Month. Write a poem this week to enter #PoetweetNYC: https://t.co/acFTlfnaXD #NPM2016</t>
  </si>
  <si>
    <t>@ILLRUINU Hi. We're sry to hear about this. Please follow us &amp;amp; DM us your ticket numbers so we can follow up &amp;amp; investigate. Thanks</t>
  </si>
  <si>
    <t>Need to use a computer? A NYCHA Digital Van will also be at Lincoln Houses in Manhattan until 4pm: https://t.co/dmzu8keRPG</t>
  </si>
  <si>
    <t>Free WiFi &amp;amp; computer access in Harlem! NYCHA Digital Van at Jefferson Houses until 4pm https://t.co/dmzu8keRPG</t>
  </si>
  <si>
    <t>Only 9 days left til Tax Day (4/18)! File your taxes safely and for free with @NYCDCA’s #FreeTaxPrep. More info https://t.co/8780SfnCMm</t>
  </si>
  <si>
    <t>RT @SholaOlatoye: @NYCHA @SenatorPersaud #tilden #proresident #propublichousing https://t.co/qZfZ1n9sHL</t>
  </si>
  <si>
    <t>RT @NYCGlobalPrtnrs: Students at Drew Hamilton #Community Center are rehearsing a #performance for their final #GPJunior project! @NYCHA ht…</t>
  </si>
  <si>
    <t>.@NASA Aerospace Engineer Dr. Aprille Ericsson speaks to @NYCHA Youth about pursuing careers in Science+Technology. 
https://t.co/HVOHfeDjPP</t>
  </si>
  <si>
    <t>@HellaKev Hi. We're sry to hear about this. Please follow us &amp;amp; DM us your ticket numbers so we can follow up &amp;amp; investigate. Thanks</t>
  </si>
  <si>
    <t>Writing a resume on a phone is hard. The Digital Van can help at Ravenswood Houses #Queens https://t.co/dmzu8keRPG</t>
  </si>
  <si>
    <t>NYCHA Digital Vans offer free computer access + WiFi at Jefferson Houses #Harlem today</t>
  </si>
  <si>
    <t>.@NYCHA Launches NextGen Neighborhoods Stakeholder Committees: https://t.co/fVS5MHRFMT  via @BklynEagle</t>
  </si>
  <si>
    <t>RT @nycgob: ¿Sabías? @NYCParks ofrece diversas clases de @ShapeUpNYC en Centros comunitarios de @NYCHA! https://t.co/wBbcBjM8Nn</t>
  </si>
  <si>
    <t>#ThrowBackThursday by artist Philip Guston, "Mural Work and Play" #QueensbridgeHouses Community Center in 1940. https://t.co/NIpaANvpSp</t>
  </si>
  <si>
    <t>We have a Digital Van at Lincoln Houses near 60 East 135th Street today 10a-4p. Free WiFi and Internet in #Harlem https://t.co/dmzu8keRPG</t>
  </si>
  <si>
    <t>Need to use a computer? A NYCHA Digital Van will be at Jefferson Houses in Manhattan until 4pm: https://t.co/dmzu8keRPG</t>
  </si>
  <si>
    <t>RT @BklynEagle: #NYC wants #Wyckoff Gardens residents to advise developers at their #NYCHA site. #Brooklyn https://t.co/LyMkl6tdH0 https://…</t>
  </si>
  <si>
    <t>RT @SholaOlatoye: @NYCHA #Holmes + #Wyckoff: I want you to have a voice. Apply to be on #NextGenNYCHA Neighborhoods Stakeholder Cmte. https…</t>
  </si>
  <si>
    <t>RT @AjaWorthyDavis: NYCHA bringing in tenants for NextGen projects https://t.co/J3czzQUT3a (via @mazsidahmed)</t>
  </si>
  <si>
    <t>RT @bkfoodworks: Thanks to @NextCityOrg and @oscarthinks for putting together this great piece on #BKFW and our @NYCHA community! https://t…</t>
  </si>
  <si>
    <t>@SnoopsMom104 Sorry to hear about this. We just sent you a DM for more information. cc: @SholaOlatoye</t>
  </si>
  <si>
    <t>RT @NYCYouth: On Saturday, April 16 the @HetrickMartin Institute will be hosting the LGBTQ Youth Summit. https://t.co/gHK2Ez6kmD https://t.…</t>
  </si>
  <si>
    <t>RT @NYCHousing: Studios, one and two-bedroom apts are available for rent in Harlem. Apply: https://t.co/D8A7PYOHBI #HousingLottery https://…</t>
  </si>
  <si>
    <t>RT @nycgob: Las propiedades de @NYCHA ofrecerán servicios desde antes de las 8AM hasta después de las 4:30PM! https://t.co/iR9czRlZuZ #Flex…</t>
  </si>
  <si>
    <t>RT @nycgob: Los residentes también podrán concertar citas para hablar con gerentes los sábados (8:30AM–12PM). https://t.co/iR9czRlZuZ #Flex…</t>
  </si>
  <si>
    <t>RT @nycgov: Did you know that @NYCParks offers various @ShapeUpNYC classes at @NYCHA Community Centers? https://t.co/Nt0gwEG3o3</t>
  </si>
  <si>
    <t>RT @CMPNewYork: There are FREE tax prep services for @NYCHA residents until 4/13! List of locations to visit for help here: https://t.co/nR…</t>
  </si>
  <si>
    <t>Need to connect to the web? Visit our Digital Van today at Ravenswood #Queens 
https://t.co/dmzu8keRPG</t>
  </si>
  <si>
    <t>Wired?! Visit our Digital Van @ Jefferson Houses! #Harlem We're there until 4.
https://t.co/dmzu8keRPG</t>
  </si>
  <si>
    <t>Our public hearing is still happening. If you couldn't make it in person, make your voice heard. Email annualplancomments@nycha.nyc.gov</t>
  </si>
  <si>
    <t>"I do not think there will be any other way to repair our own buildings." -Wyckoff resident on #NextGenNYCHA Neighborhoods</t>
  </si>
  <si>
    <t>Learn more about how RAD can help our residents. https://t.co/nCpEMbVvGR #NextGenNYCHA</t>
  </si>
  <si>
    <t>We're committed to transparency. https://t.co/ttft62PR5s #NextGenNYCHA</t>
  </si>
  <si>
    <t>Our Annual Plan Public Hearing is LIVE. Watch, rewind, playback: https://t.co/yy8KOFvBeT</t>
  </si>
  <si>
    <t>Looking for a (better) job? Our REES office can help w/ increased Section 3 Economic Opportunities: https://t.co/vOa0PuZn4u</t>
  </si>
  <si>
    <t>FACT: #NextGenNYCHA won't displace @NYCHA families or raise rents. It will not privatize bldgs/demolish public housing.</t>
  </si>
  <si>
    <t>#NextGenNYCHA generates funding for repairs, to preserve NYCHA, improve the quality of life for our residents. LIVE: https://t.co/yy8KOFvBeT</t>
  </si>
  <si>
    <t>FACT: The # of reg work hours will NOT change for employees (a 7- or 8-hour reg workday &amp;amp; a 35- or 40-hour workweek). #FlexOps</t>
  </si>
  <si>
    <t>These changes show that #NextGenNYCHA is committed to supporting this generation &amp;amp; the next. https://t.co/53VkMDw1M1 #FlexOps</t>
  </si>
  <si>
    <t>Residents will also be able to schedule a meeting to talk w/ property mgmt on Saturdays (8:30 am – 12pm).  https://t.co/53VkMDw1M1 #FlexOps</t>
  </si>
  <si>
    <t>.@NYCHA properties will be open for business before 8 am, after 4:30 pm. We're entering the 21st century https://t.co/53VkMDw1M1 #FlexOps</t>
  </si>
  <si>
    <t>For years, we've struggled w/ decaying bldgs, $$ shortfalls &amp;amp; ineffective mgmt. #NYCHA writes a new chapter https://t.co/53VkMDw1M1 #FlexOps</t>
  </si>
  <si>
    <t>#NextGenNYCHA strategic plan comes from hard work w/ residents, staff, community + elected leaders. LIVE: https://t.co/yy8KOFvBeT</t>
  </si>
  <si>
    <t>#NextGenNYCHA objectives: fund, operate, (re)build, engage. LIVE: https://t.co/yy8KOFvBeT</t>
  </si>
  <si>
    <t>#NextGenNYCHA strategies will allow us overcome our operating deficit. LIVE: https://t.co/yy8KOFvBeT</t>
  </si>
  <si>
    <t>Chair &amp;amp; CEO @SholaOlatoye on #NextGenNYCHA vision: safe, clean, connected communities. LIVE: https://t.co/yy8KOFvBeT</t>
  </si>
  <si>
    <t>We're starting on Annual Plan Public Hearing. Watch LIVE: https://t.co/yy8KOFvBeT</t>
  </si>
  <si>
    <t>We're about to start our public hearing @bmcc_cuny https://t.co/yy8KOFvBeT #NextGenNYCHA https://t.co/iDkXTiKp1Y</t>
  </si>
  <si>
    <t>One more hour! Tonight's Annual Plan public hearing, 5:30-8pm @bmcc_cuny Video Livestream: https://t.co/yy8KOFvBeT https://t.co/vO0XAMldPE</t>
  </si>
  <si>
    <t>Just 2 more hours to go until tonight's Annual Plan public hearing @bmcc_cuny! https://t.co/yy8KOFvBeT #NextGenNYCHA https://t.co/hg99p2aEQv</t>
  </si>
  <si>
    <t>RT @SINYCliving: NYC Housing Authority partnering with Green City Force to create 5 new urban farms  in 2017 https://t.co/aHCKy6Tlnr https:…</t>
  </si>
  <si>
    <t>RT @Isaac_McGinn: .@NYCHA’s FBP program gives residents tools to succeed, cc @NYCSmallBizSvcs @NYCEDC @bkfoodworks – making me hungry! http…</t>
  </si>
  <si>
    <t>Just 3 more hours! Join us for tonight's Annual Plan public hearing, 5:30-8pm @bmcc_cuny https://t.co/yy8KOFvBeT #NextGenNYCHA</t>
  </si>
  <si>
    <t>.@SholaOlatoye "We start from a place of how do we improve customer service to our residents? https://t.co/4HsI6hf860</t>
  </si>
  <si>
    <t>Free tax preparation + e-file services for anyone making $53k or less at select @NYCHA Community Centers until 4/13 https://t.co/YMOld0ma2X</t>
  </si>
  <si>
    <t>RT @SholaOlatoye: @NYCHA @CoreyinNYC @galeabrewer #proresident #propublichousing #nextgenerationnycha https://t.co/IcoDMwUSxG</t>
  </si>
  <si>
    <t>RT @NYCDCA: Save the dates! May 21 &amp;amp; 22 for Shred Fest 2016 where you can shred your personal papers for free using shredding trucks. More…</t>
  </si>
  <si>
    <t>ICYMI. Today: Annual Plan hearing at @bmcc_cuny from 5:30-8pm. https://t.co/yy8KOFvBeT https://t.co/OhHVsllIzl</t>
  </si>
  <si>
    <t>@bwayintl Hi. We're sry to hear about this. Please follow us &amp;amp; DM us your ticket numbers so we can follow up &amp;amp; investigate. Thanks</t>
  </si>
  <si>
    <t>RT @NYCHA_Arts: Resident Leader of Carey Gardens Houses, Ms. Aikens, speaks to @NYCHA staff about development initiatives. https://t.co/hCK…</t>
  </si>
  <si>
    <t>RT @NYCHA_Arts: .@NYCHA staff putting down fertilizer in preparation for the Spring/Summer weather, at Carey Gardens Houses. https://t.co/4…</t>
  </si>
  <si>
    <t>RT @nycgob: MAÑANA es la audiencia anual del Plan de @NYCHA en @bmcc_cuny 5:30-8PM. https://t.co/5OiL3fBcpO https://t.co/qMaGtbSo8r</t>
  </si>
  <si>
    <t>RT @NYPDPSA7: .@NYCHA Residents: get alerts, outages in your development+view inspection appointments! Check out #MyNYCHA online: https://t…</t>
  </si>
  <si>
    <t>We all need to connect! Tell your friends about our Digi Van @ Lincoln Houses near 60 East 135th Street https://t.co/dmzu8keRPG</t>
  </si>
  <si>
    <t>NYCHA Digital Van in Manhattan is offering free WiFi &amp;amp; computer access. Stop by Jefferson Houses until 4pm https://t.co/dmzu8keRPG</t>
  </si>
  <si>
    <t>.@NYPDHousing Chief Secreto grew up in #AlbanyHouses! #IamNextGen #NextGenNYCHA: https://t.co/IVVOWG1LWv https://t.co/OIzCaGkM92</t>
  </si>
  <si>
    <t>RT @kctennisleague: Student registration for our free tennis program is OPEN! Priority is given to Bed-Stuy area @NYCHA residents. https://…</t>
  </si>
  <si>
    <t>@alwayz_lala Hi. We're sry to hear about this. Please follow us &amp;amp; DM us your ticket numbers so we can follow up &amp;amp; investigate. Thanks</t>
  </si>
  <si>
    <t>Only 2 weeks left til Tax Day (4/18)! File your taxes safely and for free with @NYCDCA’s #FreeTaxPrep. More info https://t.co/8780SfnCMm</t>
  </si>
  <si>
    <t>Get informed! Tomorrow: Annual Plan hearing at @bmcc_cuny from 5:30-8pm. https://t.co/yy8KOFvBeT https://t.co/vVXi7sL329</t>
  </si>
  <si>
    <t>RT @BetterBldgsDOE: We're excited to hear @bomee VP of #Energy &amp;amp; #Sustainability @NYCHA speak abt multifamily at #BBSummit2016 https://t.co…</t>
  </si>
  <si>
    <t>RT @nycgov: DYK? You can subscribe to alerts, outages in your development+view inspection appointments? #MyNYCHA online: https://t.co/J4cf8…</t>
  </si>
  <si>
    <t>@PuertoRoc85 Hi. We're sry to hear about this. Please follow us &amp;amp; DM us your ticket numbers so we can follow up &amp;amp; investigate. Thanks</t>
  </si>
  <si>
    <t>@kimashawn Hi. We're sry to hear about this. Please follow us &amp;amp; DM us your ticket numbers so we can follow up &amp;amp; investigate. Thanks</t>
  </si>
  <si>
    <t>@GHOSTBKLUE Hi. We're sry to hear about this. Please follow us &amp;amp; DM us your ticket numbers so we can follow up &amp;amp; investigate. Thanks</t>
  </si>
  <si>
    <t>.@NASA Aerospace Engineer Dr. Aprille Ericsson speaks to @NYCHA Youth about pursuing careers in Science+Technology. 
https://t.co/4wAMYLq78k</t>
  </si>
  <si>
    <t>Have you seen our Digital Van? It's at Ravenswood Houses, today until 4! #Queens
https://t.co/dmzu8keRPG</t>
  </si>
  <si>
    <t>We have a Digital Van at Jefferson houses today 10a-4p. Free WiFi and Internet in #Harlem https://t.co/dmzu8keRPG</t>
  </si>
  <si>
    <t>.@SholaOlatoye "We're trying to push all resources into the frontlines to better assist our residents." https://t.co/4HsI6hf860</t>
  </si>
  <si>
    <t>#VITAWorks Free tax preparation/e-file services @ select NYCHA Community Centers. More info: https://t.co/7waFiAONfW https://t.co/OvdRcO8VLL</t>
  </si>
  <si>
    <t>.@SholaOlatoye "#FlexOps will help our residents have a safe, cleaner place to live." https://t.co/4HsI6hf860</t>
  </si>
  <si>
    <t>Chair @SholaOlatoye &amp;amp; resident leaders just finished a tour of #ChelseaHouses w/ @galeabrewer @CoreyinNYC! https://t.co/PIFixnXmMm</t>
  </si>
  <si>
    <t>#FlexOps will improve the lives of residents in this generation &amp;amp; the next #NextGenNYCHA https://t.co/53VkMDw1M1 https://t.co/YUwofvpoCl</t>
  </si>
  <si>
    <t>Homelessness is a large, multifaceted challenge. Our response must be the same. Watch @nycdhs guide the journey home https://t.co/qp9fNTxZEn</t>
  </si>
  <si>
    <t>.@NYPDHousing Chief Secreto grew up in #AlbanyHouses! #IamNextGen #NextGenNYCHA: https://t.co/IVVOWG1LWv https://t.co/qHFA6Muvm5</t>
  </si>
  <si>
    <t>Digital Van @ #KingsboroughHouses – 3rd Walk between 1880 Pacific Street and Bergen Street #BK https://t.co/dmzu8keRPG</t>
  </si>
  <si>
    <t>Hey BK!  Check out our Digital Van @ #BushwickHouses until 4pm #BK  https://t.co/dmzu8keRPG</t>
  </si>
  <si>
    <t>RT @NYCITYFINEST: Semi-Finals in the books! Finals up next tomorrow 7pm for the Brooklyn Championship in the NYCHA Citywide Classic.‼️ http…</t>
  </si>
  <si>
    <t>Here's a #TBT photo of a planning map of all the @NYCHA run developments across the 5-boroughs during the 1960s! https://t.co/nOlL78BVul</t>
  </si>
  <si>
    <t>Get Wired! Visit our Digital Van at Park Ave bt Marcy/Nostrand #BK https://t.co/dmzu8keRPG</t>
  </si>
  <si>
    <t>Know someone who needs digital access? Well the Digital Van is at Edenwald Houses! #Bronx  https://t.co/dmzu8keRPG</t>
  </si>
  <si>
    <t>ICYMI, residents will be able to schedule routine repairs in the early evening. Change is coming. https://t.co/WCTKUTlUu7 #FlexOps</t>
  </si>
  <si>
    <t>RT @nycoem: FACT: If the City issues an evacuation order for your area during a hurricane, do so as directed. https://t.co/BdwQJVJ3HB #Safe…</t>
  </si>
  <si>
    <t>RT @BklynEagle: New outdoor Wi-Fi networks expanded by Downtown #Brooklyn Partnership includes NYCHA https://t.co/j88sHZTswX https://t.co/g…</t>
  </si>
  <si>
    <t>RT @NYCHRA: If you need food right now, food pantries and community kitchens can help. Find one near you: https://t.co/4lKg5Vc89V #SNAPHelps</t>
  </si>
  <si>
    <t>RT @latoyadjordan: Packed room of RA leaders @NYCHA REES Section 3 Conference learning how to start a business w/NYCHA &amp;amp; partners https://t…</t>
  </si>
  <si>
    <t>Chair of @AFSCME Ntl. Women’s Advisory Cmt is from #AlbanyHouses! #IamNextGen #NextGenNYCHA https://t.co/IVVOWG1LWv https://t.co/7BwQ4VoGFS</t>
  </si>
  <si>
    <t>.@SholaOlatoye talks w/ @ErrolLouis @NY1 @InsideCity Hall re: addressing #NYCHA's $61m deficit. https://t.co/4HsI6hf860</t>
  </si>
  <si>
    <t>Need tax help? Click to see VITA &amp;amp; Virtual VITA free tax prep locations in @NYCHA Communities. #VitaWorks https://t.co/RIV9R0SvqA</t>
  </si>
  <si>
    <t>Happening now: NYCHA Board Meeting. Watch the video livestream https://t.co/tobiekpH0m</t>
  </si>
  <si>
    <t>RT @NYDNLocal: Two more @NYCHA developments in Brooklyn are about to get free Wi-Fi https://t.co/ASUFMtvJT9 https://t.co/FmUUqRTMiC</t>
  </si>
  <si>
    <t>RT @nycgob: Preparación de declaraciones de #impuestos con #VITAWorks en centros comunitarios de @NYCHA. https://t.co/ozSdbszSey https://t.…</t>
  </si>
  <si>
    <t>Almost time! Click here to stream live video of today’s NYCHA Board Meeting. Watch via @YouTube https://t.co/tobiekpH0m</t>
  </si>
  <si>
    <t>Don’t miss today’s NYCHA Board Meeting. Watch the video livestream at 10am: https://t.co/tobiekpH0m</t>
  </si>
  <si>
    <t>RT @RitchieTorres: Thank you @NYPD46Pct &amp;amp; @NYCHA for a productive Safety Town Hall @ Twin Parks West. Grt engagement w. residents. https://…</t>
  </si>
  <si>
    <t>Hey BK!  Check out our Digital Van @ 572 Warren St (btwn 3rd &amp;amp; 4th Ave) until 4p #BK  https://t.co/dmzu8keRPG</t>
  </si>
  <si>
    <t>NYCHA Digital Van in Manhattan is offering free WiFi &amp;amp; computer access. Stop by East River Houses until 4pm https://t.co/dmzu8keRPG</t>
  </si>
  <si>
    <t>Miss @errollouis's interview w/ @NYCHA Chair @SholaOlatoye yesterday? Watch via @InsideCityHall @NY1 @YouTube https://t.co/045jTHHCyI</t>
  </si>
  <si>
    <t>Get Wired!! Visit our Digital Van @ Morris - 3673 3rd Ave! #BX We're there until 4. Check out our full schedule: https://t.co/dmzu8keRPG</t>
  </si>
  <si>
    <t>Miss @errollouis's interview w/ NYCHA Chair @SholaOlatoye this eve? @InsideCityHall airs again at 10pm on @NY1. https://t.co/0efeYoVTr5</t>
  </si>
  <si>
    <t>Tune in to @NY1 @InsideCityHall now to listen to Chair @SholaOlatoye talk w/ @errollouis on overcoming our budget challenges. #NextGenNYCHA</t>
  </si>
  <si>
    <t>Chair @SholaOlatoye will talk about tackling our fiscal challenges with @errollouis on @NY1's @InsideCityHall. Tune in tonight at 7pm.</t>
  </si>
  <si>
    <t>#FlexOps: making improvements for residents, workers, and #publichousing. Get the facts: https://t.co/53VkMDw1M1 https://t.co/xJVSOt8O2Y</t>
  </si>
  <si>
    <t>Check out our eReferral feature! Speak w/ a financial coach about how to stretch those tax refund dollars for free! https://t.co/1OmsePEbeX</t>
  </si>
  <si>
    <t>ICYMI: Chair @SholaOlatoye testified at @NYCCouncil #publichousing cmte. Read the remarks: https://t.co/6B9MlKHHOs https://t.co/jTxBJjKP1c</t>
  </si>
  <si>
    <t>@jessicajusluv Sorry to hear. We will look into the info you sent us during the weekend via DM.</t>
  </si>
  <si>
    <t>.@NYCHA @SholaOlatoye seeks young residents to combat violence: https://t.co/pguQnT2FYN https://t.co/hVV8jJsRq6</t>
  </si>
  <si>
    <t>@FrankForHillary Please use this contact form and one of us will get back to you. Thank you. https://t.co/83p5IGE1FB</t>
  </si>
  <si>
    <t>@DLHDara Rental Assistance Demonstration is part of #NextGenNYCHA. Learn more: https://t.co/RBge8SDF3M</t>
  </si>
  <si>
    <t>RT @errollouis: Looking forward to talking more about this with @SholaOlatoye tonight on @InsideCityHall  https://t.co/QO6ZN9vFVJ</t>
  </si>
  <si>
    <t>@FrankForHillary You can also read Chair @SholaOlatoye's testimony to @NYCCouncil at https://t.co/6B9MlKHHOs</t>
  </si>
  <si>
    <t>@FrankForHillary All @NYCCouncil hearings are live! https://t.co/9OYBHr5wif cc: @RitchieTorres</t>
  </si>
  <si>
    <t>El servicio al cliente era esencial para las operaciones. —BM Victor González #FlexOps</t>
  </si>
  <si>
    <t>Service hours laid out in #FlexOps will help us start to return to a time when customer service was key to operations. —BM Victor González</t>
  </si>
  <si>
    <t>This spring we're launching Stakeholder Cmtes at Holmes + Wyckoff to continue #NextGenNeighborhoods engagement https://t.co/Spy64vElrf</t>
  </si>
  <si>
    <t>#NextGenNeighborhoods to improve developments by building 50/50 mix of affordable + market-rate housing on open land https://t.co/Spy64vElrf</t>
  </si>
  <si>
    <t>We're bringing in more resources through @HUDgov's RAD program. Learn more: https://t.co/RBge8SDF3M #NextGenNYCHA</t>
  </si>
  <si>
    <t>We'll continue to fight for govt $, but we must also generate new streams of funding for NYCHA. If we don’t, the consequences will be dire.</t>
  </si>
  <si>
    <t>We're owning our reality and our fiscal crisis, which we inherited. "No NYCHA fairy” coming to save us, so we must save ourselves. #RealTalk</t>
  </si>
  <si>
    <t>We originally projected $120M deficit this year. Now cut in half. We're making progress w/ #NextGenNYCHA + support from @BilldeBlasio.</t>
  </si>
  <si>
    <t>We're taking inquiry from @SDNYnews very seriously, providing ~400M records. It is an expansive request for information.</t>
  </si>
  <si>
    <t>&amp;gt;50% ($3B) of our 5-yr capital plan comes from @fema to repair + make more resilient our Sandy-damaged developments. https://t.co/FSWCc0gPz2</t>
  </si>
  <si>
    <t>Our 2016 capital plan allocated $5.6B for infrastructure improvements, major upgrades over next 5 years, such as roof and facade repairs.</t>
  </si>
  <si>
    <t>With #NextGenNYCHA, we can reduce NYCHA’s deficit by a total of more than $1B over the next five years.</t>
  </si>
  <si>
    <t>If @BilldeBlasio had not forgiven our long-standing payments to the City, we’d confront an additional $100 million gap every year.</t>
  </si>
  <si>
    <t>We currently have 2.6 mos. of operating reserves; last year, we had only 4 wks of reserves. @HUDgov recommends 4 mos https://t.co/6B9MlKHHOs</t>
  </si>
  <si>
    <t>RT @JeanBWeinberg: .@SholaOlatoye: We @NYCHA have 2.6 months of operating reserves, last year we had only 4 weeks of reserves. https://t.co…</t>
  </si>
  <si>
    <t>Thx to #NextGenNYCHA initiatives and generous support of @BilldeBlasio, @NYCCouncil, we achieved a one-time surplus of approximately $61M.</t>
  </si>
  <si>
    <t>At last year’s budget hearing in March, we projected a $100M deficit for 2015.</t>
  </si>
  <si>
    <t>NYCHA will spend $68M this year to operate 5K unfunded, former City- and State-subsidized public housing units. https://t.co/6B9MlKHHOs</t>
  </si>
  <si>
    <t>This year, we expect 85% proration rate of fed op funds, a $159M shortfall from what @HUDgov's formula deems necessary to keep NYCHA afloat</t>
  </si>
  <si>
    <t>With weak budget support, lacking national political support, #publichousing has essentially been flat-funded by Congress for &amp;gt;10yrs</t>
  </si>
  <si>
    <t>While we're trying to control costs + generate more revenue, many factors outside our control impact our annual budget tremendously</t>
  </si>
  <si>
    <t>Across nearly 178K apartments, that’s a more than $22M structural deficit this year. #RealTalk https://t.co/6B9MlKHHOs</t>
  </si>
  <si>
    <t>After NYCHA combines federal operating funds and the rent we collect, there’s a $120 per unit annual deficit. https://t.co/6B9MlKHHOs</t>
  </si>
  <si>
    <t>We're entering the 21st century w/ a schedule that offers greater flexibility, work/life balance for staff https://t.co/53VkMDw1M1 #FlexOps</t>
  </si>
  <si>
    <t>Extending our service hours of is one way we are bringing #NYCHA into the 21st century. https://t.co/53VkMDw1M1 #FlexOps</t>
  </si>
  <si>
    <t>This change shows that #NextGenNYCHA is committed to supporting this generation and the next. https://t.co/53VkMDw1M1 #FlexOps</t>
  </si>
  <si>
    <t>Chair of @AFSCME Ntl. Women’s Advisory Cmt is from #AlbanyHouses! #IamNextGen #NextGenNYCHA https://t.co/IVVOWG1LWv https://t.co/CVA6e8PRWc</t>
  </si>
  <si>
    <t>Soon, working families will be able to schedule routine repairs in the early evening. Change is coming. https://t.co/53VkMDw1M1 #FlexOps</t>
  </si>
  <si>
    <t>#FlexOps means “more responsive to resident repairs &amp;amp; other maintenance needs." —David Jones, Prez &amp;amp; CEO @CSSNYorg https://t.co/fPdQ50jLYS</t>
  </si>
  <si>
    <t>We can no longer tackle the issues we face today, with the solutions and operations of yesterday. https://t.co/T0gX8JXQzS #FlexOps</t>
  </si>
  <si>
    <t>Chair of @AFSCME Ntl. Women’s Advisory Cmt is from #AlbanyHouses! #IamNextGen #NextGenNYCHA https://t.co/IVVOWG1LWv https://t.co/UoLlrhRdX5</t>
  </si>
  <si>
    <t>Soon, residents will be able to sit down w/development staff by appointment on Saturdays. Change is coming. https://t.co/53VkMDw1M1 #FlexOps</t>
  </si>
  <si>
    <t>We're changing our hours and changing the quality of service we provide you. Change is coming. https://t.co/53VkMDw1M1 #FlexOps</t>
  </si>
  <si>
    <t>RT @NYCProgressives: Thank you @NYCHA 4 meeting w/ the Caucus 2 discuss budget priorities &amp;amp; plans 2 improve important affordable housing ht…</t>
  </si>
  <si>
    <t>RT @NYCommTrust: A Service Project Takes Root on #urbanfarms
https://t.co/AinMu5Fo7J @GreenCityForce @NYCHA @americorps https://t.co/S8v5XT…</t>
  </si>
  <si>
    <t>RT @EPAregion2: Live @NYCHA  and love your community? Help keep it clean and green by joining Environmental Ambassadors! https://t.co/T0Z9P…</t>
  </si>
  <si>
    <t>RT @NYCommTrust: "I've seen plants survive harsh conditions. Just like me."
https://t.co/corJEMAb5b @GreenCityForce @NYCHA https://t.co/Jzj…</t>
  </si>
  <si>
    <t>Soon, residents will be able to schedule routine repairs in the early evening or on Sat. Change is coming. https://t.co/2TQKnOFhUt #FlexOps</t>
  </si>
  <si>
    <t>RT @SholaOlatoye: @NYCHA #nextgennycha #flexops #customerservice https://t.co/lxLGYLPM3t</t>
  </si>
  <si>
    <t>.@NYCHA properties will be open for business before 8 am, after 4:30 pm, &amp;amp; on Saturdays. Change is coming. https://t.co/53VkMDw1M1 #FlexOps</t>
  </si>
  <si>
    <t>RT @nycHealthy: #Zika may cause birth defects. #Pregnant women &amp;amp; their male partners should avoid the virus: https://t.co/CeTxekKLXk https:…</t>
  </si>
  <si>
    <t>#TBT - #RIISHouses consists of 577 apartments &amp;amp; houses some 1,402 ppl. Was completed January 31, 1949 #EastVillage https://t.co/gJtn660LDp</t>
  </si>
  <si>
    <t>RT @NYPDHousing: #NYPD CRC K9 Graduation- K9's named after Housing Bureau fallen #Heros Det Holder &amp;amp; PO Carlo #NeverForget #nycha https://t…</t>
  </si>
  <si>
    <t>RT @SholaOlatoye: @NYCHA - Hector fixing door. #nextgennycha #flexops #customerservice 1 and 12 NYers deserve this! https://t.co/ehzucZs7Nb</t>
  </si>
  <si>
    <t>RT @BilldeBlasio: We did it, NYC. Join us tomorrow as we raise our voices as one to celebrate this housing reform. #affordablenyc https://t…</t>
  </si>
  <si>
    <t>In NYC public schools: Black, Latino and Asian males: 43% of students, but 8.3% of teachers. #NYCMenTeach https://t.co/4xSG4evdlQ</t>
  </si>
  <si>
    <t>RT @NYCCGC: .@HelenRosenthal: #NYC #CommunityGardens strengthen communities: @NYCHA gardens, school #GreenWall. @greenthumbgrows https://t.…</t>
  </si>
  <si>
    <t>Special thanks to Ritchie Torres for helping make the new lighting at #TwinParksWest possible! #NextGenNYCHA https://t.co/Ji1rHfEXTB</t>
  </si>
  <si>
    <t>Change is coming. Chair @SholaOlatoye spoke to #NYCHA staff about #FlexOps this AM at #ChelseaHouses. https://t.co/bxyPjSH2gw</t>
  </si>
  <si>
    <t>Follow @FDNYalerts, the FDNY’s new 24/7 automated operations feed. For public info, news &amp;amp; events follow @FDNY https://t.co/NYrUjGmHDu</t>
  </si>
  <si>
    <t>@Tiajuana6364 Please respond to our DMs so we can address this issue. Thank you.</t>
  </si>
  <si>
    <t>RT @nycgob: El horario de operaciones está cambiando p/ servir mejor a residentes y promover éxito del personal. https://t.co/v9fj2qmxDx @N…</t>
  </si>
  <si>
    <t>RT @nycgob: .@NYCHA y @SholaOlatoye buscan jóvenes residentes para enfrentar la violencia: https://t.co/7DmVnwuG0X https://t.co/BgWjIE8ZBU</t>
  </si>
  <si>
    <t>RT @SholaOlatoye: @NYCHA #flexops - Meeting with NYCHA managers to move us to 21st century. https://t.co/fZBXDrxZN1</t>
  </si>
  <si>
    <t>Patterson Houses: Free Wifi and PC access in our Digital at 143rd bt 3rd/Morris aves #BX https://t.co/dmzu8keRPG</t>
  </si>
  <si>
    <t>#VITAWorks Free tax preparation/e-file services @ select NYCHA Community Centers. More info: https://t.co/7waFiAONfW https://t.co/QYT1R08Gda</t>
  </si>
  <si>
    <t>Stay informed 24/7/365! Follow @FDNYalerts, the FDNY’s new automated operations feed https://t.co/9lZG688WBp</t>
  </si>
  <si>
    <t>@Tiajuana6364 We're sorry to see this. Unfortunately we need more info from you as we first requested last week via DM.</t>
  </si>
  <si>
    <t>Our hours of operations are changing to better serve residents and set staff up for success. https://t.co/T0gX8JXQzS #FlexOps</t>
  </si>
  <si>
    <t>.@NYCHA @SholaOlatoye seeks young residents to combat violence: https://t.co/pguQnT2FYN https://t.co/0VfemNyrPy</t>
  </si>
  <si>
    <t>Free WiFi, free computer access till 4pm today @NYCHA Digital Van, at Forest Houses #Bronx: https://t.co/dmzu8keRPG</t>
  </si>
  <si>
    <t>#VITAWorks Free tax preparation/e-file services @ select NYCHA Community Centers. More info: https://t.co/7waFiAONfW https://t.co/4aRovfPr32</t>
  </si>
  <si>
    <t>Did you see NYCHA employee Melissa C in @MTA's great new "See Something, Say Something" video? https://t.co/QvDGRfiP53</t>
  </si>
  <si>
    <t>RT @nycoem: Want facts on common preparedness myths? Follow the #SafetyFacts Twitter chat on 3/30 at 2 PM ET featuring @nycoem. https://t.c…</t>
  </si>
  <si>
    <t>NYCHA Digital Vans offer free computer access + WiFi at Mitchel Houses #BX today! https://t.co/dmzu8keRPG</t>
  </si>
  <si>
    <t>Change is here. #NYCHA is springing into the 21st century. Watch Chair Olatoye's important #FlexOps msg to staff: https://t.co/T0gX8JXQzS</t>
  </si>
  <si>
    <t>ICYMI 27 @NYCHA residents took big step toward their new careers. Here's how @LISC_NYC @FACbrooklyn @nybwi #NRTAGrad https://t.co/XFY2iLxdML</t>
  </si>
  <si>
    <t>A game changer. @NYCHA takes new steps w/ @Citi to connect residents to increased opportunities + services. https://t.co/cD3EfdZwov</t>
  </si>
  <si>
    <t>W/ @Citi, @NYCHA leads other public housing agencies in utilizing technology for service delivery. https://t.co/cD3EfdZwov</t>
  </si>
  <si>
    <t>#VITAWorks Free tax preparation/e-file services at select @NYCHA Community Centers. More info: https://t.co/7waFiAONfW</t>
  </si>
  <si>
    <t>@djxavinyc We're sry to hear this. If you have a specific issue, plz follow us &amp;amp; DM your ticket #'s &amp;amp; we'll investigate on your behalf. Thx</t>
  </si>
  <si>
    <t>RT @Enterprise_NYC: RAD has the potential to address chronic underfunding that's plagued public housing nationwide for decades https://t.co…</t>
  </si>
  <si>
    <t>RT @NYCzerowaste: 40 @NYCHA residents attended an event to begin recycling at Cassidy-Lafayette Houses #OnStatenIsland! https://t.co/fDGw28…</t>
  </si>
  <si>
    <t>RT @HUDNY_NJ: .@CityLimits on the public-private partnerships needed to preserve @NYCHA #publichousing https://t.co/6aI3ueEON6 #RAD</t>
  </si>
  <si>
    <t>RT @OBTJOBS: .@BPEricAdams announced he will commit half a million dollars to #TheCampus in Brownsville – the first center of its kind to b…</t>
  </si>
  <si>
    <t>RT @BPEricAdams: I'm #proud of @SenatorHamilton as we're at @NYCHA's Howard Houses to launch "The Campus" for #Brownsville's #youth. https:…</t>
  </si>
  <si>
    <t>RT @CityLandNYC: Missed today's CityLaw Breakfast w/Chair Shola Olatoye? Watch full video here:https://t.co/rcZbzwWRAr  @NYLawSchool @NYCHA…</t>
  </si>
  <si>
    <t>Thru Opportunity Connect + @Citi, @NYCHA will link residents to service providers who match their needs. https://t.co/cD3EfdZwov</t>
  </si>
  <si>
    <t>.@NYCHA @SholaOlatoye seeks young residents to combat violence: https://t.co/pguQnT2FYN https://t.co/Sy3KcrhHqJ</t>
  </si>
  <si>
    <t>RT @CityLandNYC: .@SholaOlatoye: "40 years of disinvestment doesn't change overnight, but focused, rational, and data-driven solutions" wil…</t>
  </si>
  <si>
    <t>RT @ARTsEastNewYork: Interested in Creating Public Art work in East New York? - https://t.co/bk2ak99NjM</t>
  </si>
  <si>
    <t>RT @NYC_DOT: Last night at a DOT/@MTA joint presentation, tenants from @NYCHA Breukelen Houses gave feedback about the #B82 #SBS. https://t…</t>
  </si>
  <si>
    <t>RT @Isaac_McGinn: "RAD is a fancy word, but it means accessing federal resources,” ensures deep+ lasting affordability #NextGeneration http…</t>
  </si>
  <si>
    <t>RT @RitchieTorres: RAD program is way to access federal $ to improve living conditions of @NYCHA residents via @CityLimitsNews https://t.co…</t>
  </si>
  <si>
    <t>ICYMI, California may have the #SiliconValley, but @NYCHA's #HowardHouses will soon have “The Campus" - Learn more. https://t.co/fbFtX5NkR7</t>
  </si>
  <si>
    <t>May you follow that rainbow to good luck &amp;amp; Good fortune. Happy #StPatricksDay @NYCHA 🍀🍀🍀 https://t.co/oCudeAq4yo</t>
  </si>
  <si>
    <t>#TBT - From a series entitled "Track &amp;amp; Field &amp;amp;Softball." Pictures of @NYCHA Public Housing teams of boys + girls https://t.co/d1g1kw9n8E</t>
  </si>
  <si>
    <t>RT @erinburnsmaine: Applause 4 @NYCHA Family Reentry Pilot. Successfully reunified 61 families to date @CSHInfo @HUDgov @JohnJayCollege htt…</t>
  </si>
  <si>
    <t>RT @TheBeatMI: #NYCHA's lighting program reflects how public policy can emerge  from intelligent real-world experimentation https://t.co/wu…</t>
  </si>
  <si>
    <t>#VITAWorks Free tax preparation/e-file services @ select NYCHA Community Centers. More info: https://t.co/7waFiAONfW https://t.co/DOglX5Kerd</t>
  </si>
  <si>
    <t>RT @Isaac_McGinn: .@SholaOlatoye discusses future of @NYCHA and public housing @cooperunion #NextGeneration https://t.co/14pGtgKKwm</t>
  </si>
  <si>
    <t>RT @Allie_Weiss: "What does public housing look like in the next generation? It's standing."--@SholaOlatoye of @NYCHA on avoiding demolitio…</t>
  </si>
  <si>
    <t>RT @ManhattanInst: .@BilldeBlasio's very bright idea: In praise of the mayor's new NYCHA lighting plans https://t.co/AMQq3vF0Z7</t>
  </si>
  <si>
    <t>RT @Khanambano: Right Now! @MarkTreyger718 Town Hall on @NYCHA repairs and Sandy Recovery 4 #GravesendHouses #Site @MikeRosen1975 https://t…</t>
  </si>
  <si>
    <t>@NYCHA Family Reentry Pilot participant Raul speaks about his experience reuniting w his family in public housing: https://t.co/oPD2yKXy2b</t>
  </si>
  <si>
    <t>FREE Maintenance Training from @cunynewswire! Thursday, 3/18 at 11 am at
REES Central Office. Sign up here. https://t.co/dPiU1uDVRt</t>
  </si>
  <si>
    <t>RT @HerminiaPalacio: Congrats @SholaOlatoye for having your leadership in affordable housing recognized! @NYCHA @DMAliciaGlen @nycgov  http…</t>
  </si>
  <si>
    <t>RT @CSSNYorg: Thank you @NYCHA Chair @SholaOlatoye for joining us to talk about the future of nation's largest housing authority https://t.…</t>
  </si>
  <si>
    <t>Happy #VITAAwarenessDay! Click to see VITA &amp;amp; Virtual VITA free tax prep locations in @NYCHA Communities. #VitaWorks https://t.co/RIV9R0SvqA</t>
  </si>
  <si>
    <t>@BooksSu If you provide us with ticket #'s via DM, we can report + follow up on our end.</t>
  </si>
  <si>
    <t>On your mark, get set, APPLY 4 a #SummerJob! The 2016 #NYCSYEP application is now available! https://t.co/VP9nAlbZb8 https://t.co/rtwKZglzLo</t>
  </si>
  <si>
    <t>#VITAWorks Free tax preparation/e-file services @ select NYCHA Community Centers. More info: https://t.co/7waFiAONfW https://t.co/U8flGCHs1G</t>
  </si>
  <si>
    <t>RT @Enterprise_NYC: Great story about some of our partners working to bring more opportunity to the Rockaways @NYCHA @LISC_NYC @AAFE1974 ht…</t>
  </si>
  <si>
    <t>ICYMI, @NYCHA Chair &amp;amp; CEO Shola Olatoye named 1 of @AHFMag's 10 most influential women in housing. #NextGenNYCHA https://t.co/c8CVyE73C8</t>
  </si>
  <si>
    <t>@BooksSu We're sry to hear this. If you have a specific issue, plz follow us &amp;amp; DM your ticket #'s &amp;amp; we'll investigate on your behalf. Thx</t>
  </si>
  <si>
    <t>El alcalde @BilldeBlasio anunció hoy el inicio de programa para reparar techos de @NYCHA: https://t.co/KhF4v9e0ed #viviendaNYC</t>
  </si>
  <si>
    <t>RT @Isaac_McGinn: .@SholaOlatoye changing game for @NYCHA, preserving public housing for #NextGeneration – great profile, great work! https…</t>
  </si>
  <si>
    <t>RT @FDNY: Follow @FDNYalerts, the FDNY’s new 24/7 automated operations feed. For public info, news &amp;amp; events follow @FDNY https://t.co/DOOBD…</t>
  </si>
  <si>
    <t>RT @CLPHA: Congrats to @NYCHA's @SholaOlatoye for making @AHFMag's list of 10 influential women in #affordablehousing https://t.co/TbVjy86w…</t>
  </si>
  <si>
    <t>Watch #NYCHA #publicsafety VP Gerald Nelson with @errollouis on @InsideCityHall @NY1 https://t.co/2x6WVfqQkI</t>
  </si>
  <si>
    <t>RT @AHFMag: AHF takes a look at 10 influential women in the affordable housing industry. https://t.co/T1rDpixWXn https://t.co/aDQXM34qvZ</t>
  </si>
  <si>
    <t>RT @BRIDGEhousing: Influential women in @ahfmag https://t.co/xtYXGJedLn Congrats @mercyhousing @cmtysolutions @nycha @enterprisenow https:/…</t>
  </si>
  <si>
    <t>"Leadership here should reflect the diversity within @NYCHA," says Chair &amp;amp; CEO Shola Olatoye. https://t.co/Gqqg0esvHW</t>
  </si>
  <si>
    <t>.@NYCHA @SholaOlatoye seeks young residents to combat violence: https://t.co/pguQnT2FYN https://t.co/TQourevsbp</t>
  </si>
  <si>
    <t>The Next 100 Years of Affordable Housing talk on 3/16 w/ @NYCHA CEO @SholaOlatoye &amp;amp; housing icon @Lamberg66 https://t.co/kWHjQJqGna @SHFinc</t>
  </si>
  <si>
    <t>RT @EdibleManhattan: Reps from @NYCEDC @NYCHA @NYCSmallBizSvcs @USDA on building support for small food bizs #justfoodconference https://t.…</t>
  </si>
  <si>
    <t>Happy to have Jeanique Riche represent @NYCHA at the #JustFoodConference on 3/13 11:10am! https://t.co/CKnrEaYd1X</t>
  </si>
  <si>
    <t>#VITAWorks Free tax preparation/e-file services @ select NYCHA Community Centers. More info: https://t.co/7waFiAONfW</t>
  </si>
  <si>
    <t>Check out @JustFood &amp;amp; @NYCHA's Jeanique Riche on the Food Business panel at the #JustFoodConference. More details: https://t.co/CKnrEaYd1X</t>
  </si>
  <si>
    <t>RT @nycgob: .@NYSA_Majority quiere $500M para arreglar edificios viejos de @NYCHA (de @NYDailyNews): https://t.co/rIGIJa5Fio</t>
  </si>
  <si>
    <t>Interested in learning Food Business? Join @NYCHA's Jeanique Riche + @JustFood on 3/13 @TeachersCollege! https://t.co/CKnrEaYd1X</t>
  </si>
  <si>
    <t>RT @nycgov: Be part of the community that’s bigger than the gym. Check out these free classes all over @NYCHA https://t.co/wjiP8Kofkw</t>
  </si>
  <si>
    <t>RT @MillionTreesNYC: Talking about greening the Bronx with @NYRP during #ReLeaf @NYCHA @NYSDEC @rubendiazjr https://t.co/irJJenyJ4i</t>
  </si>
  <si>
    <t>RT @mayorsCAU: .@NYCHA Throggs Neck Houses Resident Council's Annual Awards Ceremony honoring @NYPDPSA8 Housing Bureau &amp;amp; @NYPD45Pct https:/…</t>
  </si>
  <si>
    <t>.@pomonokdreams is an Official Selection in the Queens World Film Festival 2016. 3/16, 6pm. Tix available: https://t.co/OEWk6BdJmr</t>
  </si>
  <si>
    <t>RT @nycgob: Y se hizo la luz! Uno de los 155 nuevos faroles en #PoloGrounds Towers! https://t.co/YXLNDsf4XR https://t.co/pyKLJltR02 @NYCHA</t>
  </si>
  <si>
    <t>We're looking for young residents to step up and combat violence: https://t.co/pguQnT2FYN https://t.co/MWVsnpMPMb</t>
  </si>
  <si>
    <t>RT @SholaOlatoye: @NYCHA #NextGenerationnycha #rentmatters https://t.co/uOiEzBeswW</t>
  </si>
  <si>
    <t>RT @SholaOlatoye: @NYCHA @MarkTreyger718 #coneyresidents #collaboration https://t.co/W5E08F9dzS</t>
  </si>
  <si>
    <t>RT @Khanambano: @MarkTreyger718 honored @NYCHA /ConeyIsland leaders for hard work in their communities @MarkTreyger718 @SholaOlatoye https:…</t>
  </si>
  <si>
    <t>RT @Khanambano: TA Presidents Breakfast hosted by @MarkTreyger718. MikeRosen1975 @SholaOlatoye speaking on @NYCHA repair/ Sandy work https:…</t>
  </si>
  <si>
    <t>RT @al4betcity: @NYCHA Chair Shola Olatoye meets with @MarkTreyger718, AM Pam Harris and Resident Leaders of the BK South District https://…</t>
  </si>
  <si>
    <t>This AM in @NYDailyNews: @NYSA_Majority want $500M to fix aging @NYCHA buildings https://t.co/mcHmhtljYD</t>
  </si>
  <si>
    <t>RT @JeanBWeinberg: EXCLUSIVE: Dems want $500M to fix run aging @NYCHA buildings: https://t.co/WkQhx2JWVL</t>
  </si>
  <si>
    <t>@kshameer We're sry to hear about this. Please follow us &amp;amp; DM us your ticket number(s) so we can investigate and do follow up. Thx</t>
  </si>
  <si>
    <t>RT @JeanBWeinberg: .@NYCHA Completes $4.8 Million Light Installation at Polo Grounds via @Dnainfo https://t.co/hrtRpwF7xJ</t>
  </si>
  <si>
    <t>Happy Friday! Our Digital Van will be at Kingsborough Houses #BK at 3rd walk btw Pacific + Bergen streets from 10-4 https://t.co/3iwEn5kySr</t>
  </si>
  <si>
    <t>Did you miss our VP of #PublicSafety on @NY1 @InsideCityHall w/ @errollouis this evening? It airs again at 10pm! https://t.co/akxkbTf1iW</t>
  </si>
  <si>
    <t>ON AIR: #NYCHA VP of #PublicSafety Gerald Nelson is on @NY1 @InsideCityHall w/ @errollouis. https://t.co/SruNKCoS0x</t>
  </si>
  <si>
    <t>RT @JeanBWeinberg: Gorgeous and bright night @NYCHA 's Polo Grounds Towers @SholaOlatoye @ManhattanDA https://t.co/7GdRQ60ifB</t>
  </si>
  <si>
    <t>#PublicSafety Advisory Cmte will help address crime, youth, community engagement. Apply now https://t.co/N03Pb0azVi https://t.co/T87dbH7eVy</t>
  </si>
  <si>
    <t>&amp;gt;40% of our residents are under 25. We're looking for residents 18-24 to serve on our #PublicSafety Cmte. https://t.co/N03Pb0azVi</t>
  </si>
  <si>
    <t>Tune into @NY1 at 7pm tonight to watch #NYCHA #publicsafety VP Gerald Nelson with @errollouis on @InsideCityHall. https://t.co/E3KkEgjsHt</t>
  </si>
  <si>
    <t>Chair Olatoye: Everyone, regardless of ZIP code, deserves a community that’s safe, clean, &amp;amp; connected #NextGenNYCHA https://t.co/sZeDeoiECf</t>
  </si>
  <si>
    <t>Let there be light at #PoloGrounds! One of 155 new pole lights. https://t.co/TIqWtQS2VW https://t.co/dsGUUpB1Fl</t>
  </si>
  <si>
    <t>.@NYCHA also just launched the #PubicSafety Advisory Committee, a collab among resident leaders, @NYPDnews + more https://t.co/nOiemNhDD0</t>
  </si>
  <si>
    <t>Improving safety &amp;amp; security is a key strategy of #NextGenNYCHA, @NYCHA's 10-year strategic plan. https://t.co/LwpIFSonEH</t>
  </si>
  <si>
    <t>We anticipate that CCTV and layered access work at #PoloGrounds will be installed by October 2016. #security</t>
  </si>
  <si>
    <t>Lighting installation is underway at 8 other MAP sites, &amp;amp; we expect the work to be completed at all locations by the end of 2017</t>
  </si>
  <si>
    <t>#PoloGrounds is 1 of 15 @NYCHA developments in the MAP plan, Mayor @BilldeBlasio's comprehensive effort to reduce crime throughout #NYC</t>
  </si>
  <si>
    <t>MAP was created to make our city safer &amp;amp; stronger through a comprehensive, collaborative approach. https://t.co/bK4nHzo9cT</t>
  </si>
  <si>
    <t>Project is part of the Mayor’s Action Plan for Neighborhood Safety (MAP) a $210M dollar initiative launched in 2014: https://t.co/bK4nHzFK4r</t>
  </si>
  <si>
    <t>New lighting made possible through support of Mayor @BilldeBlasio @NYCCouncil @MMViverito @ManhattanDA.</t>
  </si>
  <si>
    <t>Thank you @ManhattanDA @TishJames @SenatorPerkins for continued support of NYCHA.</t>
  </si>
  <si>
    <t>.@NYCHA installed 341 new LED fixtures including 155 pole lights, 51 cobra heads lights, 71 wall packs &amp;amp; 115 entry canopy lights</t>
  </si>
  <si>
    <t>.@SholaOlatoye: I'm delighted to announce that we've completed a $4.8M dollar lighting installation at #PoloGrounds.</t>
  </si>
  <si>
    <t>DYK? #PoloGrounds was once the former home of the NY Giants @MLB team, now the @SFGiants? #PoloPride</t>
  </si>
  <si>
    <t>In a moment, @NYCHA’s @SholaOlatoye will make a special announcement at #PoloGrounds. #PoloPride</t>
  </si>
  <si>
    <t>RT @Enterprise_NYC: Great piece by @NovogradacCPAs about @HarlemRBI YomoToro Apartments https://t.co/I7j54SwgjR @NYCHA @RoseCompaniesNY htt…</t>
  </si>
  <si>
    <t>#VITAWorks Free tax preparation/e-file services @ select NYCHA Community Centers. More info: https://t.co/7waFiAONfW https://t.co/jOKafioYom</t>
  </si>
  <si>
    <t>RT @HUDNY_NJ: Lots of exciting things happening @NYCHA Ocean Bay development in Rockaways! https://t.co/vDiWgglx3N #RAD #FoodAccess @LISC_N…</t>
  </si>
  <si>
    <t>RT @AtlantaFed: What's the #JobsPlus model? Learn from @NYCHA &amp;amp; other experts in new #WorkforceDev #ebook https://t.co/jczP2BAnyF https://t…</t>
  </si>
  <si>
    <t>RT @citiesense: Queens Community Designs Its Post-Hurricane Sandy Future https://t.co/zHtczuiKOQ #sandy #urbanplanning #NYC #nycha https://…</t>
  </si>
  <si>
    <t>#TBT - Kids playing on the swings at #QueensbridgeHouses in 1939! Going way, way back! #ThrowBackThursday https://t.co/IU1BeAZo55</t>
  </si>
  <si>
    <t>RT @rhookinitiative: .@CitiBikeNYC is coming to #RedHook this summer and @NYCHA residents are eligible for $5/month membership #bikeshare h…</t>
  </si>
  <si>
    <t>@yoMallory We're sry to hear about this. Please follow us &amp;amp; DM us your ticket number(s) so we can investigate and do follow up. Thx</t>
  </si>
  <si>
    <t>Have you seen our Digital Van? It's at 4-20 Astoria Blvd, today until 4! Check out the full schedule: https://t.co/dmzu8keRPG</t>
  </si>
  <si>
    <t>RT @gracejchung: Neglected corner in the Rockaways is going to be transformed @LISC_NYC @OceanBayCDC @AAFE1974 @Hester_Street @NYCHA https:…</t>
  </si>
  <si>
    <t>RT @BilldeBlasio: Affordable housing shouldn’t be an afterthought! The people of our neighborhoods must be protected. #affordablenyc https:…</t>
  </si>
  <si>
    <t>#VITAWorks Free tax preparation/e-file services @ select NYCHA Community Centers. More info: https://t.co/7waFiAONfW https://t.co/F3v383ky9w</t>
  </si>
  <si>
    <t>RT @smarksnyc: @NextCityOrg covers @LISC_NYC work in the Rockaways with @OceanBayCDC @AAFE1974 @Hester_Street @NYCHA https://t.co/x9GiqPL5xK</t>
  </si>
  <si>
    <t>RT @rasmiakf: @SholaOlatoye @NYCHA Linden Houses with #NYCHAalum #nextgenNYCHA #FundforPublicHousing https://t.co/dPvFs6maQp</t>
  </si>
  <si>
    <t>RT @SholaOlatoye: @NYCHA #lindenhouses #nextgenNYCHA #Collaboration https://t.co/ezyVKlRSq0</t>
  </si>
  <si>
    <t>Patterson Houses- Free PC access and Wifi in our Digital Van. It's at 143rd bt 3rd/Morris aves #BX https://t.co/dmzu8kwsHe</t>
  </si>
  <si>
    <t>RT @RitchieTorres: Great night to kickoff @GswellMural painting @NYCHA w. CM Palma, GM Michael Kelly over 30 residents #CastleHill https://…</t>
  </si>
  <si>
    <t>Thx @RitchieTorres for funding @GswellMural at Castle Hill #BX! Check out these photos of our GM painting tonight! https://t.co/cX1UW8dPsi</t>
  </si>
  <si>
    <t>RT @RitchieTorres: New @GswellMural initiative in @NYCHA will allow young adults to paint empty walls w. inspirational/creative mssgs https…</t>
  </si>
  <si>
    <t>RT @SholaOlatoye: @NYCHA in Albany #nextgeneration met a resident of Betty Shabazz houses https://t.co/1rKWAGow4B</t>
  </si>
  <si>
    <t>.@NYCHA's #MarlboroHouses To Get $3 Million In Kitchen, Picnic &amp;amp; Recreation Improvements https://t.co/AKBBXMX4UF https://t.co/IA1b5z3Mxt</t>
  </si>
  <si>
    <t>RT @IDNYC: Happy #IWD2016! Use your IDNYC to borrow books by amazing women writers at any NYC library today 📚 https://t.co/UGtz8fZWvb</t>
  </si>
  <si>
    <t>Young @NYCHA Residents: Help make your communities a safer! Join #PublicSafety Advisory Cmte https://t.co/pguQnT2FYN https://t.co/d21GD094mk</t>
  </si>
  <si>
    <t>@UndrcvrMother Hello. We're sry to hear about this. Please follow us &amp;amp; DM us your ticket number(s) so we can do follow up. Thanks</t>
  </si>
  <si>
    <t>Get ready! TOMORROW 03/09 is the last day to apply to #preKforAll: https://t.co/cyz6EPPALz https://t.co/N0YByRAKFx</t>
  </si>
  <si>
    <t>Need web access? Use the NYCHA Digital Van! It will be Ocean Hill Parking Lot #BK til 4pm</t>
  </si>
  <si>
    <t>Free WiFi, free computer access till 4pm today @NYCHA Digital Van, at Forest Houses #Bronx:</t>
  </si>
  <si>
    <t>RT @NYCYouth: On your mark, get set, APPLY 4 a #SummerJob! The 2016 #NYCSYEP application is now available! https://t.co/OWErFFB2x4 https://…</t>
  </si>
  <si>
    <t>What's shocking about Mr. Ventura, CUNY + @lstfi acting scholar? More in the #NYCHAJournal https://t.co/1jzByTVTLv https://t.co/86UUn75PDG</t>
  </si>
  <si>
    <t>RT @nycgov: Are you a grad student interested in public service? Apply for @nycoem’s John D. Solomon Fellowship by 3/31: https://t.co/OkCyV…</t>
  </si>
  <si>
    <t>RT @MikeRosen1975: Enjoyed speaking to the industry's best about @NYCHA"s Sandy Recovery &amp;amp; contracting opportunities @NewYorkBuild 2016 htt…</t>
  </si>
  <si>
    <t>Help make your communities a safer place by joining the #PublicSafety Advisory Cmte https://t.co/pguQnT2FYN https://t.co/dHHyhenqHZ</t>
  </si>
  <si>
    <t>Help make your communities a safer place by joining the #PublicSafety Advisory Cmte https://t.co/pguQnT2FYN</t>
  </si>
  <si>
    <t>ICYMI, @NYCHA @SholaOlatoye seeks young residents to combat violence: https://t.co/bGwSb7lOjI via @MottHavenHerald</t>
  </si>
  <si>
    <t>RT @NYCCHR: LIVE on #Periscope: Signing of the #genderequitynyc exec order! Live! https://t.co/F1gmdakn1b</t>
  </si>
  <si>
    <t>RT @AjaWorthyDavis: Bathroom safety is often a concern 4 GNC/ trans ppl &amp;amp; their families. This is an important mandate. @BilldeBlasio https…</t>
  </si>
  <si>
    <t>Great to see @NYCHA's @MikeRosen1975 give the Keynote at @NewYorkBuild Expo today! Couldn't be prouder! #NYCHAStrong https://t.co/nft5tvyh2r</t>
  </si>
  <si>
    <t>@Erin_N_J Hello. We're sry to hear about this. Please follow us &amp;amp; DM us your ticket number(s) so we can do follow up. Thanks</t>
  </si>
  <si>
    <t>RT @MikeRosen1975: Proud to be Keynote speaker @NewYorkBuild Expo on 3/7. Learn about contracting opportunities @NYCHA #SandyRecovery https…</t>
  </si>
  <si>
    <t>Wired? Today, catch the Digital Van at Stuyvesant Gardens Senior Center. Get the complete schedule here</t>
  </si>
  <si>
    <t>NYCHA Digital Vans offer free computer access + WiFi at Mitchel Houses #BX today!</t>
  </si>
  <si>
    <t>Join the #CUNY Fatherhood Academy. This FREE program will help you and your child thrive. #SupportCUNY https://t.co/HvN2xGUSC8</t>
  </si>
  <si>
    <t>Help make your communities a safer place by joining the #PublicSafety Advisory Cmte https://t.co/pguQnT2FYN https://t.co/gmJgQVMoRg</t>
  </si>
  <si>
    <t>#VITAWorks Free tax preparation/e-file services @ select NYCHA Community Centers. More info: https://t.co/7waFiAONfW https://t.co/5IQKm4Esx0</t>
  </si>
  <si>
    <t>Great to see our Chair show @HUDNY_NJ PDAS Castro Ramirez around @NYCHA #howardhouses! #publichousing #NextGenNYCHA https://t.co/lXkMZWlZBU</t>
  </si>
  <si>
    <t>RT @NYPDnews: Join us for a NYPD &amp;amp; deaf and hard of hearing community event this Saturday https://t.co/aLwPWwGnnc</t>
  </si>
  <si>
    <t>Excellent tour today of @NYCHA #howardhouses w/ @HUDNY_NJ PDAS Castro Ramirez! #NextGenNYCHA @SholaOlatoye https://t.co/guZ8YhKzZc</t>
  </si>
  <si>
    <t>Group photo from our tour of #howardhouses today w/ @NYCHA + @HUDNY_NJ staff! #NextGenNYCHA https://t.co/lHQSmHhd7Z</t>
  </si>
  <si>
    <t>RT @SholaOlatoye: @NYCHA #howardhousesstagf #nextgenerationnycha #opmom https://t.co/iugVWtBXCr</t>
  </si>
  <si>
    <t>RT @HUDNY_NJ: Thanks @SholaOlatoye &amp;amp; team for showing PDAS Castro Ramirez @NYCHA Howard Houses! #publichousing #NextGenNYCHA https://t.co/T…</t>
  </si>
  <si>
    <t>ICYMI, Join the #CUNY Fatherhood Academy. This FREE program will help you and your child thrive. #SupportCUNY https://t.co/rjcEwWzxQY</t>
  </si>
  <si>
    <t>Help make your communities a safer place by joining the #PublicSafety Advisory Cmte https://t.co/pguQnT2FYN https://t.co/BsNMlx3IWY</t>
  </si>
  <si>
    <t>27 NYCHA residents took 1st step on their new career path. Read their story. @LISC_NYC @FACbrooklyn @nybwi #NRTAGrad https://t.co/XFY2iLxdML</t>
  </si>
  <si>
    <t>5 DAYS LEFT to apply to #preKforAll: https://t.co/cyz6EPPALz https://t.co/WttVWd9EZi</t>
  </si>
  <si>
    <t>Join us at the NYC Build Conference, 3/7. Keynote by Mike Rosen @NYCHA EVP of Capital Projects+Disaster Recovery VP https://t.co/1ACCRgT7bo</t>
  </si>
  <si>
    <t>RT @nycgob: Preparación de impuestos #gratis en Centros comunitarios selectos de @NYCHA! Más info en: https://t.co/SpuHTUr7a6 https://t.co/…</t>
  </si>
  <si>
    <t>Hey BK! NYCHA Digital Van is at Bushwick Houses (372 Bushwick Ave) until 4pm. Free WiFi &amp;amp; computer access</t>
  </si>
  <si>
    <t>RT @Isaac_McGinn: @NYCHA resident Reggie Benton thanks NRTA for training- @NYCHA thanks Reggie for commitment to community! #NRTAgrad https…</t>
  </si>
  <si>
    <t>Congratulations! Wishing participants all the best! #NRTAGrad @LISC_FinOpp @RobinHoodNYC @nybwi @FACbrooklyn https://t.co/i2KLqGHXUW</t>
  </si>
  <si>
    <t>RT @FACbrooklyn: Congratulations Grads! #NRTAGrad @LISC_NYC @nybwi @LISC_FinOpp @NYCHA https://t.co/lXmprrkaz7</t>
  </si>
  <si>
    <t>RT @Isaac_McGinn: Full house as @rasmiakf honors @NYCHA Resident Training Academy graduates with @LISC_NYC #NRTAgrad https://t.co/ak5K5ZvNJe</t>
  </si>
  <si>
    <t>RT @rasmiakf: @FACbrooklyn @nybwi @NYCHA @metlife @LISC_NYC Resident Training Academy Grads NYCHA residents now NYCHA staff! https://t.co/Q…</t>
  </si>
  <si>
    <t>RT @LISC_NYC: @LISC_HQ @smarksnyc @FACbrooklyn @NYCHA @nybwi @MetLife celebrate Financial Opportunity Center graduates. #NRTAgrad https://t…</t>
  </si>
  <si>
    <t>RT @smarksnyc: @LISC_FinOpp participant Reginald Benton: proud to get a job improving @NYCHA where I live. Tx, @FACbrooklyn @nybwi https://…</t>
  </si>
  <si>
    <t>RT @FACbrooklyn: "Thank you for giving me an opportunity to have a career to give back to the community that I grew up in" -Reggie, partici…</t>
  </si>
  <si>
    <t>RT @FACbrooklyn: Josh, @nycha graduate - "I am confident that I can now provide for my family." #NRTAgrad @LISC_NYC @nybwi https://t.co/WOd…</t>
  </si>
  <si>
    <t>RT @LISC_NYC: @nybwi E.D. says 27 grads have been challenged and are now launching their careers. @LISC_HQ @MetLife @FACbrooklyn @NYCHA #NR…</t>
  </si>
  <si>
    <t>Join the #CUNY Fatherhood Academy. This FREE program will help you and your child thrive. #SupportCUNY https://t.co/v1ThjiagEx</t>
  </si>
  <si>
    <t>Meet some of the smiling faces who will soon start their careers at NYCHA. #NRTAGrad #empowerment https://t.co/Iybha6jedp</t>
  </si>
  <si>
    <t>RT @LISC_FinOpp: .@LISC_HQ CEO Rubinger congratulating @FACbrooklyn @NYCHA resident training academy grads! https://t.co/31vYiPYAo2</t>
  </si>
  <si>
    <t>RT @FACbrooklyn: "When you invest in the residents of @NYCHA, you invest in the city of New York." -Michelle de la Uz #NRTAGrad @LISC_NYC @…</t>
  </si>
  <si>
    <t>RT @FACbrooklyn: "We know it's not enough to just provide job training-we need networks." @NYCHA @LISC_NYC @nybwi</t>
  </si>
  <si>
    <t>RT @LISC_NYC: @rasmiakf praises collab. including @LISC_HQ @MetLife @NYCHA @FACbrooklyn @nybwi on Financial Opportunity Centers. https://t.…</t>
  </si>
  <si>
    <t>RT @smarksnyc: @rasmiakf: @NYCHA Resident Training Academy trains residents for constr, pest control, caretaking w/@nybwi https://t.co/xNYM…</t>
  </si>
  <si>
    <t>.@rasmiakf congratulates the 27 graduates! #NRTAGrad @LISC_NYC @FACbrooklyn @nybwi https://t.co/67cKWrxeDz</t>
  </si>
  <si>
    <t>RT @FACbrooklyn: Michelle de la Uz addressing the graduates. #NRTAGrad @LISC_NYC @NYCHA @nybwi https://t.co/RAbz0rcmD7</t>
  </si>
  <si>
    <t>RT @LISC_NYC: Financial Opportunity Center participants are investing in @NYCHA &amp;amp; #NYC says @FACbrooklyn's Michelle de la Uz.  https://t.co…</t>
  </si>
  <si>
    <t>RT @LISC_NYC: Celebrating our Financial Opportunity Center &amp;amp; @NYCHA Academy grads w/ @FACbrooklyn @MetLife Foundation. #NRTAgrad https://t.…</t>
  </si>
  <si>
    <t>#NRTAGrad ceremony is starting! Proud of our graduates. @LISC_NYC @FACbrooklyn @nybwi https://t.co/OU0RNWwFnR</t>
  </si>
  <si>
    <t>RT @AnnieEMinguez: .@cbsix @RedHookJustice @rhookinitiative @NYCHA #job fair planning mtg 04/12 4-7pm @GoodShepherdNYC Miccio Comm Ctr http…</t>
  </si>
  <si>
    <t>RT @gracejchung: Very exciting: 27 #NYCHA residents graduating from @nybwi training program today! @LISC_NYC @LISC_FinOpp @FACbrooklyn</t>
  </si>
  <si>
    <t>Food Business Pathways graduate Niani Taylor catering the #NRTAGrad ceremony! #FoodBizDream https://t.co/ONBAjAPjbv</t>
  </si>
  <si>
    <t>RT @nycgob: 92% de familias encuestadas calificaron programas de #preKforAll de sus hijos como buenos o excelentes: https://t.co/1LgLA57C6A…</t>
  </si>
  <si>
    <t>ICYMI, @NYCHA @SholaOlatoye seeks young residents to combat violence: https://t.co/bGwSb7lOjI via @MottHavenHerald https://t.co/gGypkGLT85</t>
  </si>
  <si>
    <t>Free tax preparation/ e-file services at select @NYCHA Community Centers. More info: https://t.co/7waFiAONfW https://t.co/A2LmMk0aSh</t>
  </si>
  <si>
    <t>#TBT - 2k+ NYCHA youngsters got a special gift in 2006, down jackets for the winter season @ #RutgersCommunityCenter https://t.co/GzYXOD2GiW</t>
  </si>
  <si>
    <t>Writing a resume on a phone is hard. The Digital Van can help. On Park Ave bt Marcy/Nostrand Aves #BK</t>
  </si>
  <si>
    <t>Visit a Digital Van at Edenwald (Bronx) or Marcy Houses (Brooklyn) today until 4pm for free computer access &amp;amp; WiFi</t>
  </si>
  <si>
    <t>RT @nickpowellbkny: .@Chirlane cites @Unilever / @NYCHA urban farm as a perfect model for public-private partnerships: https://t.co/RmrsucB…</t>
  </si>
  <si>
    <t>RT @JeanBWeinberg: .@NYCHA @SholaOlatoye seeks young residents to combat violence: https://t.co/IsZJgVF09D via @MottHavenHerald</t>
  </si>
  <si>
    <t>Help make your communities a safer place by joining the #PublicSafety Advisory Cmte: https://t.co/pguQnT2FYN https://t.co/XceKJhKuuq</t>
  </si>
  <si>
    <t>NYCHA Digital Van in Manhattan is offering free WiFi &amp;amp; computer access. Stop by East River Houses until 4pm</t>
  </si>
  <si>
    <t>Hey BK!  Check out our Digital Van @ 572 Warren St (btwn 3rd &amp;amp; 4th Ave) until 4p #BK</t>
  </si>
  <si>
    <t>RT @CooperUEvents: Panel on #affordablehousing with @NYCHA's @SholaOlatoye, @AGorlinArch, @Lamberg66 &amp;amp; more on March 16 https://t.co/ZfZHaS…</t>
  </si>
  <si>
    <t>RT @Enterprise_NYC: Growing healthier neighborhoods through public-private partnerships https://t.co/QY5DPTqk56 @NYCHA @Chirlane</t>
  </si>
  <si>
    <t>If you're a resident 18-24 y/o, help make your communities a safer place by joining the #PublicSafety Advisory Cmte: https://t.co/pguQnT2FYN</t>
  </si>
  <si>
    <t>"#PublicSafety a shared responsibility achieved thru participation by all in dev. effective policies, practices" says @NYPDHousing</t>
  </si>
  <si>
    <t>"Effectively tackling safety begins w/ strong collab w/ public housing residents, @NYPDNews, #NYCHA leadership." #PublicSafety VP Nelson</t>
  </si>
  <si>
    <t>RT @JeanBWeinberg: .@NYCHA Launches New Public Safety Advisory Committee @SholaOlatoye: https://t.co/U79wahvqIT</t>
  </si>
  <si>
    <t>NYCHA Residents get priority for #Sandy recovery jobs #NYCHAstrong. Watch this video &amp;amp; see progress in action https://t.co/LopfqOxxK2</t>
  </si>
  <si>
    <t>@miastaystyling Hi. We're sry to hear about this. Please follow us + DM us any ticket number(s) so we can do follow up? Thx</t>
  </si>
  <si>
    <t>ICYMI: @nyit's Nicholas Bloom on old NYCHA vs #NextGenNYCHA: 
https://t.co/un5B40IR0D
https://t.co/0h6UMgSyAx
https://t.co/5Bbcr3qSMm</t>
  </si>
  <si>
    <t>David Ventura on his mom. CUNY + @lstfi acting scholar! Learn more in the latest Journal - https://t.co/1jzByTVTLv https://t.co/Bihl9ZMVM5</t>
  </si>
  <si>
    <t>RT @SholaOlatoye: @NYCHA @BLDG92 talking jobs. https://t.co/Md2Kx1MFvV</t>
  </si>
  <si>
    <t>RT @NYSlant: .@Unilever/@NYCHA's urban farm is model for public-private partnerships, @Chirlane writes https://t.co/TKP0xJlMnZ https://t.co…</t>
  </si>
  <si>
    <t>RT @NYCommTrust: Proud to support this transformation of NYCHA land into farmland - and training residents to manage and teach. https://t.c…</t>
  </si>
  <si>
    <t>RT @capalino: .@NYCHA's new nonprofit will give NYC #publichousing a vital $200M boost, starting with @DeutscheBank's $100K gift: https://t…</t>
  </si>
  <si>
    <t>Patterson Houses: Free Wifi and PC access in our Digital at 143rd bt 3rd/Morris aves #BX</t>
  </si>
  <si>
    <t>Come by a NYCHA Digital Van - offering free computer access &amp;amp; WiFi. Kingsborough #brooklyn until 4pm</t>
  </si>
  <si>
    <t>RT @mattlasner: Next 100 Years of #AffordableHousing 3/16 w/ @SholaOlatoye @AGorlinArch @Lamberg66 Gwen Wright, Joseph Heathcott: https://t…</t>
  </si>
  <si>
    <t>RT @CityLimitsNews: RAD is Making Big Moves in NYC Housing! https://t.co/36gcfYUbj4 #NYC https://t.co/IUYVMGXOzr</t>
  </si>
  <si>
    <t>#MaryMcLeodBethune, #educator who fought for #educationalopportunities  #BethuneGardens #Mn #BlackHistoryMonth https://t.co/trWq4P3uip</t>
  </si>
  <si>
    <t>.@pomonokdreams is an Official Selection in the Queens World Film Festival 2016! 3/16, 6pm. Tix available: https://t.co/OEWk6BdJmr</t>
  </si>
  <si>
    <t>Ready for a new year of #PreKforAll? Just 4 DAYS to apply: https://t.co/cyz6EPPALz https://t.co/NMDwbl5IeP</t>
  </si>
  <si>
    <t>Seen our Digital Van? It's @ Melrose btwn 153rd &amp;amp; 156th St today until 4p! #BX</t>
  </si>
  <si>
    <t>Someone need to go online? Tell them about our Digital Van! @ 625 Castle Hill Ave #BX</t>
  </si>
  <si>
    <t>.@setio371 CCC is fully operational after intermittent outages this weekend. Apologies for the inconvenience. Call us at 718-707-7771.</t>
  </si>
  <si>
    <t>Wassup #BX! Happy 50th Anniversary #MitchelHouses https://t.co/YasMGeOoPo</t>
  </si>
  <si>
    <t>Don't miss out on 2016 Urban Farm Corps @GreenCityForce Recruitment tomorrow,  2/29! More: https://t.co/5aPIHEOz52 https://t.co/M6GfDwhqvq</t>
  </si>
  <si>
    <t>RT @mayorsCAU: Shout-out to Ms. Norma Saunders, TA Pres of @NYCHA #Bronx River Houses 4 hosting an amazing #BlackHistoryMonth event https:/…</t>
  </si>
  <si>
    <t>"@NYCHA and city leaders are preserving large scale high-rise public housing against the national tide." https://t.co/un5B40IR0D</t>
  </si>
  <si>
    <t>RT @NY_Aff_Housing: The Next 100 Years of Affordable Housing talk on 3/16 w/ @NYCHA CEO @SholaOlatoye &amp;amp; housing icon @Lamberg66 https://t.c…</t>
  </si>
  <si>
    <t>Free tax preparation + e-file services for anyone making $53k or less at select @NYCHA Community Centers until 4/13 https://t.co/SXUDoCeZjK</t>
  </si>
  <si>
    <t>ICYMI, @NY1 reports: New Program Prepares Young Adults from @NYCHA Developments for #Tech #Jobs https://t.co/RjCNTrpw79</t>
  </si>
  <si>
    <t>RT @MMViverito: @NYCHA great things are happening at Clinton Houses community center!! #Zumba in #ElBarrio! https://t.co/tLM1UnqtoO</t>
  </si>
  <si>
    <t>#JackieRobinson,  1st #AfricanAmerican to play in the major leagues. 
#RobinsonHouses #Manhattan #BlackHistoryMonth https://t.co/sggoyjB68O</t>
  </si>
  <si>
    <t>RT @MMViverito: My #Zumba gals!! How beautiful are they?? Here is to your health! @NYCHA #ClintonHouses https://t.co/DFitg8Besi</t>
  </si>
  <si>
    <t>Wired? Today, catch the Digital Van @ Tompkins Houses. Get the complete schedule here</t>
  </si>
  <si>
    <t>#LewisHLatimer invented an incandescent #lightbulb w/ a carbon filament #LatimerGardens #Queens #BlackHistoryMonth https://t.co/FdtdZze7Wr</t>
  </si>
  <si>
    <t>RT @JimmyVanBramer: TODAY! Join our #BlackHistoryMonth celebration honoring @RichardBuery and many great leaders! https://t.co/Pfp7SN2YwR</t>
  </si>
  <si>
    <t>RT @nycHealthy: Today's win means NYers can make informed decisions about their health: https://t.co/dOuUmTzMVq #WatchTheSalt https://t.co/…</t>
  </si>
  <si>
    <t>Still recruiting for 2016 Urban Farm Corps! @GreenCityForce Info session this Monday, 2/29! https://t.co/5aPIHEOz52 https://t.co/Rg40r4utMC</t>
  </si>
  <si>
    <t>#TBT photo. Features the @NYCHA Public Housing teams of boys and girls and their coaches: 1970 https://t.co/md7P65rUNV</t>
  </si>
  <si>
    <t>RT @nycgov: Did you know that @NYCParks' @ShapeUpNYC offer various classes at @NYCHA Community Centers? https://t.co/AYpMFhk1Dn</t>
  </si>
  <si>
    <t>RT @MarkTreyger718: Thanks @NYCHA @MikeRosen1975 for coming out to Carey Gardens tonight for updating residents on latest recovery efforts …</t>
  </si>
  <si>
    <t>RT @MikeRosen1975: Thx @MarkTreyger718 for holding town hall tonight and to @NYCHA residents for coming out in the rain  #SandyRecovery htt…</t>
  </si>
  <si>
    <t>Have you seen our Digital Van? It's at 4-20 Astoria Blvd until 4! Check out the full schedule here:</t>
  </si>
  <si>
    <t>Know someone who needs digital access? Our Digital Van is at Lexington/Washington @ 1773 3rd Av</t>
  </si>
  <si>
    <t>#MartinLutherKingJr #CivilRightsLeader, Baptist minister believed in non-violence #KingTowers #Mn #BlackHistoryMonth https://t.co/OVz0IGe5tz</t>
  </si>
  <si>
    <t>Happening now: NYCHA Board Meeting. Watch the video livestream https://t.co/vKqnkujtFI</t>
  </si>
  <si>
    <t>RT @HUDNY_NJ: .@NYCHA Seeks Developer to Renovate Thousands of Far Rockaway Apartments with #RAD https://t.co/JMKLvughhK @DNAinfo</t>
  </si>
  <si>
    <t>Almost Time! Tune in LIVE to the video livestream of today's board meeting at 10am. View here: https://t.co/vKqnkujtFI</t>
  </si>
  <si>
    <t>Did you know we livestream our board meetings? Watch live at 10am: https://t.co/vKqnkujtFI</t>
  </si>
  <si>
    <t>RT @mayorsCAU: Thx to @NYCImmigrants @NYCHRA @NYCHA for great presentations to #Bangladeshi community and to #PS69 for hosting! https://t.c…</t>
  </si>
  <si>
    <t>RT @NYCDCA: Use our map to find #FreeTaxPrep sites to claim important tax credits like #eitc https://t.co/ZMuZZtiKFa #EITCAware https://t.c…</t>
  </si>
  <si>
    <t>#JamesWeldonJohnson #Civilrights #poet #teacher #diplomat + #NAACP official. #JohnsonHouses #Mn #BlackHistoryMonth https://t.co/qPdFPkiBNl</t>
  </si>
  <si>
    <t>@Chrissy0510 We're sorry to hear this. To speak with a NYCHA Rep re this issue, please call us at 718-707-7771 or 212-306-3000. Thank you.</t>
  </si>
  <si>
    <t>ICYMI, @NYCHA Seeks Partners to Upgrade 1,400 Apts at Ocean Bay (Bayside) With Innovative Federal Housing Program https://t.co/nCpEMbVvGR</t>
  </si>
  <si>
    <t>Still recruiting for 2016 Urban Farm Corps! @GreenCityForce Info session this Monday, 2/29! https://t.co/5aPIHEOz52 https://t.co/wBOlpMpLrN</t>
  </si>
  <si>
    <t>@RicoEastTweets We're sry to hear this. You can check your status online, or by calling the CCC at 718- 707-7771 https://t.co/hv16rL73JX</t>
  </si>
  <si>
    <t>.@NYCHA Chair &amp;amp; @RepGraceMeng had a wonderful time dancing w/@SelfhelpNY seniors @ the Latimer Senior Center today! https://t.co/eYLE64Kxov</t>
  </si>
  <si>
    <t>RT @Enterprise_NYC: .@NYCHA Seeks Partners to Upgrade 1,400 Apartments at Ocean Bay (Bayside) With Innovative Federal Housing Program https…</t>
  </si>
  <si>
    <t>RT @sandylynnmyers: Lovely morning dancing with @SelfhelpNY seniors at the Latimer Senior Center this morning! @NYCHA https://t.co/wkDPnUYO…</t>
  </si>
  <si>
    <t>RT @Tonya_GCF: Thanks to @NYCommTrust for supporting @GreenCityForce and the #NYCHA Urban Agriculture Initiative. https://t.co/VPVvzGBvAg</t>
  </si>
  <si>
    <t>RT @SelfhelpNY: We enjoyed having @NYCHA Chairwoman @SholaOlatoye &amp;amp; @RepGraceMeng at our Latimer Senior Center this morning. https://t.co/w…</t>
  </si>
  <si>
    <t>RT @CityLandNYC: RSVP for our next CityLaw Breakfast w/ @NYCHA Commissioner @SholaOlatoye   https://t.co/MWlpsXpuPb  @NYLawSchool @NYCHA_Te…</t>
  </si>
  <si>
    <t>RT @SholaOlatoye: @NYCHA #congresswomanmeng #latimer https://t.co/iT8hJW6HAv</t>
  </si>
  <si>
    <t>Find something exciting to do &amp;amp; see in NYC that won't cost you a dime. See @nycgo's #FreeNYC weekly events: https://t.co/dkoEJMaMl1</t>
  </si>
  <si>
    <t>RAD is a great opportunity for @NYCHA to protect tenant rights &amp;amp; work to maintain #publichousing for the next generation #NextGenNYCHA</t>
  </si>
  <si>
    <t>A success in cities like San Francisco, residents are excited to participate in the RAD process. https://t.co/nCpEMbVvGR</t>
  </si>
  <si>
    <t>This release of Rental Assistance Demonstration (RAD) proposals in Far Rockaway, Queens is one way we can improve residents’ lives.</t>
  </si>
  <si>
    <t>With no addl. Fed or State funding, as @NYDailyNews wrote last fall, “there’s no @NYCHA fairy paying to keep the aging buildings habitable.”</t>
  </si>
  <si>
    <t>.@NYCHA Seeks Partners to Upgrade 1,400 Apartments at Ocean Bay (Bayside) With Innovative Federal Housing Program https://t.co/nCpEMbVvGR</t>
  </si>
  <si>
    <t>@QueenWallis Hi. We're sorry to hear about this. Could you please follow us and DM us your ticket number(s) so we can look into this? Thx</t>
  </si>
  <si>
    <t>RT @NY_Aff_Housing: $17,000 in scholarships for students in affordable housing https://t.co/QAtdreS87B @nycha</t>
  </si>
  <si>
    <t>RT @GreenCityForce: Still recruiting for 2016 Urban Farm Corps! Info sessions 2/22 &amp;amp; 2/29. Please share! #NYCHA https://t.co/kOmjVBqF03 htt…</t>
  </si>
  <si>
    <t>RT @Tonya_GCF: BK Urban Farm Program Brings Fresh Produce to NYCHA Residents #communitygarden #farming #foodanddrink #redhook
 https://t.co…</t>
  </si>
  <si>
    <t>RT @JudiKende: After decades of fed disinvestment @NYCHA turns around public housing, a vital resource #NextGenNYCHA https://t.co/un5B40IR0D</t>
  </si>
  <si>
    <t>ICYMI: @NYIT's Nicholas Bloom on old NYCHA vs #NextGenNYCHA: 
https://t.co/un5B40IR0D
https://t.co/0h6UMgSyAx
https://t.co/5Bbcr3qSMm</t>
  </si>
  <si>
    <t>So what if #ValentinesDay was last week. We’d still like to share the love with YOU, our followers! https://t.co/fFI5sxkMUT</t>
  </si>
  <si>
    <t>Not everyone has internet access. Tell a friend about the Digital Van. @ 372 Bushwick Avenue today</t>
  </si>
  <si>
    <t>RT @NY1: A new partnership is preparing young adults from NYCHA developments for technology jobs: https://t.co/8b0Rk1LHb5 https://t.co/NFWi…</t>
  </si>
  <si>
    <t>@DamiDollar Sry for the belated response. Pls visit here for more info: https://t.co/5cQ5SsYXEt</t>
  </si>
  <si>
    <t>RT @NYCGlobalPrtnrs: "How is being an artist in a city different from other places?" -#GPJunior artist interview in #Harlem @NYCHA https://…</t>
  </si>
  <si>
    <t>RT @GreatForestInc: Finding ways you can give back to the community? Become an Environmental Ambassador for the NYCHA community!  https://t…</t>
  </si>
  <si>
    <t>RT @NYCGlobalPrtnrs: #GPJunior students are interviewing a local photographer to learn more about immigrant artists in #NYC @NYCHA https://…</t>
  </si>
  <si>
    <t>RT @RachelFeeNYHC: Goodbye to 'First Generation' NYCHA https://t.co/Zol7kWh7Ga</t>
  </si>
  <si>
    <t>Vote now to help @NYCHealthSystem CEO @RamRajuMD earn a spot among Most Influential Physician Leaders! #MHVote50Most https://t.co/yZffiFq6K3</t>
  </si>
  <si>
    <t>#JamesAlanBland #Composer. Wrote the official State song of #VA #BlandHouses #Queens #BlackHistoryMonth https://t.co/TiGgsqvKSl</t>
  </si>
  <si>
    <t>RT @minervatweet: TechUP center at Robert Fulton Houses offers tech classes for @NYCHA residents, building NYC's Tech future together https…</t>
  </si>
  <si>
    <t>MT @ElizabethWisman: Other cities tore down #PublicHousing, NYC fights to save it writes @nyit's Nick Bloom: https://t.co/un5B40IR0D</t>
  </si>
  <si>
    <t>RT @JudiKende: After decades of fed disinvestment @NYCHA turns around public housing, a vital resource #NextGenNYCHA https://t.co/IrUs4k7CZv</t>
  </si>
  <si>
    <t>@FrazierSisi118@SholaOlatoye @mayorsCAU @nyc311 @NYCDHS We're sorry to hear that. We will report the issue and do follow up.</t>
  </si>
  <si>
    <t>RT @LaGuardiaWagner: #affordableNYC: a key issue in #blackhistorymonth, read about John L Wilson and @nycha‘s Harlem River Houses (1930s) h…</t>
  </si>
  <si>
    <t>RT @GothamGazette: Part 2: Goodbye to 'First Generation' NYCHA https://t.co/0P1fLVnIUt
Part 1: Rebuilding NYCHA: A Fresh Look https://t.co…</t>
  </si>
  <si>
    <t>RT @NYPDPSA4: Great Cops &amp;amp; Kids Ironman Competition @NYCParks Recreation Center @NYCHA Smith Recreation Center #LES https://t.co/w32EHbzPfU</t>
  </si>
  <si>
    <t>RT @NYCDCA: At #FreeTaxPrep sites, you can speak with a preparer who speaks your language incl Russian https://t.co/6jbzlw1oS4 https://t.co…</t>
  </si>
  <si>
    <t>The newly created Fund for Public Housing will help @NYCHA engage private philanthropy #NextGenNYCHA: https://t.co/kyKlCJiuWg</t>
  </si>
  <si>
    <t>ICYMI, Dr. Nick Bloom of @NYIT writes: While other cities tore down #PublicHousing, @NYCHA fights to save it. More: https://t.co/JuX53E6orz</t>
  </si>
  <si>
    <t>#PhilipRandolph Union leader, 4 ending #segregation in #military + #education #RandolphHouses #Mn #BlackHistoryMonth https://t.co/BXcntul4xR</t>
  </si>
  <si>
    <t>@yothatzcrazy @rubendiazjr @NYCMayorsOffice Thank you for DMing your ticket number to us. We will investigate + follow up.</t>
  </si>
  <si>
    <t>#ValentinesDay season was recently upon us, &amp;amp; we’d like to take this time to share the love with all of YOU! https://t.co/fFI5sxkMUT</t>
  </si>
  <si>
    <t>Dr. Bloom @NYIT "@NYCHA +nyc leaders are preserving large scale high-rise public housing against the national tide." https://t.co/un5B40IR0D</t>
  </si>
  <si>
    <t>RT @KarenHinton: Rebuilding NYCHA: A Fresh Look @BilldeBlasio https://t.co/gMM7SHq3j8</t>
  </si>
  <si>
    <t>RT @GothamGazette: "NYCHA and city leaders are preserving large scale high-rise public housing against the national tide" https://t.co/q1tq…</t>
  </si>
  <si>
    <t>RT @nycgob: .@NYCParks ofrece varias clases de @ShapeUpNYC en centros comunitarios de @NYCHA. Vea detalles en: https://t.co/Ej243FrxfF @NYC…</t>
  </si>
  <si>
    <t>"It’s important to learn your history. Knowing my history gave me confidence." #IamNextGen https://t.co/IVVOWG1LWv https://t.co/CgtxxdPlTr</t>
  </si>
  <si>
    <t>RT @ElizabethWisman: Other cities tore down #PublicHousing, NYC fights to save it writes @NYIT prof Nick Bloom: Rebuilding @NYCHA https://t…</t>
  </si>
  <si>
    <t>Need to use a PC? Visit our Digital Van today at 572 Warren St b/t 3rd/4th aves. #BK</t>
  </si>
  <si>
    <t>RT @NYCParks: Sign up for web design, Photoshop, animation, &amp;amp; video production courses at a rec center: https://t.co/ilVLwBmhlG https://t.c…</t>
  </si>
  <si>
    <t>Meet Dr. Aprille Ericsson, Aerospace Engineer @NASA of #RooseveltHouses #IamNextGen @NYCHA https://t.co/IVVOWG1LWv https://t.co/vuwzEGlUvU</t>
  </si>
  <si>
    <t>Calling all devotees of New York City. #NYC history for the visually inclined: https://t.co/aSxDQ2GAub. https://t.co/2prju3tZFz</t>
  </si>
  <si>
    <t>@PerleyThibodeau We're sorry to hear about this. Please follow us and DM us your ticket numbers so we can investigate on your behalf. Thx</t>
  </si>
  <si>
    <t>@BrooklynButter Hi. We've contacted you via DM for assistance. Please send us your ticket numbers so we may investigate + do follow up. Thx</t>
  </si>
  <si>
    <t>#GeorgeWashingtonCarver #AfricanAmerican botanist &amp;amp; inventor. #CarverHouses #Manhattan #BlackHistoryMonth https://t.co/oHtBQlGKri</t>
  </si>
  <si>
    <t>RT @SholaOlatoye: @NYCHA @rasmiakf @NYCMayorsOffice So great. Changing the narrative on what's good in public housing #nextgennycha  https:…</t>
  </si>
  <si>
    <t>RT @MikeRosen1975: We checked on the well-being of1000+ residents at Sandy impacted bldgs during this cold spell.@NYCHA #sandyrecovery http…</t>
  </si>
  <si>
    <t>Affordable Housing exhibit opens 2/10 @Hunter_College East #Harlem Gallery, incl. photos from @NYCHA #ProjectLives https://t.co/2hZSjyz9v9</t>
  </si>
  <si>
    <t>Today we honor the contributions of all #American #Presidents: past and present. Happy #PresidentsDay https://t.co/QwTIQZsFSY</t>
  </si>
  <si>
    <t>It's COLD. Keep fingertips, earlobes, and noses covered if you go outside. https://t.co/vzviW65HZL</t>
  </si>
  <si>
    <t>@blesjuel2 We're sorry to hear about the heat issues. Just sent you a DM for more info.</t>
  </si>
  <si>
    <t>RT @nycoem: Report heat/hot water issues to @nyc311. If you are a @NYCHA resident, report heat/hot water issues with #MyNYCHA or call 718-7…</t>
  </si>
  <si>
    <t>@p3r3z_perez Sorry to hear about the heat issues. We just sent you a DM for more info.</t>
  </si>
  <si>
    <t>@FrazierSisi118 Sorry to hear about this. We just sent you a DM for more info.</t>
  </si>
  <si>
    <t>@cukiesncreem Sorry to hear. We just asked for more info via DM.</t>
  </si>
  <si>
    <t>Keep space heaters &amp;gt;3ft away from anything that can burn. Don't leave it running unattended or while sleeping. More: https://t.co/vzviW65HZL</t>
  </si>
  <si>
    <t>Cold weather puts an extra strain on the heart. Stretch, drink water &amp;amp; rest frequently: https://t.co/vzviW65HZL</t>
  </si>
  <si>
    <t>Love your @NYCHA community? Be an Environmental Ambassador! Learn more in @NYCzerowaste's Feb newsletter: https://t.co/H8uvz49pCS</t>
  </si>
  <si>
    <t>RT @mayorsCAU: Brooklyn @NYCHA  Tenant Association Presidents with @SholaOlatoye at the Chair's Reception! #Caucus2016 #Albany https://t.co…</t>
  </si>
  <si>
    <t>RT @ElizabethWisman: Swipes at @NYCHA may score political points, but don’t reflect the reality today- Michael Kelly via @GothamGazette htt…</t>
  </si>
  <si>
    <t>It's cold out there! Play it safe in winter weather when you follow these health tips: https://t.co/vzviW65HZL</t>
  </si>
  <si>
    <t>NEVER use a space heater with an extension cord. More cold weather tips: https://t.co/vzviW65HZL</t>
  </si>
  <si>
    <t>ICYMI: @nytimes featured the Fund for Public Housing, which will be overseen by @rasmiakf: https://t.co/TKLNpJST9s https://t.co/TP59WaMPcU</t>
  </si>
  <si>
    <t>Please keep public space windows and building entrances closed to maintain building heat. https://t.co/vzviW65HZL</t>
  </si>
  <si>
    <t>Residents w/o adequate heat or hot water need to report it w/ #MyNYCHA or by calling the Customer Contact Center (CCC) at: (718) 707-7771.</t>
  </si>
  <si>
    <t>Residents: Report heat or hot water issues w/ a few clicks or swipes using #MyNYCHA at https://t.co/Jp6SqbMZp2 https://t.co/t9fWQyZnW3</t>
  </si>
  <si>
    <t>Contractors are on stand-by in case cold weather conditions cause a water main break in need of immediate response. https://t.co/vzviW65HZL</t>
  </si>
  <si>
    <t>&amp;gt;100 heating techs plumbers, electricians, welders are part of rapid response teams to manage emergency outages now through Monday night.</t>
  </si>
  <si>
    <t>We've inspected boiler rooms earlier this week to ID any issues to be addressed ahead of the cold weather front. https://t.co/vzviW65HZL</t>
  </si>
  <si>
    <t>We're closely monitoring nearly 2K boilers, including 21 mobile boiler plants at Sandy-impacted sites this wknd. https://t.co/vzviW65HZL</t>
  </si>
  <si>
    <t>Brrrr! NYers it’s too cold. Warm up, save $ and get hot swag https://t.co/0xqvCVnMXt  #SimpleStepsGiveaway https://t.co/PqjI5KPxl7</t>
  </si>
  <si>
    <t>RT @rhookinitiative: Starting today at 3pm! RHI is hosting #SecondFridays w @FACbrooklyn @NYCHA #resumeprep #affordablehousing #redhook htt…</t>
  </si>
  <si>
    <t>RT @JerryJonesICLC: The newly created Fund for Public Housing will help @NYCHA engage private philanthropy. https://t.co/oxD6zuFMVd</t>
  </si>
  <si>
    <t>RT @JudiKende: Excited about this innovative new initiative from @NYCHA  https://t.co/uFzJbqLUxF</t>
  </si>
  <si>
    <t>#MarcusGarvey (1887 - 1940), brilliant orator, prominent black nationalist. #GarveyHouses #Bk #BlackHistoryMonth https://t.co/vdLT892kXd</t>
  </si>
  <si>
    <t>Hey NYers, as if saving $ weren’t enough motivation, @Birdie_NYC has goodies for you! https://t.co/WB50lqfz9B https://t.co/I1My3YgLL9</t>
  </si>
  <si>
    <t>@redhookhub Thx for spreading the word! MyNYCHA can now be accessed w/o downloading an app: https://t.co/Jp6SqbMZp2</t>
  </si>
  <si>
    <t>RT @MicheleMoore24: Register 4 @greenhomenyc 's forum ft @NYCHA's Office of Disaster Recovery #nychastrong https://t.co/Hy0VSCx0u7</t>
  </si>
  <si>
    <t>RT @AjaWorthyDavis: "Taxpayer waste was indicative of old NYCHA. Today, we r committed 2 transparency as best form of oversight &amp;amp; accountab…</t>
  </si>
  <si>
    <t>RT @HUDNY_NJ: "When you think about what makes NYC work, #publichousing is so essential...and that has too long been unrecognized" https://…</t>
  </si>
  <si>
    <t>Brrr, it's cold out there. Did you know Seniors are more susceptible to the cold? Dress warmly before heading out. https://t.co/vzviW5O6Bb</t>
  </si>
  <si>
    <t>General Manager Michael Kelly's @GothamGazette op-ed: "Get the Facts Straight on @NYCHA Attacks" https://t.co/xXtgeZBKpG</t>
  </si>
  <si>
    <t>RT @Enterprise_NYC: A New Charitable Project: The Fund for Public Housing https://t.co/LhyRHsbOwd  @SholaOlatoye @NYCHA #nextgenerationNYCHA</t>
  </si>
  <si>
    <t>RT @amandafung: The RED Wrap: A charitable effort to raise money for public housing @NYCHA https://t.co/VgntHkNPhR via @nytimes &amp;amp; more</t>
  </si>
  <si>
    <t>RT @NYCzerowaste: #welove @GrowNYC Environmental Ambassadors, @NYCHA residents training to be community recycling experts! Join them: https…</t>
  </si>
  <si>
    <t>Today is our 16th President, #AbrahamLincoln's #birthday #LincolnHouses #Harlem https://t.co/6u4RDHOh7E</t>
  </si>
  <si>
    <t>RT @GothamGazette: .@NYCHA General Manager: Get the Facts Straight on NYCHA Attacks https://t.co/O237l3heJ4</t>
  </si>
  <si>
    <t>RT @nycgov: .@nycoem urges New Yorkers to prepare for extreme cold expected Thursday night through Monday. More: https://t.co/I3ysZ9Fruf</t>
  </si>
  <si>
    <t>RT @rasmiakf: A New Charitable Project: The Projects https://t.co/QFTkOm9X2d On our way! ❤️@SholaOlatoye @NYCHA #nextgenerationNYCHA</t>
  </si>
  <si>
    <t>Exposure to cold can cause serious health conditions. For winter health &amp;amp; safety tips, visit: https://t.co/vzviW65HZL</t>
  </si>
  <si>
    <t>MT: @GiniaNYT on @NYCHA 's new Fund for Public Housing #NextGenNYCHA https://t.co/lX6HJakEHu</t>
  </si>
  <si>
    <t>Cold weather #tip: Keep fingertips, earlobes, and noses covered if you go outside. Learn more: https://t.co/vzviW65HZL</t>
  </si>
  <si>
    <t>RT @greenthumbgrows: All @NYCHA residents aged 18-24 -  apply for the  Green City Force Urban Farm Corps! https://t.co/4fjPdGHIC6. https://…</t>
  </si>
  <si>
    <t>Have you seen our cold weather tips and cold weather safety tips? https://t.co/vzviW65HZL</t>
  </si>
  <si>
    <t>RT @riverkeeper: .@NYCHA neighbors are signing up as Environmental Ambassadors to promote recycling.  
Join in! https://t.co/afmyzJ9qL1 @Gr…</t>
  </si>
  <si>
    <t>.@PIX11News Reports: @NYCHA receives much-needed upgrades https://t.co/JsZYExL0c0  Watch via @YouTube</t>
  </si>
  <si>
    <t>RT @MikeRosen1975: Talking Sandy Recovery at Smith Houses tonight while my team is at O'Dwyer Gardens @nycha #communityengagement https://t…</t>
  </si>
  <si>
    <t>RT @rhookinitiative: ICYMI @NYCHA revealed planned upgrades to #redhook houses w @fema allocated funds #ResilienceinAction #brooklyn https:…</t>
  </si>
  <si>
    <t>Exposure to cold can cause life-threatening health conditions such as frostbite and hypothermia. Protect yourself: https://t.co/vzviW65HZL</t>
  </si>
  <si>
    <t>#TBT @AmeriCorps Member Ramel York wrote a beautiful poem about his @GreenCityForce service: https://t.co/K4BDsHwZNG https://t.co/zj80J5SRge</t>
  </si>
  <si>
    <t>RT @MarkTreyger718: I appreciate NYCHA updating elected officials &amp;amp; residents on latest Sandy recovery information &amp;amp; addressing concerns ht…</t>
  </si>
  <si>
    <t>@UniquelyFujica Plz provide us with your ticket numbers for these issues, and we will  report and investigate on your behalf. Thanks</t>
  </si>
  <si>
    <t>RT @nycgov: Having heat or hot water issues? Prepare for the cold weather with @NYCHA. https://t.co/cMHGmbmFec https://t.co/qrcHsunbfm</t>
  </si>
  <si>
    <t>@JMcCarthy61 @nycgov @NYCParks @ShapeUpNYC To find a location near to you, search here: https://t.co/6LbclBh0Wc</t>
  </si>
  <si>
    <t>Know a senior, homeless person, or someone chronically ill? Please check on them. More cold weather tips: https://t.co/vzviW65HZL</t>
  </si>
  <si>
    <t>RT @cbcny: NYCHA is largest &amp;amp; oldest public housing authority-  should be best run, too. #NextGenNYCHA needed 2 get there: https://t.co/2it…</t>
  </si>
  <si>
    <t>Congrats Niani Tayloron, @bkfoodworks! Learn how to start your own food business  tomorrow! https://t.co/rpe3At3tCS https://t.co/l5e21pq8QP</t>
  </si>
  <si>
    <t>Congrats Luquana McGriff on receiving a scholarship from @bkfoodworks! How can you apply to #FoodBusinessPathways?  https://t.co/NR6bA75OMd</t>
  </si>
  <si>
    <t>Do NOT use the oven or stove to heat your apartment. It's a fire hazard + can cause toxic fumes. Cold weather tips:  https://t.co/vzviW65HZL</t>
  </si>
  <si>
    <t>ICYMI, @NYCHA alum Wayne Mackie, former resident of #LindenHouses, did an excellent job reffing #SB50. So proud! https://t.co/g0j2jnZJa4</t>
  </si>
  <si>
    <t>RT @PortSideNewYork: NYCHA #resiliency plans improve Red Hook for everyone #OneRedHook https://t.co/kYXi3Q7rHO #architecture https://t.co/A…</t>
  </si>
  <si>
    <t>You can protect your lungs from extremely cold air by covering your mouth when outdoors. Get more tips here: https://t.co/vzviW65HZL</t>
  </si>
  <si>
    <t>Born into slavery, #FrederickDouglass fought hard for freedom &amp;amp; desegregation #DouglassHouses #Mn #BlackHistoryMonth https://t.co/kxcXqxtREj</t>
  </si>
  <si>
    <t>Excellent #Sandy update in #RedHook! #NYCHAStrong @MikeRosen1975 @cmenchaca @NydiaVelazquez https://t.co/jbEGZJ7y16 https://t.co/J9pRsizQaW</t>
  </si>
  <si>
    <t>RT @BrooklynLTRGrp: 👏🏾🎯This is what community #resilience looks like. Outstanding job of engaging community by @NYCHA and electeds. https:/…</t>
  </si>
  <si>
    <t>RT @CLPHA: Public #housing not just a place to live, but "an idea that is inseparably intertwined with community life" @NYCHA https://t.co/…</t>
  </si>
  <si>
    <t>ICYMI, #Bronx #PattersonHouses—Tenants host luncheon for @NYCHA maintenance workers @News12BX reports: https://t.co/9cp3CQXRxI</t>
  </si>
  <si>
    <t>If you’re a #NYCHA Resident between 18-24 &amp;amp; interested in the #Tech Industry RSVP today. https://t.co/U7UVaGXysf https://t.co/oFIJYc9Hq1</t>
  </si>
  <si>
    <t>Happy #ChineseNewYear / #LunarNewYear everyone! Wishing you a prosperous #YearOfTheMonkey https://t.co/QLT78DEtiI</t>
  </si>
  <si>
    <t>RT @SholaOlatoye: @NYCHA #nextgenerationNYCHA https://t.co/eSDLc24hIx</t>
  </si>
  <si>
    <t>RT @BilldeBlasio: Proud of @NYCHA &amp;amp; #PattersonHouses tenants! Together we’re making a better NYC. That’s what #OurCity is all about. https:…</t>
  </si>
  <si>
    <t>RT @rhookinitiative: A collective voice for a #resilient #redhook! @NYCHA @BrooklynLTRGrp  https://t.co/gT4hFxsjl6</t>
  </si>
  <si>
    <t>#HOPE2016 starts at 10pm, @NBCNewYork reports, and thousands of New Yorkers will take part in the annual count: https://t.co/nPzCjaTKtT</t>
  </si>
  <si>
    <t>RT @FDNY: Did you know that @NYCParks @ShapeUpNYC offer various classes at @NYCHA Community Centers?   https://t.co/4xzJVCVEdQ</t>
  </si>
  <si>
    <t>.@NYCHA wishes you and your family a Happy #LunarNewYear! https://t.co/ylPyIyQHCJ</t>
  </si>
  <si>
    <t>New Culinary Incubator in Bed-Stuy-- 35 registrants are women/ POC, 25 are Brooklynites, 4 are @NYCHA residents https://t.co/qFMzXtDpr9</t>
  </si>
  <si>
    <t>RT @JeanBWeinberg: An honest look at affordable housing in NYC: https://t.co/fSD4DCtn2a by @DianaBudds via @FastCoDesign CC: @nycha</t>
  </si>
  <si>
    <t>#Bronx #PattersonHouses—Tenants host luncheon for @NYCHA maintenance workers @News12BX reports: https://t.co/9cp3CQXRxI</t>
  </si>
  <si>
    <t>.@NYCHA alum Wayne Mackie, former resident of #LindenHouses, did an excellent job reffing #SB50. So proud! https://t.co/g0j2jnZJa4</t>
  </si>
  <si>
    <t>@Vicious_Books We're sry to hear about this. Can you please follow us and DM us your ticket numbers so we can report and investigate? Thanks</t>
  </si>
  <si>
    <t>@GrandPa944 We're sorry to hear about this. Can you please follow us and DM us your ticket numbers so we can report and investigate? Thanks</t>
  </si>
  <si>
    <t>The Brooklyn-Queens Connector will link 13 @NYCHA developments w/ 40k #publichousing residents. Thx @BilldeBlasio! 
 https://t.co/cPEZ6U2V4m</t>
  </si>
  <si>
    <t>.@NYCDCAS' expansive collection of 300,000+ public notices is easily available online: https://t.co/2nQaDb9X5R https://t.co/pbPA1Bb8p7</t>
  </si>
  <si>
    <t>#BlackHistoryMonth — It was #LangstonHughes birthday this past Monday. #LangstonHughesHouses #BK  #HappyBirthday https://t.co/ZKmqBjVyQA</t>
  </si>
  <si>
    <t>#RedHook Residents! #Sandy design update meeting at the #MiccioCommunityCenter this Monday. See below for details! https://t.co/oT5xAxctgf</t>
  </si>
  <si>
    <t>RT @NYCMayorsOffice: GOAL: we will cut emissions by 80% by 2050 to have the cleanest air of any major U.S. city by 2030: https://t.co/IBEeH…</t>
  </si>
  <si>
    <t>RT @DMAliciaGlen: #OurCity: Bridging the digital divide every day with new investments in high speed broadband in our @NYCHA public housing…</t>
  </si>
  <si>
    <t>RT @DMAliciaGlen: #OurCity: #HousingNY! More new affordable housing financed in 2015 than in recent history!</t>
  </si>
  <si>
    <t>RT @isaaccarmignani: High speed Internet in NYCHA housing growing! Let end the digital divide in #OurCity #SOTC2016</t>
  </si>
  <si>
    <t>RT @RichardBuery: Record year for affordable housing- including end to chronic veterans homelessness - @BilldeBlasio #OurCity #SOTC2016</t>
  </si>
  <si>
    <t>RT @NYCMayorsOffice: Our NextGeneration @NYCHA plan will create safe, clean &amp;amp; connected communities in #OurCity. Learn more: https://t.co/h…</t>
  </si>
  <si>
    <t>RT @NYCMayorsOffice: We are building and preserving 200,000 affordable apartments by 2024. #OurCity https://t.co/I1NTcfbxS2</t>
  </si>
  <si>
    <t>RT @NYCMayorsOffice: "2015 itself was one of the best years EVER for affordable housing in the history of #OurCity” - Mayor @BilldeBlasio</t>
  </si>
  <si>
    <t>RT @nycgob: “Somos 8.5 millones en 300+ vecindarios de 5 condados que hacen a #NuestraCiudad la mejor del mundo”. @BilldeBlasio https://t.c…</t>
  </si>
  <si>
    <t>RT @NYCMayorsOffice: "It’s the 8.5M of us, living in 300+ nbhds across the 5 boroughs, that make #OurCity the greatest city in the world" -…</t>
  </si>
  <si>
    <t>RT @NYCMayorsOffice: "The State of the City. To me, that really means the State of Our People" - Mayor @BilldeBlasio Watch live: https://t.…</t>
  </si>
  <si>
    <t>RT @NYCImmigrants: Happening now: beautiful rendition of the Star Spangled Banner #OurCity https://t.co/bTUh32O1cH</t>
  </si>
  <si>
    <t>RT @FDNY: #FDNY Chaplain Kansfield delivers invocation at Mayor @BilldeBlasio’s State of #OurCity https://t.co/9Sgz1jQ5HB https://t.co/K0JL…</t>
  </si>
  <si>
    <t>RT @nycgov: LIVE NOW: Mayor @BilldeBlasio delivers the State of #OurCity → https://t.co/NJ6VbU4rNB</t>
  </si>
  <si>
    <t>Mayor @BilldeBlasio's #SOTC2016 is tonight at 7. Watch the live stream at https://t.co/328mnCz8b2 . #OurCity</t>
  </si>
  <si>
    <t>RT @NWSNewYorkNY: Winter Weather Advisory in effect for Fri morning. Rain changes to snow by daybreak, 2-3" NYC, 4-6" eastern LI &amp;amp; CT. http…</t>
  </si>
  <si>
    <t>TONIGHT 7pm, Mayor @BilldeBlasio delivers the State of #OurCity. Watch it live: https://t.co/328mnCz8b2 https://t.co/WlKC322bXB</t>
  </si>
  <si>
    <t>Más neoyorquinos podrán ver el discurso del Estado de #NuestraCiudad en su nuevo horario, HOY a las 7PM.  #OurCity</t>
  </si>
  <si>
    <t>@KenFosterWrites Sry to hear this. Pz call our Customer Contact Center (Tel 718-707-7771) or main office # to speak to a representative. Thx</t>
  </si>
  <si>
    <t>RT @Chirlane: Looking forward to Mayor Bill de Blasio's #OurCity speech. (Good luck, honey!) https://t.co/BvFPXkauty</t>
  </si>
  <si>
    <t>Join the online conversation during Mayor @BilldeBlasio's SOTC address using the hashtag #OurCity → https://t.co/328mnCz8b2</t>
  </si>
  <si>
    <t>#RedHook Residents! #Sandy design update meeting at the #MiccioCommunityCenter this Monday. See below for details! https://t.co/1A2QSONmHK</t>
  </si>
  <si>
    <t>@KenFosterWrites Hi. Please visit here for more info. Thx : https://t.co/iGPQsHnLGi</t>
  </si>
  <si>
    <t>Heat out in your #publichousing apt? Now you don't have to install the app on your phone. Visit #MyNYCHA online: https://t.co/Jp6SqbMZp2</t>
  </si>
  <si>
    <t>@alwayz_lala We're sorry to hear about this. Can you please follow us and DM us your ticket numbers so we can report and investigate? Thanks</t>
  </si>
  <si>
    <t>This #TBT photo is of a #nursery/ #daycare center taken by #NYCHA Photographers on 3/7/1939. Love our proud history! https://t.co/GfpUPLpBKN</t>
  </si>
  <si>
    <t>@NormandeauNewsw Thank you for sending us this ticket number. We will report - Please DM us for follow up.</t>
  </si>
  <si>
    <t>@CleanUpJamaica We're sry to hear about this. Does the resident have ticket #s from the CCC(Tel. 718-707-7771)? We will report+investigate.</t>
  </si>
  <si>
    <t>RT @NYCCouncil: In March we'll vote on 2 major changes to NYC's zoning #MIH #ZQA. Hrgs 2/9 &amp;amp; 2/10 9:30AM https://t.co/e5pV4gJmV5 https://t.…</t>
  </si>
  <si>
    <t>Councilman @RitchieTorres sees our vision. Learn more about #NextGenNYCHA: https://t.co/LwpIFSonEH https://t.co/gKklLznJqv</t>
  </si>
  <si>
    <t>Interested in Free Construction? 2/4 @ 9:30am. To RSVP for the 1st training session in #ConeyIsland: https://t.co/EUPRMCkhf0</t>
  </si>
  <si>
    <t>.@NYCHA Residents wanted! Training Academy testing at @rhookinitiative Next Monday #redhook #employment https://t.co/1LAf3e5XW2</t>
  </si>
  <si>
    <t>RT @MarkTreyger718: Thx @MikeRosen1975 @NYCHA for working w/ my office to update Surfside Gardens residents on latest recovery efforts http…</t>
  </si>
  <si>
    <t>NYCHA Digital Van in Manhattan offers free WiFi &amp;amp; computer access. Stop by East River Houses until 4pm</t>
  </si>
  <si>
    <t>RT @RelayGSE: Proud of our tech coordinator Jennifer Johnson, who was highlighted in the NYCHA magazine! @YearUp @YearUpNewYork https://t.c…</t>
  </si>
  <si>
    <t>RT @observer: Could building on NYCHA land save Mayor de Blasio’s affordable housing plan? https://t.co/qlRMlIBL4O https://t.co/Z4RYziMcjW</t>
  </si>
  <si>
    <t>Mr. Groundhog did not see his shadow! #goodbyewinter #hellospring
#Happy #GroundhogDay! https://t.co/cH4dlvEEx2</t>
  </si>
  <si>
    <t>He had a vision, he had a dream #BlackHistoryMonth https://t.co/2iwgki46wj</t>
  </si>
  <si>
    <t>.@NydiaVelazquez, @NYCHA want to preserve #publichousing in #NYC. Our plan is #NextGenNYCHA: https://t.co/LwpIFSonEH https://t.co/yK5hZEBcFn</t>
  </si>
  <si>
    <t>RT @redhookhub: @NYCHA Resident Training Academy testing at @rhookinitiative Next Monday #redhook #employment https://t.co/CgKA8DtG0i</t>
  </si>
  <si>
    <t>See the NYCHA Digital Van - offering free computer access &amp;amp; WiFi. Kingsborough #brooklyn until 4pm</t>
  </si>
  <si>
    <t>Calling all #ConeyIsland @NYCHA residents! Interested in free construction job training+placement? #RSVP today: https://t.co/EUPRMCkhf0</t>
  </si>
  <si>
    <t>RT @BenKallos: Hoping @SallyGold's reports that @NYSHCR is defunding @NYCHA following final $100M are an error we can correct in final #NYS…</t>
  </si>
  <si>
    <t>RT @HelenRosenthal: @SallyGold We're $17 billion in unmet capital needs for @NYCHA. The state budget needs to respond to reflect that reali…</t>
  </si>
  <si>
    <t>RT @cmlauriecumbo: Employment Opportunities at @BarclaysCenter: 2/2 &amp;amp; 2/11 NYCHA Residents' Pre-Screening Event https://t.co/oSgVLlBQ3s htt…</t>
  </si>
  <si>
    <t>RT @cbrangel: Thank you for your efforts to make #NYC a place everyone can call home!   https://t.co/ooxfIuZPbr</t>
  </si>
  <si>
    <t>Live in The Rockaways? Interested in construction job training? Don’t miss this opportunity. #RSVP today https://t.co/dextQMceBX</t>
  </si>
  <si>
    <t>Heat or hot water issues in your #NYCHA apt? Get alerts, view outages, and report all thru #MyNYCHA online: https://t.co/Jp6SqbMZp2</t>
  </si>
  <si>
    <t>RT @RitchieTorres: @SallyGold @NYCHA @RichAzzopardi No new 100m is still outrageous.  500K New Yorkers live in public housing, which is fal…</t>
  </si>
  <si>
    <t>.@cbrangel, @NYCHA want to ensure #NYC #publichousing has a future. Facts on #NextGenNYCHA: https://t.co/LwpIFSonEH https://t.co/EJbGr11My8</t>
  </si>
  <si>
    <t>Special thx to @MASNYC. Saturday showed we're leading the discussion on making #RedHook more resilient. #NYCHAstrong https://t.co/R2qp1s0uWh</t>
  </si>
  <si>
    <t>RT @nycgob: .@NYCHA completa monitoreo por video en docenas de proyectos (de @NY1): https://t.co/Wgx25QymVx</t>
  </si>
  <si>
    <t>Know someone interested in #free full-time training? #spreadtheword #retweet #RSVP now. Click for full details: https://t.co/EUPRMCkhf0</t>
  </si>
  <si>
    <t>#RedHook Community Summit tomorrow! Learn safety skills that'ill prepare you for emergencies, natural disasters, etc https://t.co/JOzkvV2hEf</t>
  </si>
  <si>
    <t>.@NYCHA just announced rollout of #MyNYCHA. Explore services available at your development online today: https://t.co/Jp6SqbMZp2</t>
  </si>
  <si>
    <t>.@IDaneekMiller agrees we can strengthen @NYCHA for the next generation. #NextGenNYCHA https://t.co/LwpIFSonEH https://t.co/7Ib5CoEIj6</t>
  </si>
  <si>
    <t>@LavasjaGoodman Please call our Customer Contact Center at 718-707-7771 to speak with a NYCHA rep regarding this matter. Thanks</t>
  </si>
  <si>
    <t>#SandyRecovery will be sharing flood protection information at this Saturday’s #RedHook Community Summit https://t.co/7fpcj0HC7r</t>
  </si>
  <si>
    <t>@My_RealNess Please speak to a NYCHA representative via our Customer Contact Center at 718-707-7771. Thank you.</t>
  </si>
  <si>
    <t>ICYMI, Construction Training is back! RSVP for the 1st training session in the #Rockaways, 2/4 @ 9:30am: https://t.co/dextQMceBX</t>
  </si>
  <si>
    <t>Learn about workforce training and flood protection at the #RedHook Community Summit tomorrow #SaturdaySharingSkills https://t.co/o8d1fU3jyI</t>
  </si>
  <si>
    <t>@LavasjaGoodman Hello. Are you a public housing applicant or @NYCHA employee?</t>
  </si>
  <si>
    <t>A new tool from @NYCDCAS is a searchable database with information about procurement, public hearings, and more: https://t.co/2nQaDb9X5R</t>
  </si>
  <si>
    <t>ICYMI, Chair @SholaOlatoye on @NY1 talking challenges facing @NYCHA, #NextGenNYCHA + #MyNYCHA app for residents: https://t.co/3FbRlI98j1</t>
  </si>
  <si>
    <t>RT @rasmiakf: So profound, Ramel. THIS is #nextGenerationNYCHA @NYCHA  https://t.co/WWja969hsk</t>
  </si>
  <si>
    <t>RT @nycgob: NYC paga a residentes de viviendas públicas para pintar murales (de @SmithsonianMag): https://t.co/VJyPbFk0Xx https://t.co/Barp…</t>
  </si>
  <si>
    <t>We all need to connect! Tell your friends about our Digi Van @ Lincoln near 60 East 135th Street https://t.co/dmzu8keRPG</t>
  </si>
  <si>
    <t>RT @SmithsonianMag: New York City is paying public housing residents to paint murals. https://t.co/zePHenLWcy https://t.co/ehVq6IcUus</t>
  </si>
  <si>
    <t>Chair @SholaOlatoye on @NY1 talking challenges facing @NYCHA, #NextGenNYCHA + #MyNYCHA app for residents. Watch here https://t.co/3FbRlI98j1</t>
  </si>
  <si>
    <t>RT @GreenCityForce: TY @NYCHA Board Members &amp;amp; Rasmia Kirmani-Frye, Office of Public Private Partnerships, for attending GCF graduation! htt…</t>
  </si>
  <si>
    <t>Did you know you can subscribe to alerts, outages in your development+view inspection appointments? #MyNYCHA online: https://t.co/Jp6SqbMZp2</t>
  </si>
  <si>
    <t>RT @nycgob: Vuelven los cursos de construcción de @NYCHA! RSVP para la 1ra sesión en los #Rockaways, 4 de febrero @ 9:30AM: https://t.co/Ey…</t>
  </si>
  <si>
    <t>Watch @SholaOlatoye Discuss Plan to Develop Land Around Public Housing on @errollouis @NY1. Watch via @YouTube https://t.co/dqvpHM5wkR</t>
  </si>
  <si>
    <t>RT @Enterprise_NYC: Enterprise is thrilled to welcome the newest @rosefellowship class, including Jae Shin, who will work within @NYCHA htt…</t>
  </si>
  <si>
    <t>Chair based classes are a great form of exercise and stretching. https://t.co/ndWxn2h8DW</t>
  </si>
  <si>
    <t>"We are trying to save people's homes within @NYCHA " - @SholaOlatoye on the need for our NextGeneration NYCHA plan: https://t.co/3FbRlI98j1</t>
  </si>
  <si>
    <t>#TBT: Young residents of #GowanusHouses learning photography from an #ArtCollective. More: https://t.co/YxaDN0Hx74 https://t.co/ynpbDwGUiy</t>
  </si>
  <si>
    <t>@julian_aracena Hi. Plz contact the Customer Contact Center (Tel. 718-707-7771) regarding this request. Thank you: https://t.co/8oywW1MV6p</t>
  </si>
  <si>
    <t>RT @JeanBWeinberg: "We are trying to save people's homes within @NYCHA " - @SholaOlatoye on the need for our NextGeneration NYCHA plan</t>
  </si>
  <si>
    <t>Lincoln Houses- Free PC access and Wifi in our Digital Van. It's near 60 East 135th Street  #Manhattan https://t.co/dmzu8keRPG</t>
  </si>
  <si>
    <t>Did you miss @errollouis' interview w/ Chair @SholaOlatoye on @NY1 @InsideCityHall? It airs again at 10pm. https://t.co/ZP5U4WyYUB</t>
  </si>
  <si>
    <t>"#NextGenNYCHA Neighborhoods program to achieve 2 goals: 1. Build affordable housing 2. Preserve public housing." https://t.co/twYH7AQeAv</t>
  </si>
  <si>
    <t>Starting NOW: Chair @SholaOlatoye will be on @NY1's @InsideCityHall w/ @errollouis. Tune in and learn about #NextGenNYCHA.</t>
  </si>
  <si>
    <t>At 7pm, Chair @SholaOlatoye will speak about #NextGenNYCHA with @errollouis on @NY1 @InsideCityHall. Tune in!</t>
  </si>
  <si>
    <t>RT @HelenRosenthal: "Over my dead body will [@NYCHA] ever be privatized" - @BilldeBlasio #bdbtownhall #uws @galeabrewer</t>
  </si>
  <si>
    <t>RT @JeanBWeinberg: Tune in for @SholaOlatoye 's intv with @errollouis tonight at 7pm on the latest @NYCHA https://t.co/Hhl5Xg2Xdk</t>
  </si>
  <si>
    <t>@sufiinthesaddle We're sorry to see this. Please call us ASAP at 718-707-7771. Thank you.</t>
  </si>
  <si>
    <t>These ladies never let exercise be confined to a gym. Attend a free @NYCParks @ShapeUpNYC class. More: https://t.co/6WswzauZai</t>
  </si>
  <si>
    <t>Starting soon, #PreKforAll twitter chat with @RichardBuery. Join using the hashtag! https://t.co/fqPwBhFCuE</t>
  </si>
  <si>
    <t>Happening now: NYCHA Board Meeting. Watch the video livestream https://t.co/3PKEwpzvou</t>
  </si>
  <si>
    <t>Tune in LIVE to the video livestream of today's board meeting at 10am. View here: https://t.co/3PKEwpzvou</t>
  </si>
  <si>
    <t>Did you know we livestream our board meetings? Watch live at 10am: https://t.co/3PKEwpzvou</t>
  </si>
  <si>
    <t>NYCHA Digital Vans offer free computer access + WiFi at Lincoln Houses #Uptown. Now! https://t.co/dmzu8keRPG</t>
  </si>
  <si>
    <t>@MDBKLN Hi. We're sorry to hear about this. Could you please follow us so you can DM your ticket number to us for follow up? Thanks</t>
  </si>
  <si>
    <t>RT @JeanBWeinberg: 4 hrs later - Council hearing over &amp;amp; @NYCHA 's @SholaOlatoye continuing to listen to resident questions, concerns https:…</t>
  </si>
  <si>
    <t>Last year, over 68k kids enrolled in #PreKforAll. Your child's joining the fun this fall? Join @RichardBuery's twitter chat: today at 11am.</t>
  </si>
  <si>
    <t>RT @HelenRosenthal: No longer management by decline @NYCHA now changing operations which hadn't been touched for 81 years @RitchieTorres @M…</t>
  </si>
  <si>
    <t>RT @MoTruth4u: Thank you to @SholaOlatoye for staying to hear @NYCHA resident at @RitchieTorres New York Council hearing.. It's appreciated</t>
  </si>
  <si>
    <t>RT @richberlin: @SholaOlatoye. TY for this statement. Honest, Courageous, Compassionate, Bold. This is #Leadership https://t.co/nhdtaaNo10</t>
  </si>
  <si>
    <t>RT @HarlemRBI: Together, we can build Affordable Housing in NYC. Thanks team. @MMViverito @NYCHA @SenatorSerrano @NYCharterCenter https://t…</t>
  </si>
  <si>
    <t>.@TYsAdventures Good Q. Took a while to get funds from @FEMA. See progress on our map. https://t.co/FSWCc0gPz2 https://t.co/KL7iQmne6c</t>
  </si>
  <si>
    <t>More than recovery after #hurricanesandy, we're building #NYCHAStrong for resiliency. More: https://t.co/FSWCc0gPz2 https://t.co/lvA4kFRFWn</t>
  </si>
  <si>
    <t>Hey @BlackBerry_Mama, please learn more about #NextGenNYCHA at https://t.co/LwpIFSonEH</t>
  </si>
  <si>
    <t>FACT: NextGen Neighborhoods will NOT lead to demolition of public housing. That's what could happen if we don't pursue #NextGenNYCHA</t>
  </si>
  <si>
    <t>FACT: We will NOT sell off NYCHA buildings through NextGen Neighborhoods. #NextGenNYCHA</t>
  </si>
  <si>
    <t>FACT: NextGen Neighborhoods will NOT displace existing residents and families. #NextGenNYCHA</t>
  </si>
  <si>
    <t>FACT: NextGen Neighborhoods program WILL NOT and CANNOT raise NYCHA rents. #NextGenNYCHA</t>
  </si>
  <si>
    <t>Learn more about #NextGenNYCHA and read first quarterly report at: https://t.co/LwpIFSonEH https://t.co/M0It742jjM</t>
  </si>
  <si>
    <t>This concludes portions of Chair @SholaOlatoye's testimony to @NYCCouncil on #NextGenNYCHA. PDF for download at https://t.co/k7QR8yMpTB</t>
  </si>
  <si>
    <t>I urge you to consider the real and honest solutions in this program, &amp;amp; the grave consequences of inaction during crisis #NextGenNYCHA</t>
  </si>
  <si>
    <t>I hope that you'll stand with us &amp;amp; we can have a constructive dialogue that'll create an improved, sustainable @NYCHA for all #NextGenNYCHA</t>
  </si>
  <si>
    <t>.@NYCHA didn’t get into this state of crisis overnight. It will take a generation’s worth of work to get out of it #NextGenNYCHA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</si>
</sst>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t.co/rMpFKmBNcW" TargetMode="External"/><Relationship Id="rId2" Type="http://schemas.openxmlformats.org/officeDocument/2006/relationships/hyperlink" Target="https://t.co/Jp6Sqbvo0s%20https://t.co/DMwzWzyTf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2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f>HYPERLINK("http://www.twitter.com/NYCHA/status/808363658690568192", "808363658690568192")</f>
        <v>0</v>
      </c>
      <c r="B2" s="2">
        <v>42716.7301967593</v>
      </c>
      <c r="C2">
        <v>3</v>
      </c>
      <c r="D2">
        <v>0</v>
      </c>
      <c r="E2" t="s">
        <v>5</v>
      </c>
    </row>
    <row r="3" spans="1:5">
      <c r="A3">
        <f>HYPERLINK("http://www.twitter.com/NYCHA/status/808361529624109056", "808361529624109056")</f>
        <v>0</v>
      </c>
      <c r="B3" s="2">
        <v>42716.7243171296</v>
      </c>
      <c r="C3">
        <v>0</v>
      </c>
      <c r="D3">
        <v>0</v>
      </c>
      <c r="E3" t="s">
        <v>6</v>
      </c>
    </row>
    <row r="4" spans="1:5">
      <c r="A4">
        <f>HYPERLINK("http://www.twitter.com/NYCHA/status/808349476717031425", "808349476717031425")</f>
        <v>0</v>
      </c>
      <c r="B4" s="2">
        <v>42716.6910648148</v>
      </c>
      <c r="C4">
        <v>0</v>
      </c>
      <c r="D4">
        <v>1</v>
      </c>
      <c r="E4" t="s">
        <v>7</v>
      </c>
    </row>
    <row r="5" spans="1:5">
      <c r="A5">
        <f>HYPERLINK("http://www.twitter.com/NYCHA/status/808325980343468032", "808325980343468032")</f>
        <v>0</v>
      </c>
      <c r="B5" s="2">
        <v>42716.6262268519</v>
      </c>
      <c r="C5">
        <v>0</v>
      </c>
      <c r="D5">
        <v>0</v>
      </c>
      <c r="E5" t="s">
        <v>8</v>
      </c>
    </row>
    <row r="6" spans="1:5">
      <c r="A6">
        <f>HYPERLINK("http://www.twitter.com/NYCHA/status/808313096288825344", "808313096288825344")</f>
        <v>0</v>
      </c>
      <c r="B6" s="2">
        <v>42716.5906712963</v>
      </c>
      <c r="C6">
        <v>0</v>
      </c>
      <c r="D6">
        <v>0</v>
      </c>
      <c r="E6" t="s">
        <v>9</v>
      </c>
    </row>
    <row r="7" spans="1:5">
      <c r="A7">
        <f>HYPERLINK("http://www.twitter.com/NYCHA/status/808311855005466624", "808311855005466624")</f>
        <v>0</v>
      </c>
      <c r="B7" s="2">
        <v>42716.5872453704</v>
      </c>
      <c r="C7">
        <v>0</v>
      </c>
      <c r="D7">
        <v>0</v>
      </c>
      <c r="E7" t="s">
        <v>10</v>
      </c>
    </row>
    <row r="8" spans="1:5">
      <c r="A8">
        <f>HYPERLINK("http://www.twitter.com/NYCHA/status/808310999505895424", "808310999505895424")</f>
        <v>0</v>
      </c>
      <c r="B8" s="2">
        <v>42716.5848842593</v>
      </c>
      <c r="C8">
        <v>0</v>
      </c>
      <c r="D8">
        <v>0</v>
      </c>
      <c r="E8" t="s">
        <v>11</v>
      </c>
    </row>
    <row r="9" spans="1:5">
      <c r="A9">
        <f>HYPERLINK("http://www.twitter.com/NYCHA/status/807710680841416704", "807710680841416704")</f>
        <v>0</v>
      </c>
      <c r="B9" s="2">
        <v>42714.9283217593</v>
      </c>
      <c r="C9">
        <v>7</v>
      </c>
      <c r="D9">
        <v>2</v>
      </c>
      <c r="E9" t="s">
        <v>12</v>
      </c>
    </row>
    <row r="10" spans="1:5">
      <c r="A10">
        <f>HYPERLINK("http://www.twitter.com/NYCHA/status/807622228238077952", "807622228238077952")</f>
        <v>0</v>
      </c>
      <c r="B10" s="2">
        <v>42714.6842361111</v>
      </c>
      <c r="C10">
        <v>3</v>
      </c>
      <c r="D10">
        <v>1</v>
      </c>
      <c r="E10" t="s">
        <v>13</v>
      </c>
    </row>
    <row r="11" spans="1:5">
      <c r="A11">
        <f>HYPERLINK("http://www.twitter.com/NYCHA/status/807601331741532160", "807601331741532160")</f>
        <v>0</v>
      </c>
      <c r="B11" s="2">
        <v>42714.6265740741</v>
      </c>
      <c r="C11">
        <v>1</v>
      </c>
      <c r="D11">
        <v>1</v>
      </c>
      <c r="E11" t="s">
        <v>14</v>
      </c>
    </row>
    <row r="12" spans="1:5">
      <c r="A12">
        <f>HYPERLINK("http://www.twitter.com/NYCHA/status/807332993358589952", "807332993358589952")</f>
        <v>0</v>
      </c>
      <c r="B12" s="2">
        <v>42713.886099537</v>
      </c>
      <c r="C12">
        <v>3</v>
      </c>
      <c r="D12">
        <v>3</v>
      </c>
      <c r="E12" t="s">
        <v>15</v>
      </c>
    </row>
    <row r="13" spans="1:5">
      <c r="A13">
        <f>HYPERLINK("http://www.twitter.com/NYCHA/status/807325741654405121", "807325741654405121")</f>
        <v>0</v>
      </c>
      <c r="B13" s="2">
        <v>42713.866087963</v>
      </c>
      <c r="C13">
        <v>0</v>
      </c>
      <c r="D13">
        <v>6</v>
      </c>
      <c r="E13" t="s">
        <v>16</v>
      </c>
    </row>
    <row r="14" spans="1:5">
      <c r="A14">
        <f>HYPERLINK("http://www.twitter.com/NYCHA/status/807324342505836545", "807324342505836545")</f>
        <v>0</v>
      </c>
      <c r="B14" s="2">
        <v>42713.8622337963</v>
      </c>
      <c r="C14">
        <v>0</v>
      </c>
      <c r="D14">
        <v>0</v>
      </c>
      <c r="E14" t="s">
        <v>17</v>
      </c>
    </row>
    <row r="15" spans="1:5">
      <c r="A15">
        <f>HYPERLINK("http://www.twitter.com/NYCHA/status/807314845209161728", "807314845209161728")</f>
        <v>0</v>
      </c>
      <c r="B15" s="2">
        <v>42713.8360185185</v>
      </c>
      <c r="C15">
        <v>4</v>
      </c>
      <c r="D15">
        <v>2</v>
      </c>
      <c r="E15" t="s">
        <v>18</v>
      </c>
    </row>
    <row r="16" spans="1:5">
      <c r="A16">
        <f>HYPERLINK("http://www.twitter.com/NYCHA/status/807314034752155652", "807314034752155652")</f>
        <v>0</v>
      </c>
      <c r="B16" s="2">
        <v>42713.8337847222</v>
      </c>
      <c r="C16">
        <v>1</v>
      </c>
      <c r="D16">
        <v>0</v>
      </c>
      <c r="E16" t="s">
        <v>19</v>
      </c>
    </row>
    <row r="17" spans="1:5">
      <c r="A17">
        <f>HYPERLINK("http://www.twitter.com/NYCHA/status/807313239725981696", "807313239725981696")</f>
        <v>0</v>
      </c>
      <c r="B17" s="2">
        <v>42713.8315972222</v>
      </c>
      <c r="C17">
        <v>1</v>
      </c>
      <c r="D17">
        <v>3</v>
      </c>
      <c r="E17" t="s">
        <v>20</v>
      </c>
    </row>
    <row r="18" spans="1:5">
      <c r="A18">
        <f>HYPERLINK("http://www.twitter.com/NYCHA/status/807304168990003201", "807304168990003201")</f>
        <v>0</v>
      </c>
      <c r="B18" s="2">
        <v>42713.8065625</v>
      </c>
      <c r="C18">
        <v>0</v>
      </c>
      <c r="D18">
        <v>5</v>
      </c>
      <c r="E18" t="s">
        <v>21</v>
      </c>
    </row>
    <row r="19" spans="1:5">
      <c r="A19">
        <f>HYPERLINK("http://www.twitter.com/NYCHA/status/807289995874725890", "807289995874725890")</f>
        <v>0</v>
      </c>
      <c r="B19" s="2">
        <v>42713.7674537037</v>
      </c>
      <c r="C19">
        <v>1</v>
      </c>
      <c r="D19">
        <v>2</v>
      </c>
      <c r="E19" t="s">
        <v>22</v>
      </c>
    </row>
    <row r="20" spans="1:5">
      <c r="A20">
        <f>HYPERLINK("http://www.twitter.com/NYCHA/status/807276349111017473", "807276349111017473")</f>
        <v>0</v>
      </c>
      <c r="B20" s="2">
        <v>42713.7297916667</v>
      </c>
      <c r="C20">
        <v>0</v>
      </c>
      <c r="D20">
        <v>1</v>
      </c>
      <c r="E20" t="s">
        <v>23</v>
      </c>
    </row>
    <row r="21" spans="1:5">
      <c r="A21">
        <f>HYPERLINK("http://www.twitter.com/NYCHA/status/807257103547170817", "807257103547170817")</f>
        <v>0</v>
      </c>
      <c r="B21" s="2">
        <v>42713.6766898148</v>
      </c>
      <c r="C21">
        <v>1</v>
      </c>
      <c r="D21">
        <v>4</v>
      </c>
      <c r="E21" t="s">
        <v>24</v>
      </c>
    </row>
    <row r="22" spans="1:5">
      <c r="A22">
        <f>HYPERLINK("http://www.twitter.com/NYCHA/status/807256244973080577", "807256244973080577")</f>
        <v>0</v>
      </c>
      <c r="B22" s="2">
        <v>42713.6743171296</v>
      </c>
      <c r="C22">
        <v>0</v>
      </c>
      <c r="D22">
        <v>1</v>
      </c>
      <c r="E22" t="s">
        <v>25</v>
      </c>
    </row>
    <row r="23" spans="1:5">
      <c r="A23">
        <f>HYPERLINK("http://www.twitter.com/NYCHA/status/807256229525524480", "807256229525524480")</f>
        <v>0</v>
      </c>
      <c r="B23" s="2">
        <v>42713.6742708333</v>
      </c>
      <c r="C23">
        <v>0</v>
      </c>
      <c r="D23">
        <v>3</v>
      </c>
      <c r="E23" t="s">
        <v>26</v>
      </c>
    </row>
    <row r="24" spans="1:5">
      <c r="A24">
        <f>HYPERLINK("http://www.twitter.com/NYCHA/status/807256223909289984", "807256223909289984")</f>
        <v>0</v>
      </c>
      <c r="B24" s="2">
        <v>42713.6742592593</v>
      </c>
      <c r="C24">
        <v>0</v>
      </c>
      <c r="D24">
        <v>6</v>
      </c>
      <c r="E24" t="s">
        <v>27</v>
      </c>
    </row>
    <row r="25" spans="1:5">
      <c r="A25">
        <f>HYPERLINK("http://www.twitter.com/NYCHA/status/807256193114718208", "807256193114718208")</f>
        <v>0</v>
      </c>
      <c r="B25" s="2">
        <v>42713.6741782407</v>
      </c>
      <c r="C25">
        <v>0</v>
      </c>
      <c r="D25">
        <v>15</v>
      </c>
      <c r="E25" t="s">
        <v>28</v>
      </c>
    </row>
    <row r="26" spans="1:5">
      <c r="A26">
        <f>HYPERLINK("http://www.twitter.com/NYCHA/status/807225947112017920", "807225947112017920")</f>
        <v>0</v>
      </c>
      <c r="B26" s="2">
        <v>42713.5907060185</v>
      </c>
      <c r="C26">
        <v>0</v>
      </c>
      <c r="D26">
        <v>0</v>
      </c>
      <c r="E26" t="s">
        <v>29</v>
      </c>
    </row>
    <row r="27" spans="1:5">
      <c r="A27">
        <f>HYPERLINK("http://www.twitter.com/NYCHA/status/807223933191802880", "807223933191802880")</f>
        <v>0</v>
      </c>
      <c r="B27" s="2">
        <v>42713.585150463</v>
      </c>
      <c r="C27">
        <v>1</v>
      </c>
      <c r="D27">
        <v>0</v>
      </c>
      <c r="E27" t="s">
        <v>30</v>
      </c>
    </row>
    <row r="28" spans="1:5">
      <c r="A28">
        <f>HYPERLINK("http://www.twitter.com/NYCHA/status/806944034002452481", "806944034002452481")</f>
        <v>0</v>
      </c>
      <c r="B28" s="2">
        <v>42712.8127777778</v>
      </c>
      <c r="C28">
        <v>1</v>
      </c>
      <c r="D28">
        <v>0</v>
      </c>
      <c r="E28" t="s">
        <v>31</v>
      </c>
    </row>
    <row r="29" spans="1:5">
      <c r="A29">
        <f>HYPERLINK("http://www.twitter.com/NYCHA/status/806937634555785217", "806937634555785217")</f>
        <v>0</v>
      </c>
      <c r="B29" s="2">
        <v>42712.7951157407</v>
      </c>
      <c r="C29">
        <v>0</v>
      </c>
      <c r="D29">
        <v>1</v>
      </c>
      <c r="E29" t="s">
        <v>32</v>
      </c>
    </row>
    <row r="30" spans="1:5">
      <c r="A30">
        <f>HYPERLINK("http://www.twitter.com/NYCHA/status/806936492815904769", "806936492815904769")</f>
        <v>0</v>
      </c>
      <c r="B30" s="2">
        <v>42712.7919675926</v>
      </c>
      <c r="C30">
        <v>0</v>
      </c>
      <c r="D30">
        <v>2</v>
      </c>
      <c r="E30" t="s">
        <v>33</v>
      </c>
    </row>
    <row r="31" spans="1:5">
      <c r="A31">
        <f>HYPERLINK("http://www.twitter.com/NYCHA/status/806933214338187264", "806933214338187264")</f>
        <v>0</v>
      </c>
      <c r="B31" s="2">
        <v>42712.7829282407</v>
      </c>
      <c r="C31">
        <v>0</v>
      </c>
      <c r="D31">
        <v>0</v>
      </c>
      <c r="E31" t="s">
        <v>34</v>
      </c>
    </row>
    <row r="32" spans="1:5">
      <c r="A32">
        <f>HYPERLINK("http://www.twitter.com/NYCHA/status/806911395530948609", "806911395530948609")</f>
        <v>0</v>
      </c>
      <c r="B32" s="2">
        <v>42712.7227199074</v>
      </c>
      <c r="C32">
        <v>0</v>
      </c>
      <c r="D32">
        <v>7</v>
      </c>
      <c r="E32" t="s">
        <v>35</v>
      </c>
    </row>
    <row r="33" spans="1:5">
      <c r="A33">
        <f>HYPERLINK("http://www.twitter.com/NYCHA/status/806911378107879424", "806911378107879424")</f>
        <v>0</v>
      </c>
      <c r="B33" s="2">
        <v>42712.722662037</v>
      </c>
      <c r="C33">
        <v>0</v>
      </c>
      <c r="D33">
        <v>3</v>
      </c>
      <c r="E33" t="s">
        <v>36</v>
      </c>
    </row>
    <row r="34" spans="1:5">
      <c r="A34">
        <f>HYPERLINK("http://www.twitter.com/NYCHA/status/806911343286751232", "806911343286751232")</f>
        <v>0</v>
      </c>
      <c r="B34" s="2">
        <v>42712.7225694444</v>
      </c>
      <c r="C34">
        <v>0</v>
      </c>
      <c r="D34">
        <v>4</v>
      </c>
      <c r="E34" t="s">
        <v>37</v>
      </c>
    </row>
    <row r="35" spans="1:5">
      <c r="A35">
        <f>HYPERLINK("http://www.twitter.com/NYCHA/status/806910800585752576", "806910800585752576")</f>
        <v>0</v>
      </c>
      <c r="B35" s="2">
        <v>42712.7210763889</v>
      </c>
      <c r="C35">
        <v>2</v>
      </c>
      <c r="D35">
        <v>2</v>
      </c>
      <c r="E35" t="s">
        <v>38</v>
      </c>
    </row>
    <row r="36" spans="1:5">
      <c r="A36">
        <f>HYPERLINK("http://www.twitter.com/NYCHA/status/806910169087168512", "806910169087168512")</f>
        <v>0</v>
      </c>
      <c r="B36" s="2">
        <v>42712.7193287037</v>
      </c>
      <c r="C36">
        <v>5</v>
      </c>
      <c r="D36">
        <v>2</v>
      </c>
      <c r="E36" t="s">
        <v>39</v>
      </c>
    </row>
    <row r="37" spans="1:5">
      <c r="A37">
        <f>HYPERLINK("http://www.twitter.com/NYCHA/status/806863555102461952", "806863555102461952")</f>
        <v>0</v>
      </c>
      <c r="B37" s="2">
        <v>42712.5906944444</v>
      </c>
      <c r="C37">
        <v>1</v>
      </c>
      <c r="D37">
        <v>0</v>
      </c>
      <c r="E37" t="s">
        <v>40</v>
      </c>
    </row>
    <row r="38" spans="1:5">
      <c r="A38">
        <f>HYPERLINK("http://www.twitter.com/NYCHA/status/806862262560559104", "806862262560559104")</f>
        <v>0</v>
      </c>
      <c r="B38" s="2">
        <v>42712.5871296296</v>
      </c>
      <c r="C38">
        <v>2</v>
      </c>
      <c r="D38">
        <v>0</v>
      </c>
      <c r="E38" t="s">
        <v>41</v>
      </c>
    </row>
    <row r="39" spans="1:5">
      <c r="A39">
        <f>HYPERLINK("http://www.twitter.com/NYCHA/status/806629497344770048", "806629497344770048")</f>
        <v>0</v>
      </c>
      <c r="B39" s="2">
        <v>42711.9448263889</v>
      </c>
      <c r="C39">
        <v>0</v>
      </c>
      <c r="D39">
        <v>6</v>
      </c>
      <c r="E39" t="s">
        <v>42</v>
      </c>
    </row>
    <row r="40" spans="1:5">
      <c r="A40">
        <f>HYPERLINK("http://www.twitter.com/NYCHA/status/806627413245513744", "806627413245513744")</f>
        <v>0</v>
      </c>
      <c r="B40" s="2">
        <v>42711.9390740741</v>
      </c>
      <c r="C40">
        <v>1</v>
      </c>
      <c r="D40">
        <v>3</v>
      </c>
      <c r="E40" t="s">
        <v>43</v>
      </c>
    </row>
    <row r="41" spans="1:5">
      <c r="A41">
        <f>HYPERLINK("http://www.twitter.com/NYCHA/status/806617676214915078", "806617676214915078")</f>
        <v>0</v>
      </c>
      <c r="B41" s="2">
        <v>42711.9121990741</v>
      </c>
      <c r="C41">
        <v>0</v>
      </c>
      <c r="D41">
        <v>6</v>
      </c>
      <c r="E41" t="s">
        <v>44</v>
      </c>
    </row>
    <row r="42" spans="1:5">
      <c r="A42">
        <f>HYPERLINK("http://www.twitter.com/NYCHA/status/806555298630631424", "806555298630631424")</f>
        <v>0</v>
      </c>
      <c r="B42" s="2">
        <v>42711.7400694444</v>
      </c>
      <c r="C42">
        <v>0</v>
      </c>
      <c r="D42">
        <v>0</v>
      </c>
      <c r="E42" t="s">
        <v>45</v>
      </c>
    </row>
    <row r="43" spans="1:5">
      <c r="A43">
        <f>HYPERLINK("http://www.twitter.com/NYCHA/status/806551418496811009", "806551418496811009")</f>
        <v>0</v>
      </c>
      <c r="B43" s="2">
        <v>42711.7293634259</v>
      </c>
      <c r="C43">
        <v>6</v>
      </c>
      <c r="D43">
        <v>9</v>
      </c>
      <c r="E43" t="s">
        <v>46</v>
      </c>
    </row>
    <row r="44" spans="1:5">
      <c r="A44">
        <f>HYPERLINK("http://www.twitter.com/NYCHA/status/806501131455184897", "806501131455184897")</f>
        <v>0</v>
      </c>
      <c r="B44" s="2">
        <v>42711.5906018519</v>
      </c>
      <c r="C44">
        <v>0</v>
      </c>
      <c r="D44">
        <v>0</v>
      </c>
      <c r="E44" t="s">
        <v>47</v>
      </c>
    </row>
    <row r="45" spans="1:5">
      <c r="A45">
        <f>HYPERLINK("http://www.twitter.com/NYCHA/status/806499876309704704", "806499876309704704")</f>
        <v>0</v>
      </c>
      <c r="B45" s="2">
        <v>42711.5871412037</v>
      </c>
      <c r="C45">
        <v>0</v>
      </c>
      <c r="D45">
        <v>0</v>
      </c>
      <c r="E45" t="s">
        <v>48</v>
      </c>
    </row>
    <row r="46" spans="1:5">
      <c r="A46">
        <f>HYPERLINK("http://www.twitter.com/NYCHA/status/806498989763940353", "806498989763940353")</f>
        <v>0</v>
      </c>
      <c r="B46" s="2">
        <v>42711.5846875</v>
      </c>
      <c r="C46">
        <v>0</v>
      </c>
      <c r="D46">
        <v>0</v>
      </c>
      <c r="E46" t="s">
        <v>49</v>
      </c>
    </row>
    <row r="47" spans="1:5">
      <c r="A47">
        <f>HYPERLINK("http://www.twitter.com/NYCHA/status/806236943793131521", "806236943793131521")</f>
        <v>0</v>
      </c>
      <c r="B47" s="2">
        <v>42710.8615856481</v>
      </c>
      <c r="C47">
        <v>6</v>
      </c>
      <c r="D47">
        <v>3</v>
      </c>
      <c r="E47" t="s">
        <v>50</v>
      </c>
    </row>
    <row r="48" spans="1:5">
      <c r="A48">
        <f>HYPERLINK("http://www.twitter.com/NYCHA/status/806212109742784512", "806212109742784512")</f>
        <v>0</v>
      </c>
      <c r="B48" s="2">
        <v>42710.7930555556</v>
      </c>
      <c r="C48">
        <v>0</v>
      </c>
      <c r="D48">
        <v>0</v>
      </c>
      <c r="E48" t="s">
        <v>51</v>
      </c>
    </row>
    <row r="49" spans="1:5">
      <c r="A49">
        <f>HYPERLINK("http://www.twitter.com/NYCHA/status/806147558879928320", "806147558879928320")</f>
        <v>0</v>
      </c>
      <c r="B49" s="2">
        <v>42710.6149305556</v>
      </c>
      <c r="C49">
        <v>1</v>
      </c>
      <c r="D49">
        <v>0</v>
      </c>
      <c r="E49" t="s">
        <v>52</v>
      </c>
    </row>
    <row r="50" spans="1:5">
      <c r="A50">
        <f>HYPERLINK("http://www.twitter.com/NYCHA/status/806140005148229632", "806140005148229632")</f>
        <v>0</v>
      </c>
      <c r="B50" s="2">
        <v>42710.5940856481</v>
      </c>
      <c r="C50">
        <v>1</v>
      </c>
      <c r="D50">
        <v>0</v>
      </c>
      <c r="E50" t="s">
        <v>53</v>
      </c>
    </row>
    <row r="51" spans="1:5">
      <c r="A51">
        <f>HYPERLINK("http://www.twitter.com/NYCHA/status/806138796119048193", "806138796119048193")</f>
        <v>0</v>
      </c>
      <c r="B51" s="2">
        <v>42710.5907407407</v>
      </c>
      <c r="C51">
        <v>0</v>
      </c>
      <c r="D51">
        <v>0</v>
      </c>
      <c r="E51" t="s">
        <v>54</v>
      </c>
    </row>
    <row r="52" spans="1:5">
      <c r="A52">
        <f>HYPERLINK("http://www.twitter.com/NYCHA/status/806136649449140224", "806136649449140224")</f>
        <v>0</v>
      </c>
      <c r="B52" s="2">
        <v>42710.5848263889</v>
      </c>
      <c r="C52">
        <v>0</v>
      </c>
      <c r="D52">
        <v>0</v>
      </c>
      <c r="E52" t="s">
        <v>55</v>
      </c>
    </row>
    <row r="53" spans="1:5">
      <c r="A53">
        <f>HYPERLINK("http://www.twitter.com/NYCHA/status/805897601770029056", "805897601770029056")</f>
        <v>0</v>
      </c>
      <c r="B53" s="2">
        <v>42709.9251736111</v>
      </c>
      <c r="C53">
        <v>0</v>
      </c>
      <c r="D53">
        <v>2</v>
      </c>
      <c r="E53" t="s">
        <v>56</v>
      </c>
    </row>
    <row r="54" spans="1:5">
      <c r="A54">
        <f>HYPERLINK("http://www.twitter.com/NYCHA/status/805859318818074624", "805859318818074624")</f>
        <v>0</v>
      </c>
      <c r="B54" s="2">
        <v>42709.819537037</v>
      </c>
      <c r="C54">
        <v>1</v>
      </c>
      <c r="D54">
        <v>1</v>
      </c>
      <c r="E54" t="s">
        <v>57</v>
      </c>
    </row>
    <row r="55" spans="1:5">
      <c r="A55">
        <f>HYPERLINK("http://www.twitter.com/NYCHA/status/805858963237507072", "805858963237507072")</f>
        <v>0</v>
      </c>
      <c r="B55" s="2">
        <v>42709.8185532407</v>
      </c>
      <c r="C55">
        <v>2</v>
      </c>
      <c r="D55">
        <v>2</v>
      </c>
      <c r="E55" t="s">
        <v>58</v>
      </c>
    </row>
    <row r="56" spans="1:5">
      <c r="A56">
        <f>HYPERLINK("http://www.twitter.com/NYCHA/status/805858791380160512", "805858791380160512")</f>
        <v>0</v>
      </c>
      <c r="B56" s="2">
        <v>42709.8180787037</v>
      </c>
      <c r="C56">
        <v>0</v>
      </c>
      <c r="D56">
        <v>2</v>
      </c>
      <c r="E56" t="s">
        <v>59</v>
      </c>
    </row>
    <row r="57" spans="1:5">
      <c r="A57">
        <f>HYPERLINK("http://www.twitter.com/NYCHA/status/805858532532830208", "805858532532830208")</f>
        <v>0</v>
      </c>
      <c r="B57" s="2">
        <v>42709.8173611111</v>
      </c>
      <c r="C57">
        <v>1</v>
      </c>
      <c r="D57">
        <v>5</v>
      </c>
      <c r="E57" t="s">
        <v>60</v>
      </c>
    </row>
    <row r="58" spans="1:5">
      <c r="A58">
        <f>HYPERLINK("http://www.twitter.com/NYCHA/status/805857998006525952", "805857998006525952")</f>
        <v>0</v>
      </c>
      <c r="B58" s="2">
        <v>42709.8158912037</v>
      </c>
      <c r="C58">
        <v>8</v>
      </c>
      <c r="D58">
        <v>3</v>
      </c>
      <c r="E58" t="s">
        <v>61</v>
      </c>
    </row>
    <row r="59" spans="1:5">
      <c r="A59">
        <f>HYPERLINK("http://www.twitter.com/NYCHA/status/805855495680655364", "805855495680655364")</f>
        <v>0</v>
      </c>
      <c r="B59" s="2">
        <v>42709.8089814815</v>
      </c>
      <c r="C59">
        <v>0</v>
      </c>
      <c r="D59">
        <v>1</v>
      </c>
      <c r="E59" t="s">
        <v>62</v>
      </c>
    </row>
    <row r="60" spans="1:5">
      <c r="A60">
        <f>HYPERLINK("http://www.twitter.com/NYCHA/status/805853565914857472", "805853565914857472")</f>
        <v>0</v>
      </c>
      <c r="B60" s="2">
        <v>42709.8036574074</v>
      </c>
      <c r="C60">
        <v>0</v>
      </c>
      <c r="D60">
        <v>0</v>
      </c>
      <c r="E60" t="s">
        <v>63</v>
      </c>
    </row>
    <row r="61" spans="1:5">
      <c r="A61">
        <f>HYPERLINK("http://www.twitter.com/NYCHA/status/805849089334280192", "805849089334280192")</f>
        <v>0</v>
      </c>
      <c r="B61" s="2">
        <v>42709.7913078704</v>
      </c>
      <c r="C61">
        <v>0</v>
      </c>
      <c r="D61">
        <v>0</v>
      </c>
      <c r="E61" t="s">
        <v>64</v>
      </c>
    </row>
    <row r="62" spans="1:5">
      <c r="A62">
        <f>HYPERLINK("http://www.twitter.com/NYCHA/status/805840488532217861", "805840488532217861")</f>
        <v>0</v>
      </c>
      <c r="B62" s="2">
        <v>42709.7675694444</v>
      </c>
      <c r="C62">
        <v>3</v>
      </c>
      <c r="D62">
        <v>0</v>
      </c>
      <c r="E62" t="s">
        <v>65</v>
      </c>
    </row>
    <row r="63" spans="1:5">
      <c r="A63">
        <f>HYPERLINK("http://www.twitter.com/NYCHA/status/805829559249727488", "805829559249727488")</f>
        <v>0</v>
      </c>
      <c r="B63" s="2">
        <v>42709.7374189815</v>
      </c>
      <c r="C63">
        <v>0</v>
      </c>
      <c r="D63">
        <v>1</v>
      </c>
      <c r="E63" t="s">
        <v>66</v>
      </c>
    </row>
    <row r="64" spans="1:5">
      <c r="A64">
        <f>HYPERLINK("http://www.twitter.com/NYCHA/status/805806555299987456", "805806555299987456")</f>
        <v>0</v>
      </c>
      <c r="B64" s="2">
        <v>42709.6739351852</v>
      </c>
      <c r="C64">
        <v>0</v>
      </c>
      <c r="D64">
        <v>0</v>
      </c>
      <c r="E64" t="s">
        <v>67</v>
      </c>
    </row>
    <row r="65" spans="1:5">
      <c r="A65">
        <f>HYPERLINK("http://www.twitter.com/NYCHA/status/805805294135734272", "805805294135734272")</f>
        <v>0</v>
      </c>
      <c r="B65" s="2">
        <v>42709.6704513889</v>
      </c>
      <c r="C65">
        <v>0</v>
      </c>
      <c r="D65">
        <v>1</v>
      </c>
      <c r="E65" t="s">
        <v>68</v>
      </c>
    </row>
    <row r="66" spans="1:5">
      <c r="A66">
        <f>HYPERLINK("http://www.twitter.com/NYCHA/status/805804415517134848", "805804415517134848")</f>
        <v>0</v>
      </c>
      <c r="B66" s="2">
        <v>42709.6680324074</v>
      </c>
      <c r="C66">
        <v>1</v>
      </c>
      <c r="D66">
        <v>0</v>
      </c>
      <c r="E66" t="s">
        <v>69</v>
      </c>
    </row>
    <row r="67" spans="1:5">
      <c r="A67">
        <f>HYPERLINK("http://www.twitter.com/NYCHA/status/805789273907724288", "805789273907724288")</f>
        <v>0</v>
      </c>
      <c r="B67" s="2">
        <v>42709.62625</v>
      </c>
      <c r="C67">
        <v>1</v>
      </c>
      <c r="D67">
        <v>1</v>
      </c>
      <c r="E67" t="s">
        <v>70</v>
      </c>
    </row>
    <row r="68" spans="1:5">
      <c r="A68">
        <f>HYPERLINK("http://www.twitter.com/NYCHA/status/805776360568397824", "805776360568397824")</f>
        <v>0</v>
      </c>
      <c r="B68" s="2">
        <v>42709.5906134259</v>
      </c>
      <c r="C68">
        <v>0</v>
      </c>
      <c r="D68">
        <v>0</v>
      </c>
      <c r="E68" t="s">
        <v>71</v>
      </c>
    </row>
    <row r="69" spans="1:5">
      <c r="A69">
        <f>HYPERLINK("http://www.twitter.com/NYCHA/status/805774181753384960", "805774181753384960")</f>
        <v>0</v>
      </c>
      <c r="B69" s="2">
        <v>42709.5846064815</v>
      </c>
      <c r="C69">
        <v>1</v>
      </c>
      <c r="D69">
        <v>0</v>
      </c>
      <c r="E69" t="s">
        <v>72</v>
      </c>
    </row>
    <row r="70" spans="1:5">
      <c r="A70">
        <f>HYPERLINK("http://www.twitter.com/NYCHA/status/805426700230230016", "805426700230230016")</f>
        <v>0</v>
      </c>
      <c r="B70" s="2">
        <v>42708.6257407407</v>
      </c>
      <c r="C70">
        <v>1</v>
      </c>
      <c r="D70">
        <v>2</v>
      </c>
      <c r="E70" t="s">
        <v>73</v>
      </c>
    </row>
    <row r="71" spans="1:5">
      <c r="A71">
        <f>HYPERLINK("http://www.twitter.com/NYCHA/status/805082991248756737", "805082991248756737")</f>
        <v>0</v>
      </c>
      <c r="B71" s="2">
        <v>42707.6772800926</v>
      </c>
      <c r="C71">
        <v>0</v>
      </c>
      <c r="D71">
        <v>0</v>
      </c>
      <c r="E71" t="s">
        <v>74</v>
      </c>
    </row>
    <row r="72" spans="1:5">
      <c r="A72">
        <f>HYPERLINK("http://www.twitter.com/NYCHA/status/805064329288683520", "805064329288683520")</f>
        <v>0</v>
      </c>
      <c r="B72" s="2">
        <v>42707.625787037</v>
      </c>
      <c r="C72">
        <v>1</v>
      </c>
      <c r="D72">
        <v>3</v>
      </c>
      <c r="E72" t="s">
        <v>75</v>
      </c>
    </row>
    <row r="73" spans="1:5">
      <c r="A73">
        <f>HYPERLINK("http://www.twitter.com/NYCHA/status/804815797491212288", "804815797491212288")</f>
        <v>0</v>
      </c>
      <c r="B73" s="2">
        <v>42706.9399652778</v>
      </c>
      <c r="C73">
        <v>0</v>
      </c>
      <c r="D73">
        <v>10</v>
      </c>
      <c r="E73" t="s">
        <v>76</v>
      </c>
    </row>
    <row r="74" spans="1:5">
      <c r="A74">
        <f>HYPERLINK("http://www.twitter.com/NYCHA/status/804815782358188032", "804815782358188032")</f>
        <v>0</v>
      </c>
      <c r="B74" s="2">
        <v>42706.9399189815</v>
      </c>
      <c r="C74">
        <v>0</v>
      </c>
      <c r="D74">
        <v>2</v>
      </c>
      <c r="E74" t="s">
        <v>77</v>
      </c>
    </row>
    <row r="75" spans="1:5">
      <c r="A75">
        <f>HYPERLINK("http://www.twitter.com/NYCHA/status/804777370406240256", "804777370406240256")</f>
        <v>0</v>
      </c>
      <c r="B75" s="2">
        <v>42706.8339236111</v>
      </c>
      <c r="C75">
        <v>1</v>
      </c>
      <c r="D75">
        <v>1</v>
      </c>
      <c r="E75" t="s">
        <v>78</v>
      </c>
    </row>
    <row r="76" spans="1:5">
      <c r="A76">
        <f>HYPERLINK("http://www.twitter.com/NYCHA/status/804774904906321924", "804774904906321924")</f>
        <v>0</v>
      </c>
      <c r="B76" s="2">
        <v>42706.8271180556</v>
      </c>
      <c r="C76">
        <v>0</v>
      </c>
      <c r="D76">
        <v>127</v>
      </c>
      <c r="E76" t="s">
        <v>79</v>
      </c>
    </row>
    <row r="77" spans="1:5">
      <c r="A77">
        <f>HYPERLINK("http://www.twitter.com/NYCHA/status/804765884996866048", "804765884996866048")</f>
        <v>0</v>
      </c>
      <c r="B77" s="2">
        <v>42706.8022337963</v>
      </c>
      <c r="C77">
        <v>0</v>
      </c>
      <c r="D77">
        <v>0</v>
      </c>
      <c r="E77" t="s">
        <v>80</v>
      </c>
    </row>
    <row r="78" spans="1:5">
      <c r="A78">
        <f>HYPERLINK("http://www.twitter.com/NYCHA/status/804762540903452676", "804762540903452676")</f>
        <v>0</v>
      </c>
      <c r="B78" s="2">
        <v>42706.7930092593</v>
      </c>
      <c r="C78">
        <v>1</v>
      </c>
      <c r="D78">
        <v>1</v>
      </c>
      <c r="E78" t="s">
        <v>81</v>
      </c>
    </row>
    <row r="79" spans="1:5">
      <c r="A79">
        <f>HYPERLINK("http://www.twitter.com/NYCHA/status/804732029669703680", "804732029669703680")</f>
        <v>0</v>
      </c>
      <c r="B79" s="2">
        <v>42706.7088078704</v>
      </c>
      <c r="C79">
        <v>0</v>
      </c>
      <c r="D79">
        <v>0</v>
      </c>
      <c r="E79" t="s">
        <v>82</v>
      </c>
    </row>
    <row r="80" spans="1:5">
      <c r="A80">
        <f>HYPERLINK("http://www.twitter.com/NYCHA/status/804717193518845953", "804717193518845953")</f>
        <v>0</v>
      </c>
      <c r="B80" s="2">
        <v>42706.6678703704</v>
      </c>
      <c r="C80">
        <v>0</v>
      </c>
      <c r="D80">
        <v>0</v>
      </c>
      <c r="E80" t="s">
        <v>83</v>
      </c>
    </row>
    <row r="81" spans="1:5">
      <c r="A81">
        <f>HYPERLINK("http://www.twitter.com/NYCHA/status/804717128288993280", "804717128288993280")</f>
        <v>0</v>
      </c>
      <c r="B81" s="2">
        <v>42706.6676851852</v>
      </c>
      <c r="C81">
        <v>1</v>
      </c>
      <c r="D81">
        <v>0</v>
      </c>
      <c r="E81" t="s">
        <v>84</v>
      </c>
    </row>
    <row r="82" spans="1:5">
      <c r="A82">
        <f>HYPERLINK("http://www.twitter.com/NYCHA/status/804703711113134080", "804703711113134080")</f>
        <v>0</v>
      </c>
      <c r="B82" s="2">
        <v>42706.6306712963</v>
      </c>
      <c r="C82">
        <v>0</v>
      </c>
      <c r="D82">
        <v>1</v>
      </c>
      <c r="E82" t="s">
        <v>85</v>
      </c>
    </row>
    <row r="83" spans="1:5">
      <c r="A83">
        <f>HYPERLINK("http://www.twitter.com/NYCHA/status/804687928605704192", "804687928605704192")</f>
        <v>0</v>
      </c>
      <c r="B83" s="2">
        <v>42706.5871180556</v>
      </c>
      <c r="C83">
        <v>0</v>
      </c>
      <c r="D83">
        <v>0</v>
      </c>
      <c r="E83" t="s">
        <v>86</v>
      </c>
    </row>
    <row r="84" spans="1:5">
      <c r="A84">
        <f>HYPERLINK("http://www.twitter.com/NYCHA/status/804686951102169088", "804686951102169088")</f>
        <v>0</v>
      </c>
      <c r="B84" s="2">
        <v>42706.5844212963</v>
      </c>
      <c r="C84">
        <v>0</v>
      </c>
      <c r="D84">
        <v>0</v>
      </c>
      <c r="E84" t="s">
        <v>87</v>
      </c>
    </row>
    <row r="85" spans="1:5">
      <c r="A85">
        <f>HYPERLINK("http://www.twitter.com/NYCHA/status/804442517835890688", "804442517835890688")</f>
        <v>0</v>
      </c>
      <c r="B85" s="2">
        <v>42705.9099074074</v>
      </c>
      <c r="C85">
        <v>0</v>
      </c>
      <c r="D85">
        <v>1</v>
      </c>
      <c r="E85" t="s">
        <v>88</v>
      </c>
    </row>
    <row r="86" spans="1:5">
      <c r="A86">
        <f>HYPERLINK("http://www.twitter.com/NYCHA/status/804441073301000192", "804441073301000192")</f>
        <v>0</v>
      </c>
      <c r="B86" s="2">
        <v>42705.9059259259</v>
      </c>
      <c r="C86">
        <v>0</v>
      </c>
      <c r="D86">
        <v>2</v>
      </c>
      <c r="E86" t="s">
        <v>89</v>
      </c>
    </row>
    <row r="87" spans="1:5">
      <c r="A87">
        <f>HYPERLINK("http://www.twitter.com/NYCHA/status/804440965092114432", "804440965092114432")</f>
        <v>0</v>
      </c>
      <c r="B87" s="2">
        <v>42705.905625</v>
      </c>
      <c r="C87">
        <v>0</v>
      </c>
      <c r="D87">
        <v>2</v>
      </c>
      <c r="E87" t="s">
        <v>90</v>
      </c>
    </row>
    <row r="88" spans="1:5">
      <c r="A88">
        <f>HYPERLINK("http://www.twitter.com/NYCHA/status/804434247360491520", "804434247360491520")</f>
        <v>0</v>
      </c>
      <c r="B88" s="2">
        <v>42705.8870833333</v>
      </c>
      <c r="C88">
        <v>2</v>
      </c>
      <c r="D88">
        <v>2</v>
      </c>
      <c r="E88" t="s">
        <v>91</v>
      </c>
    </row>
    <row r="89" spans="1:5">
      <c r="A89">
        <f>HYPERLINK("http://www.twitter.com/NYCHA/status/804397256929673220", "804397256929673220")</f>
        <v>0</v>
      </c>
      <c r="B89" s="2">
        <v>42705.7850115741</v>
      </c>
      <c r="C89">
        <v>2</v>
      </c>
      <c r="D89">
        <v>1</v>
      </c>
      <c r="E89" t="s">
        <v>92</v>
      </c>
    </row>
    <row r="90" spans="1:5">
      <c r="A90">
        <f>HYPERLINK("http://www.twitter.com/NYCHA/status/804395261367820289", "804395261367820289")</f>
        <v>0</v>
      </c>
      <c r="B90" s="2">
        <v>42705.7795023148</v>
      </c>
      <c r="C90">
        <v>0</v>
      </c>
      <c r="D90">
        <v>10</v>
      </c>
      <c r="E90" t="s">
        <v>93</v>
      </c>
    </row>
    <row r="91" spans="1:5">
      <c r="A91">
        <f>HYPERLINK("http://www.twitter.com/NYCHA/status/804370066758389761", "804370066758389761")</f>
        <v>0</v>
      </c>
      <c r="B91" s="2">
        <v>42705.7099884259</v>
      </c>
      <c r="C91">
        <v>0</v>
      </c>
      <c r="D91">
        <v>0</v>
      </c>
      <c r="E91" t="s">
        <v>94</v>
      </c>
    </row>
    <row r="92" spans="1:5">
      <c r="A92">
        <f>HYPERLINK("http://www.twitter.com/NYCHA/status/804354796295745536", "804354796295745536")</f>
        <v>0</v>
      </c>
      <c r="B92" s="2">
        <v>42705.6678472222</v>
      </c>
      <c r="C92">
        <v>1</v>
      </c>
      <c r="D92">
        <v>0</v>
      </c>
      <c r="E92" t="s">
        <v>95</v>
      </c>
    </row>
    <row r="93" spans="1:5">
      <c r="A93">
        <f>HYPERLINK("http://www.twitter.com/NYCHA/status/804351780989661185", "804351780989661185")</f>
        <v>0</v>
      </c>
      <c r="B93" s="2">
        <v>42705.659525463</v>
      </c>
      <c r="C93">
        <v>0</v>
      </c>
      <c r="D93">
        <v>5</v>
      </c>
      <c r="E93" t="s">
        <v>96</v>
      </c>
    </row>
    <row r="94" spans="1:5">
      <c r="A94">
        <f>HYPERLINK("http://www.twitter.com/NYCHA/status/804351707702497284", "804351707702497284")</f>
        <v>0</v>
      </c>
      <c r="B94" s="2">
        <v>42705.6593171296</v>
      </c>
      <c r="C94">
        <v>0</v>
      </c>
      <c r="D94">
        <v>5</v>
      </c>
      <c r="E94" t="s">
        <v>97</v>
      </c>
    </row>
    <row r="95" spans="1:5">
      <c r="A95">
        <f>HYPERLINK("http://www.twitter.com/NYCHA/status/804347333571969024", "804347333571969024")</f>
        <v>0</v>
      </c>
      <c r="B95" s="2">
        <v>42705.6472569444</v>
      </c>
      <c r="C95">
        <v>2</v>
      </c>
      <c r="D95">
        <v>2</v>
      </c>
      <c r="E95" t="s">
        <v>98</v>
      </c>
    </row>
    <row r="96" spans="1:5">
      <c r="A96">
        <f>HYPERLINK("http://www.twitter.com/NYCHA/status/804340383064920065", "804340383064920065")</f>
        <v>0</v>
      </c>
      <c r="B96" s="2">
        <v>42705.6280671296</v>
      </c>
      <c r="C96">
        <v>0</v>
      </c>
      <c r="D96">
        <v>3</v>
      </c>
      <c r="E96" t="s">
        <v>99</v>
      </c>
    </row>
    <row r="97" spans="1:5">
      <c r="A97">
        <f>HYPERLINK("http://www.twitter.com/NYCHA/status/804334345376923648", "804334345376923648")</f>
        <v>0</v>
      </c>
      <c r="B97" s="2">
        <v>42705.611412037</v>
      </c>
      <c r="C97">
        <v>0</v>
      </c>
      <c r="D97">
        <v>1</v>
      </c>
      <c r="E97" t="s">
        <v>100</v>
      </c>
    </row>
    <row r="98" spans="1:5">
      <c r="A98">
        <f>HYPERLINK("http://www.twitter.com/NYCHA/status/804325537040703488", "804325537040703488")</f>
        <v>0</v>
      </c>
      <c r="B98" s="2">
        <v>42705.5871064815</v>
      </c>
      <c r="C98">
        <v>0</v>
      </c>
      <c r="D98">
        <v>0</v>
      </c>
      <c r="E98" t="s">
        <v>101</v>
      </c>
    </row>
    <row r="99" spans="1:5">
      <c r="A99">
        <f>HYPERLINK("http://www.twitter.com/NYCHA/status/804324495653818369", "804324495653818369")</f>
        <v>0</v>
      </c>
      <c r="B99" s="2">
        <v>42705.5842361111</v>
      </c>
      <c r="C99">
        <v>0</v>
      </c>
      <c r="D99">
        <v>0</v>
      </c>
      <c r="E99" t="s">
        <v>102</v>
      </c>
    </row>
    <row r="100" spans="1:5">
      <c r="A100">
        <f>HYPERLINK("http://www.twitter.com/NYCHA/status/804053976744333312", "804053976744333312")</f>
        <v>0</v>
      </c>
      <c r="B100" s="2">
        <v>42704.8377430556</v>
      </c>
      <c r="C100">
        <v>0</v>
      </c>
      <c r="D100">
        <v>3</v>
      </c>
      <c r="E100" t="s">
        <v>103</v>
      </c>
    </row>
    <row r="101" spans="1:5">
      <c r="A101">
        <f>HYPERLINK("http://www.twitter.com/NYCHA/status/804053959631634432", "804053959631634432")</f>
        <v>0</v>
      </c>
      <c r="B101" s="2">
        <v>42704.8376967593</v>
      </c>
      <c r="C101">
        <v>0</v>
      </c>
      <c r="D101">
        <v>6</v>
      </c>
      <c r="E101" t="s">
        <v>104</v>
      </c>
    </row>
    <row r="102" spans="1:5">
      <c r="A102">
        <f>HYPERLINK("http://www.twitter.com/NYCHA/status/804053947451342848", "804053947451342848")</f>
        <v>0</v>
      </c>
      <c r="B102" s="2">
        <v>42704.837662037</v>
      </c>
      <c r="C102">
        <v>0</v>
      </c>
      <c r="D102">
        <v>3</v>
      </c>
      <c r="E102" t="s">
        <v>105</v>
      </c>
    </row>
    <row r="103" spans="1:5">
      <c r="A103">
        <f>HYPERLINK("http://www.twitter.com/NYCHA/status/804053775707209728", "804053775707209728")</f>
        <v>0</v>
      </c>
      <c r="B103" s="2">
        <v>42704.8371875</v>
      </c>
      <c r="C103">
        <v>0</v>
      </c>
      <c r="D103">
        <v>5</v>
      </c>
      <c r="E103" t="s">
        <v>106</v>
      </c>
    </row>
    <row r="104" spans="1:5">
      <c r="A104">
        <f>HYPERLINK("http://www.twitter.com/NYCHA/status/804052843971956738", "804052843971956738")</f>
        <v>0</v>
      </c>
      <c r="B104" s="2">
        <v>42704.8346180556</v>
      </c>
      <c r="C104">
        <v>0</v>
      </c>
      <c r="D104">
        <v>0</v>
      </c>
      <c r="E104" t="s">
        <v>107</v>
      </c>
    </row>
    <row r="105" spans="1:5">
      <c r="A105">
        <f>HYPERLINK("http://www.twitter.com/NYCHA/status/804030017416163328", "804030017416163328")</f>
        <v>0</v>
      </c>
      <c r="B105" s="2">
        <v>42704.7716203704</v>
      </c>
      <c r="C105">
        <v>0</v>
      </c>
      <c r="D105">
        <v>0</v>
      </c>
      <c r="E105" t="s">
        <v>108</v>
      </c>
    </row>
    <row r="106" spans="1:5">
      <c r="A106">
        <f>HYPERLINK("http://www.twitter.com/NYCHA/status/803992302494580736", "803992302494580736")</f>
        <v>0</v>
      </c>
      <c r="B106" s="2">
        <v>42704.6675578704</v>
      </c>
      <c r="C106">
        <v>4</v>
      </c>
      <c r="D106">
        <v>1</v>
      </c>
      <c r="E106" t="s">
        <v>109</v>
      </c>
    </row>
    <row r="107" spans="1:5">
      <c r="A107">
        <f>HYPERLINK("http://www.twitter.com/NYCHA/status/803977209065172992", "803977209065172992")</f>
        <v>0</v>
      </c>
      <c r="B107" s="2">
        <v>42704.6259027778</v>
      </c>
      <c r="C107">
        <v>0</v>
      </c>
      <c r="D107">
        <v>0</v>
      </c>
      <c r="E107" t="s">
        <v>110</v>
      </c>
    </row>
    <row r="108" spans="1:5">
      <c r="A108">
        <f>HYPERLINK("http://www.twitter.com/NYCHA/status/803963178841411585", "803963178841411585")</f>
        <v>0</v>
      </c>
      <c r="B108" s="2">
        <v>42704.5871875</v>
      </c>
      <c r="C108">
        <v>1</v>
      </c>
      <c r="D108">
        <v>1</v>
      </c>
      <c r="E108" t="s">
        <v>111</v>
      </c>
    </row>
    <row r="109" spans="1:5">
      <c r="A109">
        <f>HYPERLINK("http://www.twitter.com/NYCHA/status/803962402052206592", "803962402052206592")</f>
        <v>0</v>
      </c>
      <c r="B109" s="2">
        <v>42704.5850462963</v>
      </c>
      <c r="C109">
        <v>0</v>
      </c>
      <c r="D109">
        <v>1</v>
      </c>
      <c r="E109" t="s">
        <v>112</v>
      </c>
    </row>
    <row r="110" spans="1:5">
      <c r="A110">
        <f>HYPERLINK("http://www.twitter.com/NYCHA/status/803727791317549056", "803727791317549056")</f>
        <v>0</v>
      </c>
      <c r="B110" s="2">
        <v>42703.9376388889</v>
      </c>
      <c r="C110">
        <v>0</v>
      </c>
      <c r="D110">
        <v>1</v>
      </c>
      <c r="E110" t="s">
        <v>113</v>
      </c>
    </row>
    <row r="111" spans="1:5">
      <c r="A111">
        <f>HYPERLINK("http://www.twitter.com/NYCHA/status/803705275907735556", "803705275907735556")</f>
        <v>0</v>
      </c>
      <c r="B111" s="2">
        <v>42703.8755092593</v>
      </c>
      <c r="C111">
        <v>0</v>
      </c>
      <c r="D111">
        <v>0</v>
      </c>
      <c r="E111" t="s">
        <v>114</v>
      </c>
    </row>
    <row r="112" spans="1:5">
      <c r="A112">
        <f>HYPERLINK("http://www.twitter.com/NYCHA/status/803681897796599808", "803681897796599808")</f>
        <v>0</v>
      </c>
      <c r="B112" s="2">
        <v>42703.8109953704</v>
      </c>
      <c r="C112">
        <v>0</v>
      </c>
      <c r="D112">
        <v>0</v>
      </c>
      <c r="E112" t="s">
        <v>115</v>
      </c>
    </row>
    <row r="113" spans="1:5">
      <c r="A113">
        <f>HYPERLINK("http://www.twitter.com/NYCHA/status/803677378908037120", "803677378908037120")</f>
        <v>0</v>
      </c>
      <c r="B113" s="2">
        <v>42703.7985300926</v>
      </c>
      <c r="C113">
        <v>0</v>
      </c>
      <c r="D113">
        <v>0</v>
      </c>
      <c r="E113" t="s">
        <v>116</v>
      </c>
    </row>
    <row r="114" spans="1:5">
      <c r="A114">
        <f>HYPERLINK("http://www.twitter.com/NYCHA/status/803677042348654592", "803677042348654592")</f>
        <v>0</v>
      </c>
      <c r="B114" s="2">
        <v>42703.7976041667</v>
      </c>
      <c r="C114">
        <v>0</v>
      </c>
      <c r="D114">
        <v>0</v>
      </c>
      <c r="E114" t="s">
        <v>117</v>
      </c>
    </row>
    <row r="115" spans="1:5">
      <c r="A115">
        <f>HYPERLINK("http://www.twitter.com/NYCHA/status/803675322239492096", "803675322239492096")</f>
        <v>0</v>
      </c>
      <c r="B115" s="2">
        <v>42703.7928587963</v>
      </c>
      <c r="C115">
        <v>2</v>
      </c>
      <c r="D115">
        <v>2</v>
      </c>
      <c r="E115" t="s">
        <v>118</v>
      </c>
    </row>
    <row r="116" spans="1:5">
      <c r="A116">
        <f>HYPERLINK("http://www.twitter.com/NYCHA/status/803665185072435200", "803665185072435200")</f>
        <v>0</v>
      </c>
      <c r="B116" s="2">
        <v>42703.7648842593</v>
      </c>
      <c r="C116">
        <v>0</v>
      </c>
      <c r="D116">
        <v>0</v>
      </c>
      <c r="E116" t="s">
        <v>119</v>
      </c>
    </row>
    <row r="117" spans="1:5">
      <c r="A117">
        <f>HYPERLINK("http://www.twitter.com/NYCHA/status/803658497070075905", "803658497070075905")</f>
        <v>0</v>
      </c>
      <c r="B117" s="2">
        <v>42703.7464236111</v>
      </c>
      <c r="C117">
        <v>0</v>
      </c>
      <c r="D117">
        <v>0</v>
      </c>
      <c r="E117" t="s">
        <v>120</v>
      </c>
    </row>
    <row r="118" spans="1:5">
      <c r="A118">
        <f>HYPERLINK("http://www.twitter.com/NYCHA/status/803654841365102592", "803654841365102592")</f>
        <v>0</v>
      </c>
      <c r="B118" s="2">
        <v>42703.7363425926</v>
      </c>
      <c r="C118">
        <v>0</v>
      </c>
      <c r="D118">
        <v>1</v>
      </c>
      <c r="E118" t="s">
        <v>121</v>
      </c>
    </row>
    <row r="119" spans="1:5">
      <c r="A119">
        <f>HYPERLINK("http://www.twitter.com/NYCHA/status/803644850386194433", "803644850386194433")</f>
        <v>0</v>
      </c>
      <c r="B119" s="2">
        <v>42703.7087615741</v>
      </c>
      <c r="C119">
        <v>2</v>
      </c>
      <c r="D119">
        <v>1</v>
      </c>
      <c r="E119" t="s">
        <v>122</v>
      </c>
    </row>
    <row r="120" spans="1:5">
      <c r="A120">
        <f>HYPERLINK("http://www.twitter.com/NYCHA/status/803630093310525440", "803630093310525440")</f>
        <v>0</v>
      </c>
      <c r="B120" s="2">
        <v>42703.6680439815</v>
      </c>
      <c r="C120">
        <v>1</v>
      </c>
      <c r="D120">
        <v>0</v>
      </c>
      <c r="E120" t="s">
        <v>123</v>
      </c>
    </row>
    <row r="121" spans="1:5">
      <c r="A121">
        <f>HYPERLINK("http://www.twitter.com/NYCHA/status/803625034128441348", "803625034128441348")</f>
        <v>0</v>
      </c>
      <c r="B121" s="2">
        <v>42703.6540856482</v>
      </c>
      <c r="C121">
        <v>0</v>
      </c>
      <c r="D121">
        <v>0</v>
      </c>
      <c r="E121" t="s">
        <v>124</v>
      </c>
    </row>
    <row r="122" spans="1:5">
      <c r="A122">
        <f>HYPERLINK("http://www.twitter.com/NYCHA/status/803624363010519040", "803624363010519040")</f>
        <v>0</v>
      </c>
      <c r="B122" s="2">
        <v>42703.6522337963</v>
      </c>
      <c r="C122">
        <v>0</v>
      </c>
      <c r="D122">
        <v>0</v>
      </c>
      <c r="E122" t="s">
        <v>125</v>
      </c>
    </row>
    <row r="123" spans="1:5">
      <c r="A123">
        <f>HYPERLINK("http://www.twitter.com/NYCHA/status/803614660599672832", "803614660599672832")</f>
        <v>0</v>
      </c>
      <c r="B123" s="2">
        <v>42703.625462963</v>
      </c>
      <c r="C123">
        <v>0</v>
      </c>
      <c r="D123">
        <v>0</v>
      </c>
      <c r="E123" t="s">
        <v>126</v>
      </c>
    </row>
    <row r="124" spans="1:5">
      <c r="A124">
        <f>HYPERLINK("http://www.twitter.com/NYCHA/status/803614535647199233", "803614535647199233")</f>
        <v>0</v>
      </c>
      <c r="B124" s="2">
        <v>42703.6251157407</v>
      </c>
      <c r="C124">
        <v>0</v>
      </c>
      <c r="D124">
        <v>0</v>
      </c>
      <c r="E124" t="s">
        <v>127</v>
      </c>
    </row>
    <row r="125" spans="1:5">
      <c r="A125">
        <f>HYPERLINK("http://www.twitter.com/NYCHA/status/803614325369925633", "803614325369925633")</f>
        <v>0</v>
      </c>
      <c r="B125" s="2">
        <v>42703.624537037</v>
      </c>
      <c r="C125">
        <v>0</v>
      </c>
      <c r="D125">
        <v>0</v>
      </c>
      <c r="E125" t="s">
        <v>128</v>
      </c>
    </row>
    <row r="126" spans="1:5">
      <c r="A126">
        <f>HYPERLINK("http://www.twitter.com/NYCHA/status/803599965704585216", "803599965704585216")</f>
        <v>0</v>
      </c>
      <c r="B126" s="2">
        <v>42703.5849074074</v>
      </c>
      <c r="C126">
        <v>0</v>
      </c>
      <c r="D126">
        <v>0</v>
      </c>
      <c r="E126" t="s">
        <v>129</v>
      </c>
    </row>
    <row r="127" spans="1:5">
      <c r="A127">
        <f>HYPERLINK("http://www.twitter.com/NYCHA/status/803355551178563584", "803355551178563584")</f>
        <v>0</v>
      </c>
      <c r="B127" s="2">
        <v>42702.9104513889</v>
      </c>
      <c r="C127">
        <v>1</v>
      </c>
      <c r="D127">
        <v>3</v>
      </c>
      <c r="E127" t="s">
        <v>130</v>
      </c>
    </row>
    <row r="128" spans="1:5">
      <c r="A128">
        <f>HYPERLINK("http://www.twitter.com/NYCHA/status/803342442875547648", "803342442875547648")</f>
        <v>0</v>
      </c>
      <c r="B128" s="2">
        <v>42702.8742824074</v>
      </c>
      <c r="C128">
        <v>0</v>
      </c>
      <c r="D128">
        <v>8</v>
      </c>
      <c r="E128" t="s">
        <v>131</v>
      </c>
    </row>
    <row r="129" spans="1:5">
      <c r="A129">
        <f>HYPERLINK("http://www.twitter.com/NYCHA/status/803314847970689024", "803314847970689024")</f>
        <v>0</v>
      </c>
      <c r="B129" s="2">
        <v>42702.7981365741</v>
      </c>
      <c r="C129">
        <v>2</v>
      </c>
      <c r="D129">
        <v>1</v>
      </c>
      <c r="E129" t="s">
        <v>132</v>
      </c>
    </row>
    <row r="130" spans="1:5">
      <c r="A130">
        <f>HYPERLINK("http://www.twitter.com/NYCHA/status/803312736826519553", "803312736826519553")</f>
        <v>0</v>
      </c>
      <c r="B130" s="2">
        <v>42702.7923032407</v>
      </c>
      <c r="C130">
        <v>1</v>
      </c>
      <c r="D130">
        <v>1</v>
      </c>
      <c r="E130" t="s">
        <v>133</v>
      </c>
    </row>
    <row r="131" spans="1:5">
      <c r="A131">
        <f>HYPERLINK("http://www.twitter.com/NYCHA/status/803291221061943296", "803291221061943296")</f>
        <v>0</v>
      </c>
      <c r="B131" s="2">
        <v>42702.7329398148</v>
      </c>
      <c r="C131">
        <v>0</v>
      </c>
      <c r="D131">
        <v>0</v>
      </c>
      <c r="E131" t="s">
        <v>134</v>
      </c>
    </row>
    <row r="132" spans="1:5">
      <c r="A132">
        <f>HYPERLINK("http://www.twitter.com/NYCHA/status/803291138924888064", "803291138924888064")</f>
        <v>0</v>
      </c>
      <c r="B132" s="2">
        <v>42702.7327083333</v>
      </c>
      <c r="C132">
        <v>2</v>
      </c>
      <c r="D132">
        <v>0</v>
      </c>
      <c r="E132" t="s">
        <v>135</v>
      </c>
    </row>
    <row r="133" spans="1:5">
      <c r="A133">
        <f>HYPERLINK("http://www.twitter.com/NYCHA/status/803289148765437952", "803289148765437952")</f>
        <v>0</v>
      </c>
      <c r="B133" s="2">
        <v>42702.7272222222</v>
      </c>
      <c r="C133">
        <v>0</v>
      </c>
      <c r="D133">
        <v>2</v>
      </c>
      <c r="E133" t="s">
        <v>136</v>
      </c>
    </row>
    <row r="134" spans="1:5">
      <c r="A134">
        <f>HYPERLINK("http://www.twitter.com/NYCHA/status/803283454343286784", "803283454343286784")</f>
        <v>0</v>
      </c>
      <c r="B134" s="2">
        <v>42702.7115046296</v>
      </c>
      <c r="C134">
        <v>0</v>
      </c>
      <c r="D134">
        <v>9</v>
      </c>
      <c r="E134" t="s">
        <v>137</v>
      </c>
    </row>
    <row r="135" spans="1:5">
      <c r="A135">
        <f>HYPERLINK("http://www.twitter.com/NYCHA/status/803255600792633344", "803255600792633344")</f>
        <v>0</v>
      </c>
      <c r="B135" s="2">
        <v>42702.6346412037</v>
      </c>
      <c r="C135">
        <v>0</v>
      </c>
      <c r="D135">
        <v>1</v>
      </c>
      <c r="E135" t="s">
        <v>138</v>
      </c>
    </row>
    <row r="136" spans="1:5">
      <c r="A136">
        <f>HYPERLINK("http://www.twitter.com/NYCHA/status/803255502771732480", "803255502771732480")</f>
        <v>0</v>
      </c>
      <c r="B136" s="2">
        <v>42702.634375</v>
      </c>
      <c r="C136">
        <v>2</v>
      </c>
      <c r="D136">
        <v>0</v>
      </c>
      <c r="E136" t="s">
        <v>139</v>
      </c>
    </row>
    <row r="137" spans="1:5">
      <c r="A137">
        <f>HYPERLINK("http://www.twitter.com/NYCHA/status/803254429826875392", "803254429826875392")</f>
        <v>0</v>
      </c>
      <c r="B137" s="2">
        <v>42702.631412037</v>
      </c>
      <c r="C137">
        <v>0</v>
      </c>
      <c r="D137">
        <v>0</v>
      </c>
      <c r="E137" t="s">
        <v>140</v>
      </c>
    </row>
    <row r="138" spans="1:5">
      <c r="A138">
        <f>HYPERLINK("http://www.twitter.com/NYCHA/status/803252555354554368", "803252555354554368")</f>
        <v>0</v>
      </c>
      <c r="B138" s="2">
        <v>42702.6262384259</v>
      </c>
      <c r="C138">
        <v>0</v>
      </c>
      <c r="D138">
        <v>1</v>
      </c>
      <c r="E138" t="s">
        <v>141</v>
      </c>
    </row>
    <row r="139" spans="1:5">
      <c r="A139">
        <f>HYPERLINK("http://www.twitter.com/NYCHA/status/803237574298963968", "803237574298963968")</f>
        <v>0</v>
      </c>
      <c r="B139" s="2">
        <v>42702.5848958333</v>
      </c>
      <c r="C139">
        <v>0</v>
      </c>
      <c r="D139">
        <v>0</v>
      </c>
      <c r="E139" t="s">
        <v>142</v>
      </c>
    </row>
    <row r="140" spans="1:5">
      <c r="A140">
        <f>HYPERLINK("http://www.twitter.com/NYCHA/status/803207820791271424", "803207820791271424")</f>
        <v>0</v>
      </c>
      <c r="B140" s="2">
        <v>42702.5028009259</v>
      </c>
      <c r="C140">
        <v>0</v>
      </c>
      <c r="D140">
        <v>2</v>
      </c>
      <c r="E140" t="s">
        <v>143</v>
      </c>
    </row>
    <row r="141" spans="1:5">
      <c r="A141">
        <f>HYPERLINK("http://www.twitter.com/NYCHA/status/802244688577236992", "802244688577236992")</f>
        <v>0</v>
      </c>
      <c r="B141" s="2">
        <v>42699.8450578704</v>
      </c>
      <c r="C141">
        <v>0</v>
      </c>
      <c r="D141">
        <v>4</v>
      </c>
      <c r="E141" t="s">
        <v>144</v>
      </c>
    </row>
    <row r="142" spans="1:5">
      <c r="A142">
        <f>HYPERLINK("http://www.twitter.com/NYCHA/status/802225828776046593", "802225828776046593")</f>
        <v>0</v>
      </c>
      <c r="B142" s="2">
        <v>42699.7930092593</v>
      </c>
      <c r="C142">
        <v>0</v>
      </c>
      <c r="D142">
        <v>0</v>
      </c>
      <c r="E142" t="s">
        <v>81</v>
      </c>
    </row>
    <row r="143" spans="1:5">
      <c r="A143">
        <f>HYPERLINK("http://www.twitter.com/NYCHA/status/802210613334253568", "802210613334253568")</f>
        <v>0</v>
      </c>
      <c r="B143" s="2">
        <v>42699.7510300926</v>
      </c>
      <c r="C143">
        <v>1</v>
      </c>
      <c r="D143">
        <v>0</v>
      </c>
      <c r="E143" t="s">
        <v>145</v>
      </c>
    </row>
    <row r="144" spans="1:5">
      <c r="A144">
        <f>HYPERLINK("http://www.twitter.com/NYCHA/status/802165329254350848", "802165329254350848")</f>
        <v>0</v>
      </c>
      <c r="B144" s="2">
        <v>42699.6260648148</v>
      </c>
      <c r="C144">
        <v>0</v>
      </c>
      <c r="D144">
        <v>0</v>
      </c>
      <c r="E144" t="s">
        <v>146</v>
      </c>
    </row>
    <row r="145" spans="1:5">
      <c r="A145">
        <f>HYPERLINK("http://www.twitter.com/NYCHA/status/802151244680794112", "802151244680794112")</f>
        <v>0</v>
      </c>
      <c r="B145" s="2">
        <v>42699.5871990741</v>
      </c>
      <c r="C145">
        <v>1</v>
      </c>
      <c r="D145">
        <v>1</v>
      </c>
      <c r="E145" t="s">
        <v>147</v>
      </c>
    </row>
    <row r="146" spans="1:5">
      <c r="A146">
        <f>HYPERLINK("http://www.twitter.com/NYCHA/status/802150481946640385", "802150481946640385")</f>
        <v>0</v>
      </c>
      <c r="B146" s="2">
        <v>42699.5850925926</v>
      </c>
      <c r="C146">
        <v>1</v>
      </c>
      <c r="D146">
        <v>0</v>
      </c>
      <c r="E146" t="s">
        <v>148</v>
      </c>
    </row>
    <row r="147" spans="1:5">
      <c r="A147">
        <f>HYPERLINK("http://www.twitter.com/NYCHA/status/801802902843092992", "801802902843092992")</f>
        <v>0</v>
      </c>
      <c r="B147" s="2">
        <v>42698.6259606481</v>
      </c>
      <c r="C147">
        <v>1</v>
      </c>
      <c r="D147">
        <v>0</v>
      </c>
      <c r="E147" t="s">
        <v>149</v>
      </c>
    </row>
    <row r="148" spans="1:5">
      <c r="A148">
        <f>HYPERLINK("http://www.twitter.com/NYCHA/status/801772613227909120", "801772613227909120")</f>
        <v>0</v>
      </c>
      <c r="B148" s="2">
        <v>42698.5423726852</v>
      </c>
      <c r="C148">
        <v>1</v>
      </c>
      <c r="D148">
        <v>2</v>
      </c>
      <c r="E148" t="s">
        <v>150</v>
      </c>
    </row>
    <row r="149" spans="1:5">
      <c r="A149">
        <f>HYPERLINK("http://www.twitter.com/NYCHA/status/801561071685423104", "801561071685423104")</f>
        <v>0</v>
      </c>
      <c r="B149" s="2">
        <v>42697.9586342593</v>
      </c>
      <c r="C149">
        <v>0</v>
      </c>
      <c r="D149">
        <v>0</v>
      </c>
      <c r="E149" t="s">
        <v>151</v>
      </c>
    </row>
    <row r="150" spans="1:5">
      <c r="A150">
        <f>HYPERLINK("http://www.twitter.com/NYCHA/status/801542902186987524", "801542902186987524")</f>
        <v>0</v>
      </c>
      <c r="B150" s="2">
        <v>42697.9084953704</v>
      </c>
      <c r="C150">
        <v>0</v>
      </c>
      <c r="D150">
        <v>5</v>
      </c>
      <c r="E150" t="s">
        <v>152</v>
      </c>
    </row>
    <row r="151" spans="1:5">
      <c r="A151">
        <f>HYPERLINK("http://www.twitter.com/NYCHA/status/801527734283419648", "801527734283419648")</f>
        <v>0</v>
      </c>
      <c r="B151" s="2">
        <v>42697.8666435185</v>
      </c>
      <c r="C151">
        <v>0</v>
      </c>
      <c r="D151">
        <v>5</v>
      </c>
      <c r="E151" t="s">
        <v>153</v>
      </c>
    </row>
    <row r="152" spans="1:5">
      <c r="A152">
        <f>HYPERLINK("http://www.twitter.com/NYCHA/status/801527721042001920", "801527721042001920")</f>
        <v>0</v>
      </c>
      <c r="B152" s="2">
        <v>42697.8666087963</v>
      </c>
      <c r="C152">
        <v>0</v>
      </c>
      <c r="D152">
        <v>11</v>
      </c>
      <c r="E152" t="s">
        <v>154</v>
      </c>
    </row>
    <row r="153" spans="1:5">
      <c r="A153">
        <f>HYPERLINK("http://www.twitter.com/NYCHA/status/801515813731762186", "801515813731762186")</f>
        <v>0</v>
      </c>
      <c r="B153" s="2">
        <v>42697.83375</v>
      </c>
      <c r="C153">
        <v>3</v>
      </c>
      <c r="D153">
        <v>3</v>
      </c>
      <c r="E153" t="s">
        <v>155</v>
      </c>
    </row>
    <row r="154" spans="1:5">
      <c r="A154">
        <f>HYPERLINK("http://www.twitter.com/NYCHA/status/801501949682188294", "801501949682188294")</f>
        <v>0</v>
      </c>
      <c r="B154" s="2">
        <v>42697.7954861111</v>
      </c>
      <c r="C154">
        <v>0</v>
      </c>
      <c r="D154">
        <v>0</v>
      </c>
      <c r="E154" t="s">
        <v>156</v>
      </c>
    </row>
    <row r="155" spans="1:5">
      <c r="A155">
        <f>HYPERLINK("http://www.twitter.com/NYCHA/status/801475977280946176", "801475977280946176")</f>
        <v>0</v>
      </c>
      <c r="B155" s="2">
        <v>42697.7238194444</v>
      </c>
      <c r="C155">
        <v>0</v>
      </c>
      <c r="D155">
        <v>4</v>
      </c>
      <c r="E155" t="s">
        <v>157</v>
      </c>
    </row>
    <row r="156" spans="1:5">
      <c r="A156">
        <f>HYPERLINK("http://www.twitter.com/NYCHA/status/801470976965931008", "801470976965931008")</f>
        <v>0</v>
      </c>
      <c r="B156" s="2">
        <v>42697.7100231481</v>
      </c>
      <c r="C156">
        <v>1</v>
      </c>
      <c r="D156">
        <v>1</v>
      </c>
      <c r="E156" t="s">
        <v>158</v>
      </c>
    </row>
    <row r="157" spans="1:5">
      <c r="A157">
        <f>HYPERLINK("http://www.twitter.com/NYCHA/status/801462905803800576", "801462905803800576")</f>
        <v>0</v>
      </c>
      <c r="B157" s="2">
        <v>42697.6877430556</v>
      </c>
      <c r="C157">
        <v>0</v>
      </c>
      <c r="D157">
        <v>0</v>
      </c>
      <c r="E157" t="s">
        <v>159</v>
      </c>
    </row>
    <row r="158" spans="1:5">
      <c r="A158">
        <f>HYPERLINK("http://www.twitter.com/NYCHA/status/801456508596785152", "801456508596785152")</f>
        <v>0</v>
      </c>
      <c r="B158" s="2">
        <v>42697.6700925926</v>
      </c>
      <c r="C158">
        <v>0</v>
      </c>
      <c r="D158">
        <v>1</v>
      </c>
      <c r="E158" t="s">
        <v>160</v>
      </c>
    </row>
    <row r="159" spans="1:5">
      <c r="A159">
        <f>HYPERLINK("http://www.twitter.com/NYCHA/status/801456479110922240", "801456479110922240")</f>
        <v>0</v>
      </c>
      <c r="B159" s="2">
        <v>42697.6700115741</v>
      </c>
      <c r="C159">
        <v>0</v>
      </c>
      <c r="D159">
        <v>8</v>
      </c>
      <c r="E159" t="s">
        <v>161</v>
      </c>
    </row>
    <row r="160" spans="1:5">
      <c r="A160">
        <f>HYPERLINK("http://www.twitter.com/NYCHA/status/801451546248695809", "801451546248695809")</f>
        <v>0</v>
      </c>
      <c r="B160" s="2">
        <v>42697.656400463</v>
      </c>
      <c r="C160">
        <v>1</v>
      </c>
      <c r="D160">
        <v>0</v>
      </c>
      <c r="E160" t="s">
        <v>162</v>
      </c>
    </row>
    <row r="161" spans="1:5">
      <c r="A161">
        <f>HYPERLINK("http://www.twitter.com/NYCHA/status/801444013308080128", "801444013308080128")</f>
        <v>0</v>
      </c>
      <c r="B161" s="2">
        <v>42697.6356134259</v>
      </c>
      <c r="C161">
        <v>1</v>
      </c>
      <c r="D161">
        <v>1</v>
      </c>
      <c r="E161" t="s">
        <v>163</v>
      </c>
    </row>
    <row r="162" spans="1:5">
      <c r="A162">
        <f>HYPERLINK("http://www.twitter.com/NYCHA/status/801442742144475136", "801442742144475136")</f>
        <v>0</v>
      </c>
      <c r="B162" s="2">
        <v>42697.6321064815</v>
      </c>
      <c r="C162">
        <v>0</v>
      </c>
      <c r="D162">
        <v>0</v>
      </c>
      <c r="E162" t="s">
        <v>164</v>
      </c>
    </row>
    <row r="163" spans="1:5">
      <c r="A163">
        <f>HYPERLINK("http://www.twitter.com/NYCHA/status/801438420635684864", "801438420635684864")</f>
        <v>0</v>
      </c>
      <c r="B163" s="2">
        <v>42697.6201851852</v>
      </c>
      <c r="C163">
        <v>1</v>
      </c>
      <c r="D163">
        <v>0</v>
      </c>
      <c r="E163" t="s">
        <v>165</v>
      </c>
    </row>
    <row r="164" spans="1:5">
      <c r="A164">
        <f>HYPERLINK("http://www.twitter.com/NYCHA/status/801426467271901184", "801426467271901184")</f>
        <v>0</v>
      </c>
      <c r="B164" s="2">
        <v>42697.5871990741</v>
      </c>
      <c r="C164">
        <v>0</v>
      </c>
      <c r="D164">
        <v>0</v>
      </c>
      <c r="E164" t="s">
        <v>166</v>
      </c>
    </row>
    <row r="165" spans="1:5">
      <c r="A165">
        <f>HYPERLINK("http://www.twitter.com/NYCHA/status/801425643028279297", "801425643028279297")</f>
        <v>0</v>
      </c>
      <c r="B165" s="2">
        <v>42697.5849189815</v>
      </c>
      <c r="C165">
        <v>0</v>
      </c>
      <c r="D165">
        <v>0</v>
      </c>
      <c r="E165" t="s">
        <v>167</v>
      </c>
    </row>
    <row r="166" spans="1:5">
      <c r="A166">
        <f>HYPERLINK("http://www.twitter.com/NYCHA/status/801150046355984384", "801150046355984384")</f>
        <v>0</v>
      </c>
      <c r="B166" s="2">
        <v>42696.8244212963</v>
      </c>
      <c r="C166">
        <v>0</v>
      </c>
      <c r="D166">
        <v>5</v>
      </c>
      <c r="E166" t="s">
        <v>168</v>
      </c>
    </row>
    <row r="167" spans="1:5">
      <c r="A167">
        <f>HYPERLINK("http://www.twitter.com/NYCHA/status/801106163702071296", "801106163702071296")</f>
        <v>0</v>
      </c>
      <c r="B167" s="2">
        <v>42696.7033217593</v>
      </c>
      <c r="C167">
        <v>0</v>
      </c>
      <c r="D167">
        <v>0</v>
      </c>
      <c r="E167" t="s">
        <v>169</v>
      </c>
    </row>
    <row r="168" spans="1:5">
      <c r="A168">
        <f>HYPERLINK("http://www.twitter.com/NYCHA/status/801095037719375872", "801095037719375872")</f>
        <v>0</v>
      </c>
      <c r="B168" s="2">
        <v>42696.6726273148</v>
      </c>
      <c r="C168">
        <v>0</v>
      </c>
      <c r="D168">
        <v>0</v>
      </c>
      <c r="E168" t="s">
        <v>170</v>
      </c>
    </row>
    <row r="169" spans="1:5">
      <c r="A169">
        <f>HYPERLINK("http://www.twitter.com/NYCHA/status/801089185885077504", "801089185885077504")</f>
        <v>0</v>
      </c>
      <c r="B169" s="2">
        <v>42696.6564814815</v>
      </c>
      <c r="C169">
        <v>2</v>
      </c>
      <c r="D169">
        <v>1</v>
      </c>
      <c r="E169" t="s">
        <v>171</v>
      </c>
    </row>
    <row r="170" spans="1:5">
      <c r="A170">
        <f>HYPERLINK("http://www.twitter.com/NYCHA/status/801079392264921089", "801079392264921089")</f>
        <v>0</v>
      </c>
      <c r="B170" s="2">
        <v>42696.6294560185</v>
      </c>
      <c r="C170">
        <v>4</v>
      </c>
      <c r="D170">
        <v>3</v>
      </c>
      <c r="E170" t="s">
        <v>172</v>
      </c>
    </row>
    <row r="171" spans="1:5">
      <c r="A171">
        <f>HYPERLINK("http://www.twitter.com/NYCHA/status/801079188895727617", "801079188895727617")</f>
        <v>0</v>
      </c>
      <c r="B171" s="2">
        <v>42696.6288888889</v>
      </c>
      <c r="C171">
        <v>0</v>
      </c>
      <c r="D171">
        <v>0</v>
      </c>
      <c r="E171" t="s">
        <v>173</v>
      </c>
    </row>
    <row r="172" spans="1:5">
      <c r="A172">
        <f>HYPERLINK("http://www.twitter.com/NYCHA/status/801079082100387842", "801079082100387842")</f>
        <v>0</v>
      </c>
      <c r="B172" s="2">
        <v>42696.628599537</v>
      </c>
      <c r="C172">
        <v>0</v>
      </c>
      <c r="D172">
        <v>0</v>
      </c>
      <c r="E172" t="s">
        <v>174</v>
      </c>
    </row>
    <row r="173" spans="1:5">
      <c r="A173">
        <f>HYPERLINK("http://www.twitter.com/NYCHA/status/801079020150489089", "801079020150489089")</f>
        <v>0</v>
      </c>
      <c r="B173" s="2">
        <v>42696.6284259259</v>
      </c>
      <c r="C173">
        <v>0</v>
      </c>
      <c r="D173">
        <v>0</v>
      </c>
      <c r="E173" t="s">
        <v>175</v>
      </c>
    </row>
    <row r="174" spans="1:5">
      <c r="A174">
        <f>HYPERLINK("http://www.twitter.com/NYCHA/status/801078855511347200", "801078855511347200")</f>
        <v>0</v>
      </c>
      <c r="B174" s="2">
        <v>42696.627974537</v>
      </c>
      <c r="C174">
        <v>0</v>
      </c>
      <c r="D174">
        <v>0</v>
      </c>
      <c r="E174" t="s">
        <v>176</v>
      </c>
    </row>
    <row r="175" spans="1:5">
      <c r="A175">
        <f>HYPERLINK("http://www.twitter.com/NYCHA/status/801078802457751552", "801078802457751552")</f>
        <v>0</v>
      </c>
      <c r="B175" s="2">
        <v>42696.6278240741</v>
      </c>
      <c r="C175">
        <v>0</v>
      </c>
      <c r="D175">
        <v>0</v>
      </c>
      <c r="E175" t="s">
        <v>177</v>
      </c>
    </row>
    <row r="176" spans="1:5">
      <c r="A176">
        <f>HYPERLINK("http://www.twitter.com/NYCHA/status/801078377427783681", "801078377427783681")</f>
        <v>0</v>
      </c>
      <c r="B176" s="2">
        <v>42696.6266550926</v>
      </c>
      <c r="C176">
        <v>0</v>
      </c>
      <c r="D176">
        <v>5</v>
      </c>
      <c r="E176" t="s">
        <v>178</v>
      </c>
    </row>
    <row r="177" spans="1:5">
      <c r="A177">
        <f>HYPERLINK("http://www.twitter.com/NYCHA/status/801063291904659456", "801063291904659456")</f>
        <v>0</v>
      </c>
      <c r="B177" s="2">
        <v>42696.5850231481</v>
      </c>
      <c r="C177">
        <v>0</v>
      </c>
      <c r="D177">
        <v>1</v>
      </c>
      <c r="E177" t="s">
        <v>179</v>
      </c>
    </row>
    <row r="178" spans="1:5">
      <c r="A178">
        <f>HYPERLINK("http://www.twitter.com/NYCHA/status/800776225199390721", "800776225199390721")</f>
        <v>0</v>
      </c>
      <c r="B178" s="2">
        <v>42695.7928703704</v>
      </c>
      <c r="C178">
        <v>1</v>
      </c>
      <c r="D178">
        <v>0</v>
      </c>
      <c r="E178" t="s">
        <v>180</v>
      </c>
    </row>
    <row r="179" spans="1:5">
      <c r="A179">
        <f>HYPERLINK("http://www.twitter.com/NYCHA/status/800754203614388224", "800754203614388224")</f>
        <v>0</v>
      </c>
      <c r="B179" s="2">
        <v>42695.7321064815</v>
      </c>
      <c r="C179">
        <v>0</v>
      </c>
      <c r="D179">
        <v>2</v>
      </c>
      <c r="E179" t="s">
        <v>181</v>
      </c>
    </row>
    <row r="180" spans="1:5">
      <c r="A180">
        <f>HYPERLINK("http://www.twitter.com/NYCHA/status/800754199701098496", "800754199701098496")</f>
        <v>0</v>
      </c>
      <c r="B180" s="2">
        <v>42695.7320949074</v>
      </c>
      <c r="C180">
        <v>0</v>
      </c>
      <c r="D180">
        <v>4</v>
      </c>
      <c r="E180" t="s">
        <v>182</v>
      </c>
    </row>
    <row r="181" spans="1:5">
      <c r="A181">
        <f>HYPERLINK("http://www.twitter.com/NYCHA/status/800731780278087684", "800731780278087684")</f>
        <v>0</v>
      </c>
      <c r="B181" s="2">
        <v>42695.6702199074</v>
      </c>
      <c r="C181">
        <v>0</v>
      </c>
      <c r="D181">
        <v>30</v>
      </c>
      <c r="E181" t="s">
        <v>183</v>
      </c>
    </row>
    <row r="182" spans="1:5">
      <c r="A182">
        <f>HYPERLINK("http://www.twitter.com/NYCHA/status/800730931371933696", "800730931371933696")</f>
        <v>0</v>
      </c>
      <c r="B182" s="2">
        <v>42695.6678819444</v>
      </c>
      <c r="C182">
        <v>1</v>
      </c>
      <c r="D182">
        <v>0</v>
      </c>
      <c r="E182" t="s">
        <v>184</v>
      </c>
    </row>
    <row r="183" spans="1:5">
      <c r="A183">
        <f>HYPERLINK("http://www.twitter.com/NYCHA/status/800700859109769216", "800700859109769216")</f>
        <v>0</v>
      </c>
      <c r="B183" s="2">
        <v>42695.5848958333</v>
      </c>
      <c r="C183">
        <v>3</v>
      </c>
      <c r="D183">
        <v>2</v>
      </c>
      <c r="E183" t="s">
        <v>185</v>
      </c>
    </row>
    <row r="184" spans="1:5">
      <c r="A184">
        <f>HYPERLINK("http://www.twitter.com/NYCHA/status/800413657268162560", "800413657268162560")</f>
        <v>0</v>
      </c>
      <c r="B184" s="2">
        <v>42694.7923726852</v>
      </c>
      <c r="C184">
        <v>1</v>
      </c>
      <c r="D184">
        <v>1</v>
      </c>
      <c r="E184" t="s">
        <v>186</v>
      </c>
    </row>
    <row r="185" spans="1:5">
      <c r="A185">
        <f>HYPERLINK("http://www.twitter.com/NYCHA/status/800383530329055233", "800383530329055233")</f>
        <v>0</v>
      </c>
      <c r="B185" s="2">
        <v>42694.7092361111</v>
      </c>
      <c r="C185">
        <v>0</v>
      </c>
      <c r="D185">
        <v>1</v>
      </c>
      <c r="E185" t="s">
        <v>187</v>
      </c>
    </row>
    <row r="186" spans="1:5">
      <c r="A186">
        <f>HYPERLINK("http://www.twitter.com/NYCHA/status/800353323731787776", "800353323731787776")</f>
        <v>0</v>
      </c>
      <c r="B186" s="2">
        <v>42694.6258796296</v>
      </c>
      <c r="C186">
        <v>0</v>
      </c>
      <c r="D186">
        <v>0</v>
      </c>
      <c r="E186" t="s">
        <v>188</v>
      </c>
    </row>
    <row r="187" spans="1:5">
      <c r="A187">
        <f>HYPERLINK("http://www.twitter.com/NYCHA/status/800058732453515264", "800058732453515264")</f>
        <v>0</v>
      </c>
      <c r="B187" s="2">
        <v>42693.812962963</v>
      </c>
      <c r="C187">
        <v>1</v>
      </c>
      <c r="D187">
        <v>1</v>
      </c>
      <c r="E187" t="s">
        <v>189</v>
      </c>
    </row>
    <row r="188" spans="1:5">
      <c r="A188">
        <f>HYPERLINK("http://www.twitter.com/NYCHA/status/800021186105245696", "800021186105245696")</f>
        <v>0</v>
      </c>
      <c r="B188" s="2">
        <v>42693.7093634259</v>
      </c>
      <c r="C188">
        <v>2</v>
      </c>
      <c r="D188">
        <v>0</v>
      </c>
      <c r="E188" t="s">
        <v>190</v>
      </c>
    </row>
    <row r="189" spans="1:5">
      <c r="A189">
        <f>HYPERLINK("http://www.twitter.com/NYCHA/status/799990997522542593", "799990997522542593")</f>
        <v>0</v>
      </c>
      <c r="B189" s="2">
        <v>42693.6260532407</v>
      </c>
      <c r="C189">
        <v>0</v>
      </c>
      <c r="D189">
        <v>0</v>
      </c>
      <c r="E189" t="s">
        <v>191</v>
      </c>
    </row>
    <row r="190" spans="1:5">
      <c r="A190">
        <f>HYPERLINK("http://www.twitter.com/NYCHA/status/799725809212723201", "799725809212723201")</f>
        <v>0</v>
      </c>
      <c r="B190" s="2">
        <v>42692.8942708333</v>
      </c>
      <c r="C190">
        <v>0</v>
      </c>
      <c r="D190">
        <v>0</v>
      </c>
      <c r="E190" t="s">
        <v>192</v>
      </c>
    </row>
    <row r="191" spans="1:5">
      <c r="A191">
        <f>HYPERLINK("http://www.twitter.com/NYCHA/status/799717808921661440", "799717808921661440")</f>
        <v>0</v>
      </c>
      <c r="B191" s="2">
        <v>42692.8721990741</v>
      </c>
      <c r="C191">
        <v>0</v>
      </c>
      <c r="D191">
        <v>2</v>
      </c>
      <c r="E191" t="s">
        <v>193</v>
      </c>
    </row>
    <row r="192" spans="1:5">
      <c r="A192">
        <f>HYPERLINK("http://www.twitter.com/NYCHA/status/799717764529127425", "799717764529127425")</f>
        <v>0</v>
      </c>
      <c r="B192" s="2">
        <v>42692.8720717593</v>
      </c>
      <c r="C192">
        <v>0</v>
      </c>
      <c r="D192">
        <v>5</v>
      </c>
      <c r="E192" t="s">
        <v>194</v>
      </c>
    </row>
    <row r="193" spans="1:5">
      <c r="A193">
        <f>HYPERLINK("http://www.twitter.com/NYCHA/status/799717672074100736", "799717672074100736")</f>
        <v>0</v>
      </c>
      <c r="B193" s="2">
        <v>42692.8718171296</v>
      </c>
      <c r="C193">
        <v>0</v>
      </c>
      <c r="D193">
        <v>2</v>
      </c>
      <c r="E193" t="s">
        <v>195</v>
      </c>
    </row>
    <row r="194" spans="1:5">
      <c r="A194">
        <f>HYPERLINK("http://www.twitter.com/NYCHA/status/799717644664348672", "799717644664348672")</f>
        <v>0</v>
      </c>
      <c r="B194" s="2">
        <v>42692.8717476852</v>
      </c>
      <c r="C194">
        <v>0</v>
      </c>
      <c r="D194">
        <v>1</v>
      </c>
      <c r="E194" t="s">
        <v>196</v>
      </c>
    </row>
    <row r="195" spans="1:5">
      <c r="A195">
        <f>HYPERLINK("http://www.twitter.com/NYCHA/status/799717559289323520", "799717559289323520")</f>
        <v>0</v>
      </c>
      <c r="B195" s="2">
        <v>42692.8715046296</v>
      </c>
      <c r="C195">
        <v>0</v>
      </c>
      <c r="D195">
        <v>2</v>
      </c>
      <c r="E195" t="s">
        <v>197</v>
      </c>
    </row>
    <row r="196" spans="1:5">
      <c r="A196">
        <f>HYPERLINK("http://www.twitter.com/NYCHA/status/799699843119808512", "799699843119808512")</f>
        <v>0</v>
      </c>
      <c r="B196" s="2">
        <v>42692.8226157407</v>
      </c>
      <c r="C196">
        <v>0</v>
      </c>
      <c r="D196">
        <v>0</v>
      </c>
      <c r="E196" t="s">
        <v>116</v>
      </c>
    </row>
    <row r="197" spans="1:5">
      <c r="A197">
        <f>HYPERLINK("http://www.twitter.com/NYCHA/status/799696345179230208", "799696345179230208")</f>
        <v>0</v>
      </c>
      <c r="B197" s="2">
        <v>42692.812962963</v>
      </c>
      <c r="C197">
        <v>1</v>
      </c>
      <c r="D197">
        <v>0</v>
      </c>
      <c r="E197" t="s">
        <v>198</v>
      </c>
    </row>
    <row r="198" spans="1:5">
      <c r="A198">
        <f>HYPERLINK("http://www.twitter.com/NYCHA/status/799675217580855296", "799675217580855296")</f>
        <v>0</v>
      </c>
      <c r="B198" s="2">
        <v>42692.7546643519</v>
      </c>
      <c r="C198">
        <v>2</v>
      </c>
      <c r="D198">
        <v>1</v>
      </c>
      <c r="E198" t="s">
        <v>199</v>
      </c>
    </row>
    <row r="199" spans="1:5">
      <c r="A199">
        <f>HYPERLINK("http://www.twitter.com/NYCHA/status/799666220492435456", "799666220492435456")</f>
        <v>0</v>
      </c>
      <c r="B199" s="2">
        <v>42692.729837963</v>
      </c>
      <c r="C199">
        <v>0</v>
      </c>
      <c r="D199">
        <v>0</v>
      </c>
      <c r="E199" t="s">
        <v>200</v>
      </c>
    </row>
    <row r="200" spans="1:5">
      <c r="A200">
        <f>HYPERLINK("http://www.twitter.com/NYCHA/status/799659078712750082", "799659078712750082")</f>
        <v>0</v>
      </c>
      <c r="B200" s="2">
        <v>42692.7101273148</v>
      </c>
      <c r="C200">
        <v>3</v>
      </c>
      <c r="D200">
        <v>2</v>
      </c>
      <c r="E200" t="s">
        <v>201</v>
      </c>
    </row>
    <row r="201" spans="1:5">
      <c r="A201">
        <f>HYPERLINK("http://www.twitter.com/NYCHA/status/799653927222464512", "799653927222464512")</f>
        <v>0</v>
      </c>
      <c r="B201" s="2">
        <v>42692.6959143519</v>
      </c>
      <c r="C201">
        <v>0</v>
      </c>
      <c r="D201">
        <v>2</v>
      </c>
      <c r="E201" t="s">
        <v>202</v>
      </c>
    </row>
    <row r="202" spans="1:5">
      <c r="A202">
        <f>HYPERLINK("http://www.twitter.com/NYCHA/status/799653821844635648", "799653821844635648")</f>
        <v>0</v>
      </c>
      <c r="B202" s="2">
        <v>42692.695625</v>
      </c>
      <c r="C202">
        <v>0</v>
      </c>
      <c r="D202">
        <v>2</v>
      </c>
      <c r="E202" t="s">
        <v>203</v>
      </c>
    </row>
    <row r="203" spans="1:5">
      <c r="A203">
        <f>HYPERLINK("http://www.twitter.com/NYCHA/status/799644053662879745", "799644053662879745")</f>
        <v>0</v>
      </c>
      <c r="B203" s="2">
        <v>42692.6686689815</v>
      </c>
      <c r="C203">
        <v>1</v>
      </c>
      <c r="D203">
        <v>0</v>
      </c>
      <c r="E203" t="s">
        <v>204</v>
      </c>
    </row>
    <row r="204" spans="1:5">
      <c r="A204">
        <f>HYPERLINK("http://www.twitter.com/NYCHA/status/799613719760216064", "799613719760216064")</f>
        <v>0</v>
      </c>
      <c r="B204" s="2">
        <v>42692.5849652778</v>
      </c>
      <c r="C204">
        <v>0</v>
      </c>
      <c r="D204">
        <v>0</v>
      </c>
      <c r="E204" t="s">
        <v>205</v>
      </c>
    </row>
    <row r="205" spans="1:5">
      <c r="A205">
        <f>HYPERLINK("http://www.twitter.com/NYCHA/status/799366322547204096", "799366322547204096")</f>
        <v>0</v>
      </c>
      <c r="B205" s="2">
        <v>42691.9022800926</v>
      </c>
      <c r="C205">
        <v>2</v>
      </c>
      <c r="D205">
        <v>4</v>
      </c>
      <c r="E205" t="s">
        <v>206</v>
      </c>
    </row>
    <row r="206" spans="1:5">
      <c r="A206">
        <f>HYPERLINK("http://www.twitter.com/NYCHA/status/799364065525170176", "799364065525170176")</f>
        <v>0</v>
      </c>
      <c r="B206" s="2">
        <v>42691.8960532407</v>
      </c>
      <c r="C206">
        <v>1</v>
      </c>
      <c r="D206">
        <v>0</v>
      </c>
      <c r="E206" t="s">
        <v>184</v>
      </c>
    </row>
    <row r="207" spans="1:5">
      <c r="A207">
        <f>HYPERLINK("http://www.twitter.com/NYCHA/status/799335118548729860", "799335118548729860")</f>
        <v>0</v>
      </c>
      <c r="B207" s="2">
        <v>42691.8161689815</v>
      </c>
      <c r="C207">
        <v>0</v>
      </c>
      <c r="D207">
        <v>0</v>
      </c>
      <c r="E207" t="s">
        <v>207</v>
      </c>
    </row>
    <row r="208" spans="1:5">
      <c r="A208">
        <f>HYPERLINK("http://www.twitter.com/NYCHA/status/799302401282842624", "799302401282842624")</f>
        <v>0</v>
      </c>
      <c r="B208" s="2">
        <v>42691.7258912037</v>
      </c>
      <c r="C208">
        <v>0</v>
      </c>
      <c r="D208">
        <v>0</v>
      </c>
      <c r="E208" t="s">
        <v>208</v>
      </c>
    </row>
    <row r="209" spans="1:5">
      <c r="A209">
        <f>HYPERLINK("http://www.twitter.com/NYCHA/status/799298845909852160", "799298845909852160")</f>
        <v>0</v>
      </c>
      <c r="B209" s="2">
        <v>42691.7160763889</v>
      </c>
      <c r="C209">
        <v>0</v>
      </c>
      <c r="D209">
        <v>3</v>
      </c>
      <c r="E209" t="s">
        <v>209</v>
      </c>
    </row>
    <row r="210" spans="1:5">
      <c r="A210">
        <f>HYPERLINK("http://www.twitter.com/NYCHA/status/799298839144448000", "799298839144448000")</f>
        <v>0</v>
      </c>
      <c r="B210" s="2">
        <v>42691.7160648148</v>
      </c>
      <c r="C210">
        <v>0</v>
      </c>
      <c r="D210">
        <v>1</v>
      </c>
      <c r="E210" t="s">
        <v>210</v>
      </c>
    </row>
    <row r="211" spans="1:5">
      <c r="A211">
        <f>HYPERLINK("http://www.twitter.com/NYCHA/status/799298828394528768", "799298828394528768")</f>
        <v>0</v>
      </c>
      <c r="B211" s="2">
        <v>42691.7160300926</v>
      </c>
      <c r="C211">
        <v>0</v>
      </c>
      <c r="D211">
        <v>2</v>
      </c>
      <c r="E211" t="s">
        <v>211</v>
      </c>
    </row>
    <row r="212" spans="1:5">
      <c r="A212">
        <f>HYPERLINK("http://www.twitter.com/NYCHA/status/799293309655060480", "799293309655060480")</f>
        <v>0</v>
      </c>
      <c r="B212" s="2">
        <v>42691.7007986111</v>
      </c>
      <c r="C212">
        <v>5</v>
      </c>
      <c r="D212">
        <v>1</v>
      </c>
      <c r="E212" t="s">
        <v>212</v>
      </c>
    </row>
    <row r="213" spans="1:5">
      <c r="A213">
        <f>HYPERLINK("http://www.twitter.com/NYCHA/status/799278170918809601", "799278170918809601")</f>
        <v>0</v>
      </c>
      <c r="B213" s="2">
        <v>42691.6590277778</v>
      </c>
      <c r="C213">
        <v>0</v>
      </c>
      <c r="D213">
        <v>3</v>
      </c>
      <c r="E213" t="s">
        <v>213</v>
      </c>
    </row>
    <row r="214" spans="1:5">
      <c r="A214">
        <f>HYPERLINK("http://www.twitter.com/NYCHA/status/799251331701739520", "799251331701739520")</f>
        <v>0</v>
      </c>
      <c r="B214" s="2">
        <v>42691.5849652778</v>
      </c>
      <c r="C214">
        <v>0</v>
      </c>
      <c r="D214">
        <v>0</v>
      </c>
      <c r="E214" t="s">
        <v>214</v>
      </c>
    </row>
    <row r="215" spans="1:5">
      <c r="A215">
        <f>HYPERLINK("http://www.twitter.com/NYCHA/status/798986613149679617", "798986613149679617")</f>
        <v>0</v>
      </c>
      <c r="B215" s="2">
        <v>42690.8544791667</v>
      </c>
      <c r="C215">
        <v>1</v>
      </c>
      <c r="D215">
        <v>1</v>
      </c>
      <c r="E215" t="s">
        <v>215</v>
      </c>
    </row>
    <row r="216" spans="1:5">
      <c r="A216">
        <f>HYPERLINK("http://www.twitter.com/NYCHA/status/798977556401758208", "798977556401758208")</f>
        <v>0</v>
      </c>
      <c r="B216" s="2">
        <v>42690.8294907407</v>
      </c>
      <c r="C216">
        <v>0</v>
      </c>
      <c r="D216">
        <v>7</v>
      </c>
      <c r="E216" t="s">
        <v>216</v>
      </c>
    </row>
    <row r="217" spans="1:5">
      <c r="A217">
        <f>HYPERLINK("http://www.twitter.com/NYCHA/status/798971731209687040", "798971731209687040")</f>
        <v>0</v>
      </c>
      <c r="B217" s="2">
        <v>42690.8134143519</v>
      </c>
      <c r="C217">
        <v>0</v>
      </c>
      <c r="D217">
        <v>0</v>
      </c>
      <c r="E217" t="s">
        <v>217</v>
      </c>
    </row>
    <row r="218" spans="1:5">
      <c r="A218">
        <f>HYPERLINK("http://www.twitter.com/NYCHA/status/798951067149074432", "798951067149074432")</f>
        <v>0</v>
      </c>
      <c r="B218" s="2">
        <v>42690.7563888889</v>
      </c>
      <c r="C218">
        <v>3</v>
      </c>
      <c r="D218">
        <v>3</v>
      </c>
      <c r="E218" t="s">
        <v>218</v>
      </c>
    </row>
    <row r="219" spans="1:5">
      <c r="A219">
        <f>HYPERLINK("http://www.twitter.com/NYCHA/status/798934391288463361", "798934391288463361")</f>
        <v>0</v>
      </c>
      <c r="B219" s="2">
        <v>42690.7103819444</v>
      </c>
      <c r="C219">
        <v>1</v>
      </c>
      <c r="D219">
        <v>1</v>
      </c>
      <c r="E219" t="s">
        <v>219</v>
      </c>
    </row>
    <row r="220" spans="1:5">
      <c r="A220">
        <f>HYPERLINK("http://www.twitter.com/NYCHA/status/798904210817482752", "798904210817482752")</f>
        <v>0</v>
      </c>
      <c r="B220" s="2">
        <v>42690.6270949074</v>
      </c>
      <c r="C220">
        <v>2</v>
      </c>
      <c r="D220">
        <v>3</v>
      </c>
      <c r="E220" t="s">
        <v>220</v>
      </c>
    </row>
    <row r="221" spans="1:5">
      <c r="A221">
        <f>HYPERLINK("http://www.twitter.com/NYCHA/status/798903814187261952", "798903814187261952")</f>
        <v>0</v>
      </c>
      <c r="B221" s="2">
        <v>42690.6259953704</v>
      </c>
      <c r="C221">
        <v>0</v>
      </c>
      <c r="D221">
        <v>1</v>
      </c>
      <c r="E221" t="s">
        <v>221</v>
      </c>
    </row>
    <row r="222" spans="1:5">
      <c r="A222">
        <f>HYPERLINK("http://www.twitter.com/NYCHA/status/798903810114600961", "798903810114600961")</f>
        <v>0</v>
      </c>
      <c r="B222" s="2">
        <v>42690.6259837963</v>
      </c>
      <c r="C222">
        <v>0</v>
      </c>
      <c r="D222">
        <v>3</v>
      </c>
      <c r="E222" t="s">
        <v>222</v>
      </c>
    </row>
    <row r="223" spans="1:5">
      <c r="A223">
        <f>HYPERLINK("http://www.twitter.com/NYCHA/status/798889091878322177", "798889091878322177")</f>
        <v>0</v>
      </c>
      <c r="B223" s="2">
        <v>42690.5853703704</v>
      </c>
      <c r="C223">
        <v>0</v>
      </c>
      <c r="D223">
        <v>1</v>
      </c>
      <c r="E223" t="s">
        <v>223</v>
      </c>
    </row>
    <row r="224" spans="1:5">
      <c r="A224">
        <f>HYPERLINK("http://www.twitter.com/NYCHA/status/798649734164463616", "798649734164463616")</f>
        <v>0</v>
      </c>
      <c r="B224" s="2">
        <v>42689.9248726852</v>
      </c>
      <c r="C224">
        <v>0</v>
      </c>
      <c r="D224">
        <v>14</v>
      </c>
      <c r="E224" t="s">
        <v>224</v>
      </c>
    </row>
    <row r="225" spans="1:5">
      <c r="A225">
        <f>HYPERLINK("http://www.twitter.com/NYCHA/status/798647986515492865", "798647986515492865")</f>
        <v>0</v>
      </c>
      <c r="B225" s="2">
        <v>42689.9200462963</v>
      </c>
      <c r="C225">
        <v>0</v>
      </c>
      <c r="D225">
        <v>6</v>
      </c>
      <c r="E225" t="s">
        <v>225</v>
      </c>
    </row>
    <row r="226" spans="1:5">
      <c r="A226">
        <f>HYPERLINK("http://www.twitter.com/NYCHA/status/798637441456504836", "798637441456504836")</f>
        <v>0</v>
      </c>
      <c r="B226" s="2">
        <v>42689.8909490741</v>
      </c>
      <c r="C226">
        <v>1</v>
      </c>
      <c r="D226">
        <v>1</v>
      </c>
      <c r="E226" t="s">
        <v>226</v>
      </c>
    </row>
    <row r="227" spans="1:5">
      <c r="A227">
        <f>HYPERLINK("http://www.twitter.com/NYCHA/status/798626687105646592", "798626687105646592")</f>
        <v>0</v>
      </c>
      <c r="B227" s="2">
        <v>42689.8612731481</v>
      </c>
      <c r="C227">
        <v>0</v>
      </c>
      <c r="D227">
        <v>1</v>
      </c>
      <c r="E227" t="s">
        <v>227</v>
      </c>
    </row>
    <row r="228" spans="1:5">
      <c r="A228">
        <f>HYPERLINK("http://www.twitter.com/NYCHA/status/798613098563153920", "798613098563153920")</f>
        <v>0</v>
      </c>
      <c r="B228" s="2">
        <v>42689.8237731481</v>
      </c>
      <c r="C228">
        <v>3</v>
      </c>
      <c r="D228">
        <v>2</v>
      </c>
      <c r="E228" t="s">
        <v>228</v>
      </c>
    </row>
    <row r="229" spans="1:5">
      <c r="A229">
        <f>HYPERLINK("http://www.twitter.com/NYCHA/status/798612952047816704", "798612952047816704")</f>
        <v>0</v>
      </c>
      <c r="B229" s="2">
        <v>42689.8233680556</v>
      </c>
      <c r="C229">
        <v>0</v>
      </c>
      <c r="D229">
        <v>1</v>
      </c>
      <c r="E229" t="s">
        <v>229</v>
      </c>
    </row>
    <row r="230" spans="1:5">
      <c r="A230">
        <f>HYPERLINK("http://www.twitter.com/NYCHA/status/798612417626288131", "798612417626288131")</f>
        <v>0</v>
      </c>
      <c r="B230" s="2">
        <v>42689.8218981481</v>
      </c>
      <c r="C230">
        <v>0</v>
      </c>
      <c r="D230">
        <v>6</v>
      </c>
      <c r="E230" t="s">
        <v>230</v>
      </c>
    </row>
    <row r="231" spans="1:5">
      <c r="A231">
        <f>HYPERLINK("http://www.twitter.com/NYCHA/status/798612095378096128", "798612095378096128")</f>
        <v>0</v>
      </c>
      <c r="B231" s="2">
        <v>42689.8210069444</v>
      </c>
      <c r="C231">
        <v>3</v>
      </c>
      <c r="D231">
        <v>2</v>
      </c>
      <c r="E231" t="s">
        <v>231</v>
      </c>
    </row>
    <row r="232" spans="1:5">
      <c r="A232">
        <f>HYPERLINK("http://www.twitter.com/NYCHA/status/798601730514505733", "798601730514505733")</f>
        <v>0</v>
      </c>
      <c r="B232" s="2">
        <v>42689.7924074074</v>
      </c>
      <c r="C232">
        <v>0</v>
      </c>
      <c r="D232">
        <v>0</v>
      </c>
      <c r="E232" t="s">
        <v>204</v>
      </c>
    </row>
    <row r="233" spans="1:5">
      <c r="A233">
        <f>HYPERLINK("http://www.twitter.com/NYCHA/status/798597514387660800", "798597514387660800")</f>
        <v>0</v>
      </c>
      <c r="B233" s="2">
        <v>42689.780775463</v>
      </c>
      <c r="C233">
        <v>2</v>
      </c>
      <c r="D233">
        <v>2</v>
      </c>
      <c r="E233" t="s">
        <v>232</v>
      </c>
    </row>
    <row r="234" spans="1:5">
      <c r="A234">
        <f>HYPERLINK("http://www.twitter.com/NYCHA/status/798595604079374336", "798595604079374336")</f>
        <v>0</v>
      </c>
      <c r="B234" s="2">
        <v>42689.7754976852</v>
      </c>
      <c r="C234">
        <v>0</v>
      </c>
      <c r="D234">
        <v>13</v>
      </c>
      <c r="E234" t="s">
        <v>233</v>
      </c>
    </row>
    <row r="235" spans="1:5">
      <c r="A235">
        <f>HYPERLINK("http://www.twitter.com/NYCHA/status/798595566879940608", "798595566879940608")</f>
        <v>0</v>
      </c>
      <c r="B235" s="2">
        <v>42689.7753935185</v>
      </c>
      <c r="C235">
        <v>0</v>
      </c>
      <c r="D235">
        <v>1</v>
      </c>
      <c r="E235" t="s">
        <v>234</v>
      </c>
    </row>
    <row r="236" spans="1:5">
      <c r="A236">
        <f>HYPERLINK("http://www.twitter.com/NYCHA/status/798586768631222273", "798586768631222273")</f>
        <v>0</v>
      </c>
      <c r="B236" s="2">
        <v>42689.7511226852</v>
      </c>
      <c r="C236">
        <v>0</v>
      </c>
      <c r="D236">
        <v>3</v>
      </c>
      <c r="E236" t="s">
        <v>235</v>
      </c>
    </row>
    <row r="237" spans="1:5">
      <c r="A237">
        <f>HYPERLINK("http://www.twitter.com/NYCHA/status/798573895481597953", "798573895481597953")</f>
        <v>0</v>
      </c>
      <c r="B237" s="2">
        <v>42689.7156018519</v>
      </c>
      <c r="C237">
        <v>1</v>
      </c>
      <c r="D237">
        <v>0</v>
      </c>
      <c r="E237" t="s">
        <v>236</v>
      </c>
    </row>
    <row r="238" spans="1:5">
      <c r="A238">
        <f>HYPERLINK("http://www.twitter.com/NYCHA/status/798571785692311552", "798571785692311552")</f>
        <v>0</v>
      </c>
      <c r="B238" s="2">
        <v>42689.7097800926</v>
      </c>
      <c r="C238">
        <v>0</v>
      </c>
      <c r="D238">
        <v>1</v>
      </c>
      <c r="E238" t="s">
        <v>237</v>
      </c>
    </row>
    <row r="239" spans="1:5">
      <c r="A239">
        <f>HYPERLINK("http://www.twitter.com/NYCHA/status/798571754692218880", "798571754692218880")</f>
        <v>0</v>
      </c>
      <c r="B239" s="2">
        <v>42689.7096875</v>
      </c>
      <c r="C239">
        <v>0</v>
      </c>
      <c r="D239">
        <v>8</v>
      </c>
      <c r="E239" t="s">
        <v>238</v>
      </c>
    </row>
    <row r="240" spans="1:5">
      <c r="A240">
        <f>HYPERLINK("http://www.twitter.com/NYCHA/status/798571669942075392", "798571669942075392")</f>
        <v>0</v>
      </c>
      <c r="B240" s="2">
        <v>42689.7094560185</v>
      </c>
      <c r="C240">
        <v>0</v>
      </c>
      <c r="D240">
        <v>7</v>
      </c>
      <c r="E240" t="s">
        <v>239</v>
      </c>
    </row>
    <row r="241" spans="1:5">
      <c r="A241">
        <f>HYPERLINK("http://www.twitter.com/NYCHA/status/798571581123493889", "798571581123493889")</f>
        <v>0</v>
      </c>
      <c r="B241" s="2">
        <v>42689.709212963</v>
      </c>
      <c r="C241">
        <v>0</v>
      </c>
      <c r="D241">
        <v>7</v>
      </c>
      <c r="E241" t="s">
        <v>240</v>
      </c>
    </row>
    <row r="242" spans="1:5">
      <c r="A242">
        <f>HYPERLINK("http://www.twitter.com/NYCHA/status/798571566254739456", "798571566254739456")</f>
        <v>0</v>
      </c>
      <c r="B242" s="2">
        <v>42689.7091666667</v>
      </c>
      <c r="C242">
        <v>0</v>
      </c>
      <c r="D242">
        <v>2</v>
      </c>
      <c r="E242" t="s">
        <v>241</v>
      </c>
    </row>
    <row r="243" spans="1:5">
      <c r="A243">
        <f>HYPERLINK("http://www.twitter.com/NYCHA/status/798571558163935233", "798571558163935233")</f>
        <v>0</v>
      </c>
      <c r="B243" s="2">
        <v>42689.7091435185</v>
      </c>
      <c r="C243">
        <v>0</v>
      </c>
      <c r="D243">
        <v>3</v>
      </c>
      <c r="E243" t="s">
        <v>242</v>
      </c>
    </row>
    <row r="244" spans="1:5">
      <c r="A244">
        <f>HYPERLINK("http://www.twitter.com/NYCHA/status/798571556234493952", "798571556234493952")</f>
        <v>0</v>
      </c>
      <c r="B244" s="2">
        <v>42689.7091435185</v>
      </c>
      <c r="C244">
        <v>0</v>
      </c>
      <c r="D244">
        <v>2</v>
      </c>
      <c r="E244" t="s">
        <v>243</v>
      </c>
    </row>
    <row r="245" spans="1:5">
      <c r="A245">
        <f>HYPERLINK("http://www.twitter.com/NYCHA/status/798571526824034304", "798571526824034304")</f>
        <v>0</v>
      </c>
      <c r="B245" s="2">
        <v>42689.7090625</v>
      </c>
      <c r="C245">
        <v>0</v>
      </c>
      <c r="D245">
        <v>3</v>
      </c>
      <c r="E245" t="s">
        <v>244</v>
      </c>
    </row>
    <row r="246" spans="1:5">
      <c r="A246">
        <f>HYPERLINK("http://www.twitter.com/NYCHA/status/798571520566161408", "798571520566161408")</f>
        <v>0</v>
      </c>
      <c r="B246" s="2">
        <v>42689.7090393519</v>
      </c>
      <c r="C246">
        <v>0</v>
      </c>
      <c r="D246">
        <v>11</v>
      </c>
      <c r="E246" t="s">
        <v>245</v>
      </c>
    </row>
    <row r="247" spans="1:5">
      <c r="A247">
        <f>HYPERLINK("http://www.twitter.com/NYCHA/status/798571512651390977", "798571512651390977")</f>
        <v>0</v>
      </c>
      <c r="B247" s="2">
        <v>42689.7090277778</v>
      </c>
      <c r="C247">
        <v>0</v>
      </c>
      <c r="D247">
        <v>17</v>
      </c>
      <c r="E247" t="s">
        <v>246</v>
      </c>
    </row>
    <row r="248" spans="1:5">
      <c r="A248">
        <f>HYPERLINK("http://www.twitter.com/NYCHA/status/798571390920257538", "798571390920257538")</f>
        <v>0</v>
      </c>
      <c r="B248" s="2">
        <v>42689.7086805556</v>
      </c>
      <c r="C248">
        <v>0</v>
      </c>
      <c r="D248">
        <v>6</v>
      </c>
      <c r="E248" t="s">
        <v>247</v>
      </c>
    </row>
    <row r="249" spans="1:5">
      <c r="A249">
        <f>HYPERLINK("http://www.twitter.com/NYCHA/status/798571296112123905", "798571296112123905")</f>
        <v>0</v>
      </c>
      <c r="B249" s="2">
        <v>42689.7084259259</v>
      </c>
      <c r="C249">
        <v>0</v>
      </c>
      <c r="D249">
        <v>2</v>
      </c>
      <c r="E249" t="s">
        <v>248</v>
      </c>
    </row>
    <row r="250" spans="1:5">
      <c r="A250">
        <f>HYPERLINK("http://www.twitter.com/NYCHA/status/798571284439257088", "798571284439257088")</f>
        <v>0</v>
      </c>
      <c r="B250" s="2">
        <v>42689.7083912037</v>
      </c>
      <c r="C250">
        <v>0</v>
      </c>
      <c r="D250">
        <v>3</v>
      </c>
      <c r="E250" t="s">
        <v>249</v>
      </c>
    </row>
    <row r="251" spans="1:5">
      <c r="A251">
        <f>HYPERLINK("http://www.twitter.com/NYCHA/status/798571267574140928", "798571267574140928")</f>
        <v>0</v>
      </c>
      <c r="B251" s="2">
        <v>42689.7083449074</v>
      </c>
      <c r="C251">
        <v>0</v>
      </c>
      <c r="D251">
        <v>4</v>
      </c>
      <c r="E251" t="s">
        <v>250</v>
      </c>
    </row>
    <row r="252" spans="1:5">
      <c r="A252">
        <f>HYPERLINK("http://www.twitter.com/NYCHA/status/798562926835679232", "798562926835679232")</f>
        <v>0</v>
      </c>
      <c r="B252" s="2">
        <v>42689.6853240741</v>
      </c>
      <c r="C252">
        <v>0</v>
      </c>
      <c r="D252">
        <v>3</v>
      </c>
      <c r="E252" t="s">
        <v>251</v>
      </c>
    </row>
    <row r="253" spans="1:5">
      <c r="A253">
        <f>HYPERLINK("http://www.twitter.com/NYCHA/status/798562876814454784", "798562876814454784")</f>
        <v>0</v>
      </c>
      <c r="B253" s="2">
        <v>42689.6851967593</v>
      </c>
      <c r="C253">
        <v>0</v>
      </c>
      <c r="D253">
        <v>11</v>
      </c>
      <c r="E253" t="s">
        <v>252</v>
      </c>
    </row>
    <row r="254" spans="1:5">
      <c r="A254">
        <f>HYPERLINK("http://www.twitter.com/NYCHA/status/798545735142739968", "798545735142739968")</f>
        <v>0</v>
      </c>
      <c r="B254" s="2">
        <v>42689.6378935185</v>
      </c>
      <c r="C254">
        <v>0</v>
      </c>
      <c r="D254">
        <v>7</v>
      </c>
      <c r="E254" t="s">
        <v>253</v>
      </c>
    </row>
    <row r="255" spans="1:5">
      <c r="A255">
        <f>HYPERLINK("http://www.twitter.com/NYCHA/status/798541434295091200", "798541434295091200")</f>
        <v>0</v>
      </c>
      <c r="B255" s="2">
        <v>42689.6260185185</v>
      </c>
      <c r="C255">
        <v>0</v>
      </c>
      <c r="D255">
        <v>0</v>
      </c>
      <c r="E255" t="s">
        <v>254</v>
      </c>
    </row>
    <row r="256" spans="1:5">
      <c r="A256">
        <f>HYPERLINK("http://www.twitter.com/NYCHA/status/798526583455748096", "798526583455748096")</f>
        <v>0</v>
      </c>
      <c r="B256" s="2">
        <v>42689.5850462963</v>
      </c>
      <c r="C256">
        <v>1</v>
      </c>
      <c r="D256">
        <v>1</v>
      </c>
      <c r="E256" t="s">
        <v>255</v>
      </c>
    </row>
    <row r="257" spans="1:5">
      <c r="A257">
        <f>HYPERLINK("http://www.twitter.com/NYCHA/status/798518568287617024", "798518568287617024")</f>
        <v>0</v>
      </c>
      <c r="B257" s="2">
        <v>42689.5629282407</v>
      </c>
      <c r="C257">
        <v>5</v>
      </c>
      <c r="D257">
        <v>5</v>
      </c>
      <c r="E257" t="s">
        <v>256</v>
      </c>
    </row>
    <row r="258" spans="1:5">
      <c r="A258">
        <f>HYPERLINK("http://www.twitter.com/NYCHA/status/798295428915691520", "798295428915691520")</f>
        <v>0</v>
      </c>
      <c r="B258" s="2">
        <v>42688.9471759259</v>
      </c>
      <c r="C258">
        <v>4</v>
      </c>
      <c r="D258">
        <v>2</v>
      </c>
      <c r="E258" t="s">
        <v>257</v>
      </c>
    </row>
    <row r="259" spans="1:5">
      <c r="A259">
        <f>HYPERLINK("http://www.twitter.com/NYCHA/status/798292157664788480", "798292157664788480")</f>
        <v>0</v>
      </c>
      <c r="B259" s="2">
        <v>42688.9381481481</v>
      </c>
      <c r="C259">
        <v>0</v>
      </c>
      <c r="D259">
        <v>3</v>
      </c>
      <c r="E259" t="s">
        <v>258</v>
      </c>
    </row>
    <row r="260" spans="1:5">
      <c r="A260">
        <f>HYPERLINK("http://www.twitter.com/NYCHA/status/798231642481524737", "798231642481524737")</f>
        <v>0</v>
      </c>
      <c r="B260" s="2">
        <v>42688.7711574074</v>
      </c>
      <c r="C260">
        <v>4</v>
      </c>
      <c r="D260">
        <v>5</v>
      </c>
      <c r="E260" t="s">
        <v>259</v>
      </c>
    </row>
    <row r="261" spans="1:5">
      <c r="A261">
        <f>HYPERLINK("http://www.twitter.com/NYCHA/status/798217783255375873", "798217783255375873")</f>
        <v>0</v>
      </c>
      <c r="B261" s="2">
        <v>42688.7329166667</v>
      </c>
      <c r="C261">
        <v>0</v>
      </c>
      <c r="D261">
        <v>0</v>
      </c>
      <c r="E261" t="s">
        <v>260</v>
      </c>
    </row>
    <row r="262" spans="1:5">
      <c r="A262">
        <f>HYPERLINK("http://www.twitter.com/NYCHA/status/798214732301959169", "798214732301959169")</f>
        <v>0</v>
      </c>
      <c r="B262" s="2">
        <v>42688.7244907407</v>
      </c>
      <c r="C262">
        <v>0</v>
      </c>
      <c r="D262">
        <v>4</v>
      </c>
      <c r="E262" t="s">
        <v>261</v>
      </c>
    </row>
    <row r="263" spans="1:5">
      <c r="A263">
        <f>HYPERLINK("http://www.twitter.com/NYCHA/status/798201646320877569", "798201646320877569")</f>
        <v>0</v>
      </c>
      <c r="B263" s="2">
        <v>42688.6883912037</v>
      </c>
      <c r="C263">
        <v>0</v>
      </c>
      <c r="D263">
        <v>0</v>
      </c>
      <c r="E263" t="s">
        <v>262</v>
      </c>
    </row>
    <row r="264" spans="1:5">
      <c r="A264">
        <f>HYPERLINK("http://www.twitter.com/NYCHA/status/798198822774120448", "798198822774120448")</f>
        <v>0</v>
      </c>
      <c r="B264" s="2">
        <v>42688.6805902778</v>
      </c>
      <c r="C264">
        <v>0</v>
      </c>
      <c r="D264">
        <v>2</v>
      </c>
      <c r="E264" t="s">
        <v>263</v>
      </c>
    </row>
    <row r="265" spans="1:5">
      <c r="A265">
        <f>HYPERLINK("http://www.twitter.com/NYCHA/status/798198208077987840", "798198208077987840")</f>
        <v>0</v>
      </c>
      <c r="B265" s="2">
        <v>42688.678900463</v>
      </c>
      <c r="C265">
        <v>0</v>
      </c>
      <c r="D265">
        <v>0</v>
      </c>
      <c r="E265" t="s">
        <v>264</v>
      </c>
    </row>
    <row r="266" spans="1:5">
      <c r="A266">
        <f>HYPERLINK("http://www.twitter.com/NYCHA/status/798193122400468993", "798193122400468993")</f>
        <v>0</v>
      </c>
      <c r="B266" s="2">
        <v>42688.6648611111</v>
      </c>
      <c r="C266">
        <v>0</v>
      </c>
      <c r="D266">
        <v>0</v>
      </c>
      <c r="E266" t="s">
        <v>265</v>
      </c>
    </row>
    <row r="267" spans="1:5">
      <c r="A267">
        <f>HYPERLINK("http://www.twitter.com/NYCHA/status/798179326281842688", "798179326281842688")</f>
        <v>0</v>
      </c>
      <c r="B267" s="2">
        <v>42688.6267939815</v>
      </c>
      <c r="C267">
        <v>1</v>
      </c>
      <c r="D267">
        <v>1</v>
      </c>
      <c r="E267" t="s">
        <v>266</v>
      </c>
    </row>
    <row r="268" spans="1:5">
      <c r="A268">
        <f>HYPERLINK("http://www.twitter.com/NYCHA/status/798164205694283776", "798164205694283776")</f>
        <v>0</v>
      </c>
      <c r="B268" s="2">
        <v>42688.5850694444</v>
      </c>
      <c r="C268">
        <v>0</v>
      </c>
      <c r="D268">
        <v>2</v>
      </c>
      <c r="E268" t="s">
        <v>267</v>
      </c>
    </row>
    <row r="269" spans="1:5">
      <c r="A269">
        <f>HYPERLINK("http://www.twitter.com/NYCHA/status/797122398772428800", "797122398772428800")</f>
        <v>0</v>
      </c>
      <c r="B269" s="2">
        <v>42685.7102314815</v>
      </c>
      <c r="C269">
        <v>0</v>
      </c>
      <c r="D269">
        <v>1</v>
      </c>
      <c r="E269" t="s">
        <v>268</v>
      </c>
    </row>
    <row r="270" spans="1:5">
      <c r="A270">
        <f>HYPERLINK("http://www.twitter.com/NYCHA/status/797107492085960708", "797107492085960708")</f>
        <v>0</v>
      </c>
      <c r="B270" s="2">
        <v>42685.6690972222</v>
      </c>
      <c r="C270">
        <v>0</v>
      </c>
      <c r="D270">
        <v>1</v>
      </c>
      <c r="E270" t="s">
        <v>180</v>
      </c>
    </row>
    <row r="271" spans="1:5">
      <c r="A271">
        <f>HYPERLINK("http://www.twitter.com/NYCHA/status/797077068794265600", "797077068794265600")</f>
        <v>0</v>
      </c>
      <c r="B271" s="2">
        <v>42685.5851388889</v>
      </c>
      <c r="C271">
        <v>0</v>
      </c>
      <c r="D271">
        <v>1</v>
      </c>
      <c r="E271" t="s">
        <v>269</v>
      </c>
    </row>
    <row r="272" spans="1:5">
      <c r="A272">
        <f>HYPERLINK("http://www.twitter.com/NYCHA/status/796916681180319745", "796916681180319745")</f>
        <v>0</v>
      </c>
      <c r="B272" s="2">
        <v>42685.1425578704</v>
      </c>
      <c r="C272">
        <v>0</v>
      </c>
      <c r="D272">
        <v>1</v>
      </c>
      <c r="E272" t="s">
        <v>270</v>
      </c>
    </row>
    <row r="273" spans="1:5">
      <c r="A273">
        <f>HYPERLINK("http://www.twitter.com/NYCHA/status/796791068700409856", "796791068700409856")</f>
        <v>0</v>
      </c>
      <c r="B273" s="2">
        <v>42684.7959375</v>
      </c>
      <c r="C273">
        <v>4</v>
      </c>
      <c r="D273">
        <v>2</v>
      </c>
      <c r="E273" t="s">
        <v>271</v>
      </c>
    </row>
    <row r="274" spans="1:5">
      <c r="A274">
        <f>HYPERLINK("http://www.twitter.com/NYCHA/status/796744611989483521", "796744611989483521")</f>
        <v>0</v>
      </c>
      <c r="B274" s="2">
        <v>42684.6677314815</v>
      </c>
      <c r="C274">
        <v>1</v>
      </c>
      <c r="D274">
        <v>0</v>
      </c>
      <c r="E274" t="s">
        <v>272</v>
      </c>
    </row>
    <row r="275" spans="1:5">
      <c r="A275">
        <f>HYPERLINK("http://www.twitter.com/NYCHA/status/796730449661980672", "796730449661980672")</f>
        <v>0</v>
      </c>
      <c r="B275" s="2">
        <v>42684.6286574074</v>
      </c>
      <c r="C275">
        <v>0</v>
      </c>
      <c r="D275">
        <v>2</v>
      </c>
      <c r="E275" t="s">
        <v>273</v>
      </c>
    </row>
    <row r="276" spans="1:5">
      <c r="A276">
        <f>HYPERLINK("http://www.twitter.com/NYCHA/status/796729465464324100", "796729465464324100")</f>
        <v>0</v>
      </c>
      <c r="B276" s="2">
        <v>42684.6259375</v>
      </c>
      <c r="C276">
        <v>1</v>
      </c>
      <c r="D276">
        <v>0</v>
      </c>
      <c r="E276" t="s">
        <v>274</v>
      </c>
    </row>
    <row r="277" spans="1:5">
      <c r="A277">
        <f>HYPERLINK("http://www.twitter.com/NYCHA/status/796728462484602884", "796728462484602884")</f>
        <v>0</v>
      </c>
      <c r="B277" s="2">
        <v>42684.6231712963</v>
      </c>
      <c r="C277">
        <v>0</v>
      </c>
      <c r="D277">
        <v>3</v>
      </c>
      <c r="E277" t="s">
        <v>275</v>
      </c>
    </row>
    <row r="278" spans="1:5">
      <c r="A278">
        <f>HYPERLINK("http://www.twitter.com/NYCHA/status/796714634338254853", "796714634338254853")</f>
        <v>0</v>
      </c>
      <c r="B278" s="2">
        <v>42684.5850115741</v>
      </c>
      <c r="C278">
        <v>0</v>
      </c>
      <c r="D278">
        <v>3</v>
      </c>
      <c r="E278" t="s">
        <v>276</v>
      </c>
    </row>
    <row r="279" spans="1:5">
      <c r="A279">
        <f>HYPERLINK("http://www.twitter.com/NYCHA/status/796464996670668800", "796464996670668800")</f>
        <v>0</v>
      </c>
      <c r="B279" s="2">
        <v>42683.8961458333</v>
      </c>
      <c r="C279">
        <v>4</v>
      </c>
      <c r="D279">
        <v>0</v>
      </c>
      <c r="E279" t="s">
        <v>277</v>
      </c>
    </row>
    <row r="280" spans="1:5">
      <c r="A280">
        <f>HYPERLINK("http://www.twitter.com/NYCHA/status/796430960308977664", "796430960308977664")</f>
        <v>0</v>
      </c>
      <c r="B280" s="2">
        <v>42683.8022222222</v>
      </c>
      <c r="C280">
        <v>0</v>
      </c>
      <c r="D280">
        <v>0</v>
      </c>
      <c r="E280" t="s">
        <v>278</v>
      </c>
    </row>
    <row r="281" spans="1:5">
      <c r="A281">
        <f>HYPERLINK("http://www.twitter.com/NYCHA/status/796397815731720192", "796397815731720192")</f>
        <v>0</v>
      </c>
      <c r="B281" s="2">
        <v>42683.7107638889</v>
      </c>
      <c r="C281">
        <v>1</v>
      </c>
      <c r="D281">
        <v>0</v>
      </c>
      <c r="E281" t="s">
        <v>279</v>
      </c>
    </row>
    <row r="282" spans="1:5">
      <c r="A282">
        <f>HYPERLINK("http://www.twitter.com/NYCHA/status/796385892843696128", "796385892843696128")</f>
        <v>0</v>
      </c>
      <c r="B282" s="2">
        <v>42683.6778587963</v>
      </c>
      <c r="C282">
        <v>0</v>
      </c>
      <c r="D282">
        <v>1</v>
      </c>
      <c r="E282" t="s">
        <v>280</v>
      </c>
    </row>
    <row r="283" spans="1:5">
      <c r="A283">
        <f>HYPERLINK("http://www.twitter.com/NYCHA/status/796365921518489605", "796365921518489605")</f>
        <v>0</v>
      </c>
      <c r="B283" s="2">
        <v>42683.6227546296</v>
      </c>
      <c r="C283">
        <v>0</v>
      </c>
      <c r="D283">
        <v>1</v>
      </c>
      <c r="E283" t="s">
        <v>62</v>
      </c>
    </row>
    <row r="284" spans="1:5">
      <c r="A284">
        <f>HYPERLINK("http://www.twitter.com/NYCHA/status/796352247567421444", "796352247567421444")</f>
        <v>0</v>
      </c>
      <c r="B284" s="2">
        <v>42683.5850115741</v>
      </c>
      <c r="C284">
        <v>2</v>
      </c>
      <c r="D284">
        <v>1</v>
      </c>
      <c r="E284" t="s">
        <v>281</v>
      </c>
    </row>
    <row r="285" spans="1:5">
      <c r="A285">
        <f>HYPERLINK("http://www.twitter.com/NYCHA/status/795944193726234624", "795944193726234624")</f>
        <v>0</v>
      </c>
      <c r="B285" s="2">
        <v>42682.4590046296</v>
      </c>
      <c r="C285">
        <v>4</v>
      </c>
      <c r="D285">
        <v>2</v>
      </c>
      <c r="E285" t="s">
        <v>282</v>
      </c>
    </row>
    <row r="286" spans="1:5">
      <c r="A286">
        <f>HYPERLINK("http://www.twitter.com/NYCHA/status/795702896465678336", "795702896465678336")</f>
        <v>0</v>
      </c>
      <c r="B286" s="2">
        <v>42681.7931481482</v>
      </c>
      <c r="C286">
        <v>0</v>
      </c>
      <c r="D286">
        <v>0</v>
      </c>
      <c r="E286" t="s">
        <v>283</v>
      </c>
    </row>
    <row r="287" spans="1:5">
      <c r="A287">
        <f>HYPERLINK("http://www.twitter.com/NYCHA/status/795690833550966784", "795690833550966784")</f>
        <v>0</v>
      </c>
      <c r="B287" s="2">
        <v>42681.7598611111</v>
      </c>
      <c r="C287">
        <v>0</v>
      </c>
      <c r="D287">
        <v>4</v>
      </c>
      <c r="E287" t="s">
        <v>284</v>
      </c>
    </row>
    <row r="288" spans="1:5">
      <c r="A288">
        <f>HYPERLINK("http://www.twitter.com/NYCHA/status/795669089779908608", "795669089779908608")</f>
        <v>0</v>
      </c>
      <c r="B288" s="2">
        <v>42681.6998611111</v>
      </c>
      <c r="C288">
        <v>0</v>
      </c>
      <c r="D288">
        <v>2</v>
      </c>
      <c r="E288" t="s">
        <v>285</v>
      </c>
    </row>
    <row r="289" spans="1:5">
      <c r="A289">
        <f>HYPERLINK("http://www.twitter.com/NYCHA/status/795663932102803457", "795663932102803457")</f>
        <v>0</v>
      </c>
      <c r="B289" s="2">
        <v>42681.685625</v>
      </c>
      <c r="C289">
        <v>0</v>
      </c>
      <c r="D289">
        <v>13</v>
      </c>
      <c r="E289" t="s">
        <v>286</v>
      </c>
    </row>
    <row r="290" spans="1:5">
      <c r="A290">
        <f>HYPERLINK("http://www.twitter.com/NYCHA/status/795635992262754304", "795635992262754304")</f>
        <v>0</v>
      </c>
      <c r="B290" s="2">
        <v>42681.6085300926</v>
      </c>
      <c r="C290">
        <v>0</v>
      </c>
      <c r="D290">
        <v>0</v>
      </c>
      <c r="E290" t="s">
        <v>287</v>
      </c>
    </row>
    <row r="291" spans="1:5">
      <c r="A291">
        <f>HYPERLINK("http://www.twitter.com/NYCHA/status/795627443059118080", "795627443059118080")</f>
        <v>0</v>
      </c>
      <c r="B291" s="2">
        <v>42681.5849421296</v>
      </c>
      <c r="C291">
        <v>0</v>
      </c>
      <c r="D291">
        <v>1</v>
      </c>
      <c r="E291" t="s">
        <v>288</v>
      </c>
    </row>
    <row r="292" spans="1:5">
      <c r="A292">
        <f>HYPERLINK("http://www.twitter.com/NYCHA/status/794602857702035456", "794602857702035456")</f>
        <v>0</v>
      </c>
      <c r="B292" s="2">
        <v>42678.7576157407</v>
      </c>
      <c r="C292">
        <v>0</v>
      </c>
      <c r="D292">
        <v>2</v>
      </c>
      <c r="E292" t="s">
        <v>289</v>
      </c>
    </row>
    <row r="293" spans="1:5">
      <c r="A293">
        <f>HYPERLINK("http://www.twitter.com/NYCHA/status/794583774956834816", "794583774956834816")</f>
        <v>0</v>
      </c>
      <c r="B293" s="2">
        <v>42678.7049652778</v>
      </c>
      <c r="C293">
        <v>0</v>
      </c>
      <c r="D293">
        <v>6</v>
      </c>
      <c r="E293" t="s">
        <v>290</v>
      </c>
    </row>
    <row r="294" spans="1:5">
      <c r="A294">
        <f>HYPERLINK("http://www.twitter.com/NYCHA/status/794569719466643456", "794569719466643456")</f>
        <v>0</v>
      </c>
      <c r="B294" s="2">
        <v>42678.6661805556</v>
      </c>
      <c r="C294">
        <v>0</v>
      </c>
      <c r="D294">
        <v>4</v>
      </c>
      <c r="E294" t="s">
        <v>291</v>
      </c>
    </row>
    <row r="295" spans="1:5">
      <c r="A295">
        <f>HYPERLINK("http://www.twitter.com/NYCHA/status/794569715901468673", "794569715901468673")</f>
        <v>0</v>
      </c>
      <c r="B295" s="2">
        <v>42678.6661689815</v>
      </c>
      <c r="C295">
        <v>0</v>
      </c>
      <c r="D295">
        <v>5</v>
      </c>
      <c r="E295" t="s">
        <v>292</v>
      </c>
    </row>
    <row r="296" spans="1:5">
      <c r="A296">
        <f>HYPERLINK("http://www.twitter.com/NYCHA/status/794525239740919808", "794525239740919808")</f>
        <v>0</v>
      </c>
      <c r="B296" s="2">
        <v>42678.5434375</v>
      </c>
      <c r="C296">
        <v>0</v>
      </c>
      <c r="D296">
        <v>1</v>
      </c>
      <c r="E296" t="s">
        <v>293</v>
      </c>
    </row>
    <row r="297" spans="1:5">
      <c r="A297">
        <f>HYPERLINK("http://www.twitter.com/NYCHA/status/794290063010103296", "794290063010103296")</f>
        <v>0</v>
      </c>
      <c r="B297" s="2">
        <v>42677.8944675926</v>
      </c>
      <c r="C297">
        <v>7</v>
      </c>
      <c r="D297">
        <v>3</v>
      </c>
      <c r="E297" t="s">
        <v>294</v>
      </c>
    </row>
    <row r="298" spans="1:5">
      <c r="A298">
        <f>HYPERLINK("http://www.twitter.com/NYCHA/status/794281052680388608", "794281052680388608")</f>
        <v>0</v>
      </c>
      <c r="B298" s="2">
        <v>42677.8696064815</v>
      </c>
      <c r="C298">
        <v>0</v>
      </c>
      <c r="D298">
        <v>3</v>
      </c>
      <c r="E298" t="s">
        <v>295</v>
      </c>
    </row>
    <row r="299" spans="1:5">
      <c r="A299">
        <f>HYPERLINK("http://www.twitter.com/NYCHA/status/794276762389774354", "794276762389774354")</f>
        <v>0</v>
      </c>
      <c r="B299" s="2">
        <v>42677.8577662037</v>
      </c>
      <c r="C299">
        <v>1</v>
      </c>
      <c r="D299">
        <v>1</v>
      </c>
      <c r="E299" t="s">
        <v>296</v>
      </c>
    </row>
    <row r="300" spans="1:5">
      <c r="A300">
        <f>HYPERLINK("http://www.twitter.com/NYCHA/status/794264184422862849", "794264184422862849")</f>
        <v>0</v>
      </c>
      <c r="B300" s="2">
        <v>42677.8230555556</v>
      </c>
      <c r="C300">
        <v>1</v>
      </c>
      <c r="D300">
        <v>2</v>
      </c>
      <c r="E300" t="s">
        <v>297</v>
      </c>
    </row>
    <row r="301" spans="1:5">
      <c r="A301">
        <f>HYPERLINK("http://www.twitter.com/NYCHA/status/794259105569505288", "794259105569505288")</f>
        <v>0</v>
      </c>
      <c r="B301" s="2">
        <v>42677.8090509259</v>
      </c>
      <c r="C301">
        <v>0</v>
      </c>
      <c r="D301">
        <v>1</v>
      </c>
      <c r="E301" t="s">
        <v>298</v>
      </c>
    </row>
    <row r="302" spans="1:5">
      <c r="A302">
        <f>HYPERLINK("http://www.twitter.com/NYCHA/status/794257821839872001", "794257821839872001")</f>
        <v>0</v>
      </c>
      <c r="B302" s="2">
        <v>42677.8054976852</v>
      </c>
      <c r="C302">
        <v>0</v>
      </c>
      <c r="D302">
        <v>1</v>
      </c>
      <c r="E302" t="s">
        <v>299</v>
      </c>
    </row>
    <row r="303" spans="1:5">
      <c r="A303">
        <f>HYPERLINK("http://www.twitter.com/NYCHA/status/794253324543524868", "794253324543524868")</f>
        <v>0</v>
      </c>
      <c r="B303" s="2">
        <v>42677.7930902778</v>
      </c>
      <c r="C303">
        <v>2</v>
      </c>
      <c r="D303">
        <v>0</v>
      </c>
      <c r="E303" t="s">
        <v>300</v>
      </c>
    </row>
    <row r="304" spans="1:5">
      <c r="A304">
        <f>HYPERLINK("http://www.twitter.com/NYCHA/status/794248893580066816", "794248893580066816")</f>
        <v>0</v>
      </c>
      <c r="B304" s="2">
        <v>42677.7808680556</v>
      </c>
      <c r="C304">
        <v>0</v>
      </c>
      <c r="D304">
        <v>2</v>
      </c>
      <c r="E304" t="s">
        <v>301</v>
      </c>
    </row>
    <row r="305" spans="1:5">
      <c r="A305">
        <f>HYPERLINK("http://www.twitter.com/NYCHA/status/794248835002417152", "794248835002417152")</f>
        <v>0</v>
      </c>
      <c r="B305" s="2">
        <v>42677.7807060185</v>
      </c>
      <c r="C305">
        <v>0</v>
      </c>
      <c r="D305">
        <v>9</v>
      </c>
      <c r="E305" t="s">
        <v>302</v>
      </c>
    </row>
    <row r="306" spans="1:5">
      <c r="A306">
        <f>HYPERLINK("http://www.twitter.com/NYCHA/status/794223201719042048", "794223201719042048")</f>
        <v>0</v>
      </c>
      <c r="B306" s="2">
        <v>42677.7099652778</v>
      </c>
      <c r="C306">
        <v>0</v>
      </c>
      <c r="D306">
        <v>2</v>
      </c>
      <c r="E306" t="s">
        <v>191</v>
      </c>
    </row>
    <row r="307" spans="1:5">
      <c r="A307">
        <f>HYPERLINK("http://www.twitter.com/NYCHA/status/794208067185496064", "794208067185496064")</f>
        <v>0</v>
      </c>
      <c r="B307" s="2">
        <v>42677.6682060185</v>
      </c>
      <c r="C307">
        <v>1</v>
      </c>
      <c r="D307">
        <v>2</v>
      </c>
      <c r="E307" t="s">
        <v>303</v>
      </c>
    </row>
    <row r="308" spans="1:5">
      <c r="A308">
        <f>HYPERLINK("http://www.twitter.com/NYCHA/status/794197529214775300", "794197529214775300")</f>
        <v>0</v>
      </c>
      <c r="B308" s="2">
        <v>42677.6391319444</v>
      </c>
      <c r="C308">
        <v>0</v>
      </c>
      <c r="D308">
        <v>0</v>
      </c>
      <c r="E308" t="s">
        <v>304</v>
      </c>
    </row>
    <row r="309" spans="1:5">
      <c r="A309">
        <f>HYPERLINK("http://www.twitter.com/NYCHA/status/794190698312585216", "794190698312585216")</f>
        <v>0</v>
      </c>
      <c r="B309" s="2">
        <v>42677.6202777778</v>
      </c>
      <c r="C309">
        <v>0</v>
      </c>
      <c r="D309">
        <v>3</v>
      </c>
      <c r="E309" t="s">
        <v>305</v>
      </c>
    </row>
    <row r="310" spans="1:5">
      <c r="A310">
        <f>HYPERLINK("http://www.twitter.com/NYCHA/status/794188533133176833", "794188533133176833")</f>
        <v>0</v>
      </c>
      <c r="B310" s="2">
        <v>42677.6143055556</v>
      </c>
      <c r="C310">
        <v>0</v>
      </c>
      <c r="D310">
        <v>2</v>
      </c>
      <c r="E310" t="s">
        <v>306</v>
      </c>
    </row>
    <row r="311" spans="1:5">
      <c r="A311">
        <f>HYPERLINK("http://www.twitter.com/NYCHA/status/794188447497986049", "794188447497986049")</f>
        <v>0</v>
      </c>
      <c r="B311" s="2">
        <v>42677.6140625</v>
      </c>
      <c r="C311">
        <v>0</v>
      </c>
      <c r="D311">
        <v>1</v>
      </c>
      <c r="E311" t="s">
        <v>307</v>
      </c>
    </row>
    <row r="312" spans="1:5">
      <c r="A312">
        <f>HYPERLINK("http://www.twitter.com/NYCHA/status/794188301003591680", "794188301003591680")</f>
        <v>0</v>
      </c>
      <c r="B312" s="2">
        <v>42677.6136574074</v>
      </c>
      <c r="C312">
        <v>0</v>
      </c>
      <c r="D312">
        <v>5</v>
      </c>
      <c r="E312" t="s">
        <v>308</v>
      </c>
    </row>
    <row r="313" spans="1:5">
      <c r="A313">
        <f>HYPERLINK("http://www.twitter.com/NYCHA/status/794188085085040640", "794188085085040640")</f>
        <v>0</v>
      </c>
      <c r="B313" s="2">
        <v>42677.6130671296</v>
      </c>
      <c r="C313">
        <v>0</v>
      </c>
      <c r="D313">
        <v>2</v>
      </c>
      <c r="E313" t="s">
        <v>309</v>
      </c>
    </row>
    <row r="314" spans="1:5">
      <c r="A314">
        <f>HYPERLINK("http://www.twitter.com/NYCHA/status/794162816932610049", "794162816932610049")</f>
        <v>0</v>
      </c>
      <c r="B314" s="2">
        <v>42677.5433449074</v>
      </c>
      <c r="C314">
        <v>0</v>
      </c>
      <c r="D314">
        <v>0</v>
      </c>
      <c r="E314" t="s">
        <v>310</v>
      </c>
    </row>
    <row r="315" spans="1:5">
      <c r="A315">
        <f>HYPERLINK("http://www.twitter.com/NYCHA/status/793900139140218880", "793900139140218880")</f>
        <v>0</v>
      </c>
      <c r="B315" s="2">
        <v>42676.8184837963</v>
      </c>
      <c r="C315">
        <v>0</v>
      </c>
      <c r="D315">
        <v>1</v>
      </c>
      <c r="E315" t="s">
        <v>311</v>
      </c>
    </row>
    <row r="316" spans="1:5">
      <c r="A316">
        <f>HYPERLINK("http://www.twitter.com/NYCHA/status/793880206192812032", "793880206192812032")</f>
        <v>0</v>
      </c>
      <c r="B316" s="2">
        <v>42676.7634837963</v>
      </c>
      <c r="C316">
        <v>0</v>
      </c>
      <c r="D316">
        <v>4</v>
      </c>
      <c r="E316" t="s">
        <v>312</v>
      </c>
    </row>
    <row r="317" spans="1:5">
      <c r="A317">
        <f>HYPERLINK("http://www.twitter.com/NYCHA/status/793874700711657474", "793874700711657474")</f>
        <v>0</v>
      </c>
      <c r="B317" s="2">
        <v>42676.748287037</v>
      </c>
      <c r="C317">
        <v>0</v>
      </c>
      <c r="D317">
        <v>3</v>
      </c>
      <c r="E317" t="s">
        <v>313</v>
      </c>
    </row>
    <row r="318" spans="1:5">
      <c r="A318">
        <f>HYPERLINK("http://www.twitter.com/NYCHA/status/793859009589735424", "793859009589735424")</f>
        <v>0</v>
      </c>
      <c r="B318" s="2">
        <v>42676.7049884259</v>
      </c>
      <c r="C318">
        <v>0</v>
      </c>
      <c r="D318">
        <v>10</v>
      </c>
      <c r="E318" t="s">
        <v>314</v>
      </c>
    </row>
    <row r="319" spans="1:5">
      <c r="A319">
        <f>HYPERLINK("http://www.twitter.com/NYCHA/status/793858954216542208", "793858954216542208")</f>
        <v>0</v>
      </c>
      <c r="B319" s="2">
        <v>42676.704837963</v>
      </c>
      <c r="C319">
        <v>0</v>
      </c>
      <c r="D319">
        <v>1</v>
      </c>
      <c r="E319" t="s">
        <v>315</v>
      </c>
    </row>
    <row r="320" spans="1:5">
      <c r="A320">
        <f>HYPERLINK("http://www.twitter.com/NYCHA/status/793848945176879104", "793848945176879104")</f>
        <v>0</v>
      </c>
      <c r="B320" s="2">
        <v>42676.6772222222</v>
      </c>
      <c r="C320">
        <v>2</v>
      </c>
      <c r="D320">
        <v>3</v>
      </c>
      <c r="E320" t="s">
        <v>316</v>
      </c>
    </row>
    <row r="321" spans="1:5">
      <c r="A321">
        <f>HYPERLINK("http://www.twitter.com/NYCHA/status/793830482387595265", "793830482387595265")</f>
        <v>0</v>
      </c>
      <c r="B321" s="2">
        <v>42676.6262731481</v>
      </c>
      <c r="C321">
        <v>2</v>
      </c>
      <c r="D321">
        <v>3</v>
      </c>
      <c r="E321" t="s">
        <v>317</v>
      </c>
    </row>
    <row r="322" spans="1:5">
      <c r="A322">
        <f>HYPERLINK("http://www.twitter.com/NYCHA/status/793801209282985984", "793801209282985984")</f>
        <v>0</v>
      </c>
      <c r="B322" s="2">
        <v>42676.5454976852</v>
      </c>
      <c r="C322">
        <v>1</v>
      </c>
      <c r="D322">
        <v>0</v>
      </c>
      <c r="E322" t="s">
        <v>318</v>
      </c>
    </row>
    <row r="323" spans="1:5">
      <c r="A323">
        <f>HYPERLINK("http://www.twitter.com/NYCHA/status/793800404668743681", "793800404668743681")</f>
        <v>0</v>
      </c>
      <c r="B323" s="2">
        <v>42676.543275463</v>
      </c>
      <c r="C323">
        <v>1</v>
      </c>
      <c r="D323">
        <v>0</v>
      </c>
      <c r="E323" t="s">
        <v>319</v>
      </c>
    </row>
    <row r="324" spans="1:5">
      <c r="A324">
        <f>HYPERLINK("http://www.twitter.com/NYCHA/status/793498516572217344", "793498516572217344")</f>
        <v>0</v>
      </c>
      <c r="B324" s="2">
        <v>42675.7102199074</v>
      </c>
      <c r="C324">
        <v>1</v>
      </c>
      <c r="D324">
        <v>0</v>
      </c>
      <c r="E324" t="s">
        <v>180</v>
      </c>
    </row>
    <row r="325" spans="1:5">
      <c r="A325">
        <f>HYPERLINK("http://www.twitter.com/NYCHA/status/793494186968440832", "793494186968440832")</f>
        <v>0</v>
      </c>
      <c r="B325" s="2">
        <v>42675.698275463</v>
      </c>
      <c r="C325">
        <v>2</v>
      </c>
      <c r="D325">
        <v>2</v>
      </c>
      <c r="E325" t="s">
        <v>320</v>
      </c>
    </row>
    <row r="326" spans="1:5">
      <c r="A326">
        <f>HYPERLINK("http://www.twitter.com/NYCHA/status/793483194066755584", "793483194066755584")</f>
        <v>0</v>
      </c>
      <c r="B326" s="2">
        <v>42675.6679398148</v>
      </c>
      <c r="C326">
        <v>0</v>
      </c>
      <c r="D326">
        <v>1</v>
      </c>
      <c r="E326" t="s">
        <v>321</v>
      </c>
    </row>
    <row r="327" spans="1:5">
      <c r="A327">
        <f>HYPERLINK("http://www.twitter.com/NYCHA/status/793468227531726848", "793468227531726848")</f>
        <v>0</v>
      </c>
      <c r="B327" s="2">
        <v>42675.6266435185</v>
      </c>
      <c r="C327">
        <v>2</v>
      </c>
      <c r="D327">
        <v>0</v>
      </c>
      <c r="E327" t="s">
        <v>322</v>
      </c>
    </row>
    <row r="328" spans="1:5">
      <c r="A328">
        <f>HYPERLINK("http://www.twitter.com/NYCHA/status/793442088708870145", "793442088708870145")</f>
        <v>0</v>
      </c>
      <c r="B328" s="2">
        <v>42675.5545138889</v>
      </c>
      <c r="C328">
        <v>0</v>
      </c>
      <c r="D328">
        <v>3</v>
      </c>
      <c r="E328" t="s">
        <v>323</v>
      </c>
    </row>
    <row r="329" spans="1:5">
      <c r="A329">
        <f>HYPERLINK("http://www.twitter.com/NYCHA/status/793438178522832896", "793438178522832896")</f>
        <v>0</v>
      </c>
      <c r="B329" s="2">
        <v>42675.5437152778</v>
      </c>
      <c r="C329">
        <v>0</v>
      </c>
      <c r="D329">
        <v>1</v>
      </c>
      <c r="E329" t="s">
        <v>324</v>
      </c>
    </row>
    <row r="330" spans="1:5">
      <c r="A330">
        <f>HYPERLINK("http://www.twitter.com/NYCHA/status/793151235876593664", "793151235876593664")</f>
        <v>0</v>
      </c>
      <c r="B330" s="2">
        <v>42674.7519097222</v>
      </c>
      <c r="C330">
        <v>4</v>
      </c>
      <c r="D330">
        <v>1</v>
      </c>
      <c r="E330" t="s">
        <v>325</v>
      </c>
    </row>
    <row r="331" spans="1:5">
      <c r="A331">
        <f>HYPERLINK("http://www.twitter.com/NYCHA/status/793136752504496128", "793136752504496128")</f>
        <v>0</v>
      </c>
      <c r="B331" s="2">
        <v>42674.7119444444</v>
      </c>
      <c r="C331">
        <v>1</v>
      </c>
      <c r="D331">
        <v>0</v>
      </c>
      <c r="E331" t="s">
        <v>326</v>
      </c>
    </row>
    <row r="332" spans="1:5">
      <c r="A332">
        <f>HYPERLINK("http://www.twitter.com/NYCHA/status/793120923100536832", "793120923100536832")</f>
        <v>0</v>
      </c>
      <c r="B332" s="2">
        <v>42674.6682638889</v>
      </c>
      <c r="C332">
        <v>1</v>
      </c>
      <c r="D332">
        <v>2</v>
      </c>
      <c r="E332" t="s">
        <v>327</v>
      </c>
    </row>
    <row r="333" spans="1:5">
      <c r="A333">
        <f>HYPERLINK("http://www.twitter.com/NYCHA/status/793105904128450560", "793105904128450560")</f>
        <v>0</v>
      </c>
      <c r="B333" s="2">
        <v>42674.6268171296</v>
      </c>
      <c r="C333">
        <v>1</v>
      </c>
      <c r="D333">
        <v>3</v>
      </c>
      <c r="E333" t="s">
        <v>328</v>
      </c>
    </row>
    <row r="334" spans="1:5">
      <c r="A334">
        <f>HYPERLINK("http://www.twitter.com/NYCHA/status/793091285397766144", "793091285397766144")</f>
        <v>0</v>
      </c>
      <c r="B334" s="2">
        <v>42674.5864814815</v>
      </c>
      <c r="C334">
        <v>1</v>
      </c>
      <c r="D334">
        <v>1</v>
      </c>
      <c r="E334" t="s">
        <v>329</v>
      </c>
    </row>
    <row r="335" spans="1:5">
      <c r="A335">
        <f>HYPERLINK("http://www.twitter.com/NYCHA/status/793082805135761409", "793082805135761409")</f>
        <v>0</v>
      </c>
      <c r="B335" s="2">
        <v>42674.5630787037</v>
      </c>
      <c r="C335">
        <v>2</v>
      </c>
      <c r="D335">
        <v>0</v>
      </c>
      <c r="E335" t="s">
        <v>330</v>
      </c>
    </row>
    <row r="336" spans="1:5">
      <c r="A336">
        <f>HYPERLINK("http://www.twitter.com/NYCHA/status/793075724064350208", "793075724064350208")</f>
        <v>0</v>
      </c>
      <c r="B336" s="2">
        <v>42674.5435300926</v>
      </c>
      <c r="C336">
        <v>2</v>
      </c>
      <c r="D336">
        <v>1</v>
      </c>
      <c r="E336" t="s">
        <v>331</v>
      </c>
    </row>
    <row r="337" spans="1:5">
      <c r="A337">
        <f>HYPERLINK("http://www.twitter.com/NYCHA/status/793060459922554883", "793060459922554883")</f>
        <v>0</v>
      </c>
      <c r="B337" s="2">
        <v>42674.501412037</v>
      </c>
      <c r="C337">
        <v>2</v>
      </c>
      <c r="D337">
        <v>1</v>
      </c>
      <c r="E337" t="s">
        <v>332</v>
      </c>
    </row>
    <row r="338" spans="1:5">
      <c r="A338">
        <f>HYPERLINK("http://www.twitter.com/NYCHA/status/792879037127557120", "792879037127557120")</f>
        <v>0</v>
      </c>
      <c r="B338" s="2">
        <v>42674.000787037</v>
      </c>
      <c r="C338">
        <v>2</v>
      </c>
      <c r="D338">
        <v>2</v>
      </c>
      <c r="E338" t="s">
        <v>333</v>
      </c>
    </row>
    <row r="339" spans="1:5">
      <c r="A339">
        <f>HYPERLINK("http://www.twitter.com/NYCHA/status/792758216715296768", "792758216715296768")</f>
        <v>0</v>
      </c>
      <c r="B339" s="2">
        <v>42673.6673842593</v>
      </c>
      <c r="C339">
        <v>3</v>
      </c>
      <c r="D339">
        <v>1</v>
      </c>
      <c r="E339" t="s">
        <v>334</v>
      </c>
    </row>
    <row r="340" spans="1:5">
      <c r="A340">
        <f>HYPERLINK("http://www.twitter.com/NYCHA/status/792415422549266433", "792415422549266433")</f>
        <v>0</v>
      </c>
      <c r="B340" s="2">
        <v>42672.7214467593</v>
      </c>
      <c r="C340">
        <v>0</v>
      </c>
      <c r="D340">
        <v>4</v>
      </c>
      <c r="E340" t="s">
        <v>335</v>
      </c>
    </row>
    <row r="341" spans="1:5">
      <c r="A341">
        <f>HYPERLINK("http://www.twitter.com/NYCHA/status/792415137185619968", "792415137185619968")</f>
        <v>0</v>
      </c>
      <c r="B341" s="2">
        <v>42672.7206597222</v>
      </c>
      <c r="C341">
        <v>7</v>
      </c>
      <c r="D341">
        <v>4</v>
      </c>
      <c r="E341" t="s">
        <v>336</v>
      </c>
    </row>
    <row r="342" spans="1:5">
      <c r="A342">
        <f>HYPERLINK("http://www.twitter.com/NYCHA/status/792414051192168448", "792414051192168448")</f>
        <v>0</v>
      </c>
      <c r="B342" s="2">
        <v>42672.717662037</v>
      </c>
      <c r="C342">
        <v>0</v>
      </c>
      <c r="D342">
        <v>3</v>
      </c>
      <c r="E342" t="s">
        <v>337</v>
      </c>
    </row>
    <row r="343" spans="1:5">
      <c r="A343">
        <f>HYPERLINK("http://www.twitter.com/NYCHA/status/792413738116743169", "792413738116743169")</f>
        <v>0</v>
      </c>
      <c r="B343" s="2">
        <v>42672.7168055556</v>
      </c>
      <c r="C343">
        <v>2</v>
      </c>
      <c r="D343">
        <v>0</v>
      </c>
      <c r="E343" t="s">
        <v>338</v>
      </c>
    </row>
    <row r="344" spans="1:5">
      <c r="A344">
        <f>HYPERLINK("http://www.twitter.com/NYCHA/status/792365687721299972", "792365687721299972")</f>
        <v>0</v>
      </c>
      <c r="B344" s="2">
        <v>42672.584212963</v>
      </c>
      <c r="C344">
        <v>1</v>
      </c>
      <c r="D344">
        <v>1</v>
      </c>
      <c r="E344" t="s">
        <v>339</v>
      </c>
    </row>
    <row r="345" spans="1:5">
      <c r="A345">
        <f>HYPERLINK("http://www.twitter.com/NYCHA/status/792135171168473088", "792135171168473088")</f>
        <v>0</v>
      </c>
      <c r="B345" s="2">
        <v>42671.9481018518</v>
      </c>
      <c r="C345">
        <v>2</v>
      </c>
      <c r="D345">
        <v>0</v>
      </c>
      <c r="E345" t="s">
        <v>340</v>
      </c>
    </row>
    <row r="346" spans="1:5">
      <c r="A346">
        <f>HYPERLINK("http://www.twitter.com/NYCHA/status/792130113018138625", "792130113018138625")</f>
        <v>0</v>
      </c>
      <c r="B346" s="2">
        <v>42671.9341435185</v>
      </c>
      <c r="C346">
        <v>1</v>
      </c>
      <c r="D346">
        <v>3</v>
      </c>
      <c r="E346" t="s">
        <v>341</v>
      </c>
    </row>
    <row r="347" spans="1:5">
      <c r="A347">
        <f>HYPERLINK("http://www.twitter.com/NYCHA/status/792116298696237058", "792116298696237058")</f>
        <v>0</v>
      </c>
      <c r="B347" s="2">
        <v>42671.8960300926</v>
      </c>
      <c r="C347">
        <v>2</v>
      </c>
      <c r="D347">
        <v>0</v>
      </c>
      <c r="E347" t="s">
        <v>342</v>
      </c>
    </row>
    <row r="348" spans="1:5">
      <c r="A348">
        <f>HYPERLINK("http://www.twitter.com/NYCHA/status/792101278725836800", "792101278725836800")</f>
        <v>0</v>
      </c>
      <c r="B348" s="2">
        <v>42671.8545833333</v>
      </c>
      <c r="C348">
        <v>1</v>
      </c>
      <c r="D348">
        <v>1</v>
      </c>
      <c r="E348" t="s">
        <v>343</v>
      </c>
    </row>
    <row r="349" spans="1:5">
      <c r="A349">
        <f>HYPERLINK("http://www.twitter.com/NYCHA/status/792091118221615104", "792091118221615104")</f>
        <v>0</v>
      </c>
      <c r="B349" s="2">
        <v>42671.8265393519</v>
      </c>
      <c r="C349">
        <v>2</v>
      </c>
      <c r="D349">
        <v>2</v>
      </c>
      <c r="E349" t="s">
        <v>344</v>
      </c>
    </row>
    <row r="350" spans="1:5">
      <c r="A350">
        <f>HYPERLINK("http://www.twitter.com/NYCHA/status/792090327339376640", "792090327339376640")</f>
        <v>0</v>
      </c>
      <c r="B350" s="2">
        <v>42671.8243634259</v>
      </c>
      <c r="C350">
        <v>0</v>
      </c>
      <c r="D350">
        <v>1</v>
      </c>
      <c r="E350" t="s">
        <v>345</v>
      </c>
    </row>
    <row r="351" spans="1:5">
      <c r="A351">
        <f>HYPERLINK("http://www.twitter.com/NYCHA/status/792079372173869056", "792079372173869056")</f>
        <v>0</v>
      </c>
      <c r="B351" s="2">
        <v>42671.7941319444</v>
      </c>
      <c r="C351">
        <v>0</v>
      </c>
      <c r="D351">
        <v>4</v>
      </c>
      <c r="E351" t="s">
        <v>346</v>
      </c>
    </row>
    <row r="352" spans="1:5">
      <c r="A352">
        <f>HYPERLINK("http://www.twitter.com/NYCHA/status/792063618946854912", "792063618946854912")</f>
        <v>0</v>
      </c>
      <c r="B352" s="2">
        <v>42671.7506597222</v>
      </c>
      <c r="C352">
        <v>1</v>
      </c>
      <c r="D352">
        <v>1</v>
      </c>
      <c r="E352" t="s">
        <v>347</v>
      </c>
    </row>
    <row r="353" spans="1:5">
      <c r="A353">
        <f>HYPERLINK("http://www.twitter.com/NYCHA/status/792056245956014080", "792056245956014080")</f>
        <v>0</v>
      </c>
      <c r="B353" s="2">
        <v>42671.7303125</v>
      </c>
      <c r="C353">
        <v>0</v>
      </c>
      <c r="D353">
        <v>2</v>
      </c>
      <c r="E353" t="s">
        <v>348</v>
      </c>
    </row>
    <row r="354" spans="1:5">
      <c r="A354">
        <f>HYPERLINK("http://www.twitter.com/NYCHA/status/792055945778044929", "792055945778044929")</f>
        <v>0</v>
      </c>
      <c r="B354" s="2">
        <v>42671.7294791667</v>
      </c>
      <c r="C354">
        <v>0</v>
      </c>
      <c r="D354">
        <v>0</v>
      </c>
      <c r="E354" t="s">
        <v>349</v>
      </c>
    </row>
    <row r="355" spans="1:5">
      <c r="A355">
        <f>HYPERLINK("http://www.twitter.com/NYCHA/status/792045917314703360", "792045917314703360")</f>
        <v>0</v>
      </c>
      <c r="B355" s="2">
        <v>42671.7018055556</v>
      </c>
      <c r="C355">
        <v>0</v>
      </c>
      <c r="D355">
        <v>3</v>
      </c>
      <c r="E355" t="s">
        <v>350</v>
      </c>
    </row>
    <row r="356" spans="1:5">
      <c r="A356">
        <f>HYPERLINK("http://www.twitter.com/NYCHA/status/792040822673924096", "792040822673924096")</f>
        <v>0</v>
      </c>
      <c r="B356" s="2">
        <v>42671.6877546296</v>
      </c>
      <c r="C356">
        <v>0</v>
      </c>
      <c r="D356">
        <v>0</v>
      </c>
      <c r="E356" t="s">
        <v>351</v>
      </c>
    </row>
    <row r="357" spans="1:5">
      <c r="A357">
        <f>HYPERLINK("http://www.twitter.com/NYCHA/status/792036147035795456", "792036147035795456")</f>
        <v>0</v>
      </c>
      <c r="B357" s="2">
        <v>42671.674849537</v>
      </c>
      <c r="C357">
        <v>1</v>
      </c>
      <c r="D357">
        <v>0</v>
      </c>
      <c r="E357" t="s">
        <v>352</v>
      </c>
    </row>
    <row r="358" spans="1:5">
      <c r="A358">
        <f>HYPERLINK("http://www.twitter.com/NYCHA/status/792027654564278272", "792027654564278272")</f>
        <v>0</v>
      </c>
      <c r="B358" s="2">
        <v>42671.651412037</v>
      </c>
      <c r="C358">
        <v>2</v>
      </c>
      <c r="D358">
        <v>0</v>
      </c>
      <c r="E358" t="s">
        <v>353</v>
      </c>
    </row>
    <row r="359" spans="1:5">
      <c r="A359">
        <f>HYPERLINK("http://www.twitter.com/NYCHA/status/792023205531774977", "792023205531774977")</f>
        <v>0</v>
      </c>
      <c r="B359" s="2">
        <v>42671.6391319444</v>
      </c>
      <c r="C359">
        <v>0</v>
      </c>
      <c r="D359">
        <v>1</v>
      </c>
      <c r="E359" t="s">
        <v>354</v>
      </c>
    </row>
    <row r="360" spans="1:5">
      <c r="A360">
        <f>HYPERLINK("http://www.twitter.com/NYCHA/status/792022268746555392", "792022268746555392")</f>
        <v>0</v>
      </c>
      <c r="B360" s="2">
        <v>42671.6365509259</v>
      </c>
      <c r="C360">
        <v>3</v>
      </c>
      <c r="D360">
        <v>2</v>
      </c>
      <c r="E360" t="s">
        <v>355</v>
      </c>
    </row>
    <row r="361" spans="1:5">
      <c r="A361">
        <f>HYPERLINK("http://www.twitter.com/NYCHA/status/792018657551458304", "792018657551458304")</f>
        <v>0</v>
      </c>
      <c r="B361" s="2">
        <v>42671.6265856481</v>
      </c>
      <c r="C361">
        <v>0</v>
      </c>
      <c r="D361">
        <v>0</v>
      </c>
      <c r="E361" t="s">
        <v>356</v>
      </c>
    </row>
    <row r="362" spans="1:5">
      <c r="A362">
        <f>HYPERLINK("http://www.twitter.com/NYCHA/status/792014610975039489", "792014610975039489")</f>
        <v>0</v>
      </c>
      <c r="B362" s="2">
        <v>42671.6154166667</v>
      </c>
      <c r="C362">
        <v>0</v>
      </c>
      <c r="D362">
        <v>3</v>
      </c>
      <c r="E362" t="s">
        <v>357</v>
      </c>
    </row>
    <row r="363" spans="1:5">
      <c r="A363">
        <f>HYPERLINK("http://www.twitter.com/NYCHA/status/792014272968683524", "792014272968683524")</f>
        <v>0</v>
      </c>
      <c r="B363" s="2">
        <v>42671.6144907407</v>
      </c>
      <c r="C363">
        <v>0</v>
      </c>
      <c r="D363">
        <v>1</v>
      </c>
      <c r="E363" t="s">
        <v>358</v>
      </c>
    </row>
    <row r="364" spans="1:5">
      <c r="A364">
        <f>HYPERLINK("http://www.twitter.com/NYCHA/status/792003560888229892", "792003560888229892")</f>
        <v>0</v>
      </c>
      <c r="B364" s="2">
        <v>42671.5849305556</v>
      </c>
      <c r="C364">
        <v>0</v>
      </c>
      <c r="D364">
        <v>0</v>
      </c>
      <c r="E364" t="s">
        <v>359</v>
      </c>
    </row>
    <row r="365" spans="1:5">
      <c r="A365">
        <f>HYPERLINK("http://www.twitter.com/NYCHA/status/791990548504674304", "791990548504674304")</f>
        <v>0</v>
      </c>
      <c r="B365" s="2">
        <v>42671.5490162037</v>
      </c>
      <c r="C365">
        <v>2</v>
      </c>
      <c r="D365">
        <v>1</v>
      </c>
      <c r="E365" t="s">
        <v>360</v>
      </c>
    </row>
    <row r="366" spans="1:5">
      <c r="A366">
        <f>HYPERLINK("http://www.twitter.com/NYCHA/status/791988605967368192", "791988605967368192")</f>
        <v>0</v>
      </c>
      <c r="B366" s="2">
        <v>42671.5436574074</v>
      </c>
      <c r="C366">
        <v>1</v>
      </c>
      <c r="D366">
        <v>3</v>
      </c>
      <c r="E366" t="s">
        <v>361</v>
      </c>
    </row>
    <row r="367" spans="1:5">
      <c r="A367">
        <f>HYPERLINK("http://www.twitter.com/NYCHA/status/791986692630671361", "791986692630671361")</f>
        <v>0</v>
      </c>
      <c r="B367" s="2">
        <v>42671.5383796296</v>
      </c>
      <c r="C367">
        <v>3</v>
      </c>
      <c r="D367">
        <v>3</v>
      </c>
      <c r="E367" t="s">
        <v>362</v>
      </c>
    </row>
    <row r="368" spans="1:5">
      <c r="A368">
        <f>HYPERLINK("http://www.twitter.com/NYCHA/status/791973014107746306", "791973014107746306")</f>
        <v>0</v>
      </c>
      <c r="B368" s="2">
        <v>42671.5006365741</v>
      </c>
      <c r="C368">
        <v>3</v>
      </c>
      <c r="D368">
        <v>1</v>
      </c>
      <c r="E368" t="s">
        <v>363</v>
      </c>
    </row>
    <row r="369" spans="1:5">
      <c r="A369">
        <f>HYPERLINK("http://www.twitter.com/NYCHA/status/791957948108988416", "791957948108988416")</f>
        <v>0</v>
      </c>
      <c r="B369" s="2">
        <v>42671.4590625</v>
      </c>
      <c r="C369">
        <v>8</v>
      </c>
      <c r="D369">
        <v>4</v>
      </c>
      <c r="E369" t="s">
        <v>364</v>
      </c>
    </row>
    <row r="370" spans="1:5">
      <c r="A370">
        <f>HYPERLINK("http://www.twitter.com/NYCHA/status/791822151515004928", "791822151515004928")</f>
        <v>0</v>
      </c>
      <c r="B370" s="2">
        <v>42671.0843287037</v>
      </c>
      <c r="C370">
        <v>0</v>
      </c>
      <c r="D370">
        <v>13</v>
      </c>
      <c r="E370" t="s">
        <v>365</v>
      </c>
    </row>
    <row r="371" spans="1:5">
      <c r="A371">
        <f>HYPERLINK("http://www.twitter.com/NYCHA/status/791778023079079936", "791778023079079936")</f>
        <v>0</v>
      </c>
      <c r="B371" s="2">
        <v>42670.9625578704</v>
      </c>
      <c r="C371">
        <v>3</v>
      </c>
      <c r="D371">
        <v>0</v>
      </c>
      <c r="E371" t="s">
        <v>366</v>
      </c>
    </row>
    <row r="372" spans="1:5">
      <c r="A372">
        <f>HYPERLINK("http://www.twitter.com/NYCHA/status/791777528507731968", "791777528507731968")</f>
        <v>0</v>
      </c>
      <c r="B372" s="2">
        <v>42670.9611921296</v>
      </c>
      <c r="C372">
        <v>4</v>
      </c>
      <c r="D372">
        <v>0</v>
      </c>
      <c r="E372" t="s">
        <v>367</v>
      </c>
    </row>
    <row r="373" spans="1:5">
      <c r="A373">
        <f>HYPERLINK("http://www.twitter.com/NYCHA/status/791767031318192128", "791767031318192128")</f>
        <v>0</v>
      </c>
      <c r="B373" s="2">
        <v>42670.9322337963</v>
      </c>
      <c r="C373">
        <v>7</v>
      </c>
      <c r="D373">
        <v>7</v>
      </c>
      <c r="E373" t="s">
        <v>368</v>
      </c>
    </row>
    <row r="374" spans="1:5">
      <c r="A374">
        <f>HYPERLINK("http://www.twitter.com/NYCHA/status/791718652567494660", "791718652567494660")</f>
        <v>0</v>
      </c>
      <c r="B374" s="2">
        <v>42670.7987268519</v>
      </c>
      <c r="C374">
        <v>2</v>
      </c>
      <c r="D374">
        <v>5</v>
      </c>
      <c r="E374" t="s">
        <v>369</v>
      </c>
    </row>
    <row r="375" spans="1:5">
      <c r="A375">
        <f>HYPERLINK("http://www.twitter.com/NYCHA/status/791693707351384064", "791693707351384064")</f>
        <v>0</v>
      </c>
      <c r="B375" s="2">
        <v>42670.7298958333</v>
      </c>
      <c r="C375">
        <v>2</v>
      </c>
      <c r="D375">
        <v>1</v>
      </c>
      <c r="E375" t="s">
        <v>370</v>
      </c>
    </row>
    <row r="376" spans="1:5">
      <c r="A376">
        <f>HYPERLINK("http://www.twitter.com/NYCHA/status/791686453533302784", "791686453533302784")</f>
        <v>0</v>
      </c>
      <c r="B376" s="2">
        <v>42670.7098842593</v>
      </c>
      <c r="C376">
        <v>0</v>
      </c>
      <c r="D376">
        <v>1</v>
      </c>
      <c r="E376" t="s">
        <v>371</v>
      </c>
    </row>
    <row r="377" spans="1:5">
      <c r="A377">
        <f>HYPERLINK("http://www.twitter.com/NYCHA/status/791673396450983936", "791673396450983936")</f>
        <v>0</v>
      </c>
      <c r="B377" s="2">
        <v>42670.6738425926</v>
      </c>
      <c r="C377">
        <v>0</v>
      </c>
      <c r="D377">
        <v>2</v>
      </c>
      <c r="E377" t="s">
        <v>372</v>
      </c>
    </row>
    <row r="378" spans="1:5">
      <c r="A378">
        <f>HYPERLINK("http://www.twitter.com/NYCHA/status/791673305195548672", "791673305195548672")</f>
        <v>0</v>
      </c>
      <c r="B378" s="2">
        <v>42670.673599537</v>
      </c>
      <c r="C378">
        <v>0</v>
      </c>
      <c r="D378">
        <v>2</v>
      </c>
      <c r="E378" t="s">
        <v>373</v>
      </c>
    </row>
    <row r="379" spans="1:5">
      <c r="A379">
        <f>HYPERLINK("http://www.twitter.com/NYCHA/status/791671616174448642", "791671616174448642")</f>
        <v>0</v>
      </c>
      <c r="B379" s="2">
        <v>42670.6689351852</v>
      </c>
      <c r="C379">
        <v>0</v>
      </c>
      <c r="D379">
        <v>11</v>
      </c>
      <c r="E379" t="s">
        <v>374</v>
      </c>
    </row>
    <row r="380" spans="1:5">
      <c r="A380">
        <f>HYPERLINK("http://www.twitter.com/NYCHA/status/791671469717716992", "791671469717716992")</f>
        <v>0</v>
      </c>
      <c r="B380" s="2">
        <v>42670.6685300926</v>
      </c>
      <c r="C380">
        <v>0</v>
      </c>
      <c r="D380">
        <v>1</v>
      </c>
      <c r="E380" t="s">
        <v>375</v>
      </c>
    </row>
    <row r="381" spans="1:5">
      <c r="A381">
        <f>HYPERLINK("http://www.twitter.com/NYCHA/status/791670658711388164", "791670658711388164")</f>
        <v>0</v>
      </c>
      <c r="B381" s="2">
        <v>42670.6662962963</v>
      </c>
      <c r="C381">
        <v>0</v>
      </c>
      <c r="D381">
        <v>0</v>
      </c>
      <c r="E381" t="s">
        <v>376</v>
      </c>
    </row>
    <row r="382" spans="1:5">
      <c r="A382">
        <f>HYPERLINK("http://www.twitter.com/NYCHA/status/791669991636602882", "791669991636602882")</f>
        <v>0</v>
      </c>
      <c r="B382" s="2">
        <v>42670.6644560185</v>
      </c>
      <c r="C382">
        <v>0</v>
      </c>
      <c r="D382">
        <v>0</v>
      </c>
      <c r="E382" t="s">
        <v>377</v>
      </c>
    </row>
    <row r="383" spans="1:5">
      <c r="A383">
        <f>HYPERLINK("http://www.twitter.com/NYCHA/status/791668778002214913", "791668778002214913")</f>
        <v>0</v>
      </c>
      <c r="B383" s="2">
        <v>42670.661099537</v>
      </c>
      <c r="C383">
        <v>1</v>
      </c>
      <c r="D383">
        <v>0</v>
      </c>
      <c r="E383" t="s">
        <v>378</v>
      </c>
    </row>
    <row r="384" spans="1:5">
      <c r="A384">
        <f>HYPERLINK("http://www.twitter.com/NYCHA/status/791667734249607168", "791667734249607168")</f>
        <v>0</v>
      </c>
      <c r="B384" s="2">
        <v>42670.6582175926</v>
      </c>
      <c r="C384">
        <v>1</v>
      </c>
      <c r="D384">
        <v>3</v>
      </c>
      <c r="E384" t="s">
        <v>379</v>
      </c>
    </row>
    <row r="385" spans="1:5">
      <c r="A385">
        <f>HYPERLINK("http://www.twitter.com/NYCHA/status/791666359218348033", "791666359218348033")</f>
        <v>0</v>
      </c>
      <c r="B385" s="2">
        <v>42670.6544328704</v>
      </c>
      <c r="C385">
        <v>0</v>
      </c>
      <c r="D385">
        <v>0</v>
      </c>
      <c r="E385" t="s">
        <v>380</v>
      </c>
    </row>
    <row r="386" spans="1:5">
      <c r="A386">
        <f>HYPERLINK("http://www.twitter.com/NYCHA/status/791665656718618625", "791665656718618625")</f>
        <v>0</v>
      </c>
      <c r="B386" s="2">
        <v>42670.6524884259</v>
      </c>
      <c r="C386">
        <v>0</v>
      </c>
      <c r="D386">
        <v>0</v>
      </c>
      <c r="E386" t="s">
        <v>381</v>
      </c>
    </row>
    <row r="387" spans="1:5">
      <c r="A387">
        <f>HYPERLINK("http://www.twitter.com/NYCHA/status/791664746709803009", "791664746709803009")</f>
        <v>0</v>
      </c>
      <c r="B387" s="2">
        <v>42670.6499768519</v>
      </c>
      <c r="C387">
        <v>0</v>
      </c>
      <c r="D387">
        <v>1</v>
      </c>
      <c r="E387" t="s">
        <v>382</v>
      </c>
    </row>
    <row r="388" spans="1:5">
      <c r="A388">
        <f>HYPERLINK("http://www.twitter.com/NYCHA/status/791664676316872704", "791664676316872704")</f>
        <v>0</v>
      </c>
      <c r="B388" s="2">
        <v>42670.6497800926</v>
      </c>
      <c r="C388">
        <v>0</v>
      </c>
      <c r="D388">
        <v>1</v>
      </c>
      <c r="E388" t="s">
        <v>383</v>
      </c>
    </row>
    <row r="389" spans="1:5">
      <c r="A389">
        <f>HYPERLINK("http://www.twitter.com/NYCHA/status/791657237634613248", "791657237634613248")</f>
        <v>0</v>
      </c>
      <c r="B389" s="2">
        <v>42670.6292592593</v>
      </c>
      <c r="C389">
        <v>0</v>
      </c>
      <c r="D389">
        <v>0</v>
      </c>
      <c r="E389" t="s">
        <v>384</v>
      </c>
    </row>
    <row r="390" spans="1:5">
      <c r="A390">
        <f>HYPERLINK("http://www.twitter.com/NYCHA/status/791656348463292416", "791656348463292416")</f>
        <v>0</v>
      </c>
      <c r="B390" s="2">
        <v>42670.6268055556</v>
      </c>
      <c r="C390">
        <v>2</v>
      </c>
      <c r="D390">
        <v>4</v>
      </c>
      <c r="E390" t="s">
        <v>385</v>
      </c>
    </row>
    <row r="391" spans="1:5">
      <c r="A391">
        <f>HYPERLINK("http://www.twitter.com/NYCHA/status/791647227353661441", "791647227353661441")</f>
        <v>0</v>
      </c>
      <c r="B391" s="2">
        <v>42670.6016319444</v>
      </c>
      <c r="C391">
        <v>0</v>
      </c>
      <c r="D391">
        <v>2</v>
      </c>
      <c r="E391" t="s">
        <v>386</v>
      </c>
    </row>
    <row r="392" spans="1:5">
      <c r="A392">
        <f>HYPERLINK("http://www.twitter.com/NYCHA/status/791647190129184768", "791647190129184768")</f>
        <v>0</v>
      </c>
      <c r="B392" s="2">
        <v>42670.6015277778</v>
      </c>
      <c r="C392">
        <v>0</v>
      </c>
      <c r="D392">
        <v>4</v>
      </c>
      <c r="E392" t="s">
        <v>387</v>
      </c>
    </row>
    <row r="393" spans="1:5">
      <c r="A393">
        <f>HYPERLINK("http://www.twitter.com/NYCHA/status/791626279267205120", "791626279267205120")</f>
        <v>0</v>
      </c>
      <c r="B393" s="2">
        <v>42670.5438310185</v>
      </c>
      <c r="C393">
        <v>0</v>
      </c>
      <c r="D393">
        <v>0</v>
      </c>
      <c r="E393" t="s">
        <v>388</v>
      </c>
    </row>
    <row r="394" spans="1:5">
      <c r="A394">
        <f>HYPERLINK("http://www.twitter.com/NYCHA/status/791372633212383233", "791372633212383233")</f>
        <v>0</v>
      </c>
      <c r="B394" s="2">
        <v>42669.843900463</v>
      </c>
      <c r="C394">
        <v>3</v>
      </c>
      <c r="D394">
        <v>0</v>
      </c>
      <c r="E394" t="s">
        <v>389</v>
      </c>
    </row>
    <row r="395" spans="1:5">
      <c r="A395">
        <f>HYPERLINK("http://www.twitter.com/NYCHA/status/791362361223446528", "791362361223446528")</f>
        <v>0</v>
      </c>
      <c r="B395" s="2">
        <v>42669.8155555556</v>
      </c>
      <c r="C395">
        <v>0</v>
      </c>
      <c r="D395">
        <v>5</v>
      </c>
      <c r="E395" t="s">
        <v>390</v>
      </c>
    </row>
    <row r="396" spans="1:5">
      <c r="A396">
        <f>HYPERLINK("http://www.twitter.com/NYCHA/status/791353084312162304", "791353084312162304")</f>
        <v>0</v>
      </c>
      <c r="B396" s="2">
        <v>42669.7899537037</v>
      </c>
      <c r="C396">
        <v>0</v>
      </c>
      <c r="D396">
        <v>1</v>
      </c>
      <c r="E396" t="s">
        <v>391</v>
      </c>
    </row>
    <row r="397" spans="1:5">
      <c r="A397">
        <f>HYPERLINK("http://www.twitter.com/NYCHA/status/791353033036853248", "791353033036853248")</f>
        <v>0</v>
      </c>
      <c r="B397" s="2">
        <v>42669.7898148148</v>
      </c>
      <c r="C397">
        <v>0</v>
      </c>
      <c r="D397">
        <v>1</v>
      </c>
      <c r="E397" t="s">
        <v>392</v>
      </c>
    </row>
    <row r="398" spans="1:5">
      <c r="A398">
        <f>HYPERLINK("http://www.twitter.com/NYCHA/status/791352989470584832", "791352989470584832")</f>
        <v>0</v>
      </c>
      <c r="B398" s="2">
        <v>42669.7896875</v>
      </c>
      <c r="C398">
        <v>0</v>
      </c>
      <c r="D398">
        <v>1</v>
      </c>
      <c r="E398" t="s">
        <v>393</v>
      </c>
    </row>
    <row r="399" spans="1:5">
      <c r="A399">
        <f>HYPERLINK("http://www.twitter.com/NYCHA/status/791324170655334401", "791324170655334401")</f>
        <v>0</v>
      </c>
      <c r="B399" s="2">
        <v>42669.7101736111</v>
      </c>
      <c r="C399">
        <v>0</v>
      </c>
      <c r="D399">
        <v>0</v>
      </c>
      <c r="E399" t="s">
        <v>394</v>
      </c>
    </row>
    <row r="400" spans="1:5">
      <c r="A400">
        <f>HYPERLINK("http://www.twitter.com/NYCHA/status/791309347737464834", "791309347737464834")</f>
        <v>0</v>
      </c>
      <c r="B400" s="2">
        <v>42669.6692592593</v>
      </c>
      <c r="C400">
        <v>1</v>
      </c>
      <c r="D400">
        <v>2</v>
      </c>
      <c r="E400" t="s">
        <v>395</v>
      </c>
    </row>
    <row r="401" spans="1:5">
      <c r="A401">
        <f>HYPERLINK("http://www.twitter.com/NYCHA/status/791294148926111745", "791294148926111745")</f>
        <v>0</v>
      </c>
      <c r="B401" s="2">
        <v>42669.6273263889</v>
      </c>
      <c r="C401">
        <v>7</v>
      </c>
      <c r="D401">
        <v>3</v>
      </c>
      <c r="E401" t="s">
        <v>396</v>
      </c>
    </row>
    <row r="402" spans="1:5">
      <c r="A402">
        <f>HYPERLINK("http://www.twitter.com/NYCHA/status/791286177957498880", "791286177957498880")</f>
        <v>0</v>
      </c>
      <c r="B402" s="2">
        <v>42669.6053240741</v>
      </c>
      <c r="C402">
        <v>0</v>
      </c>
      <c r="D402">
        <v>1</v>
      </c>
      <c r="E402" t="s">
        <v>397</v>
      </c>
    </row>
    <row r="403" spans="1:5">
      <c r="A403">
        <f>HYPERLINK("http://www.twitter.com/NYCHA/status/791286136450772993", "791286136450772993")</f>
        <v>0</v>
      </c>
      <c r="B403" s="2">
        <v>42669.6052083333</v>
      </c>
      <c r="C403">
        <v>0</v>
      </c>
      <c r="D403">
        <v>2</v>
      </c>
      <c r="E403" t="s">
        <v>398</v>
      </c>
    </row>
    <row r="404" spans="1:5">
      <c r="A404">
        <f>HYPERLINK("http://www.twitter.com/NYCHA/status/791286078183473153", "791286078183473153")</f>
        <v>0</v>
      </c>
      <c r="B404" s="2">
        <v>42669.6050578704</v>
      </c>
      <c r="C404">
        <v>0</v>
      </c>
      <c r="D404">
        <v>4</v>
      </c>
      <c r="E404" t="s">
        <v>399</v>
      </c>
    </row>
    <row r="405" spans="1:5">
      <c r="A405">
        <f>HYPERLINK("http://www.twitter.com/NYCHA/status/791285963054080000", "791285963054080000")</f>
        <v>0</v>
      </c>
      <c r="B405" s="2">
        <v>42669.6047337963</v>
      </c>
      <c r="C405">
        <v>1</v>
      </c>
      <c r="D405">
        <v>1</v>
      </c>
      <c r="E405" t="s">
        <v>400</v>
      </c>
    </row>
    <row r="406" spans="1:5">
      <c r="A406">
        <f>HYPERLINK("http://www.twitter.com/NYCHA/status/791282706508382208", "791282706508382208")</f>
        <v>0</v>
      </c>
      <c r="B406" s="2">
        <v>42669.5957523148</v>
      </c>
      <c r="C406">
        <v>2</v>
      </c>
      <c r="D406">
        <v>1</v>
      </c>
      <c r="E406" t="s">
        <v>401</v>
      </c>
    </row>
    <row r="407" spans="1:5">
      <c r="A407">
        <f>HYPERLINK("http://www.twitter.com/NYCHA/status/791280786389467138", "791280786389467138")</f>
        <v>0</v>
      </c>
      <c r="B407" s="2">
        <v>42669.5904513889</v>
      </c>
      <c r="C407">
        <v>0</v>
      </c>
      <c r="D407">
        <v>1</v>
      </c>
      <c r="E407" t="s">
        <v>402</v>
      </c>
    </row>
    <row r="408" spans="1:5">
      <c r="A408">
        <f>HYPERLINK("http://www.twitter.com/NYCHA/status/791279074895331328", "791279074895331328")</f>
        <v>0</v>
      </c>
      <c r="B408" s="2">
        <v>42669.5857291667</v>
      </c>
      <c r="C408">
        <v>2</v>
      </c>
      <c r="D408">
        <v>3</v>
      </c>
      <c r="E408" t="s">
        <v>403</v>
      </c>
    </row>
    <row r="409" spans="1:5">
      <c r="A409">
        <f>HYPERLINK("http://www.twitter.com/NYCHA/status/791278538116698112", "791278538116698112")</f>
        <v>0</v>
      </c>
      <c r="B409" s="2">
        <v>42669.5842476852</v>
      </c>
      <c r="C409">
        <v>0</v>
      </c>
      <c r="D409">
        <v>1</v>
      </c>
      <c r="E409" t="s">
        <v>404</v>
      </c>
    </row>
    <row r="410" spans="1:5">
      <c r="A410">
        <f>HYPERLINK("http://www.twitter.com/NYCHA/status/791274407763247104", "791274407763247104")</f>
        <v>0</v>
      </c>
      <c r="B410" s="2">
        <v>42669.5728472222</v>
      </c>
      <c r="C410">
        <v>0</v>
      </c>
      <c r="D410">
        <v>1</v>
      </c>
      <c r="E410" t="s">
        <v>405</v>
      </c>
    </row>
    <row r="411" spans="1:5">
      <c r="A411">
        <f>HYPERLINK("http://www.twitter.com/NYCHA/status/791263918370988032", "791263918370988032")</f>
        <v>0</v>
      </c>
      <c r="B411" s="2">
        <v>42669.543900463</v>
      </c>
      <c r="C411">
        <v>0</v>
      </c>
      <c r="D411">
        <v>1</v>
      </c>
      <c r="E411" t="s">
        <v>406</v>
      </c>
    </row>
    <row r="412" spans="1:5">
      <c r="A412">
        <f>HYPERLINK("http://www.twitter.com/NYCHA/status/791027633618321408", "791027633618321408")</f>
        <v>0</v>
      </c>
      <c r="B412" s="2">
        <v>42668.8918865741</v>
      </c>
      <c r="C412">
        <v>0</v>
      </c>
      <c r="D412">
        <v>5</v>
      </c>
      <c r="E412" t="s">
        <v>407</v>
      </c>
    </row>
    <row r="413" spans="1:5">
      <c r="A413">
        <f>HYPERLINK("http://www.twitter.com/NYCHA/status/791023580087783424", "791023580087783424")</f>
        <v>0</v>
      </c>
      <c r="B413" s="2">
        <v>42668.8806944444</v>
      </c>
      <c r="C413">
        <v>0</v>
      </c>
      <c r="D413">
        <v>14</v>
      </c>
      <c r="E413" t="s">
        <v>408</v>
      </c>
    </row>
    <row r="414" spans="1:5">
      <c r="A414">
        <f>HYPERLINK("http://www.twitter.com/NYCHA/status/790976367756185601", "790976367756185601")</f>
        <v>0</v>
      </c>
      <c r="B414" s="2">
        <v>42668.7504166667</v>
      </c>
      <c r="C414">
        <v>3</v>
      </c>
      <c r="D414">
        <v>3</v>
      </c>
      <c r="E414" t="s">
        <v>409</v>
      </c>
    </row>
    <row r="415" spans="1:5">
      <c r="A415">
        <f>HYPERLINK("http://www.twitter.com/NYCHA/status/790969039069835264", "790969039069835264")</f>
        <v>0</v>
      </c>
      <c r="B415" s="2">
        <v>42668.7301967593</v>
      </c>
      <c r="C415">
        <v>3</v>
      </c>
      <c r="D415">
        <v>1</v>
      </c>
      <c r="E415" t="s">
        <v>410</v>
      </c>
    </row>
    <row r="416" spans="1:5">
      <c r="A416">
        <f>HYPERLINK("http://www.twitter.com/NYCHA/status/790953686302388224", "790953686302388224")</f>
        <v>0</v>
      </c>
      <c r="B416" s="2">
        <v>42668.6878240741</v>
      </c>
      <c r="C416">
        <v>4</v>
      </c>
      <c r="D416">
        <v>2</v>
      </c>
      <c r="E416" t="s">
        <v>411</v>
      </c>
    </row>
    <row r="417" spans="1:5">
      <c r="A417">
        <f>HYPERLINK("http://www.twitter.com/NYCHA/status/790947033662287872", "790947033662287872")</f>
        <v>0</v>
      </c>
      <c r="B417" s="2">
        <v>42668.6694675926</v>
      </c>
      <c r="C417">
        <v>0</v>
      </c>
      <c r="D417">
        <v>1</v>
      </c>
      <c r="E417" t="s">
        <v>412</v>
      </c>
    </row>
    <row r="418" spans="1:5">
      <c r="A418">
        <f>HYPERLINK("http://www.twitter.com/NYCHA/status/790946781450399744", "790946781450399744")</f>
        <v>0</v>
      </c>
      <c r="B418" s="2">
        <v>42668.6687731482</v>
      </c>
      <c r="C418">
        <v>2</v>
      </c>
      <c r="D418">
        <v>1</v>
      </c>
      <c r="E418" t="s">
        <v>413</v>
      </c>
    </row>
    <row r="419" spans="1:5">
      <c r="A419">
        <f>HYPERLINK("http://www.twitter.com/NYCHA/status/790931689652584453", "790931689652584453")</f>
        <v>0</v>
      </c>
      <c r="B419" s="2">
        <v>42668.6271296296</v>
      </c>
      <c r="C419">
        <v>2</v>
      </c>
      <c r="D419">
        <v>4</v>
      </c>
      <c r="E419" t="s">
        <v>414</v>
      </c>
    </row>
    <row r="420" spans="1:5">
      <c r="A420">
        <f>HYPERLINK("http://www.twitter.com/NYCHA/status/790916514308354048", "790916514308354048")</f>
        <v>0</v>
      </c>
      <c r="B420" s="2">
        <v>42668.5852546296</v>
      </c>
      <c r="C420">
        <v>0</v>
      </c>
      <c r="D420">
        <v>0</v>
      </c>
      <c r="E420" t="s">
        <v>415</v>
      </c>
    </row>
    <row r="421" spans="1:5">
      <c r="A421">
        <f>HYPERLINK("http://www.twitter.com/NYCHA/status/790901576407846913", "790901576407846913")</f>
        <v>0</v>
      </c>
      <c r="B421" s="2">
        <v>42668.5440277778</v>
      </c>
      <c r="C421">
        <v>1</v>
      </c>
      <c r="D421">
        <v>1</v>
      </c>
      <c r="E421" t="s">
        <v>416</v>
      </c>
    </row>
    <row r="422" spans="1:5">
      <c r="A422">
        <f>HYPERLINK("http://www.twitter.com/NYCHA/status/790645312796893184", "790645312796893184")</f>
        <v>0</v>
      </c>
      <c r="B422" s="2">
        <v>42667.836875</v>
      </c>
      <c r="C422">
        <v>2</v>
      </c>
      <c r="D422">
        <v>1</v>
      </c>
      <c r="E422" t="s">
        <v>417</v>
      </c>
    </row>
    <row r="423" spans="1:5">
      <c r="A423">
        <f>HYPERLINK("http://www.twitter.com/NYCHA/status/790615888772919296", "790615888772919296")</f>
        <v>0</v>
      </c>
      <c r="B423" s="2">
        <v>42667.7556828704</v>
      </c>
      <c r="C423">
        <v>0</v>
      </c>
      <c r="D423">
        <v>7</v>
      </c>
      <c r="E423" t="s">
        <v>418</v>
      </c>
    </row>
    <row r="424" spans="1:5">
      <c r="A424">
        <f>HYPERLINK("http://www.twitter.com/NYCHA/status/790614600421179392", "790614600421179392")</f>
        <v>0</v>
      </c>
      <c r="B424" s="2">
        <v>42667.7521296296</v>
      </c>
      <c r="C424">
        <v>3</v>
      </c>
      <c r="D424">
        <v>1</v>
      </c>
      <c r="E424" t="s">
        <v>419</v>
      </c>
    </row>
    <row r="425" spans="1:5">
      <c r="A425">
        <f>HYPERLINK("http://www.twitter.com/NYCHA/status/790612607862530048", "790612607862530048")</f>
        <v>0</v>
      </c>
      <c r="B425" s="2">
        <v>42667.7466319444</v>
      </c>
      <c r="C425">
        <v>0</v>
      </c>
      <c r="D425">
        <v>9</v>
      </c>
      <c r="E425" t="s">
        <v>420</v>
      </c>
    </row>
    <row r="426" spans="1:5">
      <c r="A426">
        <f>HYPERLINK("http://www.twitter.com/NYCHA/status/790593985890910208", "790593985890910208")</f>
        <v>0</v>
      </c>
      <c r="B426" s="2">
        <v>42667.6952430556</v>
      </c>
      <c r="C426">
        <v>9</v>
      </c>
      <c r="D426">
        <v>9</v>
      </c>
      <c r="E426" t="s">
        <v>421</v>
      </c>
    </row>
    <row r="427" spans="1:5">
      <c r="A427">
        <f>HYPERLINK("http://www.twitter.com/NYCHA/status/790591285413474306", "790591285413474306")</f>
        <v>0</v>
      </c>
      <c r="B427" s="2">
        <v>42667.6877893519</v>
      </c>
      <c r="C427">
        <v>0</v>
      </c>
      <c r="D427">
        <v>2</v>
      </c>
      <c r="E427" t="s">
        <v>422</v>
      </c>
    </row>
    <row r="428" spans="1:5">
      <c r="A428">
        <f>HYPERLINK("http://www.twitter.com/NYCHA/status/790590391120752640", "790590391120752640")</f>
        <v>0</v>
      </c>
      <c r="B428" s="2">
        <v>42667.6853240741</v>
      </c>
      <c r="C428">
        <v>1</v>
      </c>
      <c r="D428">
        <v>2</v>
      </c>
      <c r="E428" t="s">
        <v>423</v>
      </c>
    </row>
    <row r="429" spans="1:5">
      <c r="A429">
        <f>HYPERLINK("http://www.twitter.com/NYCHA/status/790587564570869760", "790587564570869760")</f>
        <v>0</v>
      </c>
      <c r="B429" s="2">
        <v>42667.6775231482</v>
      </c>
      <c r="C429">
        <v>3</v>
      </c>
      <c r="D429">
        <v>0</v>
      </c>
      <c r="E429" t="s">
        <v>424</v>
      </c>
    </row>
    <row r="430" spans="1:5">
      <c r="A430">
        <f>HYPERLINK("http://www.twitter.com/NYCHA/status/790584499470004224", "790584499470004224")</f>
        <v>0</v>
      </c>
      <c r="B430" s="2">
        <v>42667.6690625</v>
      </c>
      <c r="C430">
        <v>0</v>
      </c>
      <c r="D430">
        <v>1</v>
      </c>
      <c r="E430" t="s">
        <v>191</v>
      </c>
    </row>
    <row r="431" spans="1:5">
      <c r="A431">
        <f>HYPERLINK("http://www.twitter.com/NYCHA/status/790576410083618816", "790576410083618816")</f>
        <v>0</v>
      </c>
      <c r="B431" s="2">
        <v>42667.6467476852</v>
      </c>
      <c r="C431">
        <v>1</v>
      </c>
      <c r="D431">
        <v>1</v>
      </c>
      <c r="E431" t="s">
        <v>425</v>
      </c>
    </row>
    <row r="432" spans="1:5">
      <c r="A432">
        <f>HYPERLINK("http://www.twitter.com/NYCHA/status/790569399879098372", "790569399879098372")</f>
        <v>0</v>
      </c>
      <c r="B432" s="2">
        <v>42667.6273958333</v>
      </c>
      <c r="C432">
        <v>6</v>
      </c>
      <c r="D432">
        <v>5</v>
      </c>
      <c r="E432" t="s">
        <v>426</v>
      </c>
    </row>
    <row r="433" spans="1:5">
      <c r="A433">
        <f>HYPERLINK("http://www.twitter.com/NYCHA/status/790554317140922368", "790554317140922368")</f>
        <v>0</v>
      </c>
      <c r="B433" s="2">
        <v>42667.585775463</v>
      </c>
      <c r="C433">
        <v>1</v>
      </c>
      <c r="D433">
        <v>1</v>
      </c>
      <c r="E433" t="s">
        <v>427</v>
      </c>
    </row>
    <row r="434" spans="1:5">
      <c r="A434">
        <f>HYPERLINK("http://www.twitter.com/NYCHA/status/790551726629806081", "790551726629806081")</f>
        <v>0</v>
      </c>
      <c r="B434" s="2">
        <v>42667.5786342593</v>
      </c>
      <c r="C434">
        <v>0</v>
      </c>
      <c r="D434">
        <v>1</v>
      </c>
      <c r="E434" t="s">
        <v>428</v>
      </c>
    </row>
    <row r="435" spans="1:5">
      <c r="A435">
        <f>HYPERLINK("http://www.twitter.com/NYCHA/status/790539155206004737", "790539155206004737")</f>
        <v>0</v>
      </c>
      <c r="B435" s="2">
        <v>42667.5439351852</v>
      </c>
      <c r="C435">
        <v>2</v>
      </c>
      <c r="D435">
        <v>0</v>
      </c>
      <c r="E435" t="s">
        <v>429</v>
      </c>
    </row>
    <row r="436" spans="1:5">
      <c r="A436">
        <f>HYPERLINK("http://www.twitter.com/NYCHA/status/790206447862841348", "790206447862841348")</f>
        <v>0</v>
      </c>
      <c r="B436" s="2">
        <v>42666.6258449074</v>
      </c>
      <c r="C436">
        <v>1</v>
      </c>
      <c r="D436">
        <v>0</v>
      </c>
      <c r="E436" t="s">
        <v>430</v>
      </c>
    </row>
    <row r="437" spans="1:5">
      <c r="A437">
        <f>HYPERLINK("http://www.twitter.com/NYCHA/status/789854449107922944", "789854449107922944")</f>
        <v>0</v>
      </c>
      <c r="B437" s="2">
        <v>42665.6545138889</v>
      </c>
      <c r="C437">
        <v>0</v>
      </c>
      <c r="D437">
        <v>18</v>
      </c>
      <c r="E437" t="s">
        <v>431</v>
      </c>
    </row>
    <row r="438" spans="1:5">
      <c r="A438">
        <f>HYPERLINK("http://www.twitter.com/NYCHA/status/789844019371204609", "789844019371204609")</f>
        <v>0</v>
      </c>
      <c r="B438" s="2">
        <v>42665.6257291667</v>
      </c>
      <c r="C438">
        <v>2</v>
      </c>
      <c r="D438">
        <v>0</v>
      </c>
      <c r="E438" t="s">
        <v>432</v>
      </c>
    </row>
    <row r="439" spans="1:5">
      <c r="A439">
        <f>HYPERLINK("http://www.twitter.com/NYCHA/status/789579566377467905", "789579566377467905")</f>
        <v>0</v>
      </c>
      <c r="B439" s="2">
        <v>42664.8959722222</v>
      </c>
      <c r="C439">
        <v>3</v>
      </c>
      <c r="D439">
        <v>2</v>
      </c>
      <c r="E439" t="s">
        <v>433</v>
      </c>
    </row>
    <row r="440" spans="1:5">
      <c r="A440">
        <f>HYPERLINK("http://www.twitter.com/NYCHA/status/789579564003590144", "789579564003590144")</f>
        <v>0</v>
      </c>
      <c r="B440" s="2">
        <v>42664.8959722222</v>
      </c>
      <c r="C440">
        <v>2</v>
      </c>
      <c r="D440">
        <v>1</v>
      </c>
      <c r="E440" t="s">
        <v>434</v>
      </c>
    </row>
    <row r="441" spans="1:5">
      <c r="A441">
        <f>HYPERLINK("http://www.twitter.com/NYCHA/status/789512429743042560", "789512429743042560")</f>
        <v>0</v>
      </c>
      <c r="B441" s="2">
        <v>42664.7107175926</v>
      </c>
      <c r="C441">
        <v>3</v>
      </c>
      <c r="D441">
        <v>1</v>
      </c>
      <c r="E441" t="s">
        <v>435</v>
      </c>
    </row>
    <row r="442" spans="1:5">
      <c r="A442">
        <f>HYPERLINK("http://www.twitter.com/NYCHA/status/789481814666711040", "789481814666711040")</f>
        <v>0</v>
      </c>
      <c r="B442" s="2">
        <v>42664.6262384259</v>
      </c>
      <c r="C442">
        <v>3</v>
      </c>
      <c r="D442">
        <v>3</v>
      </c>
      <c r="E442" t="s">
        <v>436</v>
      </c>
    </row>
    <row r="443" spans="1:5">
      <c r="A443">
        <f>HYPERLINK("http://www.twitter.com/NYCHA/status/789476106369982465", "789476106369982465")</f>
        <v>0</v>
      </c>
      <c r="B443" s="2">
        <v>42664.6104861111</v>
      </c>
      <c r="C443">
        <v>0</v>
      </c>
      <c r="D443">
        <v>1</v>
      </c>
      <c r="E443" t="s">
        <v>437</v>
      </c>
    </row>
    <row r="444" spans="1:5">
      <c r="A444">
        <f>HYPERLINK("http://www.twitter.com/NYCHA/status/789476045510574080", "789476045510574080")</f>
        <v>0</v>
      </c>
      <c r="B444" s="2">
        <v>42664.6103125</v>
      </c>
      <c r="C444">
        <v>0</v>
      </c>
      <c r="D444">
        <v>1</v>
      </c>
      <c r="E444" t="s">
        <v>438</v>
      </c>
    </row>
    <row r="445" spans="1:5">
      <c r="A445">
        <f>HYPERLINK("http://www.twitter.com/NYCHA/status/789452357746569216", "789452357746569216")</f>
        <v>0</v>
      </c>
      <c r="B445" s="2">
        <v>42664.5449537037</v>
      </c>
      <c r="C445">
        <v>0</v>
      </c>
      <c r="D445">
        <v>0</v>
      </c>
      <c r="E445" t="s">
        <v>439</v>
      </c>
    </row>
    <row r="446" spans="1:5">
      <c r="A446">
        <f>HYPERLINK("http://www.twitter.com/NYCHA/status/789224806533201920", "789224806533201920")</f>
        <v>0</v>
      </c>
      <c r="B446" s="2">
        <v>42663.917025463</v>
      </c>
      <c r="C446">
        <v>1</v>
      </c>
      <c r="D446">
        <v>0</v>
      </c>
      <c r="E446" t="s">
        <v>440</v>
      </c>
    </row>
    <row r="447" spans="1:5">
      <c r="A447">
        <f>HYPERLINK("http://www.twitter.com/NYCHA/status/789209755038392320", "789209755038392320")</f>
        <v>0</v>
      </c>
      <c r="B447" s="2">
        <v>42663.8754976852</v>
      </c>
      <c r="C447">
        <v>3</v>
      </c>
      <c r="D447">
        <v>2</v>
      </c>
      <c r="E447" t="s">
        <v>441</v>
      </c>
    </row>
    <row r="448" spans="1:5">
      <c r="A448">
        <f>HYPERLINK("http://www.twitter.com/NYCHA/status/789199675454844928", "789199675454844928")</f>
        <v>0</v>
      </c>
      <c r="B448" s="2">
        <v>42663.8476736111</v>
      </c>
      <c r="C448">
        <v>0</v>
      </c>
      <c r="D448">
        <v>4</v>
      </c>
      <c r="E448" t="s">
        <v>442</v>
      </c>
    </row>
    <row r="449" spans="1:5">
      <c r="A449">
        <f>HYPERLINK("http://www.twitter.com/NYCHA/status/789158393202221057", "789158393202221057")</f>
        <v>0</v>
      </c>
      <c r="B449" s="2">
        <v>42663.7337615741</v>
      </c>
      <c r="C449">
        <v>0</v>
      </c>
      <c r="D449">
        <v>18</v>
      </c>
      <c r="E449" t="s">
        <v>443</v>
      </c>
    </row>
    <row r="450" spans="1:5">
      <c r="A450">
        <f>HYPERLINK("http://www.twitter.com/NYCHA/status/789158367927365632", "789158367927365632")</f>
        <v>0</v>
      </c>
      <c r="B450" s="2">
        <v>42663.7336921296</v>
      </c>
      <c r="C450">
        <v>0</v>
      </c>
      <c r="D450">
        <v>1</v>
      </c>
      <c r="E450" t="s">
        <v>444</v>
      </c>
    </row>
    <row r="451" spans="1:5">
      <c r="A451">
        <f>HYPERLINK("http://www.twitter.com/NYCHA/status/789146972427026432", "789146972427026432")</f>
        <v>0</v>
      </c>
      <c r="B451" s="2">
        <v>42663.7022453704</v>
      </c>
      <c r="C451">
        <v>0</v>
      </c>
      <c r="D451">
        <v>4</v>
      </c>
      <c r="E451" t="s">
        <v>445</v>
      </c>
    </row>
    <row r="452" spans="1:5">
      <c r="A452">
        <f>HYPERLINK("http://www.twitter.com/NYCHA/status/789145932105416705", "789145932105416705")</f>
        <v>0</v>
      </c>
      <c r="B452" s="2">
        <v>42663.699375</v>
      </c>
      <c r="C452">
        <v>0</v>
      </c>
      <c r="D452">
        <v>3</v>
      </c>
      <c r="E452" t="s">
        <v>446</v>
      </c>
    </row>
    <row r="453" spans="1:5">
      <c r="A453">
        <f>HYPERLINK("http://www.twitter.com/NYCHA/status/789135120997507072", "789135120997507072")</f>
        <v>0</v>
      </c>
      <c r="B453" s="2">
        <v>42663.669537037</v>
      </c>
      <c r="C453">
        <v>2</v>
      </c>
      <c r="D453">
        <v>2</v>
      </c>
      <c r="E453" t="s">
        <v>447</v>
      </c>
    </row>
    <row r="454" spans="1:5">
      <c r="A454">
        <f>HYPERLINK("http://www.twitter.com/NYCHA/status/789119856780144640", "789119856780144640")</f>
        <v>0</v>
      </c>
      <c r="B454" s="2">
        <v>42663.6274189815</v>
      </c>
      <c r="C454">
        <v>2</v>
      </c>
      <c r="D454">
        <v>0</v>
      </c>
      <c r="E454" t="s">
        <v>448</v>
      </c>
    </row>
    <row r="455" spans="1:5">
      <c r="A455">
        <f>HYPERLINK("http://www.twitter.com/NYCHA/status/789089749101383680", "789089749101383680")</f>
        <v>0</v>
      </c>
      <c r="B455" s="2">
        <v>42663.5443402778</v>
      </c>
      <c r="C455">
        <v>1</v>
      </c>
      <c r="D455">
        <v>1</v>
      </c>
      <c r="E455" t="s">
        <v>449</v>
      </c>
    </row>
    <row r="456" spans="1:5">
      <c r="A456">
        <f>HYPERLINK("http://www.twitter.com/NYCHA/status/788867541724717056", "788867541724717056")</f>
        <v>0</v>
      </c>
      <c r="B456" s="2">
        <v>42662.9311689815</v>
      </c>
      <c r="C456">
        <v>0</v>
      </c>
      <c r="D456">
        <v>0</v>
      </c>
      <c r="E456" t="s">
        <v>450</v>
      </c>
    </row>
    <row r="457" spans="1:5">
      <c r="A457">
        <f>HYPERLINK("http://www.twitter.com/NYCHA/status/788861108505411587", "788861108505411587")</f>
        <v>0</v>
      </c>
      <c r="B457" s="2">
        <v>42662.9134143519</v>
      </c>
      <c r="C457">
        <v>0</v>
      </c>
      <c r="D457">
        <v>0</v>
      </c>
      <c r="E457" t="s">
        <v>451</v>
      </c>
    </row>
    <row r="458" spans="1:5">
      <c r="A458">
        <f>HYPERLINK("http://www.twitter.com/NYCHA/status/788851465444069377", "788851465444069377")</f>
        <v>0</v>
      </c>
      <c r="B458" s="2">
        <v>42662.8868055556</v>
      </c>
      <c r="C458">
        <v>0</v>
      </c>
      <c r="D458">
        <v>2</v>
      </c>
      <c r="E458" t="s">
        <v>452</v>
      </c>
    </row>
    <row r="459" spans="1:5">
      <c r="A459">
        <f>HYPERLINK("http://www.twitter.com/NYCHA/status/788850987465314304", "788850987465314304")</f>
        <v>0</v>
      </c>
      <c r="B459" s="2">
        <v>42662.8854861111</v>
      </c>
      <c r="C459">
        <v>0</v>
      </c>
      <c r="D459">
        <v>2</v>
      </c>
      <c r="E459" t="s">
        <v>453</v>
      </c>
    </row>
    <row r="460" spans="1:5">
      <c r="A460">
        <f>HYPERLINK("http://www.twitter.com/NYCHA/status/788850072360550401", "788850072360550401")</f>
        <v>0</v>
      </c>
      <c r="B460" s="2">
        <v>42662.882962963</v>
      </c>
      <c r="C460">
        <v>2</v>
      </c>
      <c r="D460">
        <v>0</v>
      </c>
      <c r="E460" t="s">
        <v>454</v>
      </c>
    </row>
    <row r="461" spans="1:5">
      <c r="A461">
        <f>HYPERLINK("http://www.twitter.com/NYCHA/status/788849173097480192", "788849173097480192")</f>
        <v>0</v>
      </c>
      <c r="B461" s="2">
        <v>42662.880474537</v>
      </c>
      <c r="C461">
        <v>0</v>
      </c>
      <c r="D461">
        <v>2</v>
      </c>
      <c r="E461" t="s">
        <v>455</v>
      </c>
    </row>
    <row r="462" spans="1:5">
      <c r="A462">
        <f>HYPERLINK("http://www.twitter.com/NYCHA/status/788814596559794176", "788814596559794176")</f>
        <v>0</v>
      </c>
      <c r="B462" s="2">
        <v>42662.7850578704</v>
      </c>
      <c r="C462">
        <v>1</v>
      </c>
      <c r="D462">
        <v>0</v>
      </c>
      <c r="E462" t="s">
        <v>456</v>
      </c>
    </row>
    <row r="463" spans="1:5">
      <c r="A463">
        <f>HYPERLINK("http://www.twitter.com/NYCHA/status/788772732095832064", "788772732095832064")</f>
        <v>0</v>
      </c>
      <c r="B463" s="2">
        <v>42662.669537037</v>
      </c>
      <c r="C463">
        <v>4</v>
      </c>
      <c r="D463">
        <v>2</v>
      </c>
      <c r="E463" t="s">
        <v>457</v>
      </c>
    </row>
    <row r="464" spans="1:5">
      <c r="A464">
        <f>HYPERLINK("http://www.twitter.com/NYCHA/status/788742415200886788", "788742415200886788")</f>
        <v>0</v>
      </c>
      <c r="B464" s="2">
        <v>42662.5858796296</v>
      </c>
      <c r="C464">
        <v>1</v>
      </c>
      <c r="D464">
        <v>0</v>
      </c>
      <c r="E464" t="s">
        <v>458</v>
      </c>
    </row>
    <row r="465" spans="1:5">
      <c r="A465">
        <f>HYPERLINK("http://www.twitter.com/NYCHA/status/788727324908875776", "788727324908875776")</f>
        <v>0</v>
      </c>
      <c r="B465" s="2">
        <v>42662.5442361111</v>
      </c>
      <c r="C465">
        <v>1</v>
      </c>
      <c r="D465">
        <v>1</v>
      </c>
      <c r="E465" t="s">
        <v>459</v>
      </c>
    </row>
    <row r="466" spans="1:5">
      <c r="A466">
        <f>HYPERLINK("http://www.twitter.com/NYCHA/status/788501219467792384", "788501219467792384")</f>
        <v>0</v>
      </c>
      <c r="B466" s="2">
        <v>42661.9203125</v>
      </c>
      <c r="C466">
        <v>1</v>
      </c>
      <c r="D466">
        <v>0</v>
      </c>
      <c r="E466" t="s">
        <v>180</v>
      </c>
    </row>
    <row r="467" spans="1:5">
      <c r="A467">
        <f>HYPERLINK("http://www.twitter.com/NYCHA/status/788455927192162304", "788455927192162304")</f>
        <v>0</v>
      </c>
      <c r="B467" s="2">
        <v>42661.7953240741</v>
      </c>
      <c r="C467">
        <v>3</v>
      </c>
      <c r="D467">
        <v>3</v>
      </c>
      <c r="E467" t="s">
        <v>460</v>
      </c>
    </row>
    <row r="468" spans="1:5">
      <c r="A468">
        <f>HYPERLINK("http://www.twitter.com/NYCHA/status/788432504227233793", "788432504227233793")</f>
        <v>0</v>
      </c>
      <c r="B468" s="2">
        <v>42661.7306944444</v>
      </c>
      <c r="C468">
        <v>2</v>
      </c>
      <c r="D468">
        <v>0</v>
      </c>
      <c r="E468" t="s">
        <v>461</v>
      </c>
    </row>
    <row r="469" spans="1:5">
      <c r="A469">
        <f>HYPERLINK("http://www.twitter.com/NYCHA/status/788416825289805825", "788416825289805825")</f>
        <v>0</v>
      </c>
      <c r="B469" s="2">
        <v>42661.6874189815</v>
      </c>
      <c r="C469">
        <v>1</v>
      </c>
      <c r="D469">
        <v>0</v>
      </c>
      <c r="E469" t="s">
        <v>462</v>
      </c>
    </row>
    <row r="470" spans="1:5">
      <c r="A470">
        <f>HYPERLINK("http://www.twitter.com/NYCHA/status/788392210979024896", "788392210979024896")</f>
        <v>0</v>
      </c>
      <c r="B470" s="2">
        <v>42661.6195023148</v>
      </c>
      <c r="C470">
        <v>0</v>
      </c>
      <c r="D470">
        <v>1</v>
      </c>
      <c r="E470" t="s">
        <v>463</v>
      </c>
    </row>
    <row r="471" spans="1:5">
      <c r="A471">
        <f>HYPERLINK("http://www.twitter.com/NYCHA/status/788391443014545408", "788391443014545408")</f>
        <v>0</v>
      </c>
      <c r="B471" s="2">
        <v>42661.6173842593</v>
      </c>
      <c r="C471">
        <v>0</v>
      </c>
      <c r="D471">
        <v>1</v>
      </c>
      <c r="E471" t="s">
        <v>464</v>
      </c>
    </row>
    <row r="472" spans="1:5">
      <c r="A472">
        <f>HYPERLINK("http://www.twitter.com/NYCHA/status/788381580578394113", "788381580578394113")</f>
        <v>0</v>
      </c>
      <c r="B472" s="2">
        <v>42661.590162037</v>
      </c>
      <c r="C472">
        <v>0</v>
      </c>
      <c r="D472">
        <v>0</v>
      </c>
      <c r="E472" t="s">
        <v>465</v>
      </c>
    </row>
    <row r="473" spans="1:5">
      <c r="A473">
        <f>HYPERLINK("http://www.twitter.com/NYCHA/status/788379966027264000", "788379966027264000")</f>
        <v>0</v>
      </c>
      <c r="B473" s="2">
        <v>42661.5857060185</v>
      </c>
      <c r="C473">
        <v>1</v>
      </c>
      <c r="D473">
        <v>0</v>
      </c>
      <c r="E473" t="s">
        <v>466</v>
      </c>
    </row>
    <row r="474" spans="1:5">
      <c r="A474">
        <f>HYPERLINK("http://www.twitter.com/NYCHA/status/788376383399559168", "788376383399559168")</f>
        <v>0</v>
      </c>
      <c r="B474" s="2">
        <v>42661.5758217593</v>
      </c>
      <c r="C474">
        <v>0</v>
      </c>
      <c r="D474">
        <v>3</v>
      </c>
      <c r="E474" t="s">
        <v>467</v>
      </c>
    </row>
    <row r="475" spans="1:5">
      <c r="A475">
        <f>HYPERLINK("http://www.twitter.com/NYCHA/status/788374132966776832", "788374132966776832")</f>
        <v>0</v>
      </c>
      <c r="B475" s="2">
        <v>42661.5696180556</v>
      </c>
      <c r="C475">
        <v>0</v>
      </c>
      <c r="D475">
        <v>4</v>
      </c>
      <c r="E475" t="s">
        <v>468</v>
      </c>
    </row>
    <row r="476" spans="1:5">
      <c r="A476">
        <f>HYPERLINK("http://www.twitter.com/NYCHA/status/788374130798292992", "788374130798292992")</f>
        <v>0</v>
      </c>
      <c r="B476" s="2">
        <v>42661.5696064815</v>
      </c>
      <c r="C476">
        <v>0</v>
      </c>
      <c r="D476">
        <v>3</v>
      </c>
      <c r="E476" t="s">
        <v>469</v>
      </c>
    </row>
    <row r="477" spans="1:5">
      <c r="A477">
        <f>HYPERLINK("http://www.twitter.com/NYCHA/status/788365010598817792", "788365010598817792")</f>
        <v>0</v>
      </c>
      <c r="B477" s="2">
        <v>42661.5444444444</v>
      </c>
      <c r="C477">
        <v>0</v>
      </c>
      <c r="D477">
        <v>0</v>
      </c>
      <c r="E477" t="s">
        <v>470</v>
      </c>
    </row>
    <row r="478" spans="1:5">
      <c r="A478">
        <f>HYPERLINK("http://www.twitter.com/NYCHA/status/788093020117803008", "788093020117803008")</f>
        <v>0</v>
      </c>
      <c r="B478" s="2">
        <v>42660.7938888889</v>
      </c>
      <c r="C478">
        <v>3</v>
      </c>
      <c r="D478">
        <v>0</v>
      </c>
      <c r="E478" t="s">
        <v>471</v>
      </c>
    </row>
    <row r="479" spans="1:5">
      <c r="A479">
        <f>HYPERLINK("http://www.twitter.com/NYCHA/status/788077403348295680", "788077403348295680")</f>
        <v>0</v>
      </c>
      <c r="B479" s="2">
        <v>42660.7507986111</v>
      </c>
      <c r="C479">
        <v>1</v>
      </c>
      <c r="D479">
        <v>0</v>
      </c>
      <c r="E479" t="s">
        <v>472</v>
      </c>
    </row>
    <row r="480" spans="1:5">
      <c r="A480">
        <f>HYPERLINK("http://www.twitter.com/NYCHA/status/788047922881503232", "788047922881503232")</f>
        <v>0</v>
      </c>
      <c r="B480" s="2">
        <v>42660.6694444444</v>
      </c>
      <c r="C480">
        <v>2</v>
      </c>
      <c r="D480">
        <v>1</v>
      </c>
      <c r="E480" t="s">
        <v>473</v>
      </c>
    </row>
    <row r="481" spans="1:5">
      <c r="A481">
        <f>HYPERLINK("http://www.twitter.com/NYCHA/status/788029691894624257", "788029691894624257")</f>
        <v>0</v>
      </c>
      <c r="B481" s="2">
        <v>42660.6191435185</v>
      </c>
      <c r="C481">
        <v>0</v>
      </c>
      <c r="D481">
        <v>9</v>
      </c>
      <c r="E481" t="s">
        <v>474</v>
      </c>
    </row>
    <row r="482" spans="1:5">
      <c r="A482">
        <f>HYPERLINK("http://www.twitter.com/NYCHA/status/788023713555939328", "788023713555939328")</f>
        <v>0</v>
      </c>
      <c r="B482" s="2">
        <v>42660.6026388889</v>
      </c>
      <c r="C482">
        <v>1</v>
      </c>
      <c r="D482">
        <v>0</v>
      </c>
      <c r="E482" t="s">
        <v>475</v>
      </c>
    </row>
    <row r="483" spans="1:5">
      <c r="A483">
        <f>HYPERLINK("http://www.twitter.com/NYCHA/status/788021921111760896", "788021921111760896")</f>
        <v>0</v>
      </c>
      <c r="B483" s="2">
        <v>42660.5976967593</v>
      </c>
      <c r="C483">
        <v>0</v>
      </c>
      <c r="D483">
        <v>3</v>
      </c>
      <c r="E483" t="s">
        <v>476</v>
      </c>
    </row>
    <row r="484" spans="1:5">
      <c r="A484">
        <f>HYPERLINK("http://www.twitter.com/NYCHA/status/788020866001080320", "788020866001080320")</f>
        <v>0</v>
      </c>
      <c r="B484" s="2">
        <v>42660.5947800926</v>
      </c>
      <c r="C484">
        <v>2</v>
      </c>
      <c r="D484">
        <v>2</v>
      </c>
      <c r="E484" t="s">
        <v>477</v>
      </c>
    </row>
    <row r="485" spans="1:5">
      <c r="A485">
        <f>HYPERLINK("http://www.twitter.com/NYCHA/status/788017414822891520", "788017414822891520")</f>
        <v>0</v>
      </c>
      <c r="B485" s="2">
        <v>42660.5852662037</v>
      </c>
      <c r="C485">
        <v>1</v>
      </c>
      <c r="D485">
        <v>0</v>
      </c>
      <c r="E485" t="s">
        <v>478</v>
      </c>
    </row>
    <row r="486" spans="1:5">
      <c r="A486">
        <f>HYPERLINK("http://www.twitter.com/NYCHA/status/788003103505260544", "788003103505260544")</f>
        <v>0</v>
      </c>
      <c r="B486" s="2">
        <v>42660.5457638889</v>
      </c>
      <c r="C486">
        <v>0</v>
      </c>
      <c r="D486">
        <v>1</v>
      </c>
      <c r="E486" t="s">
        <v>479</v>
      </c>
    </row>
    <row r="487" spans="1:5">
      <c r="A487">
        <f>HYPERLINK("http://www.twitter.com/NYCHA/status/788002515237408769", "788002515237408769")</f>
        <v>0</v>
      </c>
      <c r="B487" s="2">
        <v>42660.5441435185</v>
      </c>
      <c r="C487">
        <v>0</v>
      </c>
      <c r="D487">
        <v>0</v>
      </c>
      <c r="E487" t="s">
        <v>480</v>
      </c>
    </row>
    <row r="488" spans="1:5">
      <c r="A488">
        <f>HYPERLINK("http://www.twitter.com/NYCHA/status/787720721728409600", "787720721728409600")</f>
        <v>0</v>
      </c>
      <c r="B488" s="2">
        <v>42659.7665393519</v>
      </c>
      <c r="C488">
        <v>0</v>
      </c>
      <c r="D488">
        <v>3</v>
      </c>
      <c r="E488" t="s">
        <v>481</v>
      </c>
    </row>
    <row r="489" spans="1:5">
      <c r="A489">
        <f>HYPERLINK("http://www.twitter.com/NYCHA/status/787021866326171648", "787021866326171648")</f>
        <v>0</v>
      </c>
      <c r="B489" s="2">
        <v>42657.8380671296</v>
      </c>
      <c r="C489">
        <v>0</v>
      </c>
      <c r="D489">
        <v>150</v>
      </c>
      <c r="E489" t="s">
        <v>482</v>
      </c>
    </row>
    <row r="490" spans="1:5">
      <c r="A490">
        <f>HYPERLINK("http://www.twitter.com/NYCHA/status/787016831156490240", "787016831156490240")</f>
        <v>0</v>
      </c>
      <c r="B490" s="2">
        <v>42657.8241782407</v>
      </c>
      <c r="C490">
        <v>0</v>
      </c>
      <c r="D490">
        <v>3</v>
      </c>
      <c r="E490" t="s">
        <v>483</v>
      </c>
    </row>
    <row r="491" spans="1:5">
      <c r="A491">
        <f>HYPERLINK("http://www.twitter.com/NYCHA/status/787005849516511232", "787005849516511232")</f>
        <v>0</v>
      </c>
      <c r="B491" s="2">
        <v>42657.7938773148</v>
      </c>
      <c r="C491">
        <v>2</v>
      </c>
      <c r="D491">
        <v>3</v>
      </c>
      <c r="E491" t="s">
        <v>484</v>
      </c>
    </row>
    <row r="492" spans="1:5">
      <c r="A492">
        <f>HYPERLINK("http://www.twitter.com/NYCHA/status/786994560341831680", "786994560341831680")</f>
        <v>0</v>
      </c>
      <c r="B492" s="2">
        <v>42657.7627199074</v>
      </c>
      <c r="C492">
        <v>0</v>
      </c>
      <c r="D492">
        <v>7</v>
      </c>
      <c r="E492" t="s">
        <v>485</v>
      </c>
    </row>
    <row r="493" spans="1:5">
      <c r="A493">
        <f>HYPERLINK("http://www.twitter.com/NYCHA/status/786994530696499200", "786994530696499200")</f>
        <v>0</v>
      </c>
      <c r="B493" s="2">
        <v>42657.7626388889</v>
      </c>
      <c r="C493">
        <v>0</v>
      </c>
      <c r="D493">
        <v>9</v>
      </c>
      <c r="E493" t="s">
        <v>486</v>
      </c>
    </row>
    <row r="494" spans="1:5">
      <c r="A494">
        <f>HYPERLINK("http://www.twitter.com/NYCHA/status/786994506713423872", "786994506713423872")</f>
        <v>0</v>
      </c>
      <c r="B494" s="2">
        <v>42657.7625694444</v>
      </c>
      <c r="C494">
        <v>0</v>
      </c>
      <c r="D494">
        <v>2</v>
      </c>
      <c r="E494" t="s">
        <v>487</v>
      </c>
    </row>
    <row r="495" spans="1:5">
      <c r="A495">
        <f>HYPERLINK("http://www.twitter.com/NYCHA/status/786994501214699522", "786994501214699522")</f>
        <v>0</v>
      </c>
      <c r="B495" s="2">
        <v>42657.7625578704</v>
      </c>
      <c r="C495">
        <v>0</v>
      </c>
      <c r="D495">
        <v>2</v>
      </c>
      <c r="E495" t="s">
        <v>488</v>
      </c>
    </row>
    <row r="496" spans="1:5">
      <c r="A496">
        <f>HYPERLINK("http://www.twitter.com/NYCHA/status/786993897750888448", "786993897750888448")</f>
        <v>0</v>
      </c>
      <c r="B496" s="2">
        <v>42657.7608912037</v>
      </c>
      <c r="C496">
        <v>4</v>
      </c>
      <c r="D496">
        <v>0</v>
      </c>
      <c r="E496" t="s">
        <v>489</v>
      </c>
    </row>
    <row r="497" spans="1:5">
      <c r="A497">
        <f>HYPERLINK("http://www.twitter.com/NYCHA/status/786975073634844672", "786975073634844672")</f>
        <v>0</v>
      </c>
      <c r="B497" s="2">
        <v>42657.7089467593</v>
      </c>
      <c r="C497">
        <v>3</v>
      </c>
      <c r="D497">
        <v>2</v>
      </c>
      <c r="E497" t="s">
        <v>490</v>
      </c>
    </row>
    <row r="498" spans="1:5">
      <c r="A498">
        <f>HYPERLINK("http://www.twitter.com/NYCHA/status/786966112495890432", "786966112495890432")</f>
        <v>0</v>
      </c>
      <c r="B498" s="2">
        <v>42657.684212963</v>
      </c>
      <c r="C498">
        <v>0</v>
      </c>
      <c r="D498">
        <v>1</v>
      </c>
      <c r="E498" t="s">
        <v>491</v>
      </c>
    </row>
    <row r="499" spans="1:5">
      <c r="A499">
        <f>HYPERLINK("http://www.twitter.com/NYCHA/status/786960412659056641", "786960412659056641")</f>
        <v>0</v>
      </c>
      <c r="B499" s="2">
        <v>42657.6684953704</v>
      </c>
      <c r="C499">
        <v>3</v>
      </c>
      <c r="D499">
        <v>6</v>
      </c>
      <c r="E499" t="s">
        <v>492</v>
      </c>
    </row>
    <row r="500" spans="1:5">
      <c r="A500">
        <f>HYPERLINK("http://www.twitter.com/NYCHA/status/786945406039195648", "786945406039195648")</f>
        <v>0</v>
      </c>
      <c r="B500" s="2">
        <v>42657.6270833333</v>
      </c>
      <c r="C500">
        <v>2</v>
      </c>
      <c r="D500">
        <v>0</v>
      </c>
      <c r="E500" t="s">
        <v>493</v>
      </c>
    </row>
    <row r="501" spans="1:5">
      <c r="A501">
        <f>HYPERLINK("http://www.twitter.com/NYCHA/status/786935961720594432", "786935961720594432")</f>
        <v>0</v>
      </c>
      <c r="B501" s="2">
        <v>42657.6010185185</v>
      </c>
      <c r="C501">
        <v>0</v>
      </c>
      <c r="D501">
        <v>4</v>
      </c>
      <c r="E501" t="s">
        <v>494</v>
      </c>
    </row>
    <row r="502" spans="1:5">
      <c r="A502">
        <f>HYPERLINK("http://www.twitter.com/NYCHA/status/786935944767238144", "786935944767238144")</f>
        <v>0</v>
      </c>
      <c r="B502" s="2">
        <v>42657.6009722222</v>
      </c>
      <c r="C502">
        <v>0</v>
      </c>
      <c r="D502">
        <v>1</v>
      </c>
      <c r="E502" t="s">
        <v>495</v>
      </c>
    </row>
    <row r="503" spans="1:5">
      <c r="A503">
        <f>HYPERLINK("http://www.twitter.com/NYCHA/status/786935874252603393", "786935874252603393")</f>
        <v>0</v>
      </c>
      <c r="B503" s="2">
        <v>42657.600775463</v>
      </c>
      <c r="C503">
        <v>0</v>
      </c>
      <c r="D503">
        <v>5</v>
      </c>
      <c r="E503" t="s">
        <v>496</v>
      </c>
    </row>
    <row r="504" spans="1:5">
      <c r="A504">
        <f>HYPERLINK("http://www.twitter.com/NYCHA/status/786917202737922048", "786917202737922048")</f>
        <v>0</v>
      </c>
      <c r="B504" s="2">
        <v>42657.5492592593</v>
      </c>
      <c r="C504">
        <v>1</v>
      </c>
      <c r="D504">
        <v>0</v>
      </c>
      <c r="E504" t="s">
        <v>497</v>
      </c>
    </row>
    <row r="505" spans="1:5">
      <c r="A505">
        <f>HYPERLINK("http://www.twitter.com/NYCHA/status/786916001208238080", "786916001208238080")</f>
        <v>0</v>
      </c>
      <c r="B505" s="2">
        <v>42657.5459375</v>
      </c>
      <c r="C505">
        <v>3</v>
      </c>
      <c r="D505">
        <v>0</v>
      </c>
      <c r="E505" t="s">
        <v>498</v>
      </c>
    </row>
    <row r="506" spans="1:5">
      <c r="A506">
        <f>HYPERLINK("http://www.twitter.com/NYCHA/status/786915614489251841", "786915614489251841")</f>
        <v>0</v>
      </c>
      <c r="B506" s="2">
        <v>42657.5448726852</v>
      </c>
      <c r="C506">
        <v>1</v>
      </c>
      <c r="D506">
        <v>1</v>
      </c>
      <c r="E506" t="s">
        <v>499</v>
      </c>
    </row>
    <row r="507" spans="1:5">
      <c r="A507">
        <f>HYPERLINK("http://www.twitter.com/NYCHA/status/786899859588714496", "786899859588714496")</f>
        <v>0</v>
      </c>
      <c r="B507" s="2">
        <v>42657.501400463</v>
      </c>
      <c r="C507">
        <v>1</v>
      </c>
      <c r="D507">
        <v>1</v>
      </c>
      <c r="E507" t="s">
        <v>500</v>
      </c>
    </row>
    <row r="508" spans="1:5">
      <c r="A508">
        <f>HYPERLINK("http://www.twitter.com/NYCHA/status/786688612578582532", "786688612578582532")</f>
        <v>0</v>
      </c>
      <c r="B508" s="2">
        <v>42656.9184606482</v>
      </c>
      <c r="C508">
        <v>1</v>
      </c>
      <c r="D508">
        <v>0</v>
      </c>
      <c r="E508" t="s">
        <v>501</v>
      </c>
    </row>
    <row r="509" spans="1:5">
      <c r="A509">
        <f>HYPERLINK("http://www.twitter.com/NYCHA/status/786669241277775877", "786669241277775877")</f>
        <v>0</v>
      </c>
      <c r="B509" s="2">
        <v>42656.8650115741</v>
      </c>
      <c r="C509">
        <v>1</v>
      </c>
      <c r="D509">
        <v>0</v>
      </c>
      <c r="E509" t="s">
        <v>502</v>
      </c>
    </row>
    <row r="510" spans="1:5">
      <c r="A510">
        <f>HYPERLINK("http://www.twitter.com/NYCHA/status/786656593769365506", "786656593769365506")</f>
        <v>0</v>
      </c>
      <c r="B510" s="2">
        <v>42656.8301041667</v>
      </c>
      <c r="C510">
        <v>1</v>
      </c>
      <c r="D510">
        <v>1</v>
      </c>
      <c r="E510" t="s">
        <v>503</v>
      </c>
    </row>
    <row r="511" spans="1:5">
      <c r="A511">
        <f>HYPERLINK("http://www.twitter.com/NYCHA/status/786642873009799168", "786642873009799168")</f>
        <v>0</v>
      </c>
      <c r="B511" s="2">
        <v>42656.7922453704</v>
      </c>
      <c r="C511">
        <v>3</v>
      </c>
      <c r="D511">
        <v>0</v>
      </c>
      <c r="E511" t="s">
        <v>504</v>
      </c>
    </row>
    <row r="512" spans="1:5">
      <c r="A512">
        <f>HYPERLINK("http://www.twitter.com/NYCHA/status/786628186746527744", "786628186746527744")</f>
        <v>0</v>
      </c>
      <c r="B512" s="2">
        <v>42656.751724537</v>
      </c>
      <c r="C512">
        <v>0</v>
      </c>
      <c r="D512">
        <v>0</v>
      </c>
      <c r="E512" t="s">
        <v>505</v>
      </c>
    </row>
    <row r="513" spans="1:5">
      <c r="A513">
        <f>HYPERLINK("http://www.twitter.com/NYCHA/status/786626938723045376", "786626938723045376")</f>
        <v>0</v>
      </c>
      <c r="B513" s="2">
        <v>42656.748275463</v>
      </c>
      <c r="C513">
        <v>0</v>
      </c>
      <c r="D513">
        <v>6</v>
      </c>
      <c r="E513" t="s">
        <v>506</v>
      </c>
    </row>
    <row r="514" spans="1:5">
      <c r="A514">
        <f>HYPERLINK("http://www.twitter.com/NYCHA/status/786618649243164672", "786618649243164672")</f>
        <v>0</v>
      </c>
      <c r="B514" s="2">
        <v>42656.7254050926</v>
      </c>
      <c r="C514">
        <v>0</v>
      </c>
      <c r="D514">
        <v>2</v>
      </c>
      <c r="E514" t="s">
        <v>507</v>
      </c>
    </row>
    <row r="515" spans="1:5">
      <c r="A515">
        <f>HYPERLINK("http://www.twitter.com/NYCHA/status/786612587605753856", "786612587605753856")</f>
        <v>0</v>
      </c>
      <c r="B515" s="2">
        <v>42656.7086805556</v>
      </c>
      <c r="C515">
        <v>0</v>
      </c>
      <c r="D515">
        <v>0</v>
      </c>
      <c r="E515" t="s">
        <v>508</v>
      </c>
    </row>
    <row r="516" spans="1:5">
      <c r="A516">
        <f>HYPERLINK("http://www.twitter.com/NYCHA/status/786588315017441280", "786588315017441280")</f>
        <v>0</v>
      </c>
      <c r="B516" s="2">
        <v>42656.6417013889</v>
      </c>
      <c r="C516">
        <v>0</v>
      </c>
      <c r="D516">
        <v>3</v>
      </c>
      <c r="E516" t="s">
        <v>509</v>
      </c>
    </row>
    <row r="517" spans="1:5">
      <c r="A517">
        <f>HYPERLINK("http://www.twitter.com/NYCHA/status/786588287020494848", "786588287020494848")</f>
        <v>0</v>
      </c>
      <c r="B517" s="2">
        <v>42656.6416203704</v>
      </c>
      <c r="C517">
        <v>0</v>
      </c>
      <c r="D517">
        <v>3</v>
      </c>
      <c r="E517" t="s">
        <v>510</v>
      </c>
    </row>
    <row r="518" spans="1:5">
      <c r="A518">
        <f>HYPERLINK("http://www.twitter.com/NYCHA/status/786572230683684864", "786572230683684864")</f>
        <v>0</v>
      </c>
      <c r="B518" s="2">
        <v>42656.5973148148</v>
      </c>
      <c r="C518">
        <v>0</v>
      </c>
      <c r="D518">
        <v>0</v>
      </c>
      <c r="E518" t="s">
        <v>511</v>
      </c>
    </row>
    <row r="519" spans="1:5">
      <c r="A519">
        <f>HYPERLINK("http://www.twitter.com/NYCHA/status/786567823611072512", "786567823611072512")</f>
        <v>0</v>
      </c>
      <c r="B519" s="2">
        <v>42656.585150463</v>
      </c>
      <c r="C519">
        <v>2</v>
      </c>
      <c r="D519">
        <v>1</v>
      </c>
      <c r="E519" t="s">
        <v>512</v>
      </c>
    </row>
    <row r="520" spans="1:5">
      <c r="A520">
        <f>HYPERLINK("http://www.twitter.com/NYCHA/status/786355978325327873", "786355978325327873")</f>
        <v>0</v>
      </c>
      <c r="B520" s="2">
        <v>42656.0005671296</v>
      </c>
      <c r="C520">
        <v>1</v>
      </c>
      <c r="D520">
        <v>0</v>
      </c>
      <c r="E520" t="s">
        <v>513</v>
      </c>
    </row>
    <row r="521" spans="1:5">
      <c r="A521">
        <f>HYPERLINK("http://www.twitter.com/NYCHA/status/786324601420652544", "786324601420652544")</f>
        <v>0</v>
      </c>
      <c r="B521" s="2">
        <v>42655.9139814815</v>
      </c>
      <c r="C521">
        <v>5</v>
      </c>
      <c r="D521">
        <v>2</v>
      </c>
      <c r="E521" t="s">
        <v>514</v>
      </c>
    </row>
    <row r="522" spans="1:5">
      <c r="A522">
        <f>HYPERLINK("http://www.twitter.com/NYCHA/status/786292551766663170", "786292551766663170")</f>
        <v>0</v>
      </c>
      <c r="B522" s="2">
        <v>42655.8255439815</v>
      </c>
      <c r="C522">
        <v>2</v>
      </c>
      <c r="D522">
        <v>0</v>
      </c>
      <c r="E522" t="s">
        <v>515</v>
      </c>
    </row>
    <row r="523" spans="1:5">
      <c r="A523">
        <f>HYPERLINK("http://www.twitter.com/NYCHA/status/786280514340683776", "786280514340683776")</f>
        <v>0</v>
      </c>
      <c r="B523" s="2">
        <v>42655.7923263889</v>
      </c>
      <c r="C523">
        <v>0</v>
      </c>
      <c r="D523">
        <v>0</v>
      </c>
      <c r="E523" t="s">
        <v>516</v>
      </c>
    </row>
    <row r="524" spans="1:5">
      <c r="A524">
        <f>HYPERLINK("http://www.twitter.com/NYCHA/status/786266020050788353", "786266020050788353")</f>
        <v>0</v>
      </c>
      <c r="B524" s="2">
        <v>42655.7523263889</v>
      </c>
      <c r="C524">
        <v>1</v>
      </c>
      <c r="D524">
        <v>2</v>
      </c>
      <c r="E524" t="s">
        <v>517</v>
      </c>
    </row>
    <row r="525" spans="1:5">
      <c r="A525">
        <f>HYPERLINK("http://www.twitter.com/NYCHA/status/786258218179784704", "786258218179784704")</f>
        <v>0</v>
      </c>
      <c r="B525" s="2">
        <v>42655.7307986111</v>
      </c>
      <c r="C525">
        <v>0</v>
      </c>
      <c r="D525">
        <v>1</v>
      </c>
      <c r="E525" t="s">
        <v>518</v>
      </c>
    </row>
    <row r="526" spans="1:5">
      <c r="A526">
        <f>HYPERLINK("http://www.twitter.com/NYCHA/status/786236128340869120", "786236128340869120")</f>
        <v>0</v>
      </c>
      <c r="B526" s="2">
        <v>42655.669849537</v>
      </c>
      <c r="C526">
        <v>1</v>
      </c>
      <c r="D526">
        <v>1</v>
      </c>
      <c r="E526" t="s">
        <v>519</v>
      </c>
    </row>
    <row r="527" spans="1:5">
      <c r="A527">
        <f>HYPERLINK("http://www.twitter.com/NYCHA/status/786235807262793731", "786235807262793731")</f>
        <v>0</v>
      </c>
      <c r="B527" s="2">
        <v>42655.6689583333</v>
      </c>
      <c r="C527">
        <v>0</v>
      </c>
      <c r="D527">
        <v>2</v>
      </c>
      <c r="E527" t="s">
        <v>520</v>
      </c>
    </row>
    <row r="528" spans="1:5">
      <c r="A528">
        <f>HYPERLINK("http://www.twitter.com/NYCHA/status/786230534343127041", "786230534343127041")</f>
        <v>0</v>
      </c>
      <c r="B528" s="2">
        <v>42655.6544097222</v>
      </c>
      <c r="C528">
        <v>0</v>
      </c>
      <c r="D528">
        <v>4</v>
      </c>
      <c r="E528" t="s">
        <v>521</v>
      </c>
    </row>
    <row r="529" spans="1:5">
      <c r="A529">
        <f>HYPERLINK("http://www.twitter.com/NYCHA/status/786221145263448064", "786221145263448064")</f>
        <v>0</v>
      </c>
      <c r="B529" s="2">
        <v>42655.6284953704</v>
      </c>
      <c r="C529">
        <v>4</v>
      </c>
      <c r="D529">
        <v>0</v>
      </c>
      <c r="E529" t="s">
        <v>522</v>
      </c>
    </row>
    <row r="530" spans="1:5">
      <c r="A530">
        <f>HYPERLINK("http://www.twitter.com/NYCHA/status/786219991297302528", "786219991297302528")</f>
        <v>0</v>
      </c>
      <c r="B530" s="2">
        <v>42655.6253125</v>
      </c>
      <c r="C530">
        <v>0</v>
      </c>
      <c r="D530">
        <v>2</v>
      </c>
      <c r="E530" t="s">
        <v>523</v>
      </c>
    </row>
    <row r="531" spans="1:5">
      <c r="A531">
        <f>HYPERLINK("http://www.twitter.com/NYCHA/status/786219988562640897", "786219988562640897")</f>
        <v>0</v>
      </c>
      <c r="B531" s="2">
        <v>42655.6253125</v>
      </c>
      <c r="C531">
        <v>0</v>
      </c>
      <c r="D531">
        <v>2</v>
      </c>
      <c r="E531" t="s">
        <v>524</v>
      </c>
    </row>
    <row r="532" spans="1:5">
      <c r="A532">
        <f>HYPERLINK("http://www.twitter.com/NYCHA/status/786205726788186112", "786205726788186112")</f>
        <v>0</v>
      </c>
      <c r="B532" s="2">
        <v>42655.5859490741</v>
      </c>
      <c r="C532">
        <v>8</v>
      </c>
      <c r="D532">
        <v>3</v>
      </c>
      <c r="E532" t="s">
        <v>525</v>
      </c>
    </row>
    <row r="533" spans="1:5">
      <c r="A533">
        <f>HYPERLINK("http://www.twitter.com/NYCHA/status/786190643039207428", "786190643039207428")</f>
        <v>0</v>
      </c>
      <c r="B533" s="2">
        <v>42655.5443287037</v>
      </c>
      <c r="C533">
        <v>0</v>
      </c>
      <c r="D533">
        <v>0</v>
      </c>
      <c r="E533" t="s">
        <v>526</v>
      </c>
    </row>
    <row r="534" spans="1:5">
      <c r="A534">
        <f>HYPERLINK("http://www.twitter.com/NYCHA/status/785961274446376961", "785961274446376961")</f>
        <v>0</v>
      </c>
      <c r="B534" s="2">
        <v>42654.9113888889</v>
      </c>
      <c r="C534">
        <v>0</v>
      </c>
      <c r="D534">
        <v>3</v>
      </c>
      <c r="E534" t="s">
        <v>527</v>
      </c>
    </row>
    <row r="535" spans="1:5">
      <c r="A535">
        <f>HYPERLINK("http://www.twitter.com/NYCHA/status/785903461326020608", "785903461326020608")</f>
        <v>0</v>
      </c>
      <c r="B535" s="2">
        <v>42654.7518634259</v>
      </c>
      <c r="C535">
        <v>2</v>
      </c>
      <c r="D535">
        <v>0</v>
      </c>
      <c r="E535" t="s">
        <v>528</v>
      </c>
    </row>
    <row r="536" spans="1:5">
      <c r="A536">
        <f>HYPERLINK("http://www.twitter.com/NYCHA/status/785902409419722752", "785902409419722752")</f>
        <v>0</v>
      </c>
      <c r="B536" s="2">
        <v>42654.7489583333</v>
      </c>
      <c r="C536">
        <v>0</v>
      </c>
      <c r="D536">
        <v>1</v>
      </c>
      <c r="E536" t="s">
        <v>529</v>
      </c>
    </row>
    <row r="537" spans="1:5">
      <c r="A537">
        <f>HYPERLINK("http://www.twitter.com/NYCHA/status/785896576631857152", "785896576631857152")</f>
        <v>0</v>
      </c>
      <c r="B537" s="2">
        <v>42654.7328587963</v>
      </c>
      <c r="C537">
        <v>0</v>
      </c>
      <c r="D537">
        <v>2</v>
      </c>
      <c r="E537" t="s">
        <v>530</v>
      </c>
    </row>
    <row r="538" spans="1:5">
      <c r="A538">
        <f>HYPERLINK("http://www.twitter.com/NYCHA/status/785891125756305408", "785891125756305408")</f>
        <v>0</v>
      </c>
      <c r="B538" s="2">
        <v>42654.7178240741</v>
      </c>
      <c r="C538">
        <v>0</v>
      </c>
      <c r="D538">
        <v>1</v>
      </c>
      <c r="E538" t="s">
        <v>531</v>
      </c>
    </row>
    <row r="539" spans="1:5">
      <c r="A539">
        <f>HYPERLINK("http://www.twitter.com/NYCHA/status/785889285434183682", "785889285434183682")</f>
        <v>0</v>
      </c>
      <c r="B539" s="2">
        <v>42654.7127430556</v>
      </c>
      <c r="C539">
        <v>0</v>
      </c>
      <c r="D539">
        <v>6</v>
      </c>
      <c r="E539" t="s">
        <v>532</v>
      </c>
    </row>
    <row r="540" spans="1:5">
      <c r="A540">
        <f>HYPERLINK("http://www.twitter.com/NYCHA/status/785873685227905025", "785873685227905025")</f>
        <v>0</v>
      </c>
      <c r="B540" s="2">
        <v>42654.6696990741</v>
      </c>
      <c r="C540">
        <v>4</v>
      </c>
      <c r="D540">
        <v>10</v>
      </c>
      <c r="E540" t="s">
        <v>533</v>
      </c>
    </row>
    <row r="541" spans="1:5">
      <c r="A541">
        <f>HYPERLINK("http://www.twitter.com/NYCHA/status/785862821108150273", "785862821108150273")</f>
        <v>0</v>
      </c>
      <c r="B541" s="2">
        <v>42654.6397106481</v>
      </c>
      <c r="C541">
        <v>0</v>
      </c>
      <c r="D541">
        <v>0</v>
      </c>
      <c r="E541" t="s">
        <v>534</v>
      </c>
    </row>
    <row r="542" spans="1:5">
      <c r="A542">
        <f>HYPERLINK("http://www.twitter.com/NYCHA/status/785862558712561665", "785862558712561665")</f>
        <v>0</v>
      </c>
      <c r="B542" s="2">
        <v>42654.6389930556</v>
      </c>
      <c r="C542">
        <v>1</v>
      </c>
      <c r="D542">
        <v>0</v>
      </c>
      <c r="E542" t="s">
        <v>535</v>
      </c>
    </row>
    <row r="543" spans="1:5">
      <c r="A543">
        <f>HYPERLINK("http://www.twitter.com/NYCHA/status/785861404851044363", "785861404851044363")</f>
        <v>0</v>
      </c>
      <c r="B543" s="2">
        <v>42654.6358101852</v>
      </c>
      <c r="C543">
        <v>0</v>
      </c>
      <c r="D543">
        <v>2</v>
      </c>
      <c r="E543" t="s">
        <v>536</v>
      </c>
    </row>
    <row r="544" spans="1:5">
      <c r="A544">
        <f>HYPERLINK("http://www.twitter.com/NYCHA/status/785843445902479365", "785843445902479365")</f>
        <v>0</v>
      </c>
      <c r="B544" s="2">
        <v>42654.58625</v>
      </c>
      <c r="C544">
        <v>4</v>
      </c>
      <c r="D544">
        <v>0</v>
      </c>
      <c r="E544" t="s">
        <v>537</v>
      </c>
    </row>
    <row r="545" spans="1:5">
      <c r="A545">
        <f>HYPERLINK("http://www.twitter.com/NYCHA/status/785828379291516928", "785828379291516928")</f>
        <v>0</v>
      </c>
      <c r="B545" s="2">
        <v>42654.5446759259</v>
      </c>
      <c r="C545">
        <v>1</v>
      </c>
      <c r="D545">
        <v>0</v>
      </c>
      <c r="E545" t="s">
        <v>538</v>
      </c>
    </row>
    <row r="546" spans="1:5">
      <c r="A546">
        <f>HYPERLINK("http://www.twitter.com/NYCHA/status/785533308960706560", "785533308960706560")</f>
        <v>0</v>
      </c>
      <c r="B546" s="2">
        <v>42653.7304398148</v>
      </c>
      <c r="C546">
        <v>2</v>
      </c>
      <c r="D546">
        <v>4</v>
      </c>
      <c r="E546" t="s">
        <v>539</v>
      </c>
    </row>
    <row r="547" spans="1:5">
      <c r="A547">
        <f>HYPERLINK("http://www.twitter.com/NYCHA/status/785496003516502016", "785496003516502016")</f>
        <v>0</v>
      </c>
      <c r="B547" s="2">
        <v>42653.6274884259</v>
      </c>
      <c r="C547">
        <v>3</v>
      </c>
      <c r="D547">
        <v>2</v>
      </c>
      <c r="E547" t="s">
        <v>540</v>
      </c>
    </row>
    <row r="548" spans="1:5">
      <c r="A548">
        <f>HYPERLINK("http://www.twitter.com/NYCHA/status/784823402582376449", "784823402582376449")</f>
        <v>0</v>
      </c>
      <c r="B548" s="2">
        <v>42651.7714699074</v>
      </c>
      <c r="C548">
        <v>0</v>
      </c>
      <c r="D548">
        <v>1</v>
      </c>
      <c r="E548" t="s">
        <v>541</v>
      </c>
    </row>
    <row r="549" spans="1:5">
      <c r="A549">
        <f>HYPERLINK("http://www.twitter.com/NYCHA/status/784494405269000194", "784494405269000194")</f>
        <v>0</v>
      </c>
      <c r="B549" s="2">
        <v>42650.8636111111</v>
      </c>
      <c r="C549">
        <v>0</v>
      </c>
      <c r="D549">
        <v>3</v>
      </c>
      <c r="E549" t="s">
        <v>542</v>
      </c>
    </row>
    <row r="550" spans="1:5">
      <c r="A550">
        <f>HYPERLINK("http://www.twitter.com/NYCHA/status/784483579862609921", "784483579862609921")</f>
        <v>0</v>
      </c>
      <c r="B550" s="2">
        <v>42650.8337384259</v>
      </c>
      <c r="C550">
        <v>1</v>
      </c>
      <c r="D550">
        <v>1</v>
      </c>
      <c r="E550" t="s">
        <v>543</v>
      </c>
    </row>
    <row r="551" spans="1:5">
      <c r="A551">
        <f>HYPERLINK("http://www.twitter.com/NYCHA/status/784477226213441537", "784477226213441537")</f>
        <v>0</v>
      </c>
      <c r="B551" s="2">
        <v>42650.8162037037</v>
      </c>
      <c r="C551">
        <v>0</v>
      </c>
      <c r="D551">
        <v>1</v>
      </c>
      <c r="E551" t="s">
        <v>544</v>
      </c>
    </row>
    <row r="552" spans="1:5">
      <c r="A552">
        <f>HYPERLINK("http://www.twitter.com/NYCHA/status/784469176534634500", "784469176534634500")</f>
        <v>0</v>
      </c>
      <c r="B552" s="2">
        <v>42650.7939930556</v>
      </c>
      <c r="C552">
        <v>0</v>
      </c>
      <c r="D552">
        <v>0</v>
      </c>
      <c r="E552" t="s">
        <v>545</v>
      </c>
    </row>
    <row r="553" spans="1:5">
      <c r="A553">
        <f>HYPERLINK("http://www.twitter.com/NYCHA/status/784463176301744128", "784463176301744128")</f>
        <v>0</v>
      </c>
      <c r="B553" s="2">
        <v>42650.7774305556</v>
      </c>
      <c r="C553">
        <v>0</v>
      </c>
      <c r="D553">
        <v>1</v>
      </c>
      <c r="E553" t="s">
        <v>546</v>
      </c>
    </row>
    <row r="554" spans="1:5">
      <c r="A554">
        <f>HYPERLINK("http://www.twitter.com/NYCHA/status/784454120065425408", "784454120065425408")</f>
        <v>0</v>
      </c>
      <c r="B554" s="2">
        <v>42650.7524421296</v>
      </c>
      <c r="C554">
        <v>0</v>
      </c>
      <c r="D554">
        <v>0</v>
      </c>
      <c r="E554" t="s">
        <v>547</v>
      </c>
    </row>
    <row r="555" spans="1:5">
      <c r="A555">
        <f>HYPERLINK("http://www.twitter.com/NYCHA/status/784438850492006400", "784438850492006400")</f>
        <v>0</v>
      </c>
      <c r="B555" s="2">
        <v>42650.7103009259</v>
      </c>
      <c r="C555">
        <v>0</v>
      </c>
      <c r="D555">
        <v>1</v>
      </c>
      <c r="E555" t="s">
        <v>548</v>
      </c>
    </row>
    <row r="556" spans="1:5">
      <c r="A556">
        <f>HYPERLINK("http://www.twitter.com/NYCHA/status/784431285649498112", "784431285649498112")</f>
        <v>0</v>
      </c>
      <c r="B556" s="2">
        <v>42650.6894328704</v>
      </c>
      <c r="C556">
        <v>0</v>
      </c>
      <c r="D556">
        <v>0</v>
      </c>
      <c r="E556" t="s">
        <v>549</v>
      </c>
    </row>
    <row r="557" spans="1:5">
      <c r="A557">
        <f>HYPERLINK("http://www.twitter.com/NYCHA/status/784382829660672000", "784382829660672000")</f>
        <v>0</v>
      </c>
      <c r="B557" s="2">
        <v>42650.5557175926</v>
      </c>
      <c r="C557">
        <v>0</v>
      </c>
      <c r="D557">
        <v>1</v>
      </c>
      <c r="E557" t="s">
        <v>550</v>
      </c>
    </row>
    <row r="558" spans="1:5">
      <c r="A558">
        <f>HYPERLINK("http://www.twitter.com/NYCHA/status/784382797591044097", "784382797591044097")</f>
        <v>0</v>
      </c>
      <c r="B558" s="2">
        <v>42650.555625</v>
      </c>
      <c r="C558">
        <v>0</v>
      </c>
      <c r="D558">
        <v>1</v>
      </c>
      <c r="E558" t="s">
        <v>551</v>
      </c>
    </row>
    <row r="559" spans="1:5">
      <c r="A559">
        <f>HYPERLINK("http://www.twitter.com/NYCHA/status/784382781245775872", "784382781245775872")</f>
        <v>0</v>
      </c>
      <c r="B559" s="2">
        <v>42650.5555787037</v>
      </c>
      <c r="C559">
        <v>0</v>
      </c>
      <c r="D559">
        <v>1</v>
      </c>
      <c r="E559" t="s">
        <v>552</v>
      </c>
    </row>
    <row r="560" spans="1:5">
      <c r="A560">
        <f>HYPERLINK("http://www.twitter.com/NYCHA/status/784382773104635905", "784382773104635905")</f>
        <v>0</v>
      </c>
      <c r="B560" s="2">
        <v>42650.5555555556</v>
      </c>
      <c r="C560">
        <v>0</v>
      </c>
      <c r="D560">
        <v>3</v>
      </c>
      <c r="E560" t="s">
        <v>553</v>
      </c>
    </row>
    <row r="561" spans="1:5">
      <c r="A561">
        <f>HYPERLINK("http://www.twitter.com/NYCHA/status/784382756436541440", "784382756436541440")</f>
        <v>0</v>
      </c>
      <c r="B561" s="2">
        <v>42650.5555092593</v>
      </c>
      <c r="C561">
        <v>0</v>
      </c>
      <c r="D561">
        <v>2</v>
      </c>
      <c r="E561" t="s">
        <v>554</v>
      </c>
    </row>
    <row r="562" spans="1:5">
      <c r="A562">
        <f>HYPERLINK("http://www.twitter.com/NYCHA/status/784379247611744257", "784379247611744257")</f>
        <v>0</v>
      </c>
      <c r="B562" s="2">
        <v>42650.5458333333</v>
      </c>
      <c r="C562">
        <v>0</v>
      </c>
      <c r="D562">
        <v>0</v>
      </c>
      <c r="E562" t="s">
        <v>555</v>
      </c>
    </row>
    <row r="563" spans="1:5">
      <c r="A563">
        <f>HYPERLINK("http://www.twitter.com/NYCHA/status/784378679690457088", "784378679690457088")</f>
        <v>0</v>
      </c>
      <c r="B563" s="2">
        <v>42650.5442592593</v>
      </c>
      <c r="C563">
        <v>0</v>
      </c>
      <c r="D563">
        <v>0</v>
      </c>
      <c r="E563" t="s">
        <v>556</v>
      </c>
    </row>
    <row r="564" spans="1:5">
      <c r="A564">
        <f>HYPERLINK("http://www.twitter.com/NYCHA/status/784140577843638272", "784140577843638272")</f>
        <v>0</v>
      </c>
      <c r="B564" s="2">
        <v>42649.8872337963</v>
      </c>
      <c r="C564">
        <v>0</v>
      </c>
      <c r="D564">
        <v>1</v>
      </c>
      <c r="E564" t="s">
        <v>557</v>
      </c>
    </row>
    <row r="565" spans="1:5">
      <c r="A565">
        <f>HYPERLINK("http://www.twitter.com/NYCHA/status/784140519022661632", "784140519022661632")</f>
        <v>0</v>
      </c>
      <c r="B565" s="2">
        <v>42649.8870717593</v>
      </c>
      <c r="C565">
        <v>0</v>
      </c>
      <c r="D565">
        <v>1</v>
      </c>
      <c r="E565" t="s">
        <v>558</v>
      </c>
    </row>
    <row r="566" spans="1:5">
      <c r="A566">
        <f>HYPERLINK("http://www.twitter.com/NYCHA/status/784106481914417152", "784106481914417152")</f>
        <v>0</v>
      </c>
      <c r="B566" s="2">
        <v>42649.7931365741</v>
      </c>
      <c r="C566">
        <v>4</v>
      </c>
      <c r="D566">
        <v>4</v>
      </c>
      <c r="E566" t="s">
        <v>559</v>
      </c>
    </row>
    <row r="567" spans="1:5">
      <c r="A567">
        <f>HYPERLINK("http://www.twitter.com/NYCHA/status/784091644333359105", "784091644333359105")</f>
        <v>0</v>
      </c>
      <c r="B567" s="2">
        <v>42649.7521990741</v>
      </c>
      <c r="C567">
        <v>3</v>
      </c>
      <c r="D567">
        <v>1</v>
      </c>
      <c r="E567" t="s">
        <v>560</v>
      </c>
    </row>
    <row r="568" spans="1:5">
      <c r="A568">
        <f>HYPERLINK("http://www.twitter.com/NYCHA/status/784080951743832064", "784080951743832064")</f>
        <v>0</v>
      </c>
      <c r="B568" s="2">
        <v>42649.7226967593</v>
      </c>
      <c r="C568">
        <v>0</v>
      </c>
      <c r="D568">
        <v>0</v>
      </c>
      <c r="E568" t="s">
        <v>561</v>
      </c>
    </row>
    <row r="569" spans="1:5">
      <c r="A569">
        <f>HYPERLINK("http://www.twitter.com/NYCHA/status/784067106648256512", "784067106648256512")</f>
        <v>0</v>
      </c>
      <c r="B569" s="2">
        <v>42649.6844907407</v>
      </c>
      <c r="C569">
        <v>0</v>
      </c>
      <c r="D569">
        <v>1</v>
      </c>
      <c r="E569" t="s">
        <v>562</v>
      </c>
    </row>
    <row r="570" spans="1:5">
      <c r="A570">
        <f>HYPERLINK("http://www.twitter.com/NYCHA/status/784067103871696897", "784067103871696897")</f>
        <v>0</v>
      </c>
      <c r="B570" s="2">
        <v>42649.6844791667</v>
      </c>
      <c r="C570">
        <v>0</v>
      </c>
      <c r="D570">
        <v>3</v>
      </c>
      <c r="E570" t="s">
        <v>563</v>
      </c>
    </row>
    <row r="571" spans="1:5">
      <c r="A571">
        <f>HYPERLINK("http://www.twitter.com/NYCHA/status/784050267255926784", "784050267255926784")</f>
        <v>0</v>
      </c>
      <c r="B571" s="2">
        <v>42649.6380208333</v>
      </c>
      <c r="C571">
        <v>0</v>
      </c>
      <c r="D571">
        <v>1</v>
      </c>
      <c r="E571" t="s">
        <v>564</v>
      </c>
    </row>
    <row r="572" spans="1:5">
      <c r="A572">
        <f>HYPERLINK("http://www.twitter.com/NYCHA/status/784046809698164737", "784046809698164737")</f>
        <v>0</v>
      </c>
      <c r="B572" s="2">
        <v>42649.6284722222</v>
      </c>
      <c r="C572">
        <v>0</v>
      </c>
      <c r="D572">
        <v>2</v>
      </c>
      <c r="E572" t="s">
        <v>565</v>
      </c>
    </row>
    <row r="573" spans="1:5">
      <c r="A573">
        <f>HYPERLINK("http://www.twitter.com/NYCHA/status/784046694333816832", "784046694333816832")</f>
        <v>0</v>
      </c>
      <c r="B573" s="2">
        <v>42649.6281597222</v>
      </c>
      <c r="C573">
        <v>0</v>
      </c>
      <c r="D573">
        <v>1</v>
      </c>
      <c r="E573" t="s">
        <v>566</v>
      </c>
    </row>
    <row r="574" spans="1:5">
      <c r="A574">
        <f>HYPERLINK("http://www.twitter.com/NYCHA/status/784046378846748672", "784046378846748672")</f>
        <v>0</v>
      </c>
      <c r="B574" s="2">
        <v>42649.6272916667</v>
      </c>
      <c r="C574">
        <v>0</v>
      </c>
      <c r="D574">
        <v>2</v>
      </c>
      <c r="E574" t="s">
        <v>567</v>
      </c>
    </row>
    <row r="575" spans="1:5">
      <c r="A575">
        <f>HYPERLINK("http://www.twitter.com/NYCHA/status/784046117965197312", "784046117965197312")</f>
        <v>0</v>
      </c>
      <c r="B575" s="2">
        <v>42649.6265740741</v>
      </c>
      <c r="C575">
        <v>1</v>
      </c>
      <c r="D575">
        <v>0</v>
      </c>
      <c r="E575" t="s">
        <v>568</v>
      </c>
    </row>
    <row r="576" spans="1:5">
      <c r="A576">
        <f>HYPERLINK("http://www.twitter.com/NYCHA/status/784040687721451522", "784040687721451522")</f>
        <v>0</v>
      </c>
      <c r="B576" s="2">
        <v>42649.6115856481</v>
      </c>
      <c r="C576">
        <v>0</v>
      </c>
      <c r="D576">
        <v>5</v>
      </c>
      <c r="E576" t="s">
        <v>569</v>
      </c>
    </row>
    <row r="577" spans="1:5">
      <c r="A577">
        <f>HYPERLINK("http://www.twitter.com/NYCHA/status/784038631958773761", "784038631958773761")</f>
        <v>0</v>
      </c>
      <c r="B577" s="2">
        <v>42649.6059143519</v>
      </c>
      <c r="C577">
        <v>4</v>
      </c>
      <c r="D577">
        <v>2</v>
      </c>
      <c r="E577" t="s">
        <v>570</v>
      </c>
    </row>
    <row r="578" spans="1:5">
      <c r="A578">
        <f>HYPERLINK("http://www.twitter.com/NYCHA/status/784037910567936000", "784037910567936000")</f>
        <v>0</v>
      </c>
      <c r="B578" s="2">
        <v>42649.6039236111</v>
      </c>
      <c r="C578">
        <v>2</v>
      </c>
      <c r="D578">
        <v>1</v>
      </c>
      <c r="E578" t="s">
        <v>571</v>
      </c>
    </row>
    <row r="579" spans="1:5">
      <c r="A579">
        <f>HYPERLINK("http://www.twitter.com/NYCHA/status/784035216927158276", "784035216927158276")</f>
        <v>0</v>
      </c>
      <c r="B579" s="2">
        <v>42649.5964930556</v>
      </c>
      <c r="C579">
        <v>0</v>
      </c>
      <c r="D579">
        <v>3</v>
      </c>
      <c r="E579" t="s">
        <v>572</v>
      </c>
    </row>
    <row r="580" spans="1:5">
      <c r="A580">
        <f>HYPERLINK("http://www.twitter.com/NYCHA/status/784034496416931840", "784034496416931840")</f>
        <v>0</v>
      </c>
      <c r="B580" s="2">
        <v>42649.5945023148</v>
      </c>
      <c r="C580">
        <v>0</v>
      </c>
      <c r="D580">
        <v>1</v>
      </c>
      <c r="E580" t="s">
        <v>573</v>
      </c>
    </row>
    <row r="581" spans="1:5">
      <c r="A581">
        <f>HYPERLINK("http://www.twitter.com/NYCHA/status/784031375942975488", "784031375942975488")</f>
        <v>0</v>
      </c>
      <c r="B581" s="2">
        <v>42649.5858912037</v>
      </c>
      <c r="C581">
        <v>0</v>
      </c>
      <c r="D581">
        <v>0</v>
      </c>
      <c r="E581" t="s">
        <v>574</v>
      </c>
    </row>
    <row r="582" spans="1:5">
      <c r="A582">
        <f>HYPERLINK("http://www.twitter.com/NYCHA/status/784031220669747200", "784031220669747200")</f>
        <v>0</v>
      </c>
      <c r="B582" s="2">
        <v>42649.585462963</v>
      </c>
      <c r="C582">
        <v>0</v>
      </c>
      <c r="D582">
        <v>1</v>
      </c>
      <c r="E582" t="s">
        <v>575</v>
      </c>
    </row>
    <row r="583" spans="1:5">
      <c r="A583">
        <f>HYPERLINK("http://www.twitter.com/NYCHA/status/784030941408788480", "784030941408788480")</f>
        <v>0</v>
      </c>
      <c r="B583" s="2">
        <v>42649.5846875</v>
      </c>
      <c r="C583">
        <v>5</v>
      </c>
      <c r="D583">
        <v>3</v>
      </c>
      <c r="E583" t="s">
        <v>576</v>
      </c>
    </row>
    <row r="584" spans="1:5">
      <c r="A584">
        <f>HYPERLINK("http://www.twitter.com/NYCHA/status/784016346212339712", "784016346212339712")</f>
        <v>0</v>
      </c>
      <c r="B584" s="2">
        <v>42649.5444097222</v>
      </c>
      <c r="C584">
        <v>0</v>
      </c>
      <c r="D584">
        <v>0</v>
      </c>
      <c r="E584" t="s">
        <v>577</v>
      </c>
    </row>
    <row r="585" spans="1:5">
      <c r="A585">
        <f>HYPERLINK("http://www.twitter.com/NYCHA/status/783781517596192769", "783781517596192769")</f>
        <v>0</v>
      </c>
      <c r="B585" s="2">
        <v>42648.896412037</v>
      </c>
      <c r="C585">
        <v>0</v>
      </c>
      <c r="D585">
        <v>1</v>
      </c>
      <c r="E585" t="s">
        <v>578</v>
      </c>
    </row>
    <row r="586" spans="1:5">
      <c r="A586">
        <f>HYPERLINK("http://www.twitter.com/NYCHA/status/783780454671548416", "783780454671548416")</f>
        <v>0</v>
      </c>
      <c r="B586" s="2">
        <v>42648.8934722222</v>
      </c>
      <c r="C586">
        <v>0</v>
      </c>
      <c r="D586">
        <v>1</v>
      </c>
      <c r="E586" t="s">
        <v>579</v>
      </c>
    </row>
    <row r="587" spans="1:5">
      <c r="A587">
        <f>HYPERLINK("http://www.twitter.com/NYCHA/status/783780433003773953", "783780433003773953")</f>
        <v>0</v>
      </c>
      <c r="B587" s="2">
        <v>42648.8934143518</v>
      </c>
      <c r="C587">
        <v>0</v>
      </c>
      <c r="D587">
        <v>3</v>
      </c>
      <c r="E587" t="s">
        <v>580</v>
      </c>
    </row>
    <row r="588" spans="1:5">
      <c r="A588">
        <f>HYPERLINK("http://www.twitter.com/NYCHA/status/783757859997749249", "783757859997749249")</f>
        <v>0</v>
      </c>
      <c r="B588" s="2">
        <v>42648.8311226852</v>
      </c>
      <c r="C588">
        <v>0</v>
      </c>
      <c r="D588">
        <v>2</v>
      </c>
      <c r="E588" t="s">
        <v>581</v>
      </c>
    </row>
    <row r="589" spans="1:5">
      <c r="A589">
        <f>HYPERLINK("http://www.twitter.com/NYCHA/status/783744091767074816", "783744091767074816")</f>
        <v>0</v>
      </c>
      <c r="B589" s="2">
        <v>42648.7931365741</v>
      </c>
      <c r="C589">
        <v>2</v>
      </c>
      <c r="D589">
        <v>0</v>
      </c>
      <c r="E589" t="s">
        <v>582</v>
      </c>
    </row>
    <row r="590" spans="1:5">
      <c r="A590">
        <f>HYPERLINK("http://www.twitter.com/NYCHA/status/783735879542116352", "783735879542116352")</f>
        <v>0</v>
      </c>
      <c r="B590" s="2">
        <v>42648.770474537</v>
      </c>
      <c r="C590">
        <v>0</v>
      </c>
      <c r="D590">
        <v>0</v>
      </c>
      <c r="E590" t="s">
        <v>583</v>
      </c>
    </row>
    <row r="591" spans="1:5">
      <c r="A591">
        <f>HYPERLINK("http://www.twitter.com/NYCHA/status/783731920744157184", "783731920744157184")</f>
        <v>0</v>
      </c>
      <c r="B591" s="2">
        <v>42648.7595486111</v>
      </c>
      <c r="C591">
        <v>0</v>
      </c>
      <c r="D591">
        <v>2</v>
      </c>
      <c r="E591" t="s">
        <v>584</v>
      </c>
    </row>
    <row r="592" spans="1:5">
      <c r="A592">
        <f>HYPERLINK("http://www.twitter.com/NYCHA/status/783731845062090756", "783731845062090756")</f>
        <v>0</v>
      </c>
      <c r="B592" s="2">
        <v>42648.7593402778</v>
      </c>
      <c r="C592">
        <v>0</v>
      </c>
      <c r="D592">
        <v>2</v>
      </c>
      <c r="E592" t="s">
        <v>585</v>
      </c>
    </row>
    <row r="593" spans="1:5">
      <c r="A593">
        <f>HYPERLINK("http://www.twitter.com/NYCHA/status/783722197617610752", "783722197617610752")</f>
        <v>0</v>
      </c>
      <c r="B593" s="2">
        <v>42648.7327199074</v>
      </c>
      <c r="C593">
        <v>4</v>
      </c>
      <c r="D593">
        <v>12</v>
      </c>
      <c r="E593" t="s">
        <v>586</v>
      </c>
    </row>
    <row r="594" spans="1:5">
      <c r="A594">
        <f>HYPERLINK("http://www.twitter.com/NYCHA/status/783699839725035520", "783699839725035520")</f>
        <v>0</v>
      </c>
      <c r="B594" s="2">
        <v>42648.6710185185</v>
      </c>
      <c r="C594">
        <v>0</v>
      </c>
      <c r="D594">
        <v>6</v>
      </c>
      <c r="E594" t="s">
        <v>587</v>
      </c>
    </row>
    <row r="595" spans="1:5">
      <c r="A595">
        <f>HYPERLINK("http://www.twitter.com/NYCHA/status/783699129381912577", "783699129381912577")</f>
        <v>0</v>
      </c>
      <c r="B595" s="2">
        <v>42648.6690625</v>
      </c>
      <c r="C595">
        <v>0</v>
      </c>
      <c r="D595">
        <v>0</v>
      </c>
      <c r="E595" t="s">
        <v>588</v>
      </c>
    </row>
    <row r="596" spans="1:5">
      <c r="A596">
        <f>HYPERLINK("http://www.twitter.com/NYCHA/status/783682153406197760", "783682153406197760")</f>
        <v>0</v>
      </c>
      <c r="B596" s="2">
        <v>42648.6222222222</v>
      </c>
      <c r="C596">
        <v>9</v>
      </c>
      <c r="D596">
        <v>3</v>
      </c>
      <c r="E596" t="s">
        <v>589</v>
      </c>
    </row>
    <row r="597" spans="1:5">
      <c r="A597">
        <f>HYPERLINK("http://www.twitter.com/NYCHA/status/783674701252001793", "783674701252001793")</f>
        <v>0</v>
      </c>
      <c r="B597" s="2">
        <v>42648.6016550926</v>
      </c>
      <c r="C597">
        <v>0</v>
      </c>
      <c r="D597">
        <v>1</v>
      </c>
      <c r="E597" t="s">
        <v>590</v>
      </c>
    </row>
    <row r="598" spans="1:5">
      <c r="A598">
        <f>HYPERLINK("http://www.twitter.com/NYCHA/status/783674549317537792", "783674549317537792")</f>
        <v>0</v>
      </c>
      <c r="B598" s="2">
        <v>42648.6012384259</v>
      </c>
      <c r="C598">
        <v>0</v>
      </c>
      <c r="D598">
        <v>3</v>
      </c>
      <c r="E598" t="s">
        <v>591</v>
      </c>
    </row>
    <row r="599" spans="1:5">
      <c r="A599">
        <f>HYPERLINK("http://www.twitter.com/NYCHA/status/783674541188980736", "783674541188980736")</f>
        <v>0</v>
      </c>
      <c r="B599" s="2">
        <v>42648.6012152778</v>
      </c>
      <c r="C599">
        <v>0</v>
      </c>
      <c r="D599">
        <v>3</v>
      </c>
      <c r="E599" t="s">
        <v>592</v>
      </c>
    </row>
    <row r="600" spans="1:5">
      <c r="A600">
        <f>HYPERLINK("http://www.twitter.com/NYCHA/status/783674533953826817", "783674533953826817")</f>
        <v>0</v>
      </c>
      <c r="B600" s="2">
        <v>42648.6011921296</v>
      </c>
      <c r="C600">
        <v>0</v>
      </c>
      <c r="D600">
        <v>3</v>
      </c>
      <c r="E600" t="s">
        <v>593</v>
      </c>
    </row>
    <row r="601" spans="1:5">
      <c r="A601">
        <f>HYPERLINK("http://www.twitter.com/NYCHA/status/783674508897026049", "783674508897026049")</f>
        <v>0</v>
      </c>
      <c r="B601" s="2">
        <v>42648.6011226852</v>
      </c>
      <c r="C601">
        <v>0</v>
      </c>
      <c r="D601">
        <v>5</v>
      </c>
      <c r="E601" t="s">
        <v>594</v>
      </c>
    </row>
    <row r="602" spans="1:5">
      <c r="A602">
        <f>HYPERLINK("http://www.twitter.com/NYCHA/status/783674497291386880", "783674497291386880")</f>
        <v>0</v>
      </c>
      <c r="B602" s="2">
        <v>42648.601087963</v>
      </c>
      <c r="C602">
        <v>0</v>
      </c>
      <c r="D602">
        <v>2</v>
      </c>
      <c r="E602" t="s">
        <v>595</v>
      </c>
    </row>
    <row r="603" spans="1:5">
      <c r="A603">
        <f>HYPERLINK("http://www.twitter.com/NYCHA/status/783674491314503681", "783674491314503681")</f>
        <v>0</v>
      </c>
      <c r="B603" s="2">
        <v>42648.6010763889</v>
      </c>
      <c r="C603">
        <v>0</v>
      </c>
      <c r="D603">
        <v>2</v>
      </c>
      <c r="E603" t="s">
        <v>596</v>
      </c>
    </row>
    <row r="604" spans="1:5">
      <c r="A604">
        <f>HYPERLINK("http://www.twitter.com/NYCHA/status/783674487531245568", "783674487531245568")</f>
        <v>0</v>
      </c>
      <c r="B604" s="2">
        <v>42648.6010648148</v>
      </c>
      <c r="C604">
        <v>0</v>
      </c>
      <c r="D604">
        <v>2</v>
      </c>
      <c r="E604" t="s">
        <v>597</v>
      </c>
    </row>
    <row r="605" spans="1:5">
      <c r="A605">
        <f>HYPERLINK("http://www.twitter.com/NYCHA/status/783669010541977600", "783669010541977600")</f>
        <v>0</v>
      </c>
      <c r="B605" s="2">
        <v>42648.5859490741</v>
      </c>
      <c r="C605">
        <v>4</v>
      </c>
      <c r="D605">
        <v>0</v>
      </c>
      <c r="E605" t="s">
        <v>598</v>
      </c>
    </row>
    <row r="606" spans="1:5">
      <c r="A606">
        <f>HYPERLINK("http://www.twitter.com/NYCHA/status/783653972770955264", "783653972770955264")</f>
        <v>0</v>
      </c>
      <c r="B606" s="2">
        <v>42648.5444560185</v>
      </c>
      <c r="C606">
        <v>2</v>
      </c>
      <c r="D606">
        <v>1</v>
      </c>
      <c r="E606" t="s">
        <v>599</v>
      </c>
    </row>
    <row r="607" spans="1:5">
      <c r="A607">
        <f>HYPERLINK("http://www.twitter.com/NYCHA/status/783414002948968449", "783414002948968449")</f>
        <v>0</v>
      </c>
      <c r="B607" s="2">
        <v>42647.8822685185</v>
      </c>
      <c r="C607">
        <v>0</v>
      </c>
      <c r="D607">
        <v>2</v>
      </c>
      <c r="E607" t="s">
        <v>600</v>
      </c>
    </row>
    <row r="608" spans="1:5">
      <c r="A608">
        <f>HYPERLINK("http://www.twitter.com/NYCHA/status/783413675008950276", "783413675008950276")</f>
        <v>0</v>
      </c>
      <c r="B608" s="2">
        <v>42647.8813541667</v>
      </c>
      <c r="C608">
        <v>5</v>
      </c>
      <c r="D608">
        <v>1</v>
      </c>
      <c r="E608" t="s">
        <v>601</v>
      </c>
    </row>
    <row r="609" spans="1:5">
      <c r="A609">
        <f>HYPERLINK("http://www.twitter.com/NYCHA/status/783399789073403904", "783399789073403904")</f>
        <v>0</v>
      </c>
      <c r="B609" s="2">
        <v>42647.8430439815</v>
      </c>
      <c r="C609">
        <v>0</v>
      </c>
      <c r="D609">
        <v>3</v>
      </c>
      <c r="E609" t="s">
        <v>602</v>
      </c>
    </row>
    <row r="610" spans="1:5">
      <c r="A610">
        <f>HYPERLINK("http://www.twitter.com/NYCHA/status/783384888762400768", "783384888762400768")</f>
        <v>0</v>
      </c>
      <c r="B610" s="2">
        <v>42647.8019212963</v>
      </c>
      <c r="C610">
        <v>0</v>
      </c>
      <c r="D610">
        <v>2</v>
      </c>
      <c r="E610" t="s">
        <v>603</v>
      </c>
    </row>
    <row r="611" spans="1:5">
      <c r="A611">
        <f>HYPERLINK("http://www.twitter.com/NYCHA/status/783356639701245952", "783356639701245952")</f>
        <v>0</v>
      </c>
      <c r="B611" s="2">
        <v>42647.7239699074</v>
      </c>
      <c r="C611">
        <v>4</v>
      </c>
      <c r="D611">
        <v>4</v>
      </c>
      <c r="E611" t="s">
        <v>604</v>
      </c>
    </row>
    <row r="612" spans="1:5">
      <c r="A612">
        <f>HYPERLINK("http://www.twitter.com/NYCHA/status/783353993087057920", "783353993087057920")</f>
        <v>0</v>
      </c>
      <c r="B612" s="2">
        <v>42647.7166666667</v>
      </c>
      <c r="C612">
        <v>2</v>
      </c>
      <c r="D612">
        <v>1</v>
      </c>
      <c r="E612" t="s">
        <v>605</v>
      </c>
    </row>
    <row r="613" spans="1:5">
      <c r="A613">
        <f>HYPERLINK("http://www.twitter.com/NYCHA/status/783341083728150528", "783341083728150528")</f>
        <v>0</v>
      </c>
      <c r="B613" s="2">
        <v>42647.6810416667</v>
      </c>
      <c r="C613">
        <v>3</v>
      </c>
      <c r="D613">
        <v>1</v>
      </c>
      <c r="E613" t="s">
        <v>606</v>
      </c>
    </row>
    <row r="614" spans="1:5">
      <c r="A614">
        <f>HYPERLINK("http://www.twitter.com/NYCHA/status/783329883426619392", "783329883426619392")</f>
        <v>0</v>
      </c>
      <c r="B614" s="2">
        <v>42647.6501388889</v>
      </c>
      <c r="C614">
        <v>0</v>
      </c>
      <c r="D614">
        <v>2</v>
      </c>
      <c r="E614" t="s">
        <v>607</v>
      </c>
    </row>
    <row r="615" spans="1:5">
      <c r="A615">
        <f>HYPERLINK("http://www.twitter.com/NYCHA/status/783321992778973184", "783321992778973184")</f>
        <v>0</v>
      </c>
      <c r="B615" s="2">
        <v>42647.6283680556</v>
      </c>
      <c r="C615">
        <v>0</v>
      </c>
      <c r="D615">
        <v>0</v>
      </c>
      <c r="E615" t="s">
        <v>608</v>
      </c>
    </row>
    <row r="616" spans="1:5">
      <c r="A616">
        <f>HYPERLINK("http://www.twitter.com/NYCHA/status/783321585042284545", "783321585042284545")</f>
        <v>0</v>
      </c>
      <c r="B616" s="2">
        <v>42647.6272337963</v>
      </c>
      <c r="C616">
        <v>0</v>
      </c>
      <c r="D616">
        <v>0</v>
      </c>
      <c r="E616" t="s">
        <v>609</v>
      </c>
    </row>
    <row r="617" spans="1:5">
      <c r="A617">
        <f>HYPERLINK("http://www.twitter.com/NYCHA/status/783321054429282304", "783321054429282304")</f>
        <v>0</v>
      </c>
      <c r="B617" s="2">
        <v>42647.625775463</v>
      </c>
      <c r="C617">
        <v>0</v>
      </c>
      <c r="D617">
        <v>0</v>
      </c>
      <c r="E617" t="s">
        <v>610</v>
      </c>
    </row>
    <row r="618" spans="1:5">
      <c r="A618">
        <f>HYPERLINK("http://www.twitter.com/NYCHA/status/783320811235139585", "783320811235139585")</f>
        <v>0</v>
      </c>
      <c r="B618" s="2">
        <v>42647.6251041667</v>
      </c>
      <c r="C618">
        <v>0</v>
      </c>
      <c r="D618">
        <v>0</v>
      </c>
      <c r="E618" t="s">
        <v>611</v>
      </c>
    </row>
    <row r="619" spans="1:5">
      <c r="A619">
        <f>HYPERLINK("http://www.twitter.com/NYCHA/status/783306665672269824", "783306665672269824")</f>
        <v>0</v>
      </c>
      <c r="B619" s="2">
        <v>42647.5860648148</v>
      </c>
      <c r="C619">
        <v>1</v>
      </c>
      <c r="D619">
        <v>0</v>
      </c>
      <c r="E619" t="s">
        <v>612</v>
      </c>
    </row>
    <row r="620" spans="1:5">
      <c r="A620">
        <f>HYPERLINK("http://www.twitter.com/NYCHA/status/783305237687898112", "783305237687898112")</f>
        <v>0</v>
      </c>
      <c r="B620" s="2">
        <v>42647.5821296296</v>
      </c>
      <c r="C620">
        <v>0</v>
      </c>
      <c r="D620">
        <v>3</v>
      </c>
      <c r="E620" t="s">
        <v>613</v>
      </c>
    </row>
    <row r="621" spans="1:5">
      <c r="A621">
        <f>HYPERLINK("http://www.twitter.com/NYCHA/status/783305225230753792", "783305225230753792")</f>
        <v>0</v>
      </c>
      <c r="B621" s="2">
        <v>42647.5820949074</v>
      </c>
      <c r="C621">
        <v>0</v>
      </c>
      <c r="D621">
        <v>2</v>
      </c>
      <c r="E621" t="s">
        <v>614</v>
      </c>
    </row>
    <row r="622" spans="1:5">
      <c r="A622">
        <f>HYPERLINK("http://www.twitter.com/NYCHA/status/783302476132913156", "783302476132913156")</f>
        <v>0</v>
      </c>
      <c r="B622" s="2">
        <v>42647.5745138889</v>
      </c>
      <c r="C622">
        <v>3</v>
      </c>
      <c r="D622">
        <v>1</v>
      </c>
      <c r="E622" t="s">
        <v>615</v>
      </c>
    </row>
    <row r="623" spans="1:5">
      <c r="A623">
        <f>HYPERLINK("http://www.twitter.com/NYCHA/status/783291558254772225", "783291558254772225")</f>
        <v>0</v>
      </c>
      <c r="B623" s="2">
        <v>42647.544375</v>
      </c>
      <c r="C623">
        <v>0</v>
      </c>
      <c r="D623">
        <v>0</v>
      </c>
      <c r="E623" t="s">
        <v>616</v>
      </c>
    </row>
    <row r="624" spans="1:5">
      <c r="A624">
        <f>HYPERLINK("http://www.twitter.com/NYCHA/status/783034114962227202", "783034114962227202")</f>
        <v>0</v>
      </c>
      <c r="B624" s="2">
        <v>42646.8339699074</v>
      </c>
      <c r="C624">
        <v>1</v>
      </c>
      <c r="D624">
        <v>0</v>
      </c>
      <c r="E624" t="s">
        <v>617</v>
      </c>
    </row>
    <row r="625" spans="1:5">
      <c r="A625">
        <f>HYPERLINK("http://www.twitter.com/NYCHA/status/782984319925153792", "782984319925153792")</f>
        <v>0</v>
      </c>
      <c r="B625" s="2">
        <v>42646.6965625</v>
      </c>
      <c r="C625">
        <v>1</v>
      </c>
      <c r="D625">
        <v>1</v>
      </c>
      <c r="E625" t="s">
        <v>618</v>
      </c>
    </row>
    <row r="626" spans="1:5">
      <c r="A626">
        <f>HYPERLINK("http://www.twitter.com/NYCHA/status/782980055903440896", "782980055903440896")</f>
        <v>0</v>
      </c>
      <c r="B626" s="2">
        <v>42646.6848032407</v>
      </c>
      <c r="C626">
        <v>0</v>
      </c>
      <c r="D626">
        <v>3</v>
      </c>
      <c r="E626" t="s">
        <v>619</v>
      </c>
    </row>
    <row r="627" spans="1:5">
      <c r="A627">
        <f>HYPERLINK("http://www.twitter.com/NYCHA/status/782974422135238656", "782974422135238656")</f>
        <v>0</v>
      </c>
      <c r="B627" s="2">
        <v>42646.6692476852</v>
      </c>
      <c r="C627">
        <v>1</v>
      </c>
      <c r="D627">
        <v>1</v>
      </c>
      <c r="E627" t="s">
        <v>620</v>
      </c>
    </row>
    <row r="628" spans="1:5">
      <c r="A628">
        <f>HYPERLINK("http://www.twitter.com/NYCHA/status/782959264432328704", "782959264432328704")</f>
        <v>0</v>
      </c>
      <c r="B628" s="2">
        <v>42646.6274189815</v>
      </c>
      <c r="C628">
        <v>4</v>
      </c>
      <c r="D628">
        <v>2</v>
      </c>
      <c r="E628" t="s">
        <v>621</v>
      </c>
    </row>
    <row r="629" spans="1:5">
      <c r="A629">
        <f>HYPERLINK("http://www.twitter.com/NYCHA/status/782952222833405952", "782952222833405952")</f>
        <v>0</v>
      </c>
      <c r="B629" s="2">
        <v>42646.6079976852</v>
      </c>
      <c r="C629">
        <v>0</v>
      </c>
      <c r="D629">
        <v>2</v>
      </c>
      <c r="E629" t="s">
        <v>622</v>
      </c>
    </row>
    <row r="630" spans="1:5">
      <c r="A630">
        <f>HYPERLINK("http://www.twitter.com/NYCHA/status/782952204776906752", "782952204776906752")</f>
        <v>0</v>
      </c>
      <c r="B630" s="2">
        <v>42646.6079398148</v>
      </c>
      <c r="C630">
        <v>0</v>
      </c>
      <c r="D630">
        <v>6</v>
      </c>
      <c r="E630" t="s">
        <v>623</v>
      </c>
    </row>
    <row r="631" spans="1:5">
      <c r="A631">
        <f>HYPERLINK("http://www.twitter.com/NYCHA/status/782939455552425984", "782939455552425984")</f>
        <v>0</v>
      </c>
      <c r="B631" s="2">
        <v>42646.5727662037</v>
      </c>
      <c r="C631">
        <v>0</v>
      </c>
      <c r="D631">
        <v>1</v>
      </c>
      <c r="E631" t="s">
        <v>624</v>
      </c>
    </row>
    <row r="632" spans="1:5">
      <c r="A632">
        <f>HYPERLINK("http://www.twitter.com/NYCHA/status/782929661818990592", "782929661818990592")</f>
        <v>0</v>
      </c>
      <c r="B632" s="2">
        <v>42646.5457407407</v>
      </c>
      <c r="C632">
        <v>0</v>
      </c>
      <c r="D632">
        <v>0</v>
      </c>
      <c r="E632" t="s">
        <v>625</v>
      </c>
    </row>
    <row r="633" spans="1:5">
      <c r="A633">
        <f>HYPERLINK("http://www.twitter.com/NYCHA/status/782929101598449664", "782929101598449664")</f>
        <v>0</v>
      </c>
      <c r="B633" s="2">
        <v>42646.5441898148</v>
      </c>
      <c r="C633">
        <v>0</v>
      </c>
      <c r="D633">
        <v>0</v>
      </c>
      <c r="E633" t="s">
        <v>626</v>
      </c>
    </row>
    <row r="634" spans="1:5">
      <c r="A634">
        <f>HYPERLINK("http://www.twitter.com/NYCHA/status/782611501853118464", "782611501853118464")</f>
        <v>0</v>
      </c>
      <c r="B634" s="2">
        <v>42645.6677777778</v>
      </c>
      <c r="C634">
        <v>4</v>
      </c>
      <c r="D634">
        <v>2</v>
      </c>
      <c r="E634" t="s">
        <v>627</v>
      </c>
    </row>
    <row r="635" spans="1:5">
      <c r="A635">
        <f>HYPERLINK("http://www.twitter.com/NYCHA/status/782581393062789120", "782581393062789120")</f>
        <v>0</v>
      </c>
      <c r="B635" s="2">
        <v>42645.5846990741</v>
      </c>
      <c r="C635">
        <v>3</v>
      </c>
      <c r="D635">
        <v>1</v>
      </c>
      <c r="E635" t="s">
        <v>628</v>
      </c>
    </row>
    <row r="636" spans="1:5">
      <c r="A636">
        <f>HYPERLINK("http://www.twitter.com/NYCHA/status/782218839824228352", "782218839824228352")</f>
        <v>0</v>
      </c>
      <c r="B636" s="2">
        <v>42644.5842361111</v>
      </c>
      <c r="C636">
        <v>2</v>
      </c>
      <c r="D636">
        <v>1</v>
      </c>
      <c r="E636" t="s">
        <v>629</v>
      </c>
    </row>
    <row r="637" spans="1:5">
      <c r="A637">
        <f>HYPERLINK("http://www.twitter.com/NYCHA/status/781978195675480064", "781978195675480064")</f>
        <v>0</v>
      </c>
      <c r="B637" s="2">
        <v>42643.9201851852</v>
      </c>
      <c r="C637">
        <v>0</v>
      </c>
      <c r="D637">
        <v>1</v>
      </c>
      <c r="E637" t="s">
        <v>630</v>
      </c>
    </row>
    <row r="638" spans="1:5">
      <c r="A638">
        <f>HYPERLINK("http://www.twitter.com/NYCHA/status/781951150757187584", "781951150757187584")</f>
        <v>0</v>
      </c>
      <c r="B638" s="2">
        <v>42643.8455555556</v>
      </c>
      <c r="C638">
        <v>0</v>
      </c>
      <c r="D638">
        <v>0</v>
      </c>
      <c r="E638" t="s">
        <v>631</v>
      </c>
    </row>
    <row r="639" spans="1:5">
      <c r="A639">
        <f>HYPERLINK("http://www.twitter.com/NYCHA/status/781932288347103232", "781932288347103232")</f>
        <v>0</v>
      </c>
      <c r="B639" s="2">
        <v>42643.7935069444</v>
      </c>
      <c r="C639">
        <v>4</v>
      </c>
      <c r="D639">
        <v>1</v>
      </c>
      <c r="E639" t="s">
        <v>632</v>
      </c>
    </row>
    <row r="640" spans="1:5">
      <c r="A640">
        <f>HYPERLINK("http://www.twitter.com/NYCHA/status/781887532279758848", "781887532279758848")</f>
        <v>0</v>
      </c>
      <c r="B640" s="2">
        <v>42643.6700115741</v>
      </c>
      <c r="C640">
        <v>2</v>
      </c>
      <c r="D640">
        <v>0</v>
      </c>
      <c r="E640" t="s">
        <v>633</v>
      </c>
    </row>
    <row r="641" spans="1:5">
      <c r="A641">
        <f>HYPERLINK("http://www.twitter.com/NYCHA/status/781876964156121089", "781876964156121089")</f>
        <v>0</v>
      </c>
      <c r="B641" s="2">
        <v>42643.6408449074</v>
      </c>
      <c r="C641">
        <v>0</v>
      </c>
      <c r="D641">
        <v>1</v>
      </c>
      <c r="E641" t="s">
        <v>634</v>
      </c>
    </row>
    <row r="642" spans="1:5">
      <c r="A642">
        <f>HYPERLINK("http://www.twitter.com/NYCHA/status/781871814989545473", "781871814989545473")</f>
        <v>0</v>
      </c>
      <c r="B642" s="2">
        <v>42643.6266319444</v>
      </c>
      <c r="C642">
        <v>3</v>
      </c>
      <c r="D642">
        <v>0</v>
      </c>
      <c r="E642" t="s">
        <v>457</v>
      </c>
    </row>
    <row r="643" spans="1:5">
      <c r="A643">
        <f>HYPERLINK("http://www.twitter.com/NYCHA/status/781842484439683072", "781842484439683072")</f>
        <v>0</v>
      </c>
      <c r="B643" s="2">
        <v>42643.5456944444</v>
      </c>
      <c r="C643">
        <v>1</v>
      </c>
      <c r="D643">
        <v>0</v>
      </c>
      <c r="E643" t="s">
        <v>635</v>
      </c>
    </row>
    <row r="644" spans="1:5">
      <c r="A644">
        <f>HYPERLINK("http://www.twitter.com/NYCHA/status/781841912282116097", "781841912282116097")</f>
        <v>0</v>
      </c>
      <c r="B644" s="2">
        <v>42643.5441203704</v>
      </c>
      <c r="C644">
        <v>1</v>
      </c>
      <c r="D644">
        <v>0</v>
      </c>
      <c r="E644" t="s">
        <v>636</v>
      </c>
    </row>
    <row r="645" spans="1:5">
      <c r="A645">
        <f>HYPERLINK("http://www.twitter.com/NYCHA/status/781826644285816832", "781826644285816832")</f>
        <v>0</v>
      </c>
      <c r="B645" s="2">
        <v>42643.5019907407</v>
      </c>
      <c r="C645">
        <v>2</v>
      </c>
      <c r="D645">
        <v>0</v>
      </c>
      <c r="E645" t="s">
        <v>637</v>
      </c>
    </row>
    <row r="646" spans="1:5">
      <c r="A646">
        <f>HYPERLINK("http://www.twitter.com/NYCHA/status/781584447313436674", "781584447313436674")</f>
        <v>0</v>
      </c>
      <c r="B646" s="2">
        <v>42642.8336574074</v>
      </c>
      <c r="C646">
        <v>0</v>
      </c>
      <c r="D646">
        <v>2</v>
      </c>
      <c r="E646" t="s">
        <v>638</v>
      </c>
    </row>
    <row r="647" spans="1:5">
      <c r="A647">
        <f>HYPERLINK("http://www.twitter.com/NYCHA/status/781569528945897472", "781569528945897472")</f>
        <v>0</v>
      </c>
      <c r="B647" s="2">
        <v>42642.7924884259</v>
      </c>
      <c r="C647">
        <v>1</v>
      </c>
      <c r="D647">
        <v>0</v>
      </c>
      <c r="E647" t="s">
        <v>639</v>
      </c>
    </row>
    <row r="648" spans="1:5">
      <c r="A648">
        <f>HYPERLINK("http://www.twitter.com/NYCHA/status/781554657084764160", "781554657084764160")</f>
        <v>0</v>
      </c>
      <c r="B648" s="2">
        <v>42642.7514467593</v>
      </c>
      <c r="C648">
        <v>2</v>
      </c>
      <c r="D648">
        <v>2</v>
      </c>
      <c r="E648" t="s">
        <v>640</v>
      </c>
    </row>
    <row r="649" spans="1:5">
      <c r="A649">
        <f>HYPERLINK("http://www.twitter.com/NYCHA/status/781540461064364032", "781540461064364032")</f>
        <v>0</v>
      </c>
      <c r="B649" s="2">
        <v>42642.7122685185</v>
      </c>
      <c r="C649">
        <v>0</v>
      </c>
      <c r="D649">
        <v>4</v>
      </c>
      <c r="E649" t="s">
        <v>641</v>
      </c>
    </row>
    <row r="650" spans="1:5">
      <c r="A650">
        <f>HYPERLINK("http://www.twitter.com/NYCHA/status/781539892836851713", "781539892836851713")</f>
        <v>0</v>
      </c>
      <c r="B650" s="2">
        <v>42642.7107060185</v>
      </c>
      <c r="C650">
        <v>0</v>
      </c>
      <c r="D650">
        <v>0</v>
      </c>
      <c r="E650" t="s">
        <v>642</v>
      </c>
    </row>
    <row r="651" spans="1:5">
      <c r="A651">
        <f>HYPERLINK("http://www.twitter.com/NYCHA/status/781517262616494080", "781517262616494080")</f>
        <v>0</v>
      </c>
      <c r="B651" s="2">
        <v>42642.6482523148</v>
      </c>
      <c r="C651">
        <v>2</v>
      </c>
      <c r="D651">
        <v>0</v>
      </c>
      <c r="E651" t="s">
        <v>643</v>
      </c>
    </row>
    <row r="652" spans="1:5">
      <c r="A652">
        <f>HYPERLINK("http://www.twitter.com/NYCHA/status/781505439049641984", "781505439049641984")</f>
        <v>0</v>
      </c>
      <c r="B652" s="2">
        <v>42642.615625</v>
      </c>
      <c r="C652">
        <v>8</v>
      </c>
      <c r="D652">
        <v>5</v>
      </c>
      <c r="E652" t="s">
        <v>644</v>
      </c>
    </row>
    <row r="653" spans="1:5">
      <c r="A653">
        <f>HYPERLINK("http://www.twitter.com/NYCHA/status/781494233052086272", "781494233052086272")</f>
        <v>0</v>
      </c>
      <c r="B653" s="2">
        <v>42642.5847106481</v>
      </c>
      <c r="C653">
        <v>2</v>
      </c>
      <c r="D653">
        <v>0</v>
      </c>
      <c r="E653" t="s">
        <v>645</v>
      </c>
    </row>
    <row r="654" spans="1:5">
      <c r="A654">
        <f>HYPERLINK("http://www.twitter.com/NYCHA/status/781488233951756288", "781488233951756288")</f>
        <v>0</v>
      </c>
      <c r="B654" s="2">
        <v>42642.5681481482</v>
      </c>
      <c r="C654">
        <v>0</v>
      </c>
      <c r="D654">
        <v>2</v>
      </c>
      <c r="E654" t="s">
        <v>646</v>
      </c>
    </row>
    <row r="655" spans="1:5">
      <c r="A655">
        <f>HYPERLINK("http://www.twitter.com/NYCHA/status/781479515868495874", "781479515868495874")</f>
        <v>0</v>
      </c>
      <c r="B655" s="2">
        <v>42642.5440972222</v>
      </c>
      <c r="C655">
        <v>0</v>
      </c>
      <c r="D655">
        <v>0</v>
      </c>
      <c r="E655" t="s">
        <v>647</v>
      </c>
    </row>
    <row r="656" spans="1:5">
      <c r="A656">
        <f>HYPERLINK("http://www.twitter.com/NYCHA/status/781224620867383296", "781224620867383296")</f>
        <v>0</v>
      </c>
      <c r="B656" s="2">
        <v>42641.8407175926</v>
      </c>
      <c r="C656">
        <v>0</v>
      </c>
      <c r="D656">
        <v>6</v>
      </c>
      <c r="E656" t="s">
        <v>648</v>
      </c>
    </row>
    <row r="657" spans="1:5">
      <c r="A657">
        <f>HYPERLINK("http://www.twitter.com/NYCHA/status/781224537014865920", "781224537014865920")</f>
        <v>0</v>
      </c>
      <c r="B657" s="2">
        <v>42641.8404861111</v>
      </c>
      <c r="C657">
        <v>0</v>
      </c>
      <c r="D657">
        <v>10</v>
      </c>
      <c r="E657" t="s">
        <v>649</v>
      </c>
    </row>
    <row r="658" spans="1:5">
      <c r="A658">
        <f>HYPERLINK("http://www.twitter.com/NYCHA/status/781202457250574336", "781202457250574336")</f>
        <v>0</v>
      </c>
      <c r="B658" s="2">
        <v>42641.7795601852</v>
      </c>
      <c r="C658">
        <v>0</v>
      </c>
      <c r="D658">
        <v>4</v>
      </c>
      <c r="E658" t="s">
        <v>650</v>
      </c>
    </row>
    <row r="659" spans="1:5">
      <c r="A659">
        <f>HYPERLINK("http://www.twitter.com/NYCHA/status/781200607709388802", "781200607709388802")</f>
        <v>0</v>
      </c>
      <c r="B659" s="2">
        <v>42641.7744560185</v>
      </c>
      <c r="C659">
        <v>0</v>
      </c>
      <c r="D659">
        <v>3</v>
      </c>
      <c r="E659" t="s">
        <v>651</v>
      </c>
    </row>
    <row r="660" spans="1:5">
      <c r="A660">
        <f>HYPERLINK("http://www.twitter.com/NYCHA/status/781200605725528064", "781200605725528064")</f>
        <v>0</v>
      </c>
      <c r="B660" s="2">
        <v>42641.7744560185</v>
      </c>
      <c r="C660">
        <v>0</v>
      </c>
      <c r="D660">
        <v>4</v>
      </c>
      <c r="E660" t="s">
        <v>652</v>
      </c>
    </row>
    <row r="661" spans="1:5">
      <c r="A661">
        <f>HYPERLINK("http://www.twitter.com/NYCHA/status/781192607514976256", "781192607514976256")</f>
        <v>0</v>
      </c>
      <c r="B661" s="2">
        <v>42641.7523842593</v>
      </c>
      <c r="C661">
        <v>0</v>
      </c>
      <c r="D661">
        <v>0</v>
      </c>
      <c r="E661" t="s">
        <v>653</v>
      </c>
    </row>
    <row r="662" spans="1:5">
      <c r="A662">
        <f>HYPERLINK("http://www.twitter.com/NYCHA/status/781169245589733376", "781169245589733376")</f>
        <v>0</v>
      </c>
      <c r="B662" s="2">
        <v>42641.6879166667</v>
      </c>
      <c r="C662">
        <v>1</v>
      </c>
      <c r="D662">
        <v>1</v>
      </c>
      <c r="E662" t="s">
        <v>654</v>
      </c>
    </row>
    <row r="663" spans="1:5">
      <c r="A663">
        <f>HYPERLINK("http://www.twitter.com/NYCHA/status/781141461454716928", "781141461454716928")</f>
        <v>0</v>
      </c>
      <c r="B663" s="2">
        <v>42641.6112384259</v>
      </c>
      <c r="C663">
        <v>1</v>
      </c>
      <c r="D663">
        <v>1</v>
      </c>
      <c r="E663" t="s">
        <v>655</v>
      </c>
    </row>
    <row r="664" spans="1:5">
      <c r="A664">
        <f>HYPERLINK("http://www.twitter.com/NYCHA/status/781136444354166784", "781136444354166784")</f>
        <v>0</v>
      </c>
      <c r="B664" s="2">
        <v>42641.5973958333</v>
      </c>
      <c r="C664">
        <v>0</v>
      </c>
      <c r="D664">
        <v>0</v>
      </c>
      <c r="E664" t="s">
        <v>656</v>
      </c>
    </row>
    <row r="665" spans="1:5">
      <c r="A665">
        <f>HYPERLINK("http://www.twitter.com/NYCHA/status/781131824940580865", "781131824940580865")</f>
        <v>0</v>
      </c>
      <c r="B665" s="2">
        <v>42641.5846527778</v>
      </c>
      <c r="C665">
        <v>6</v>
      </c>
      <c r="D665">
        <v>1</v>
      </c>
      <c r="E665" t="s">
        <v>657</v>
      </c>
    </row>
    <row r="666" spans="1:5">
      <c r="A666">
        <f>HYPERLINK("http://www.twitter.com/NYCHA/status/781131488599404544", "781131488599404544")</f>
        <v>0</v>
      </c>
      <c r="B666" s="2">
        <v>42641.5837268519</v>
      </c>
      <c r="C666">
        <v>0</v>
      </c>
      <c r="D666">
        <v>0</v>
      </c>
      <c r="E666" t="s">
        <v>658</v>
      </c>
    </row>
    <row r="667" spans="1:5">
      <c r="A667">
        <f>HYPERLINK("http://www.twitter.com/NYCHA/status/781127610264875008", "781127610264875008")</f>
        <v>0</v>
      </c>
      <c r="B667" s="2">
        <v>42641.5730208333</v>
      </c>
      <c r="C667">
        <v>0</v>
      </c>
      <c r="D667">
        <v>0</v>
      </c>
      <c r="E667" t="s">
        <v>659</v>
      </c>
    </row>
    <row r="668" spans="1:5">
      <c r="A668">
        <f>HYPERLINK("http://www.twitter.com/NYCHA/status/781122922907889664", "781122922907889664")</f>
        <v>0</v>
      </c>
      <c r="B668" s="2">
        <v>42641.5600925926</v>
      </c>
      <c r="C668">
        <v>0</v>
      </c>
      <c r="D668">
        <v>0</v>
      </c>
      <c r="E668" t="s">
        <v>660</v>
      </c>
    </row>
    <row r="669" spans="1:5">
      <c r="A669">
        <f>HYPERLINK("http://www.twitter.com/NYCHA/status/781122501564854272", "781122501564854272")</f>
        <v>0</v>
      </c>
      <c r="B669" s="2">
        <v>42641.5589236111</v>
      </c>
      <c r="C669">
        <v>0</v>
      </c>
      <c r="D669">
        <v>2</v>
      </c>
      <c r="E669" t="s">
        <v>661</v>
      </c>
    </row>
    <row r="670" spans="1:5">
      <c r="A670">
        <f>HYPERLINK("http://www.twitter.com/NYCHA/status/781117727289315332", "781117727289315332")</f>
        <v>0</v>
      </c>
      <c r="B670" s="2">
        <v>42641.5457523148</v>
      </c>
      <c r="C670">
        <v>0</v>
      </c>
      <c r="D670">
        <v>0</v>
      </c>
      <c r="E670" t="s">
        <v>662</v>
      </c>
    </row>
    <row r="671" spans="1:5">
      <c r="A671">
        <f>HYPERLINK("http://www.twitter.com/NYCHA/status/781117168456957953", "781117168456957953")</f>
        <v>0</v>
      </c>
      <c r="B671" s="2">
        <v>42641.544212963</v>
      </c>
      <c r="C671">
        <v>0</v>
      </c>
      <c r="D671">
        <v>0</v>
      </c>
      <c r="E671" t="s">
        <v>663</v>
      </c>
    </row>
    <row r="672" spans="1:5">
      <c r="A672">
        <f>HYPERLINK("http://www.twitter.com/NYCHA/status/781117168339542016", "781117168339542016")</f>
        <v>0</v>
      </c>
      <c r="B672" s="2">
        <v>42641.544212963</v>
      </c>
      <c r="C672">
        <v>0</v>
      </c>
      <c r="D672">
        <v>1</v>
      </c>
      <c r="E672" t="s">
        <v>664</v>
      </c>
    </row>
    <row r="673" spans="1:5">
      <c r="A673">
        <f>HYPERLINK("http://www.twitter.com/NYCHA/status/780881502074724353", "780881502074724353")</f>
        <v>0</v>
      </c>
      <c r="B673" s="2">
        <v>42640.8938888889</v>
      </c>
      <c r="C673">
        <v>5</v>
      </c>
      <c r="D673">
        <v>6</v>
      </c>
      <c r="E673" t="s">
        <v>665</v>
      </c>
    </row>
    <row r="674" spans="1:5">
      <c r="A674">
        <f>HYPERLINK("http://www.twitter.com/NYCHA/status/780850727509983232", "780850727509983232")</f>
        <v>0</v>
      </c>
      <c r="B674" s="2">
        <v>42640.8089699074</v>
      </c>
      <c r="C674">
        <v>2</v>
      </c>
      <c r="D674">
        <v>3</v>
      </c>
      <c r="E674" t="s">
        <v>666</v>
      </c>
    </row>
    <row r="675" spans="1:5">
      <c r="A675">
        <f>HYPERLINK("http://www.twitter.com/NYCHA/status/780844763310333952", "780844763310333952")</f>
        <v>0</v>
      </c>
      <c r="B675" s="2">
        <v>42640.7925115741</v>
      </c>
      <c r="C675">
        <v>0</v>
      </c>
      <c r="D675">
        <v>1</v>
      </c>
      <c r="E675" t="s">
        <v>667</v>
      </c>
    </row>
    <row r="676" spans="1:5">
      <c r="A676">
        <f>HYPERLINK("http://www.twitter.com/NYCHA/status/780829598900744192", "780829598900744192")</f>
        <v>0</v>
      </c>
      <c r="B676" s="2">
        <v>42640.7506712963</v>
      </c>
      <c r="C676">
        <v>5</v>
      </c>
      <c r="D676">
        <v>2</v>
      </c>
      <c r="E676" t="s">
        <v>668</v>
      </c>
    </row>
    <row r="677" spans="1:5">
      <c r="A677">
        <f>HYPERLINK("http://www.twitter.com/NYCHA/status/780822218456588292", "780822218456588292")</f>
        <v>0</v>
      </c>
      <c r="B677" s="2">
        <v>42640.7303009259</v>
      </c>
      <c r="C677">
        <v>0</v>
      </c>
      <c r="D677">
        <v>6</v>
      </c>
      <c r="E677" t="s">
        <v>669</v>
      </c>
    </row>
    <row r="678" spans="1:5">
      <c r="A678">
        <f>HYPERLINK("http://www.twitter.com/NYCHA/status/780810183777878016", "780810183777878016")</f>
        <v>0</v>
      </c>
      <c r="B678" s="2">
        <v>42640.6970949074</v>
      </c>
      <c r="C678">
        <v>0</v>
      </c>
      <c r="D678">
        <v>4</v>
      </c>
      <c r="E678" t="s">
        <v>670</v>
      </c>
    </row>
    <row r="679" spans="1:5">
      <c r="A679">
        <f>HYPERLINK("http://www.twitter.com/NYCHA/status/780799415208570880", "780799415208570880")</f>
        <v>0</v>
      </c>
      <c r="B679" s="2">
        <v>42640.6673726852</v>
      </c>
      <c r="C679">
        <v>1</v>
      </c>
      <c r="D679">
        <v>1</v>
      </c>
      <c r="E679" t="s">
        <v>671</v>
      </c>
    </row>
    <row r="680" spans="1:5">
      <c r="A680">
        <f>HYPERLINK("http://www.twitter.com/NYCHA/status/780790695405682688", "780790695405682688")</f>
        <v>0</v>
      </c>
      <c r="B680" s="2">
        <v>42640.6433101852</v>
      </c>
      <c r="C680">
        <v>5</v>
      </c>
      <c r="D680">
        <v>5</v>
      </c>
      <c r="E680" t="s">
        <v>672</v>
      </c>
    </row>
    <row r="681" spans="1:5">
      <c r="A681">
        <f>HYPERLINK("http://www.twitter.com/NYCHA/status/780787805723254784", "780787805723254784")</f>
        <v>0</v>
      </c>
      <c r="B681" s="2">
        <v>42640.6353356481</v>
      </c>
      <c r="C681">
        <v>0</v>
      </c>
      <c r="D681">
        <v>8</v>
      </c>
      <c r="E681" t="s">
        <v>673</v>
      </c>
    </row>
    <row r="682" spans="1:5">
      <c r="A682">
        <f>HYPERLINK("http://www.twitter.com/NYCHA/status/780786709059502080", "780786709059502080")</f>
        <v>0</v>
      </c>
      <c r="B682" s="2">
        <v>42640.6323148148</v>
      </c>
      <c r="C682">
        <v>2</v>
      </c>
      <c r="D682">
        <v>3</v>
      </c>
      <c r="E682" t="s">
        <v>674</v>
      </c>
    </row>
    <row r="683" spans="1:5">
      <c r="A683">
        <f>HYPERLINK("http://www.twitter.com/NYCHA/status/780786527190286336", "780786527190286336")</f>
        <v>0</v>
      </c>
      <c r="B683" s="2">
        <v>42640.6318171296</v>
      </c>
      <c r="C683">
        <v>0</v>
      </c>
      <c r="D683">
        <v>26</v>
      </c>
      <c r="E683" t="s">
        <v>675</v>
      </c>
    </row>
    <row r="684" spans="1:5">
      <c r="A684">
        <f>HYPERLINK("http://www.twitter.com/NYCHA/status/780782700689035264", "780782700689035264")</f>
        <v>0</v>
      </c>
      <c r="B684" s="2">
        <v>42640.62125</v>
      </c>
      <c r="C684">
        <v>0</v>
      </c>
      <c r="D684">
        <v>2</v>
      </c>
      <c r="E684" t="s">
        <v>676</v>
      </c>
    </row>
    <row r="685" spans="1:5">
      <c r="A685">
        <f>HYPERLINK("http://www.twitter.com/NYCHA/status/780777000210399232", "780777000210399232")</f>
        <v>0</v>
      </c>
      <c r="B685" s="2">
        <v>42640.6055208333</v>
      </c>
      <c r="C685">
        <v>3</v>
      </c>
      <c r="D685">
        <v>1</v>
      </c>
      <c r="E685" t="s">
        <v>5</v>
      </c>
    </row>
    <row r="686" spans="1:5">
      <c r="A686">
        <f>HYPERLINK("http://www.twitter.com/NYCHA/status/780768960493027329", "780768960493027329")</f>
        <v>0</v>
      </c>
      <c r="B686" s="2">
        <v>42640.5833333333</v>
      </c>
      <c r="C686">
        <v>10</v>
      </c>
      <c r="D686">
        <v>8</v>
      </c>
      <c r="E686" t="s">
        <v>677</v>
      </c>
    </row>
    <row r="687" spans="1:5">
      <c r="A687">
        <f>HYPERLINK("http://www.twitter.com/NYCHA/status/780755308603908096", "780755308603908096")</f>
        <v>0</v>
      </c>
      <c r="B687" s="2">
        <v>42640.5456597222</v>
      </c>
      <c r="C687">
        <v>1</v>
      </c>
      <c r="D687">
        <v>1</v>
      </c>
      <c r="E687" t="s">
        <v>678</v>
      </c>
    </row>
    <row r="688" spans="1:5">
      <c r="A688">
        <f>HYPERLINK("http://www.twitter.com/NYCHA/status/780754709007269888", "780754709007269888")</f>
        <v>0</v>
      </c>
      <c r="B688" s="2">
        <v>42640.5440162037</v>
      </c>
      <c r="C688">
        <v>3</v>
      </c>
      <c r="D688">
        <v>3</v>
      </c>
      <c r="E688" t="s">
        <v>679</v>
      </c>
    </row>
    <row r="689" spans="1:5">
      <c r="A689">
        <f>HYPERLINK("http://www.twitter.com/NYCHA/status/780515662804480000", "780515662804480000")</f>
        <v>0</v>
      </c>
      <c r="B689" s="2">
        <v>42639.8843634259</v>
      </c>
      <c r="C689">
        <v>0</v>
      </c>
      <c r="D689">
        <v>7</v>
      </c>
      <c r="E689" t="s">
        <v>680</v>
      </c>
    </row>
    <row r="690" spans="1:5">
      <c r="A690">
        <f>HYPERLINK("http://www.twitter.com/NYCHA/status/780501878035603456", "780501878035603456")</f>
        <v>0</v>
      </c>
      <c r="B690" s="2">
        <v>42639.8463310185</v>
      </c>
      <c r="C690">
        <v>1</v>
      </c>
      <c r="D690">
        <v>0</v>
      </c>
      <c r="E690" t="s">
        <v>681</v>
      </c>
    </row>
    <row r="691" spans="1:5">
      <c r="A691">
        <f>HYPERLINK("http://www.twitter.com/NYCHA/status/780468254724743168", "780468254724743168")</f>
        <v>0</v>
      </c>
      <c r="B691" s="2">
        <v>42639.7535416667</v>
      </c>
      <c r="C691">
        <v>0</v>
      </c>
      <c r="D691">
        <v>2</v>
      </c>
      <c r="E691" t="s">
        <v>682</v>
      </c>
    </row>
    <row r="692" spans="1:5">
      <c r="A692">
        <f>HYPERLINK("http://www.twitter.com/NYCHA/status/780458381626707968", "780458381626707968")</f>
        <v>0</v>
      </c>
      <c r="B692" s="2">
        <v>42639.7263078704</v>
      </c>
      <c r="C692">
        <v>0</v>
      </c>
      <c r="D692">
        <v>1</v>
      </c>
      <c r="E692" t="s">
        <v>683</v>
      </c>
    </row>
    <row r="693" spans="1:5">
      <c r="A693">
        <f>HYPERLINK("http://www.twitter.com/NYCHA/status/780458371497488384", "780458371497488384")</f>
        <v>0</v>
      </c>
      <c r="B693" s="2">
        <v>42639.7262731481</v>
      </c>
      <c r="C693">
        <v>0</v>
      </c>
      <c r="D693">
        <v>1</v>
      </c>
      <c r="E693" t="s">
        <v>684</v>
      </c>
    </row>
    <row r="694" spans="1:5">
      <c r="A694">
        <f>HYPERLINK("http://www.twitter.com/NYCHA/status/780447017566953474", "780447017566953474")</f>
        <v>0</v>
      </c>
      <c r="B694" s="2">
        <v>42639.6949421296</v>
      </c>
      <c r="C694">
        <v>0</v>
      </c>
      <c r="D694">
        <v>5</v>
      </c>
      <c r="E694" t="s">
        <v>685</v>
      </c>
    </row>
    <row r="695" spans="1:5">
      <c r="A695">
        <f>HYPERLINK("http://www.twitter.com/NYCHA/status/780447014681214976", "780447014681214976")</f>
        <v>0</v>
      </c>
      <c r="B695" s="2">
        <v>42639.6949305556</v>
      </c>
      <c r="C695">
        <v>0</v>
      </c>
      <c r="D695">
        <v>6</v>
      </c>
      <c r="E695" t="s">
        <v>686</v>
      </c>
    </row>
    <row r="696" spans="1:5">
      <c r="A696">
        <f>HYPERLINK("http://www.twitter.com/NYCHA/status/780445850384404480", "780445850384404480")</f>
        <v>0</v>
      </c>
      <c r="B696" s="2">
        <v>42639.691724537</v>
      </c>
      <c r="C696">
        <v>1</v>
      </c>
      <c r="D696">
        <v>0</v>
      </c>
      <c r="E696" t="s">
        <v>687</v>
      </c>
    </row>
    <row r="697" spans="1:5">
      <c r="A697">
        <f>HYPERLINK("http://www.twitter.com/NYCHA/status/780437748935163904", "780437748935163904")</f>
        <v>0</v>
      </c>
      <c r="B697" s="2">
        <v>42639.6693634259</v>
      </c>
      <c r="C697">
        <v>0</v>
      </c>
      <c r="D697">
        <v>0</v>
      </c>
      <c r="E697" t="s">
        <v>688</v>
      </c>
    </row>
    <row r="698" spans="1:5">
      <c r="A698">
        <f>HYPERLINK("http://www.twitter.com/NYCHA/status/780395494203920384", "780395494203920384")</f>
        <v>0</v>
      </c>
      <c r="B698" s="2">
        <v>42639.5527662037</v>
      </c>
      <c r="C698">
        <v>0</v>
      </c>
      <c r="D698">
        <v>0</v>
      </c>
      <c r="E698" t="s">
        <v>689</v>
      </c>
    </row>
    <row r="699" spans="1:5">
      <c r="A699">
        <f>HYPERLINK("http://www.twitter.com/NYCHA/status/780392381224976384", "780392381224976384")</f>
        <v>0</v>
      </c>
      <c r="B699" s="2">
        <v>42639.5441782407</v>
      </c>
      <c r="C699">
        <v>0</v>
      </c>
      <c r="D699">
        <v>0</v>
      </c>
      <c r="E699" t="s">
        <v>690</v>
      </c>
    </row>
    <row r="700" spans="1:5">
      <c r="A700">
        <f>HYPERLINK("http://www.twitter.com/NYCHA/status/780377477755596800", "780377477755596800")</f>
        <v>0</v>
      </c>
      <c r="B700" s="2">
        <v>42639.5030555556</v>
      </c>
      <c r="C700">
        <v>2</v>
      </c>
      <c r="D700">
        <v>1</v>
      </c>
      <c r="E700" t="s">
        <v>691</v>
      </c>
    </row>
    <row r="701" spans="1:5">
      <c r="A701">
        <f>HYPERLINK("http://www.twitter.com/NYCHA/status/779431293683662848", "779431293683662848")</f>
        <v>0</v>
      </c>
      <c r="B701" s="2">
        <v>42636.8920833333</v>
      </c>
      <c r="C701">
        <v>5</v>
      </c>
      <c r="D701">
        <v>1</v>
      </c>
      <c r="E701" t="s">
        <v>692</v>
      </c>
    </row>
    <row r="702" spans="1:5">
      <c r="A702">
        <f>HYPERLINK("http://www.twitter.com/NYCHA/status/779424646487834624", "779424646487834624")</f>
        <v>0</v>
      </c>
      <c r="B702" s="2">
        <v>42636.8737384259</v>
      </c>
      <c r="C702">
        <v>0</v>
      </c>
      <c r="D702">
        <v>2</v>
      </c>
      <c r="E702" t="s">
        <v>693</v>
      </c>
    </row>
    <row r="703" spans="1:5">
      <c r="A703">
        <f>HYPERLINK("http://www.twitter.com/NYCHA/status/779418644040282113", "779418644040282113")</f>
        <v>0</v>
      </c>
      <c r="B703" s="2">
        <v>42636.8571759259</v>
      </c>
      <c r="C703">
        <v>0</v>
      </c>
      <c r="D703">
        <v>2</v>
      </c>
      <c r="E703" t="s">
        <v>694</v>
      </c>
    </row>
    <row r="704" spans="1:5">
      <c r="A704">
        <f>HYPERLINK("http://www.twitter.com/NYCHA/status/779418609747693569", "779418609747693569")</f>
        <v>0</v>
      </c>
      <c r="B704" s="2">
        <v>42636.8570833333</v>
      </c>
      <c r="C704">
        <v>0</v>
      </c>
      <c r="D704">
        <v>2</v>
      </c>
      <c r="E704" t="s">
        <v>695</v>
      </c>
    </row>
    <row r="705" spans="1:5">
      <c r="A705">
        <f>HYPERLINK("http://www.twitter.com/NYCHA/status/779418565464121344", "779418565464121344")</f>
        <v>0</v>
      </c>
      <c r="B705" s="2">
        <v>42636.8569560185</v>
      </c>
      <c r="C705">
        <v>0</v>
      </c>
      <c r="D705">
        <v>3</v>
      </c>
      <c r="E705" t="s">
        <v>696</v>
      </c>
    </row>
    <row r="706" spans="1:5">
      <c r="A706">
        <f>HYPERLINK("http://www.twitter.com/NYCHA/status/779387439509016577", "779387439509016577")</f>
        <v>0</v>
      </c>
      <c r="B706" s="2">
        <v>42636.7710648148</v>
      </c>
      <c r="C706">
        <v>0</v>
      </c>
      <c r="D706">
        <v>0</v>
      </c>
      <c r="E706" t="s">
        <v>697</v>
      </c>
    </row>
    <row r="707" spans="1:5">
      <c r="A707">
        <f>HYPERLINK("http://www.twitter.com/NYCHA/status/779386924221997056", "779386924221997056")</f>
        <v>0</v>
      </c>
      <c r="B707" s="2">
        <v>42636.7696412037</v>
      </c>
      <c r="C707">
        <v>1</v>
      </c>
      <c r="D707">
        <v>0</v>
      </c>
      <c r="E707" t="s">
        <v>698</v>
      </c>
    </row>
    <row r="708" spans="1:5">
      <c r="A708">
        <f>HYPERLINK("http://www.twitter.com/NYCHA/status/779365542104883200", "779365542104883200")</f>
        <v>0</v>
      </c>
      <c r="B708" s="2">
        <v>42636.7106365741</v>
      </c>
      <c r="C708">
        <v>1</v>
      </c>
      <c r="D708">
        <v>1</v>
      </c>
      <c r="E708" t="s">
        <v>699</v>
      </c>
    </row>
    <row r="709" spans="1:5">
      <c r="A709">
        <f>HYPERLINK("http://www.twitter.com/NYCHA/status/779346050310078464", "779346050310078464")</f>
        <v>0</v>
      </c>
      <c r="B709" s="2">
        <v>42636.6568518519</v>
      </c>
      <c r="C709">
        <v>0</v>
      </c>
      <c r="D709">
        <v>6</v>
      </c>
      <c r="E709" t="s">
        <v>700</v>
      </c>
    </row>
    <row r="710" spans="1:5">
      <c r="A710">
        <f>HYPERLINK("http://www.twitter.com/NYCHA/status/779343119158575104", "779343119158575104")</f>
        <v>0</v>
      </c>
      <c r="B710" s="2">
        <v>42636.6487615741</v>
      </c>
      <c r="C710">
        <v>0</v>
      </c>
      <c r="D710">
        <v>10</v>
      </c>
      <c r="E710" t="s">
        <v>701</v>
      </c>
    </row>
    <row r="711" spans="1:5">
      <c r="A711">
        <f>HYPERLINK("http://www.twitter.com/NYCHA/status/779342136563101696", "779342136563101696")</f>
        <v>0</v>
      </c>
      <c r="B711" s="2">
        <v>42636.6460532407</v>
      </c>
      <c r="C711">
        <v>3</v>
      </c>
      <c r="D711">
        <v>2</v>
      </c>
      <c r="E711" t="s">
        <v>702</v>
      </c>
    </row>
    <row r="712" spans="1:5">
      <c r="A712">
        <f>HYPERLINK("http://www.twitter.com/NYCHA/status/779305726112047104", "779305726112047104")</f>
        <v>0</v>
      </c>
      <c r="B712" s="2">
        <v>42636.5455787037</v>
      </c>
      <c r="C712">
        <v>0</v>
      </c>
      <c r="D712">
        <v>0</v>
      </c>
      <c r="E712" t="s">
        <v>703</v>
      </c>
    </row>
    <row r="713" spans="1:5">
      <c r="A713">
        <f>HYPERLINK("http://www.twitter.com/NYCHA/status/779289912650698752", "779289912650698752")</f>
        <v>0</v>
      </c>
      <c r="B713" s="2">
        <v>42636.5019444444</v>
      </c>
      <c r="C713">
        <v>1</v>
      </c>
      <c r="D713">
        <v>1</v>
      </c>
      <c r="E713" t="s">
        <v>704</v>
      </c>
    </row>
    <row r="714" spans="1:5">
      <c r="A714">
        <f>HYPERLINK("http://www.twitter.com/NYCHA/status/779018289750151168", "779018289750151168")</f>
        <v>0</v>
      </c>
      <c r="B714" s="2">
        <v>42635.7524074074</v>
      </c>
      <c r="C714">
        <v>1</v>
      </c>
      <c r="D714">
        <v>0</v>
      </c>
      <c r="E714" t="s">
        <v>705</v>
      </c>
    </row>
    <row r="715" spans="1:5">
      <c r="A715">
        <f>HYPERLINK("http://www.twitter.com/NYCHA/status/778988169312215040", "778988169312215040")</f>
        <v>0</v>
      </c>
      <c r="B715" s="2">
        <v>42635.6692939815</v>
      </c>
      <c r="C715">
        <v>1</v>
      </c>
      <c r="D715">
        <v>0</v>
      </c>
      <c r="E715" t="s">
        <v>706</v>
      </c>
    </row>
    <row r="716" spans="1:5">
      <c r="A716">
        <f>HYPERLINK("http://www.twitter.com/NYCHA/status/778965359168815109", "778965359168815109")</f>
        <v>0</v>
      </c>
      <c r="B716" s="2">
        <v>42635.6063425926</v>
      </c>
      <c r="C716">
        <v>0</v>
      </c>
      <c r="D716">
        <v>3</v>
      </c>
      <c r="E716" t="s">
        <v>707</v>
      </c>
    </row>
    <row r="717" spans="1:5">
      <c r="A717">
        <f>HYPERLINK("http://www.twitter.com/NYCHA/status/778962473101713408", "778962473101713408")</f>
        <v>0</v>
      </c>
      <c r="B717" s="2">
        <v>42635.5983796296</v>
      </c>
      <c r="C717">
        <v>0</v>
      </c>
      <c r="D717">
        <v>4</v>
      </c>
      <c r="E717" t="s">
        <v>708</v>
      </c>
    </row>
    <row r="718" spans="1:5">
      <c r="A718">
        <f>HYPERLINK("http://www.twitter.com/NYCHA/status/778962467665895424", "778962467665895424")</f>
        <v>0</v>
      </c>
      <c r="B718" s="2">
        <v>42635.5983680556</v>
      </c>
      <c r="C718">
        <v>0</v>
      </c>
      <c r="D718">
        <v>6</v>
      </c>
      <c r="E718" t="s">
        <v>709</v>
      </c>
    </row>
    <row r="719" spans="1:5">
      <c r="A719">
        <f>HYPERLINK("http://www.twitter.com/NYCHA/status/778962423772504064", "778962423772504064")</f>
        <v>0</v>
      </c>
      <c r="B719" s="2">
        <v>42635.5982407407</v>
      </c>
      <c r="C719">
        <v>0</v>
      </c>
      <c r="D719">
        <v>3</v>
      </c>
      <c r="E719" t="s">
        <v>710</v>
      </c>
    </row>
    <row r="720" spans="1:5">
      <c r="A720">
        <f>HYPERLINK("http://www.twitter.com/NYCHA/status/778962420735811585", "778962420735811585")</f>
        <v>0</v>
      </c>
      <c r="B720" s="2">
        <v>42635.5982407407</v>
      </c>
      <c r="C720">
        <v>0</v>
      </c>
      <c r="D720">
        <v>2</v>
      </c>
      <c r="E720" t="s">
        <v>711</v>
      </c>
    </row>
    <row r="721" spans="1:5">
      <c r="A721">
        <f>HYPERLINK("http://www.twitter.com/NYCHA/status/778962259188080640", "778962259188080640")</f>
        <v>0</v>
      </c>
      <c r="B721" s="2">
        <v>42635.5977893519</v>
      </c>
      <c r="C721">
        <v>0</v>
      </c>
      <c r="D721">
        <v>2</v>
      </c>
      <c r="E721" t="s">
        <v>712</v>
      </c>
    </row>
    <row r="722" spans="1:5">
      <c r="A722">
        <f>HYPERLINK("http://www.twitter.com/NYCHA/status/778958858677018624", "778958858677018624")</f>
        <v>0</v>
      </c>
      <c r="B722" s="2">
        <v>42635.5884027778</v>
      </c>
      <c r="C722">
        <v>0</v>
      </c>
      <c r="D722">
        <v>1</v>
      </c>
      <c r="E722" t="s">
        <v>713</v>
      </c>
    </row>
    <row r="723" spans="1:5">
      <c r="A723">
        <f>HYPERLINK("http://www.twitter.com/NYCHA/status/778958800002899968", "778958800002899968")</f>
        <v>0</v>
      </c>
      <c r="B723" s="2">
        <v>42635.5882407407</v>
      </c>
      <c r="C723">
        <v>0</v>
      </c>
      <c r="D723">
        <v>3</v>
      </c>
      <c r="E723" t="s">
        <v>714</v>
      </c>
    </row>
    <row r="724" spans="1:5">
      <c r="A724">
        <f>HYPERLINK("http://www.twitter.com/NYCHA/status/778958783334711296", "778958783334711296")</f>
        <v>0</v>
      </c>
      <c r="B724" s="2">
        <v>42635.5881944444</v>
      </c>
      <c r="C724">
        <v>0</v>
      </c>
      <c r="D724">
        <v>3</v>
      </c>
      <c r="E724" t="s">
        <v>715</v>
      </c>
    </row>
    <row r="725" spans="1:5">
      <c r="A725">
        <f>HYPERLINK("http://www.twitter.com/NYCHA/status/778958764716220416", "778958764716220416")</f>
        <v>0</v>
      </c>
      <c r="B725" s="2">
        <v>42635.5881481481</v>
      </c>
      <c r="C725">
        <v>0</v>
      </c>
      <c r="D725">
        <v>3</v>
      </c>
      <c r="E725" t="s">
        <v>716</v>
      </c>
    </row>
    <row r="726" spans="1:5">
      <c r="A726">
        <f>HYPERLINK("http://www.twitter.com/NYCHA/status/778944630763229185", "778944630763229185")</f>
        <v>0</v>
      </c>
      <c r="B726" s="2">
        <v>42635.5491435185</v>
      </c>
      <c r="C726">
        <v>0</v>
      </c>
      <c r="D726">
        <v>2</v>
      </c>
      <c r="E726" t="s">
        <v>717</v>
      </c>
    </row>
    <row r="727" spans="1:5">
      <c r="A727">
        <f>HYPERLINK("http://www.twitter.com/NYCHA/status/778942800620552192", "778942800620552192")</f>
        <v>0</v>
      </c>
      <c r="B727" s="2">
        <v>42635.5440972222</v>
      </c>
      <c r="C727">
        <v>0</v>
      </c>
      <c r="D727">
        <v>0</v>
      </c>
      <c r="E727" t="s">
        <v>718</v>
      </c>
    </row>
    <row r="728" spans="1:5">
      <c r="A728">
        <f>HYPERLINK("http://www.twitter.com/NYCHA/status/778700286130921472", "778700286130921472")</f>
        <v>0</v>
      </c>
      <c r="B728" s="2">
        <v>42634.8748842593</v>
      </c>
      <c r="C728">
        <v>2</v>
      </c>
      <c r="D728">
        <v>2</v>
      </c>
      <c r="E728" t="s">
        <v>719</v>
      </c>
    </row>
    <row r="729" spans="1:5">
      <c r="A729">
        <f>HYPERLINK("http://www.twitter.com/NYCHA/status/778700281009745920", "778700281009745920")</f>
        <v>0</v>
      </c>
      <c r="B729" s="2">
        <v>42634.8748726852</v>
      </c>
      <c r="C729">
        <v>0</v>
      </c>
      <c r="D729">
        <v>2</v>
      </c>
      <c r="E729" t="s">
        <v>720</v>
      </c>
    </row>
    <row r="730" spans="1:5">
      <c r="A730">
        <f>HYPERLINK("http://www.twitter.com/NYCHA/status/778692526001692672", "778692526001692672")</f>
        <v>0</v>
      </c>
      <c r="B730" s="2">
        <v>42634.8534722222</v>
      </c>
      <c r="C730">
        <v>0</v>
      </c>
      <c r="D730">
        <v>3</v>
      </c>
      <c r="E730" t="s">
        <v>721</v>
      </c>
    </row>
    <row r="731" spans="1:5">
      <c r="A731">
        <f>HYPERLINK("http://www.twitter.com/NYCHA/status/778692474751504385", "778692474751504385")</f>
        <v>0</v>
      </c>
      <c r="B731" s="2">
        <v>42634.8533333333</v>
      </c>
      <c r="C731">
        <v>0</v>
      </c>
      <c r="D731">
        <v>3</v>
      </c>
      <c r="E731" t="s">
        <v>722</v>
      </c>
    </row>
    <row r="732" spans="1:5">
      <c r="A732">
        <f>HYPERLINK("http://www.twitter.com/NYCHA/status/778692435417272320", "778692435417272320")</f>
        <v>0</v>
      </c>
      <c r="B732" s="2">
        <v>42634.8532175926</v>
      </c>
      <c r="C732">
        <v>0</v>
      </c>
      <c r="D732">
        <v>2</v>
      </c>
      <c r="E732" t="s">
        <v>723</v>
      </c>
    </row>
    <row r="733" spans="1:5">
      <c r="A733">
        <f>HYPERLINK("http://www.twitter.com/NYCHA/status/778692218357809152", "778692218357809152")</f>
        <v>0</v>
      </c>
      <c r="B733" s="2">
        <v>42634.8526157407</v>
      </c>
      <c r="C733">
        <v>0</v>
      </c>
      <c r="D733">
        <v>2</v>
      </c>
      <c r="E733" t="s">
        <v>724</v>
      </c>
    </row>
    <row r="734" spans="1:5">
      <c r="A734">
        <f>HYPERLINK("http://www.twitter.com/NYCHA/status/778639380223135744", "778639380223135744")</f>
        <v>0</v>
      </c>
      <c r="B734" s="2">
        <v>42634.7068171296</v>
      </c>
      <c r="C734">
        <v>1</v>
      </c>
      <c r="D734">
        <v>4</v>
      </c>
      <c r="E734" t="s">
        <v>725</v>
      </c>
    </row>
    <row r="735" spans="1:5">
      <c r="A735">
        <f>HYPERLINK("http://www.twitter.com/NYCHA/status/778632738387746816", "778632738387746816")</f>
        <v>0</v>
      </c>
      <c r="B735" s="2">
        <v>42634.6884837963</v>
      </c>
      <c r="C735">
        <v>0</v>
      </c>
      <c r="D735">
        <v>5</v>
      </c>
      <c r="E735" t="s">
        <v>726</v>
      </c>
    </row>
    <row r="736" spans="1:5">
      <c r="A736">
        <f>HYPERLINK("http://www.twitter.com/NYCHA/status/778632656741343232", "778632656741343232")</f>
        <v>0</v>
      </c>
      <c r="B736" s="2">
        <v>42634.6882638889</v>
      </c>
      <c r="C736">
        <v>0</v>
      </c>
      <c r="D736">
        <v>5</v>
      </c>
      <c r="E736" t="s">
        <v>727</v>
      </c>
    </row>
    <row r="737" spans="1:5">
      <c r="A737">
        <f>HYPERLINK("http://www.twitter.com/NYCHA/status/778625805207347200", "778625805207347200")</f>
        <v>0</v>
      </c>
      <c r="B737" s="2">
        <v>42634.6693518519</v>
      </c>
      <c r="C737">
        <v>5</v>
      </c>
      <c r="D737">
        <v>2</v>
      </c>
      <c r="E737" t="s">
        <v>728</v>
      </c>
    </row>
    <row r="738" spans="1:5">
      <c r="A738">
        <f>HYPERLINK("http://www.twitter.com/NYCHA/status/778610394281771008", "778610394281771008")</f>
        <v>0</v>
      </c>
      <c r="B738" s="2">
        <v>42634.6268287037</v>
      </c>
      <c r="C738">
        <v>3</v>
      </c>
      <c r="D738">
        <v>1</v>
      </c>
      <c r="E738" t="s">
        <v>729</v>
      </c>
    </row>
    <row r="739" spans="1:5">
      <c r="A739">
        <f>HYPERLINK("http://www.twitter.com/NYCHA/status/778582241404260352", "778582241404260352")</f>
        <v>0</v>
      </c>
      <c r="B739" s="2">
        <v>42634.5491435185</v>
      </c>
      <c r="C739">
        <v>4</v>
      </c>
      <c r="D739">
        <v>2</v>
      </c>
      <c r="E739" t="s">
        <v>730</v>
      </c>
    </row>
    <row r="740" spans="1:5">
      <c r="A740">
        <f>HYPERLINK("http://www.twitter.com/NYCHA/status/778580408418050048", "778580408418050048")</f>
        <v>0</v>
      </c>
      <c r="B740" s="2">
        <v>42634.5440856482</v>
      </c>
      <c r="C740">
        <v>1</v>
      </c>
      <c r="D740">
        <v>2</v>
      </c>
      <c r="E740" t="s">
        <v>731</v>
      </c>
    </row>
    <row r="741" spans="1:5">
      <c r="A741">
        <f>HYPERLINK("http://www.twitter.com/NYCHA/status/778359886358810624", "778359886358810624")</f>
        <v>0</v>
      </c>
      <c r="B741" s="2">
        <v>42633.9355555556</v>
      </c>
      <c r="C741">
        <v>0</v>
      </c>
      <c r="D741">
        <v>18</v>
      </c>
      <c r="E741" t="s">
        <v>732</v>
      </c>
    </row>
    <row r="742" spans="1:5">
      <c r="A742">
        <f>HYPERLINK("http://www.twitter.com/NYCHA/status/778359807048679424", "778359807048679424")</f>
        <v>0</v>
      </c>
      <c r="B742" s="2">
        <v>42633.9353356482</v>
      </c>
      <c r="C742">
        <v>0</v>
      </c>
      <c r="D742">
        <v>17</v>
      </c>
      <c r="E742" t="s">
        <v>733</v>
      </c>
    </row>
    <row r="743" spans="1:5">
      <c r="A743">
        <f>HYPERLINK("http://www.twitter.com/NYCHA/status/778359652715159552", "778359652715159552")</f>
        <v>0</v>
      </c>
      <c r="B743" s="2">
        <v>42633.9349189815</v>
      </c>
      <c r="C743">
        <v>0</v>
      </c>
      <c r="D743">
        <v>13</v>
      </c>
      <c r="E743" t="s">
        <v>734</v>
      </c>
    </row>
    <row r="744" spans="1:5">
      <c r="A744">
        <f>HYPERLINK("http://www.twitter.com/NYCHA/status/778359390332071937", "778359390332071937")</f>
        <v>0</v>
      </c>
      <c r="B744" s="2">
        <v>42633.9341898148</v>
      </c>
      <c r="C744">
        <v>0</v>
      </c>
      <c r="D744">
        <v>5</v>
      </c>
      <c r="E744" t="s">
        <v>735</v>
      </c>
    </row>
    <row r="745" spans="1:5">
      <c r="A745">
        <f>HYPERLINK("http://www.twitter.com/NYCHA/status/778342423684677632", "778342423684677632")</f>
        <v>0</v>
      </c>
      <c r="B745" s="2">
        <v>42633.8873726852</v>
      </c>
      <c r="C745">
        <v>0</v>
      </c>
      <c r="D745">
        <v>4</v>
      </c>
      <c r="E745" t="s">
        <v>736</v>
      </c>
    </row>
    <row r="746" spans="1:5">
      <c r="A746">
        <f>HYPERLINK("http://www.twitter.com/NYCHA/status/778342364670812160", "778342364670812160")</f>
        <v>0</v>
      </c>
      <c r="B746" s="2">
        <v>42633.8872106482</v>
      </c>
      <c r="C746">
        <v>0</v>
      </c>
      <c r="D746">
        <v>4</v>
      </c>
      <c r="E746" t="s">
        <v>737</v>
      </c>
    </row>
    <row r="747" spans="1:5">
      <c r="A747">
        <f>HYPERLINK("http://www.twitter.com/NYCHA/status/778342250443079680", "778342250443079680")</f>
        <v>0</v>
      </c>
      <c r="B747" s="2">
        <v>42633.8868981482</v>
      </c>
      <c r="C747">
        <v>0</v>
      </c>
      <c r="D747">
        <v>2</v>
      </c>
      <c r="E747" t="s">
        <v>738</v>
      </c>
    </row>
    <row r="748" spans="1:5">
      <c r="A748">
        <f>HYPERLINK("http://www.twitter.com/NYCHA/status/778321249026056192", "778321249026056192")</f>
        <v>0</v>
      </c>
      <c r="B748" s="2">
        <v>42633.8289351852</v>
      </c>
      <c r="C748">
        <v>3</v>
      </c>
      <c r="D748">
        <v>0</v>
      </c>
      <c r="E748" t="s">
        <v>739</v>
      </c>
    </row>
    <row r="749" spans="1:5">
      <c r="A749">
        <f>HYPERLINK("http://www.twitter.com/NYCHA/status/778293374356951040", "778293374356951040")</f>
        <v>0</v>
      </c>
      <c r="B749" s="2">
        <v>42633.752025463</v>
      </c>
      <c r="C749">
        <v>1</v>
      </c>
      <c r="D749">
        <v>2</v>
      </c>
      <c r="E749" t="s">
        <v>740</v>
      </c>
    </row>
    <row r="750" spans="1:5">
      <c r="A750">
        <f>HYPERLINK("http://www.twitter.com/NYCHA/status/778239825895952384", "778239825895952384")</f>
        <v>0</v>
      </c>
      <c r="B750" s="2">
        <v>42633.6042592593</v>
      </c>
      <c r="C750">
        <v>0</v>
      </c>
      <c r="D750">
        <v>3</v>
      </c>
      <c r="E750" t="s">
        <v>741</v>
      </c>
    </row>
    <row r="751" spans="1:5">
      <c r="A751">
        <f>HYPERLINK("http://www.twitter.com/NYCHA/status/778234655329886208", "778234655329886208")</f>
        <v>0</v>
      </c>
      <c r="B751" s="2">
        <v>42633.5899884259</v>
      </c>
      <c r="C751">
        <v>1</v>
      </c>
      <c r="D751">
        <v>1</v>
      </c>
      <c r="E751" t="s">
        <v>742</v>
      </c>
    </row>
    <row r="752" spans="1:5">
      <c r="A752">
        <f>HYPERLINK("http://www.twitter.com/NYCHA/status/778228853324058629", "778228853324058629")</f>
        <v>0</v>
      </c>
      <c r="B752" s="2">
        <v>42633.5739814815</v>
      </c>
      <c r="C752">
        <v>0</v>
      </c>
      <c r="D752">
        <v>0</v>
      </c>
      <c r="E752" t="s">
        <v>743</v>
      </c>
    </row>
    <row r="753" spans="1:5">
      <c r="A753">
        <f>HYPERLINK("http://www.twitter.com/NYCHA/status/778226949428768768", "778226949428768768")</f>
        <v>0</v>
      </c>
      <c r="B753" s="2">
        <v>42633.5687268519</v>
      </c>
      <c r="C753">
        <v>3</v>
      </c>
      <c r="D753">
        <v>5</v>
      </c>
      <c r="E753" t="s">
        <v>744</v>
      </c>
    </row>
    <row r="754" spans="1:5">
      <c r="A754">
        <f>HYPERLINK("http://www.twitter.com/NYCHA/status/778219851844349952", "778219851844349952")</f>
        <v>0</v>
      </c>
      <c r="B754" s="2">
        <v>42633.5491319444</v>
      </c>
      <c r="C754">
        <v>1</v>
      </c>
      <c r="D754">
        <v>0</v>
      </c>
      <c r="E754" t="s">
        <v>745</v>
      </c>
    </row>
    <row r="755" spans="1:5">
      <c r="A755">
        <f>HYPERLINK("http://www.twitter.com/NYCHA/status/778218001258651648", "778218001258651648")</f>
        <v>0</v>
      </c>
      <c r="B755" s="2">
        <v>42633.5440277778</v>
      </c>
      <c r="C755">
        <v>1</v>
      </c>
      <c r="D755">
        <v>1</v>
      </c>
      <c r="E755" t="s">
        <v>746</v>
      </c>
    </row>
    <row r="756" spans="1:5">
      <c r="A756">
        <f>HYPERLINK("http://www.twitter.com/NYCHA/status/778202466542387200", "778202466542387200")</f>
        <v>0</v>
      </c>
      <c r="B756" s="2">
        <v>42633.5011574074</v>
      </c>
      <c r="C756">
        <v>2</v>
      </c>
      <c r="D756">
        <v>1</v>
      </c>
      <c r="E756" t="s">
        <v>747</v>
      </c>
    </row>
    <row r="757" spans="1:5">
      <c r="A757">
        <f>HYPERLINK("http://www.twitter.com/NYCHA/status/777953249496293376", "777953249496293376")</f>
        <v>0</v>
      </c>
      <c r="B757" s="2">
        <v>42632.8134606481</v>
      </c>
      <c r="C757">
        <v>3</v>
      </c>
      <c r="D757">
        <v>2</v>
      </c>
      <c r="E757" t="s">
        <v>748</v>
      </c>
    </row>
    <row r="758" spans="1:5">
      <c r="A758">
        <f>HYPERLINK("http://www.twitter.com/NYCHA/status/777941851714224128", "777941851714224128")</f>
        <v>0</v>
      </c>
      <c r="B758" s="2">
        <v>42632.7820023148</v>
      </c>
      <c r="C758">
        <v>0</v>
      </c>
      <c r="D758">
        <v>1</v>
      </c>
      <c r="E758" t="s">
        <v>749</v>
      </c>
    </row>
    <row r="759" spans="1:5">
      <c r="A759">
        <f>HYPERLINK("http://www.twitter.com/NYCHA/status/777941614266384384", "777941614266384384")</f>
        <v>0</v>
      </c>
      <c r="B759" s="2">
        <v>42632.7813425926</v>
      </c>
      <c r="C759">
        <v>0</v>
      </c>
      <c r="D759">
        <v>0</v>
      </c>
      <c r="E759" t="s">
        <v>750</v>
      </c>
    </row>
    <row r="760" spans="1:5">
      <c r="A760">
        <f>HYPERLINK("http://www.twitter.com/NYCHA/status/777940831680524288", "777940831680524288")</f>
        <v>0</v>
      </c>
      <c r="B760" s="2">
        <v>42632.7791898148</v>
      </c>
      <c r="C760">
        <v>0</v>
      </c>
      <c r="D760">
        <v>1</v>
      </c>
      <c r="E760" t="s">
        <v>751</v>
      </c>
    </row>
    <row r="761" spans="1:5">
      <c r="A761">
        <f>HYPERLINK("http://www.twitter.com/NYCHA/status/777939123692765185", "777939123692765185")</f>
        <v>0</v>
      </c>
      <c r="B761" s="2">
        <v>42632.7744791667</v>
      </c>
      <c r="C761">
        <v>0</v>
      </c>
      <c r="D761">
        <v>0</v>
      </c>
      <c r="E761" t="s">
        <v>752</v>
      </c>
    </row>
    <row r="762" spans="1:5">
      <c r="A762">
        <f>HYPERLINK("http://www.twitter.com/NYCHA/status/777938997700136960", "777938997700136960")</f>
        <v>0</v>
      </c>
      <c r="B762" s="2">
        <v>42632.7741319444</v>
      </c>
      <c r="C762">
        <v>0</v>
      </c>
      <c r="D762">
        <v>0</v>
      </c>
      <c r="E762" t="s">
        <v>753</v>
      </c>
    </row>
    <row r="763" spans="1:5">
      <c r="A763">
        <f>HYPERLINK("http://www.twitter.com/NYCHA/status/777938814304133120", "777938814304133120")</f>
        <v>0</v>
      </c>
      <c r="B763" s="2">
        <v>42632.7736226852</v>
      </c>
      <c r="C763">
        <v>0</v>
      </c>
      <c r="D763">
        <v>1</v>
      </c>
      <c r="E763" t="s">
        <v>754</v>
      </c>
    </row>
    <row r="764" spans="1:5">
      <c r="A764">
        <f>HYPERLINK("http://www.twitter.com/NYCHA/status/777938753637711872", "777938753637711872")</f>
        <v>0</v>
      </c>
      <c r="B764" s="2">
        <v>42632.7734490741</v>
      </c>
      <c r="C764">
        <v>0</v>
      </c>
      <c r="D764">
        <v>3</v>
      </c>
      <c r="E764" t="s">
        <v>755</v>
      </c>
    </row>
    <row r="765" spans="1:5">
      <c r="A765">
        <f>HYPERLINK("http://www.twitter.com/NYCHA/status/777926303001546752", "777926303001546752")</f>
        <v>0</v>
      </c>
      <c r="B765" s="2">
        <v>42632.7390972222</v>
      </c>
      <c r="C765">
        <v>0</v>
      </c>
      <c r="D765">
        <v>54</v>
      </c>
      <c r="E765" t="s">
        <v>756</v>
      </c>
    </row>
    <row r="766" spans="1:5">
      <c r="A766">
        <f>HYPERLINK("http://www.twitter.com/NYCHA/status/777926267010158592", "777926267010158592")</f>
        <v>0</v>
      </c>
      <c r="B766" s="2">
        <v>42632.7389930556</v>
      </c>
      <c r="C766">
        <v>0</v>
      </c>
      <c r="D766">
        <v>311</v>
      </c>
      <c r="E766" t="s">
        <v>757</v>
      </c>
    </row>
    <row r="767" spans="1:5">
      <c r="A767">
        <f>HYPERLINK("http://www.twitter.com/NYCHA/status/777903509316497408", "777903509316497408")</f>
        <v>0</v>
      </c>
      <c r="B767" s="2">
        <v>42632.6762037037</v>
      </c>
      <c r="C767">
        <v>0</v>
      </c>
      <c r="D767">
        <v>38</v>
      </c>
      <c r="E767" t="s">
        <v>758</v>
      </c>
    </row>
    <row r="768" spans="1:5">
      <c r="A768">
        <f>HYPERLINK("http://www.twitter.com/NYCHA/status/777887218086150144", "777887218086150144")</f>
        <v>0</v>
      </c>
      <c r="B768" s="2">
        <v>42632.6312384259</v>
      </c>
      <c r="C768">
        <v>0</v>
      </c>
      <c r="D768">
        <v>61</v>
      </c>
      <c r="E768" t="s">
        <v>759</v>
      </c>
    </row>
    <row r="769" spans="1:5">
      <c r="A769">
        <f>HYPERLINK("http://www.twitter.com/NYCHA/status/777887171625844736", "777887171625844736")</f>
        <v>0</v>
      </c>
      <c r="B769" s="2">
        <v>42632.6311111111</v>
      </c>
      <c r="C769">
        <v>0</v>
      </c>
      <c r="D769">
        <v>271</v>
      </c>
      <c r="E769" t="s">
        <v>760</v>
      </c>
    </row>
    <row r="770" spans="1:5">
      <c r="A770">
        <f>HYPERLINK("http://www.twitter.com/NYCHA/status/777887120702799872", "777887120702799872")</f>
        <v>0</v>
      </c>
      <c r="B770" s="2">
        <v>42632.6309722222</v>
      </c>
      <c r="C770">
        <v>0</v>
      </c>
      <c r="D770">
        <v>78</v>
      </c>
      <c r="E770" t="s">
        <v>761</v>
      </c>
    </row>
    <row r="771" spans="1:5">
      <c r="A771">
        <f>HYPERLINK("http://www.twitter.com/NYCHA/status/777870490832625666", "777870490832625666")</f>
        <v>0</v>
      </c>
      <c r="B771" s="2">
        <v>42632.5850810185</v>
      </c>
      <c r="C771">
        <v>4</v>
      </c>
      <c r="D771">
        <v>5</v>
      </c>
      <c r="E771" t="s">
        <v>762</v>
      </c>
    </row>
    <row r="772" spans="1:5">
      <c r="A772">
        <f>HYPERLINK("http://www.twitter.com/NYCHA/status/777862695441797120", "777862695441797120")</f>
        <v>0</v>
      </c>
      <c r="B772" s="2">
        <v>42632.5635763889</v>
      </c>
      <c r="C772">
        <v>2</v>
      </c>
      <c r="D772">
        <v>2</v>
      </c>
      <c r="E772" t="s">
        <v>763</v>
      </c>
    </row>
    <row r="773" spans="1:5">
      <c r="A773">
        <f>HYPERLINK("http://www.twitter.com/NYCHA/status/777856233084772352", "777856233084772352")</f>
        <v>0</v>
      </c>
      <c r="B773" s="2">
        <v>42632.5457407407</v>
      </c>
      <c r="C773">
        <v>0</v>
      </c>
      <c r="D773">
        <v>0</v>
      </c>
      <c r="E773" t="s">
        <v>764</v>
      </c>
    </row>
    <row r="774" spans="1:5">
      <c r="A774">
        <f>HYPERLINK("http://www.twitter.com/NYCHA/status/777855562151329793", "777855562151329793")</f>
        <v>0</v>
      </c>
      <c r="B774" s="2">
        <v>42632.5438888889</v>
      </c>
      <c r="C774">
        <v>0</v>
      </c>
      <c r="D774">
        <v>0</v>
      </c>
      <c r="E774" t="s">
        <v>765</v>
      </c>
    </row>
    <row r="775" spans="1:5">
      <c r="A775">
        <f>HYPERLINK("http://www.twitter.com/NYCHA/status/777854590964363264", "777854590964363264")</f>
        <v>0</v>
      </c>
      <c r="B775" s="2">
        <v>42632.5412037037</v>
      </c>
      <c r="C775">
        <v>0</v>
      </c>
      <c r="D775">
        <v>1053</v>
      </c>
      <c r="E775" t="s">
        <v>766</v>
      </c>
    </row>
    <row r="776" spans="1:5">
      <c r="A776">
        <f>HYPERLINK("http://www.twitter.com/NYCHA/status/777840259304423424", "777840259304423424")</f>
        <v>0</v>
      </c>
      <c r="B776" s="2">
        <v>42632.5016666667</v>
      </c>
      <c r="C776">
        <v>3</v>
      </c>
      <c r="D776">
        <v>2</v>
      </c>
      <c r="E776" t="s">
        <v>767</v>
      </c>
    </row>
    <row r="777" spans="1:5">
      <c r="A777">
        <f>HYPERLINK("http://www.twitter.com/NYCHA/status/777568279359610880", "777568279359610880")</f>
        <v>0</v>
      </c>
      <c r="B777" s="2">
        <v>42631.7511342593</v>
      </c>
      <c r="C777">
        <v>0</v>
      </c>
      <c r="D777">
        <v>0</v>
      </c>
      <c r="E777" t="s">
        <v>768</v>
      </c>
    </row>
    <row r="778" spans="1:5">
      <c r="A778">
        <f>HYPERLINK("http://www.twitter.com/NYCHA/status/777552804600774656", "777552804600774656")</f>
        <v>0</v>
      </c>
      <c r="B778" s="2">
        <v>42631.7084375</v>
      </c>
      <c r="C778">
        <v>1</v>
      </c>
      <c r="D778">
        <v>1</v>
      </c>
      <c r="E778" t="s">
        <v>769</v>
      </c>
    </row>
    <row r="779" spans="1:5">
      <c r="A779">
        <f>HYPERLINK("http://www.twitter.com/NYCHA/status/777542011465371648", "777542011465371648")</f>
        <v>0</v>
      </c>
      <c r="B779" s="2">
        <v>42631.6786574074</v>
      </c>
      <c r="C779">
        <v>0</v>
      </c>
      <c r="D779">
        <v>25</v>
      </c>
      <c r="E779" t="s">
        <v>770</v>
      </c>
    </row>
    <row r="780" spans="1:5">
      <c r="A780">
        <f>HYPERLINK("http://www.twitter.com/NYCHA/status/777528697201037313", "777528697201037313")</f>
        <v>0</v>
      </c>
      <c r="B780" s="2">
        <v>42631.6419097222</v>
      </c>
      <c r="C780">
        <v>2</v>
      </c>
      <c r="D780">
        <v>4</v>
      </c>
      <c r="E780" t="s">
        <v>771</v>
      </c>
    </row>
    <row r="781" spans="1:5">
      <c r="A781">
        <f>HYPERLINK("http://www.twitter.com/NYCHA/status/777527552176955392", "777527552176955392")</f>
        <v>0</v>
      </c>
      <c r="B781" s="2">
        <v>42631.63875</v>
      </c>
      <c r="C781">
        <v>0</v>
      </c>
      <c r="D781">
        <v>239</v>
      </c>
      <c r="E781" t="s">
        <v>772</v>
      </c>
    </row>
    <row r="782" spans="1:5">
      <c r="A782">
        <f>HYPERLINK("http://www.twitter.com/NYCHA/status/777527327060262913", "777527327060262913")</f>
        <v>0</v>
      </c>
      <c r="B782" s="2">
        <v>42631.6381365741</v>
      </c>
      <c r="C782">
        <v>0</v>
      </c>
      <c r="D782">
        <v>73</v>
      </c>
      <c r="E782" t="s">
        <v>773</v>
      </c>
    </row>
    <row r="783" spans="1:5">
      <c r="A783">
        <f>HYPERLINK("http://www.twitter.com/NYCHA/status/777526897022476288", "777526897022476288")</f>
        <v>0</v>
      </c>
      <c r="B783" s="2">
        <v>42631.6369444444</v>
      </c>
      <c r="C783">
        <v>0</v>
      </c>
      <c r="D783">
        <v>1792</v>
      </c>
      <c r="E783" t="s">
        <v>774</v>
      </c>
    </row>
    <row r="784" spans="1:5">
      <c r="A784">
        <f>HYPERLINK("http://www.twitter.com/NYCHA/status/777205976495718400", "777205976495718400")</f>
        <v>0</v>
      </c>
      <c r="B784" s="2">
        <v>42630.7513773148</v>
      </c>
      <c r="C784">
        <v>4</v>
      </c>
      <c r="D784">
        <v>5</v>
      </c>
      <c r="E784" t="s">
        <v>775</v>
      </c>
    </row>
    <row r="785" spans="1:5">
      <c r="A785">
        <f>HYPERLINK("http://www.twitter.com/NYCHA/status/777145590220193792", "777145590220193792")</f>
        <v>0</v>
      </c>
      <c r="B785" s="2">
        <v>42630.5847453704</v>
      </c>
      <c r="C785">
        <v>2</v>
      </c>
      <c r="D785">
        <v>1</v>
      </c>
      <c r="E785" t="s">
        <v>776</v>
      </c>
    </row>
    <row r="786" spans="1:5">
      <c r="A786">
        <f>HYPERLINK("http://www.twitter.com/NYCHA/status/776866049413222400", "776866049413222400")</f>
        <v>0</v>
      </c>
      <c r="B786" s="2">
        <v>42629.8133564815</v>
      </c>
      <c r="C786">
        <v>1</v>
      </c>
      <c r="D786">
        <v>1</v>
      </c>
      <c r="E786" t="s">
        <v>777</v>
      </c>
    </row>
    <row r="787" spans="1:5">
      <c r="A787">
        <f>HYPERLINK("http://www.twitter.com/NYCHA/status/776863908644655104", "776863908644655104")</f>
        <v>0</v>
      </c>
      <c r="B787" s="2">
        <v>42629.8074421296</v>
      </c>
      <c r="C787">
        <v>1</v>
      </c>
      <c r="D787">
        <v>0</v>
      </c>
      <c r="E787" t="s">
        <v>778</v>
      </c>
    </row>
    <row r="788" spans="1:5">
      <c r="A788">
        <f>HYPERLINK("http://www.twitter.com/NYCHA/status/776835893344759808", "776835893344759808")</f>
        <v>0</v>
      </c>
      <c r="B788" s="2">
        <v>42629.7301388889</v>
      </c>
      <c r="C788">
        <v>2</v>
      </c>
      <c r="D788">
        <v>3</v>
      </c>
      <c r="E788" t="s">
        <v>779</v>
      </c>
    </row>
    <row r="789" spans="1:5">
      <c r="A789">
        <f>HYPERLINK("http://www.twitter.com/NYCHA/status/776797978623414274", "776797978623414274")</f>
        <v>0</v>
      </c>
      <c r="B789" s="2">
        <v>42629.6255092593</v>
      </c>
      <c r="C789">
        <v>1</v>
      </c>
      <c r="D789">
        <v>3</v>
      </c>
      <c r="E789" t="s">
        <v>780</v>
      </c>
    </row>
    <row r="790" spans="1:5">
      <c r="A790">
        <f>HYPERLINK("http://www.twitter.com/NYCHA/status/776784748849065984", "776784748849065984")</f>
        <v>0</v>
      </c>
      <c r="B790" s="2">
        <v>42629.5890046296</v>
      </c>
      <c r="C790">
        <v>0</v>
      </c>
      <c r="D790">
        <v>0</v>
      </c>
      <c r="E790" t="s">
        <v>781</v>
      </c>
    </row>
    <row r="791" spans="1:5">
      <c r="A791">
        <f>HYPERLINK("http://www.twitter.com/NYCHA/status/776769030220836864", "776769030220836864")</f>
        <v>0</v>
      </c>
      <c r="B791" s="2">
        <v>42629.5456365741</v>
      </c>
      <c r="C791">
        <v>0</v>
      </c>
      <c r="D791">
        <v>0</v>
      </c>
      <c r="E791" t="s">
        <v>782</v>
      </c>
    </row>
    <row r="792" spans="1:5">
      <c r="A792">
        <f>HYPERLINK("http://www.twitter.com/NYCHA/status/776768417969889284", "776768417969889284")</f>
        <v>0</v>
      </c>
      <c r="B792" s="2">
        <v>42629.5439467593</v>
      </c>
      <c r="C792">
        <v>1</v>
      </c>
      <c r="D792">
        <v>0</v>
      </c>
      <c r="E792" t="s">
        <v>783</v>
      </c>
    </row>
    <row r="793" spans="1:5">
      <c r="A793">
        <f>HYPERLINK("http://www.twitter.com/NYCHA/status/776532557097730049", "776532557097730049")</f>
        <v>0</v>
      </c>
      <c r="B793" s="2">
        <v>42628.8930902778</v>
      </c>
      <c r="C793">
        <v>0</v>
      </c>
      <c r="D793">
        <v>3</v>
      </c>
      <c r="E793" t="s">
        <v>784</v>
      </c>
    </row>
    <row r="794" spans="1:5">
      <c r="A794">
        <f>HYPERLINK("http://www.twitter.com/NYCHA/status/776525749201334272", "776525749201334272")</f>
        <v>0</v>
      </c>
      <c r="B794" s="2">
        <v>42628.8743055556</v>
      </c>
      <c r="C794">
        <v>0</v>
      </c>
      <c r="D794">
        <v>3</v>
      </c>
      <c r="E794" t="s">
        <v>785</v>
      </c>
    </row>
    <row r="795" spans="1:5">
      <c r="A795">
        <f>HYPERLINK("http://www.twitter.com/NYCHA/status/776520600193998848", "776520600193998848")</f>
        <v>0</v>
      </c>
      <c r="B795" s="2">
        <v>42628.8600925926</v>
      </c>
      <c r="C795">
        <v>0</v>
      </c>
      <c r="D795">
        <v>2</v>
      </c>
      <c r="E795" t="s">
        <v>786</v>
      </c>
    </row>
    <row r="796" spans="1:5">
      <c r="A796">
        <f>HYPERLINK("http://www.twitter.com/NYCHA/status/776519717100093440", "776519717100093440")</f>
        <v>0</v>
      </c>
      <c r="B796" s="2">
        <v>42628.857662037</v>
      </c>
      <c r="C796">
        <v>0</v>
      </c>
      <c r="D796">
        <v>2</v>
      </c>
      <c r="E796" t="s">
        <v>787</v>
      </c>
    </row>
    <row r="797" spans="1:5">
      <c r="A797">
        <f>HYPERLINK("http://www.twitter.com/NYCHA/status/776511503084163072", "776511503084163072")</f>
        <v>0</v>
      </c>
      <c r="B797" s="2">
        <v>42628.8349884259</v>
      </c>
      <c r="C797">
        <v>2</v>
      </c>
      <c r="D797">
        <v>1</v>
      </c>
      <c r="E797" t="s">
        <v>788</v>
      </c>
    </row>
    <row r="798" spans="1:5">
      <c r="A798">
        <f>HYPERLINK("http://www.twitter.com/NYCHA/status/776510789498859520", "776510789498859520")</f>
        <v>0</v>
      </c>
      <c r="B798" s="2">
        <v>42628.8330208333</v>
      </c>
      <c r="C798">
        <v>1</v>
      </c>
      <c r="D798">
        <v>1</v>
      </c>
      <c r="E798" t="s">
        <v>789</v>
      </c>
    </row>
    <row r="799" spans="1:5">
      <c r="A799">
        <f>HYPERLINK("http://www.twitter.com/NYCHA/status/776510520249683968", "776510520249683968")</f>
        <v>0</v>
      </c>
      <c r="B799" s="2">
        <v>42628.8322800926</v>
      </c>
      <c r="C799">
        <v>0</v>
      </c>
      <c r="D799">
        <v>1</v>
      </c>
      <c r="E799" t="s">
        <v>790</v>
      </c>
    </row>
    <row r="800" spans="1:5">
      <c r="A800">
        <f>HYPERLINK("http://www.twitter.com/NYCHA/status/776509626158313474", "776509626158313474")</f>
        <v>0</v>
      </c>
      <c r="B800" s="2">
        <v>42628.8298148148</v>
      </c>
      <c r="C800">
        <v>0</v>
      </c>
      <c r="D800">
        <v>0</v>
      </c>
      <c r="E800" t="s">
        <v>791</v>
      </c>
    </row>
    <row r="801" spans="1:5">
      <c r="A801">
        <f>HYPERLINK("http://www.twitter.com/NYCHA/status/776509434226995201", "776509434226995201")</f>
        <v>0</v>
      </c>
      <c r="B801" s="2">
        <v>42628.8292824074</v>
      </c>
      <c r="C801">
        <v>0</v>
      </c>
      <c r="D801">
        <v>3</v>
      </c>
      <c r="E801" t="s">
        <v>792</v>
      </c>
    </row>
    <row r="802" spans="1:5">
      <c r="A802">
        <f>HYPERLINK("http://www.twitter.com/NYCHA/status/776501001767555073", "776501001767555073")</f>
        <v>0</v>
      </c>
      <c r="B802" s="2">
        <v>42628.8060185185</v>
      </c>
      <c r="C802">
        <v>0</v>
      </c>
      <c r="D802">
        <v>2</v>
      </c>
      <c r="E802" t="s">
        <v>793</v>
      </c>
    </row>
    <row r="803" spans="1:5">
      <c r="A803">
        <f>HYPERLINK("http://www.twitter.com/NYCHA/status/776497999174328320", "776497999174328320")</f>
        <v>0</v>
      </c>
      <c r="B803" s="2">
        <v>42628.7977314815</v>
      </c>
      <c r="C803">
        <v>0</v>
      </c>
      <c r="D803">
        <v>3</v>
      </c>
      <c r="E803" t="s">
        <v>794</v>
      </c>
    </row>
    <row r="804" spans="1:5">
      <c r="A804">
        <f>HYPERLINK("http://www.twitter.com/NYCHA/status/776455235250360320", "776455235250360320")</f>
        <v>0</v>
      </c>
      <c r="B804" s="2">
        <v>42628.6797222222</v>
      </c>
      <c r="C804">
        <v>1</v>
      </c>
      <c r="D804">
        <v>0</v>
      </c>
      <c r="E804" t="s">
        <v>795</v>
      </c>
    </row>
    <row r="805" spans="1:5">
      <c r="A805">
        <f>HYPERLINK("http://www.twitter.com/NYCHA/status/776438248813965312", "776438248813965312")</f>
        <v>0</v>
      </c>
      <c r="B805" s="2">
        <v>42628.6328472222</v>
      </c>
      <c r="C805">
        <v>7</v>
      </c>
      <c r="D805">
        <v>3</v>
      </c>
      <c r="E805" t="s">
        <v>796</v>
      </c>
    </row>
    <row r="806" spans="1:5">
      <c r="A806">
        <f>HYPERLINK("http://www.twitter.com/NYCHA/status/776436330830110720", "776436330830110720")</f>
        <v>0</v>
      </c>
      <c r="B806" s="2">
        <v>42628.6275578704</v>
      </c>
      <c r="C806">
        <v>0</v>
      </c>
      <c r="D806">
        <v>3</v>
      </c>
      <c r="E806" t="s">
        <v>797</v>
      </c>
    </row>
    <row r="807" spans="1:5">
      <c r="A807">
        <f>HYPERLINK("http://www.twitter.com/NYCHA/status/776434255236829184", "776434255236829184")</f>
        <v>0</v>
      </c>
      <c r="B807" s="2">
        <v>42628.6218287037</v>
      </c>
      <c r="C807">
        <v>0</v>
      </c>
      <c r="D807">
        <v>6</v>
      </c>
      <c r="E807" t="s">
        <v>798</v>
      </c>
    </row>
    <row r="808" spans="1:5">
      <c r="A808">
        <f>HYPERLINK("http://www.twitter.com/NYCHA/status/776409225354420224", "776409225354420224")</f>
        <v>0</v>
      </c>
      <c r="B808" s="2">
        <v>42628.5527546296</v>
      </c>
      <c r="C808">
        <v>0</v>
      </c>
      <c r="D808">
        <v>1</v>
      </c>
      <c r="E808" t="s">
        <v>799</v>
      </c>
    </row>
    <row r="809" spans="1:5">
      <c r="A809">
        <f>HYPERLINK("http://www.twitter.com/NYCHA/status/776406008444977152", "776406008444977152")</f>
        <v>0</v>
      </c>
      <c r="B809" s="2">
        <v>42628.5438773148</v>
      </c>
      <c r="C809">
        <v>0</v>
      </c>
      <c r="D809">
        <v>1</v>
      </c>
      <c r="E809" t="s">
        <v>800</v>
      </c>
    </row>
    <row r="810" spans="1:5">
      <c r="A810">
        <f>HYPERLINK("http://www.twitter.com/NYCHA/status/776141706022584320", "776141706022584320")</f>
        <v>0</v>
      </c>
      <c r="B810" s="2">
        <v>42627.8145486111</v>
      </c>
      <c r="C810">
        <v>0</v>
      </c>
      <c r="D810">
        <v>1</v>
      </c>
      <c r="E810" t="s">
        <v>801</v>
      </c>
    </row>
    <row r="811" spans="1:5">
      <c r="A811">
        <f>HYPERLINK("http://www.twitter.com/NYCHA/status/776133703638589440", "776133703638589440")</f>
        <v>0</v>
      </c>
      <c r="B811" s="2">
        <v>42627.7924652778</v>
      </c>
      <c r="C811">
        <v>1</v>
      </c>
      <c r="D811">
        <v>2</v>
      </c>
      <c r="E811" t="s">
        <v>802</v>
      </c>
    </row>
    <row r="812" spans="1:5">
      <c r="A812">
        <f>HYPERLINK("http://www.twitter.com/NYCHA/status/776118962207809537", "776118962207809537")</f>
        <v>0</v>
      </c>
      <c r="B812" s="2">
        <v>42627.7517824074</v>
      </c>
      <c r="C812">
        <v>0</v>
      </c>
      <c r="D812">
        <v>1</v>
      </c>
      <c r="E812" t="s">
        <v>803</v>
      </c>
    </row>
    <row r="813" spans="1:5">
      <c r="A813">
        <f>HYPERLINK("http://www.twitter.com/NYCHA/status/776097071824834560", "776097071824834560")</f>
        <v>0</v>
      </c>
      <c r="B813" s="2">
        <v>42627.6913773148</v>
      </c>
      <c r="C813">
        <v>2</v>
      </c>
      <c r="D813">
        <v>1</v>
      </c>
      <c r="E813" t="s">
        <v>804</v>
      </c>
    </row>
    <row r="814" spans="1:5">
      <c r="A814">
        <f>HYPERLINK("http://www.twitter.com/NYCHA/status/776081202856005633", "776081202856005633")</f>
        <v>0</v>
      </c>
      <c r="B814" s="2">
        <v>42627.6475925926</v>
      </c>
      <c r="C814">
        <v>0</v>
      </c>
      <c r="D814">
        <v>6</v>
      </c>
      <c r="E814" t="s">
        <v>805</v>
      </c>
    </row>
    <row r="815" spans="1:5">
      <c r="A815">
        <f>HYPERLINK("http://www.twitter.com/NYCHA/status/776058522840735746", "776058522840735746")</f>
        <v>0</v>
      </c>
      <c r="B815" s="2">
        <v>42627.585</v>
      </c>
      <c r="C815">
        <v>5</v>
      </c>
      <c r="D815">
        <v>0</v>
      </c>
      <c r="E815" t="s">
        <v>806</v>
      </c>
    </row>
    <row r="816" spans="1:5">
      <c r="A816">
        <f>HYPERLINK("http://www.twitter.com/NYCHA/status/776057753622175744", "776057753622175744")</f>
        <v>0</v>
      </c>
      <c r="B816" s="2">
        <v>42627.5828819444</v>
      </c>
      <c r="C816">
        <v>0</v>
      </c>
      <c r="D816">
        <v>2</v>
      </c>
      <c r="E816" t="s">
        <v>807</v>
      </c>
    </row>
    <row r="817" spans="1:5">
      <c r="A817">
        <f>HYPERLINK("http://www.twitter.com/NYCHA/status/776057739260915712", "776057739260915712")</f>
        <v>0</v>
      </c>
      <c r="B817" s="2">
        <v>42627.5828472222</v>
      </c>
      <c r="C817">
        <v>0</v>
      </c>
      <c r="D817">
        <v>4</v>
      </c>
      <c r="E817" t="s">
        <v>808</v>
      </c>
    </row>
    <row r="818" spans="1:5">
      <c r="A818">
        <f>HYPERLINK("http://www.twitter.com/NYCHA/status/776044283749076992", "776044283749076992")</f>
        <v>0</v>
      </c>
      <c r="B818" s="2">
        <v>42627.5457175926</v>
      </c>
      <c r="C818">
        <v>0</v>
      </c>
      <c r="D818">
        <v>2</v>
      </c>
      <c r="E818" t="s">
        <v>809</v>
      </c>
    </row>
    <row r="819" spans="1:5">
      <c r="A819">
        <f>HYPERLINK("http://www.twitter.com/NYCHA/status/776043665307361280", "776043665307361280")</f>
        <v>0</v>
      </c>
      <c r="B819" s="2">
        <v>42627.5440046296</v>
      </c>
      <c r="C819">
        <v>1</v>
      </c>
      <c r="D819">
        <v>4</v>
      </c>
      <c r="E819" t="s">
        <v>810</v>
      </c>
    </row>
    <row r="820" spans="1:5">
      <c r="A820">
        <f>HYPERLINK("http://www.twitter.com/NYCHA/status/775756804034887680", "775756804034887680")</f>
        <v>0</v>
      </c>
      <c r="B820" s="2">
        <v>42626.7524189815</v>
      </c>
      <c r="C820">
        <v>2</v>
      </c>
      <c r="D820">
        <v>9</v>
      </c>
      <c r="E820" t="s">
        <v>811</v>
      </c>
    </row>
    <row r="821" spans="1:5">
      <c r="A821">
        <f>HYPERLINK("http://www.twitter.com/NYCHA/status/775737153867382784", "775737153867382784")</f>
        <v>0</v>
      </c>
      <c r="B821" s="2">
        <v>42626.6981944444</v>
      </c>
      <c r="C821">
        <v>1</v>
      </c>
      <c r="D821">
        <v>1</v>
      </c>
      <c r="E821" t="s">
        <v>812</v>
      </c>
    </row>
    <row r="822" spans="1:5">
      <c r="A822">
        <f>HYPERLINK("http://www.twitter.com/NYCHA/status/775724033698594816", "775724033698594816")</f>
        <v>0</v>
      </c>
      <c r="B822" s="2">
        <v>42626.6619907407</v>
      </c>
      <c r="C822">
        <v>0</v>
      </c>
      <c r="D822">
        <v>7</v>
      </c>
      <c r="E822" t="s">
        <v>813</v>
      </c>
    </row>
    <row r="823" spans="1:5">
      <c r="A823">
        <f>HYPERLINK("http://www.twitter.com/NYCHA/status/775703980953497601", "775703980953497601")</f>
        <v>0</v>
      </c>
      <c r="B823" s="2">
        <v>42626.6066550926</v>
      </c>
      <c r="C823">
        <v>0</v>
      </c>
      <c r="D823">
        <v>2</v>
      </c>
      <c r="E823" t="s">
        <v>814</v>
      </c>
    </row>
    <row r="824" spans="1:5">
      <c r="A824">
        <f>HYPERLINK("http://www.twitter.com/NYCHA/status/775681886857428992", "775681886857428992")</f>
        <v>0</v>
      </c>
      <c r="B824" s="2">
        <v>42626.5456828704</v>
      </c>
      <c r="C824">
        <v>0</v>
      </c>
      <c r="D824">
        <v>2</v>
      </c>
      <c r="E824" t="s">
        <v>815</v>
      </c>
    </row>
    <row r="825" spans="1:5">
      <c r="A825">
        <f>HYPERLINK("http://www.twitter.com/NYCHA/status/775681243149168640", "775681243149168640")</f>
        <v>0</v>
      </c>
      <c r="B825" s="2">
        <v>42626.543912037</v>
      </c>
      <c r="C825">
        <v>0</v>
      </c>
      <c r="D825">
        <v>1</v>
      </c>
      <c r="E825" t="s">
        <v>816</v>
      </c>
    </row>
    <row r="826" spans="1:5">
      <c r="A826">
        <f>HYPERLINK("http://www.twitter.com/NYCHA/status/775421957722497024", "775421957722497024")</f>
        <v>0</v>
      </c>
      <c r="B826" s="2">
        <v>42625.8284259259</v>
      </c>
      <c r="C826">
        <v>0</v>
      </c>
      <c r="D826">
        <v>2</v>
      </c>
      <c r="E826" t="s">
        <v>817</v>
      </c>
    </row>
    <row r="827" spans="1:5">
      <c r="A827">
        <f>HYPERLINK("http://www.twitter.com/NYCHA/status/775386161636319232", "775386161636319232")</f>
        <v>0</v>
      </c>
      <c r="B827" s="2">
        <v>42625.7296412037</v>
      </c>
      <c r="C827">
        <v>1</v>
      </c>
      <c r="D827">
        <v>6</v>
      </c>
      <c r="E827" t="s">
        <v>818</v>
      </c>
    </row>
    <row r="828" spans="1:5">
      <c r="A828">
        <f>HYPERLINK("http://www.twitter.com/NYCHA/status/775376422936383488", "775376422936383488")</f>
        <v>0</v>
      </c>
      <c r="B828" s="2">
        <v>42625.7027662037</v>
      </c>
      <c r="C828">
        <v>0</v>
      </c>
      <c r="D828">
        <v>2</v>
      </c>
      <c r="E828" t="s">
        <v>819</v>
      </c>
    </row>
    <row r="829" spans="1:5">
      <c r="A829">
        <f>HYPERLINK("http://www.twitter.com/NYCHA/status/775376406243119106", "775376406243119106")</f>
        <v>0</v>
      </c>
      <c r="B829" s="2">
        <v>42625.7027199074</v>
      </c>
      <c r="C829">
        <v>0</v>
      </c>
      <c r="D829">
        <v>2</v>
      </c>
      <c r="E829" t="s">
        <v>820</v>
      </c>
    </row>
    <row r="830" spans="1:5">
      <c r="A830">
        <f>HYPERLINK("http://www.twitter.com/NYCHA/status/775376341751459840", "775376341751459840")</f>
        <v>0</v>
      </c>
      <c r="B830" s="2">
        <v>42625.7025462963</v>
      </c>
      <c r="C830">
        <v>0</v>
      </c>
      <c r="D830">
        <v>2</v>
      </c>
      <c r="E830" t="s">
        <v>821</v>
      </c>
    </row>
    <row r="831" spans="1:5">
      <c r="A831">
        <f>HYPERLINK("http://www.twitter.com/NYCHA/status/775376312173232128", "775376312173232128")</f>
        <v>0</v>
      </c>
      <c r="B831" s="2">
        <v>42625.7024652778</v>
      </c>
      <c r="C831">
        <v>0</v>
      </c>
      <c r="D831">
        <v>1</v>
      </c>
      <c r="E831" t="s">
        <v>822</v>
      </c>
    </row>
    <row r="832" spans="1:5">
      <c r="A832">
        <f>HYPERLINK("http://www.twitter.com/NYCHA/status/775364412664377344", "775364412664377344")</f>
        <v>0</v>
      </c>
      <c r="B832" s="2">
        <v>42625.6696296296</v>
      </c>
      <c r="C832">
        <v>2</v>
      </c>
      <c r="D832">
        <v>3</v>
      </c>
      <c r="E832" t="s">
        <v>823</v>
      </c>
    </row>
    <row r="833" spans="1:5">
      <c r="A833">
        <f>HYPERLINK("http://www.twitter.com/NYCHA/status/775336198231515136", "775336198231515136")</f>
        <v>0</v>
      </c>
      <c r="B833" s="2">
        <v>42625.5917708333</v>
      </c>
      <c r="C833">
        <v>0</v>
      </c>
      <c r="D833">
        <v>3</v>
      </c>
      <c r="E833" t="s">
        <v>824</v>
      </c>
    </row>
    <row r="834" spans="1:5">
      <c r="A834">
        <f>HYPERLINK("http://www.twitter.com/NYCHA/status/775319495925764096", "775319495925764096")</f>
        <v>0</v>
      </c>
      <c r="B834" s="2">
        <v>42625.5456828704</v>
      </c>
      <c r="C834">
        <v>0</v>
      </c>
      <c r="D834">
        <v>0</v>
      </c>
      <c r="E834" t="s">
        <v>825</v>
      </c>
    </row>
    <row r="835" spans="1:5">
      <c r="A835">
        <f>HYPERLINK("http://www.twitter.com/NYCHA/status/775310780153626624", "775310780153626624")</f>
        <v>0</v>
      </c>
      <c r="B835" s="2">
        <v>42625.5216319444</v>
      </c>
      <c r="C835">
        <v>3</v>
      </c>
      <c r="D835">
        <v>2</v>
      </c>
      <c r="E835" t="s">
        <v>826</v>
      </c>
    </row>
    <row r="836" spans="1:5">
      <c r="A836">
        <f>HYPERLINK("http://www.twitter.com/NYCHA/status/774956134696361984", "774956134696361984")</f>
        <v>0</v>
      </c>
      <c r="B836" s="2">
        <v>42624.5429976852</v>
      </c>
      <c r="C836">
        <v>14</v>
      </c>
      <c r="D836">
        <v>8</v>
      </c>
      <c r="E836" s="3" t="s">
        <v>827</v>
      </c>
    </row>
    <row r="837" spans="1:5">
      <c r="A837">
        <f>HYPERLINK("http://www.twitter.com/NYCHA/status/774684263648288769", "774684263648288769")</f>
        <v>0</v>
      </c>
      <c r="B837" s="2">
        <v>42623.7927777778</v>
      </c>
      <c r="C837">
        <v>2</v>
      </c>
      <c r="D837">
        <v>0</v>
      </c>
      <c r="E837" t="s">
        <v>828</v>
      </c>
    </row>
    <row r="838" spans="1:5">
      <c r="A838">
        <f>HYPERLINK("http://www.twitter.com/NYCHA/status/774623995262070786", "774623995262070786")</f>
        <v>0</v>
      </c>
      <c r="B838" s="2">
        <v>42623.6264583333</v>
      </c>
      <c r="C838">
        <v>0</v>
      </c>
      <c r="D838">
        <v>3</v>
      </c>
      <c r="E838" t="s">
        <v>829</v>
      </c>
    </row>
    <row r="839" spans="1:5">
      <c r="A839">
        <f>HYPERLINK("http://www.twitter.com/NYCHA/status/774357858787942400", "774357858787942400")</f>
        <v>0</v>
      </c>
      <c r="B839" s="2">
        <v>42622.8920717593</v>
      </c>
      <c r="C839">
        <v>0</v>
      </c>
      <c r="D839">
        <v>1</v>
      </c>
      <c r="E839" t="s">
        <v>830</v>
      </c>
    </row>
    <row r="840" spans="1:5">
      <c r="A840">
        <f>HYPERLINK("http://www.twitter.com/NYCHA/status/774322056943075330", "774322056943075330")</f>
        <v>0</v>
      </c>
      <c r="B840" s="2">
        <v>42622.793275463</v>
      </c>
      <c r="C840">
        <v>3</v>
      </c>
      <c r="D840">
        <v>4</v>
      </c>
      <c r="E840" t="s">
        <v>831</v>
      </c>
    </row>
    <row r="841" spans="1:5">
      <c r="A841">
        <f>HYPERLINK("http://www.twitter.com/NYCHA/status/774292391662587904", "774292391662587904")</f>
        <v>0</v>
      </c>
      <c r="B841" s="2">
        <v>42622.711412037</v>
      </c>
      <c r="C841">
        <v>0</v>
      </c>
      <c r="D841">
        <v>5</v>
      </c>
      <c r="E841" t="s">
        <v>832</v>
      </c>
    </row>
    <row r="842" spans="1:5">
      <c r="A842">
        <f>HYPERLINK("http://www.twitter.com/NYCHA/status/774291877755494400", "774291877755494400")</f>
        <v>0</v>
      </c>
      <c r="B842" s="2">
        <v>42622.7099884259</v>
      </c>
      <c r="C842">
        <v>0</v>
      </c>
      <c r="D842">
        <v>0</v>
      </c>
      <c r="E842" t="s">
        <v>833</v>
      </c>
    </row>
    <row r="843" spans="1:5">
      <c r="A843">
        <f>HYPERLINK("http://www.twitter.com/NYCHA/status/774283834204487680", "774283834204487680")</f>
        <v>0</v>
      </c>
      <c r="B843" s="2">
        <v>42622.6878009259</v>
      </c>
      <c r="C843">
        <v>1</v>
      </c>
      <c r="D843">
        <v>7</v>
      </c>
      <c r="E843" t="s">
        <v>834</v>
      </c>
    </row>
    <row r="844" spans="1:5">
      <c r="A844">
        <f>HYPERLINK("http://www.twitter.com/NYCHA/status/774261676501786624", "774261676501786624")</f>
        <v>0</v>
      </c>
      <c r="B844" s="2">
        <v>42622.6266550926</v>
      </c>
      <c r="C844">
        <v>0</v>
      </c>
      <c r="D844">
        <v>1</v>
      </c>
      <c r="E844" t="s">
        <v>835</v>
      </c>
    </row>
    <row r="845" spans="1:5">
      <c r="A845">
        <f>HYPERLINK("http://www.twitter.com/NYCHA/status/774251952607752192", "774251952607752192")</f>
        <v>0</v>
      </c>
      <c r="B845" s="2">
        <v>42622.5998263889</v>
      </c>
      <c r="C845">
        <v>3</v>
      </c>
      <c r="D845">
        <v>1</v>
      </c>
      <c r="E845" t="s">
        <v>836</v>
      </c>
    </row>
    <row r="846" spans="1:5">
      <c r="A846">
        <f>HYPERLINK("http://www.twitter.com/NYCHA/status/774243089334542336", "774243089334542336")</f>
        <v>0</v>
      </c>
      <c r="B846" s="2">
        <v>42622.5753587963</v>
      </c>
      <c r="C846">
        <v>0</v>
      </c>
      <c r="D846">
        <v>2</v>
      </c>
      <c r="E846" t="s">
        <v>837</v>
      </c>
    </row>
    <row r="847" spans="1:5">
      <c r="A847">
        <f>HYPERLINK("http://www.twitter.com/NYCHA/status/774232322275151872", "774232322275151872")</f>
        <v>0</v>
      </c>
      <c r="B847" s="2">
        <v>42622.5456481481</v>
      </c>
      <c r="C847">
        <v>1</v>
      </c>
      <c r="D847">
        <v>1</v>
      </c>
      <c r="E847" t="s">
        <v>838</v>
      </c>
    </row>
    <row r="848" spans="1:5">
      <c r="A848">
        <f>HYPERLINK("http://www.twitter.com/NYCHA/status/773989563039637504", "773989563039637504")</f>
        <v>0</v>
      </c>
      <c r="B848" s="2">
        <v>42621.8757638889</v>
      </c>
      <c r="C848">
        <v>0</v>
      </c>
      <c r="D848">
        <v>0</v>
      </c>
      <c r="E848" t="s">
        <v>839</v>
      </c>
    </row>
    <row r="849" spans="1:5">
      <c r="A849">
        <f>HYPERLINK("http://www.twitter.com/NYCHA/status/773959403569577984", "773959403569577984")</f>
        <v>0</v>
      </c>
      <c r="B849" s="2">
        <v>42621.7925347222</v>
      </c>
      <c r="C849">
        <v>0</v>
      </c>
      <c r="D849">
        <v>1</v>
      </c>
      <c r="E849" t="s">
        <v>840</v>
      </c>
    </row>
    <row r="850" spans="1:5">
      <c r="A850">
        <f>HYPERLINK("http://www.twitter.com/NYCHA/status/773955156933246976", "773955156933246976")</f>
        <v>0</v>
      </c>
      <c r="B850" s="2">
        <v>42621.7808217593</v>
      </c>
      <c r="C850">
        <v>5</v>
      </c>
      <c r="D850">
        <v>5</v>
      </c>
      <c r="E850" t="s">
        <v>841</v>
      </c>
    </row>
    <row r="851" spans="1:5">
      <c r="A851">
        <f>HYPERLINK("http://www.twitter.com/NYCHA/status/773953674800422912", "773953674800422912")</f>
        <v>0</v>
      </c>
      <c r="B851" s="2">
        <v>42621.7767361111</v>
      </c>
      <c r="C851">
        <v>0</v>
      </c>
      <c r="D851">
        <v>3</v>
      </c>
      <c r="E851" t="s">
        <v>842</v>
      </c>
    </row>
    <row r="852" spans="1:5">
      <c r="A852">
        <f>HYPERLINK("http://www.twitter.com/NYCHA/status/773953671226880000", "773953671226880000")</f>
        <v>0</v>
      </c>
      <c r="B852" s="2">
        <v>42621.776724537</v>
      </c>
      <c r="C852">
        <v>0</v>
      </c>
      <c r="D852">
        <v>4</v>
      </c>
      <c r="E852" t="s">
        <v>843</v>
      </c>
    </row>
    <row r="853" spans="1:5">
      <c r="A853">
        <f>HYPERLINK("http://www.twitter.com/NYCHA/status/773934325947662336", "773934325947662336")</f>
        <v>0</v>
      </c>
      <c r="B853" s="2">
        <v>42621.7233333333</v>
      </c>
      <c r="C853">
        <v>0</v>
      </c>
      <c r="D853">
        <v>5</v>
      </c>
      <c r="E853" t="s">
        <v>844</v>
      </c>
    </row>
    <row r="854" spans="1:5">
      <c r="A854">
        <f>HYPERLINK("http://www.twitter.com/NYCHA/status/773914052783407105", "773914052783407105")</f>
        <v>0</v>
      </c>
      <c r="B854" s="2">
        <v>42621.6673958333</v>
      </c>
      <c r="C854">
        <v>0</v>
      </c>
      <c r="D854">
        <v>1</v>
      </c>
      <c r="E854" t="s">
        <v>845</v>
      </c>
    </row>
    <row r="855" spans="1:5">
      <c r="A855">
        <f>HYPERLINK("http://www.twitter.com/NYCHA/status/773912904798265344", "773912904798265344")</f>
        <v>0</v>
      </c>
      <c r="B855" s="2">
        <v>42621.664224537</v>
      </c>
      <c r="C855">
        <v>1</v>
      </c>
      <c r="D855">
        <v>1</v>
      </c>
      <c r="E855" t="s">
        <v>846</v>
      </c>
    </row>
    <row r="856" spans="1:5">
      <c r="A856">
        <f>HYPERLINK("http://www.twitter.com/NYCHA/status/773907718629388288", "773907718629388288")</f>
        <v>0</v>
      </c>
      <c r="B856" s="2">
        <v>42621.6499189815</v>
      </c>
      <c r="C856">
        <v>0</v>
      </c>
      <c r="D856">
        <v>28</v>
      </c>
      <c r="E856" t="s">
        <v>847</v>
      </c>
    </row>
    <row r="857" spans="1:5">
      <c r="A857">
        <f>HYPERLINK("http://www.twitter.com/NYCHA/status/773885980885585921", "773885980885585921")</f>
        <v>0</v>
      </c>
      <c r="B857" s="2">
        <v>42621.5899305556</v>
      </c>
      <c r="C857">
        <v>1</v>
      </c>
      <c r="D857">
        <v>1</v>
      </c>
      <c r="E857" t="s">
        <v>848</v>
      </c>
    </row>
    <row r="858" spans="1:5">
      <c r="A858">
        <f>HYPERLINK("http://www.twitter.com/NYCHA/status/773880055185440768", "773880055185440768")</f>
        <v>0</v>
      </c>
      <c r="B858" s="2">
        <v>42621.5735763889</v>
      </c>
      <c r="C858">
        <v>0</v>
      </c>
      <c r="D858">
        <v>18</v>
      </c>
      <c r="E858" t="s">
        <v>849</v>
      </c>
    </row>
    <row r="859" spans="1:5">
      <c r="A859">
        <f>HYPERLINK("http://www.twitter.com/NYCHA/status/773876334053515269", "773876334053515269")</f>
        <v>0</v>
      </c>
      <c r="B859" s="2">
        <v>42621.5633101852</v>
      </c>
      <c r="C859">
        <v>0</v>
      </c>
      <c r="D859">
        <v>2</v>
      </c>
      <c r="E859" t="s">
        <v>850</v>
      </c>
    </row>
    <row r="860" spans="1:5">
      <c r="A860">
        <f>HYPERLINK("http://www.twitter.com/NYCHA/status/773876296338341888", "773876296338341888")</f>
        <v>0</v>
      </c>
      <c r="B860" s="2">
        <v>42621.5632060185</v>
      </c>
      <c r="C860">
        <v>0</v>
      </c>
      <c r="D860">
        <v>2</v>
      </c>
      <c r="E860" t="s">
        <v>851</v>
      </c>
    </row>
    <row r="861" spans="1:5">
      <c r="A861">
        <f>HYPERLINK("http://www.twitter.com/NYCHA/status/773869252315078656", "773869252315078656")</f>
        <v>0</v>
      </c>
      <c r="B861" s="2">
        <v>42621.5437731482</v>
      </c>
      <c r="C861">
        <v>0</v>
      </c>
      <c r="D861">
        <v>1</v>
      </c>
      <c r="E861" t="s">
        <v>852</v>
      </c>
    </row>
    <row r="862" spans="1:5">
      <c r="A862">
        <f>HYPERLINK("http://www.twitter.com/NYCHA/status/773632593296257024", "773632593296257024")</f>
        <v>0</v>
      </c>
      <c r="B862" s="2">
        <v>42620.8907175926</v>
      </c>
      <c r="C862">
        <v>0</v>
      </c>
      <c r="D862">
        <v>1</v>
      </c>
      <c r="E862" t="s">
        <v>853</v>
      </c>
    </row>
    <row r="863" spans="1:5">
      <c r="A863">
        <f>HYPERLINK("http://www.twitter.com/NYCHA/status/773615459988074497", "773615459988074497")</f>
        <v>0</v>
      </c>
      <c r="B863" s="2">
        <v>42620.8434375</v>
      </c>
      <c r="C863">
        <v>6</v>
      </c>
      <c r="D863">
        <v>4</v>
      </c>
      <c r="E863" t="s">
        <v>854</v>
      </c>
    </row>
    <row r="864" spans="1:5">
      <c r="A864">
        <f>HYPERLINK("http://www.twitter.com/NYCHA/status/773604389688926208", "773604389688926208")</f>
        <v>0</v>
      </c>
      <c r="B864" s="2">
        <v>42620.8128935185</v>
      </c>
      <c r="C864">
        <v>0</v>
      </c>
      <c r="D864">
        <v>1</v>
      </c>
      <c r="E864" t="s">
        <v>855</v>
      </c>
    </row>
    <row r="865" spans="1:5">
      <c r="A865">
        <f>HYPERLINK("http://www.twitter.com/NYCHA/status/773604382483046400", "773604382483046400")</f>
        <v>0</v>
      </c>
      <c r="B865" s="2">
        <v>42620.8128703704</v>
      </c>
      <c r="C865">
        <v>0</v>
      </c>
      <c r="D865">
        <v>4</v>
      </c>
      <c r="E865" t="s">
        <v>856</v>
      </c>
    </row>
    <row r="866" spans="1:5">
      <c r="A866">
        <f>HYPERLINK("http://www.twitter.com/NYCHA/status/773576053554118656", "773576053554118656")</f>
        <v>0</v>
      </c>
      <c r="B866" s="2">
        <v>42620.7346990741</v>
      </c>
      <c r="C866">
        <v>0</v>
      </c>
      <c r="D866">
        <v>5</v>
      </c>
      <c r="E866" t="s">
        <v>857</v>
      </c>
    </row>
    <row r="867" spans="1:5">
      <c r="A867">
        <f>HYPERLINK("http://www.twitter.com/NYCHA/status/773552922105872384", "773552922105872384")</f>
        <v>0</v>
      </c>
      <c r="B867" s="2">
        <v>42620.6708680556</v>
      </c>
      <c r="C867">
        <v>1</v>
      </c>
      <c r="D867">
        <v>1</v>
      </c>
      <c r="E867" t="s">
        <v>260</v>
      </c>
    </row>
    <row r="868" spans="1:5">
      <c r="A868">
        <f>HYPERLINK("http://www.twitter.com/NYCHA/status/773531265760890881", "773531265760890881")</f>
        <v>0</v>
      </c>
      <c r="B868" s="2">
        <v>42620.611099537</v>
      </c>
      <c r="C868">
        <v>0</v>
      </c>
      <c r="D868">
        <v>3</v>
      </c>
      <c r="E868" t="s">
        <v>858</v>
      </c>
    </row>
    <row r="869" spans="1:5">
      <c r="A869">
        <f>HYPERLINK("http://www.twitter.com/NYCHA/status/773515489335242752", "773515489335242752")</f>
        <v>0</v>
      </c>
      <c r="B869" s="2">
        <v>42620.5675694444</v>
      </c>
      <c r="C869">
        <v>0</v>
      </c>
      <c r="D869">
        <v>6</v>
      </c>
      <c r="E869" t="s">
        <v>623</v>
      </c>
    </row>
    <row r="870" spans="1:5">
      <c r="A870">
        <f>HYPERLINK("http://www.twitter.com/NYCHA/status/773506876864626688", "773506876864626688")</f>
        <v>0</v>
      </c>
      <c r="B870" s="2">
        <v>42620.5438078704</v>
      </c>
      <c r="C870">
        <v>2</v>
      </c>
      <c r="D870">
        <v>1</v>
      </c>
      <c r="E870" t="s">
        <v>859</v>
      </c>
    </row>
    <row r="871" spans="1:5">
      <c r="A871">
        <f>HYPERLINK("http://www.twitter.com/NYCHA/status/773253389060898820", "773253389060898820")</f>
        <v>0</v>
      </c>
      <c r="B871" s="2">
        <v>42619.8443055556</v>
      </c>
      <c r="C871">
        <v>0</v>
      </c>
      <c r="D871">
        <v>0</v>
      </c>
      <c r="E871" t="s">
        <v>860</v>
      </c>
    </row>
    <row r="872" spans="1:5">
      <c r="A872">
        <f>HYPERLINK("http://www.twitter.com/NYCHA/status/773250574112489472", "773250574112489472")</f>
        <v>0</v>
      </c>
      <c r="B872" s="2">
        <v>42619.8365393519</v>
      </c>
      <c r="C872">
        <v>0</v>
      </c>
      <c r="D872">
        <v>0</v>
      </c>
      <c r="E872" t="s">
        <v>861</v>
      </c>
    </row>
    <row r="873" spans="1:5">
      <c r="A873">
        <f>HYPERLINK("http://www.twitter.com/NYCHA/status/773250108569837568", "773250108569837568")</f>
        <v>0</v>
      </c>
      <c r="B873" s="2">
        <v>42619.8352546296</v>
      </c>
      <c r="C873">
        <v>0</v>
      </c>
      <c r="D873">
        <v>0</v>
      </c>
      <c r="E873" t="s">
        <v>862</v>
      </c>
    </row>
    <row r="874" spans="1:5">
      <c r="A874">
        <f>HYPERLINK("http://www.twitter.com/NYCHA/status/773246779735277568", "773246779735277568")</f>
        <v>0</v>
      </c>
      <c r="B874" s="2">
        <v>42619.8260763889</v>
      </c>
      <c r="C874">
        <v>0</v>
      </c>
      <c r="D874">
        <v>6</v>
      </c>
      <c r="E874" t="s">
        <v>863</v>
      </c>
    </row>
    <row r="875" spans="1:5">
      <c r="A875">
        <f>HYPERLINK("http://www.twitter.com/NYCHA/status/773246774379175936", "773246774379175936")</f>
        <v>0</v>
      </c>
      <c r="B875" s="2">
        <v>42619.8260532407</v>
      </c>
      <c r="C875">
        <v>0</v>
      </c>
      <c r="D875">
        <v>1</v>
      </c>
      <c r="E875" t="s">
        <v>864</v>
      </c>
    </row>
    <row r="876" spans="1:5">
      <c r="A876">
        <f>HYPERLINK("http://www.twitter.com/NYCHA/status/773246766829473793", "773246766829473793")</f>
        <v>0</v>
      </c>
      <c r="B876" s="2">
        <v>42619.8260416667</v>
      </c>
      <c r="C876">
        <v>0</v>
      </c>
      <c r="D876">
        <v>5</v>
      </c>
      <c r="E876" t="s">
        <v>865</v>
      </c>
    </row>
    <row r="877" spans="1:5">
      <c r="A877">
        <f>HYPERLINK("http://www.twitter.com/NYCHA/status/773246762928791553", "773246762928791553")</f>
        <v>0</v>
      </c>
      <c r="B877" s="2">
        <v>42619.8260300926</v>
      </c>
      <c r="C877">
        <v>0</v>
      </c>
      <c r="D877">
        <v>3</v>
      </c>
      <c r="E877" t="s">
        <v>866</v>
      </c>
    </row>
    <row r="878" spans="1:5">
      <c r="A878">
        <f>HYPERLINK("http://www.twitter.com/NYCHA/status/773246719903535104", "773246719903535104")</f>
        <v>0</v>
      </c>
      <c r="B878" s="2">
        <v>42619.8259027778</v>
      </c>
      <c r="C878">
        <v>0</v>
      </c>
      <c r="D878">
        <v>2</v>
      </c>
      <c r="E878" t="s">
        <v>867</v>
      </c>
    </row>
    <row r="879" spans="1:5">
      <c r="A879">
        <f>HYPERLINK("http://www.twitter.com/NYCHA/status/773246700811083776", "773246700811083776")</f>
        <v>0</v>
      </c>
      <c r="B879" s="2">
        <v>42619.8258564815</v>
      </c>
      <c r="C879">
        <v>0</v>
      </c>
      <c r="D879">
        <v>4</v>
      </c>
      <c r="E879" t="s">
        <v>868</v>
      </c>
    </row>
    <row r="880" spans="1:5">
      <c r="A880">
        <f>HYPERLINK("http://www.twitter.com/NYCHA/status/773232701809815553", "773232701809815553")</f>
        <v>0</v>
      </c>
      <c r="B880" s="2">
        <v>42619.7872222222</v>
      </c>
      <c r="C880">
        <v>0</v>
      </c>
      <c r="D880">
        <v>6</v>
      </c>
      <c r="E880" t="s">
        <v>869</v>
      </c>
    </row>
    <row r="881" spans="1:5">
      <c r="A881">
        <f>HYPERLINK("http://www.twitter.com/NYCHA/status/773190038439993345", "773190038439993345")</f>
        <v>0</v>
      </c>
      <c r="B881" s="2">
        <v>42619.6694907407</v>
      </c>
      <c r="C881">
        <v>2</v>
      </c>
      <c r="D881">
        <v>2</v>
      </c>
      <c r="E881" t="s">
        <v>870</v>
      </c>
    </row>
    <row r="882" spans="1:5">
      <c r="A882">
        <f>HYPERLINK("http://www.twitter.com/NYCHA/status/773145142677139457", "773145142677139457")</f>
        <v>0</v>
      </c>
      <c r="B882" s="2">
        <v>42619.5456134259</v>
      </c>
      <c r="C882">
        <v>2</v>
      </c>
      <c r="D882">
        <v>2</v>
      </c>
      <c r="E882" t="s">
        <v>871</v>
      </c>
    </row>
    <row r="883" spans="1:5">
      <c r="A883">
        <f>HYPERLINK("http://www.twitter.com/NYCHA/status/772872436211654656", "772872436211654656")</f>
        <v>0</v>
      </c>
      <c r="B883" s="2">
        <v>42618.7930787037</v>
      </c>
      <c r="C883">
        <v>0</v>
      </c>
      <c r="D883">
        <v>0</v>
      </c>
      <c r="E883" t="s">
        <v>872</v>
      </c>
    </row>
    <row r="884" spans="1:5">
      <c r="A884">
        <f>HYPERLINK("http://www.twitter.com/NYCHA/status/772857503616999426", "772857503616999426")</f>
        <v>0</v>
      </c>
      <c r="B884" s="2">
        <v>42618.751875</v>
      </c>
      <c r="C884">
        <v>2</v>
      </c>
      <c r="D884">
        <v>1</v>
      </c>
      <c r="E884" t="s">
        <v>873</v>
      </c>
    </row>
    <row r="885" spans="1:5">
      <c r="A885">
        <f>HYPERLINK("http://www.twitter.com/NYCHA/status/772827648175341568", "772827648175341568")</f>
        <v>0</v>
      </c>
      <c r="B885" s="2">
        <v>42618.6694907407</v>
      </c>
      <c r="C885">
        <v>2</v>
      </c>
      <c r="D885">
        <v>1</v>
      </c>
      <c r="E885" t="s">
        <v>874</v>
      </c>
    </row>
    <row r="886" spans="1:5">
      <c r="A886">
        <f>HYPERLINK("http://www.twitter.com/NYCHA/status/772797117098229760", "772797117098229760")</f>
        <v>0</v>
      </c>
      <c r="B886" s="2">
        <v>42618.5852430556</v>
      </c>
      <c r="C886">
        <v>2</v>
      </c>
      <c r="D886">
        <v>1</v>
      </c>
      <c r="E886" t="s">
        <v>875</v>
      </c>
    </row>
    <row r="887" spans="1:5">
      <c r="A887">
        <f>HYPERLINK("http://www.twitter.com/NYCHA/status/772781885713973248", "772781885713973248")</f>
        <v>0</v>
      </c>
      <c r="B887" s="2">
        <v>42618.5432060185</v>
      </c>
      <c r="C887">
        <v>1</v>
      </c>
      <c r="D887">
        <v>0</v>
      </c>
      <c r="E887" t="s">
        <v>876</v>
      </c>
    </row>
    <row r="888" spans="1:5">
      <c r="A888">
        <f>HYPERLINK("http://www.twitter.com/NYCHA/status/772766703004581888", "772766703004581888")</f>
        <v>0</v>
      </c>
      <c r="B888" s="2">
        <v>42618.5013078704</v>
      </c>
      <c r="C888">
        <v>0</v>
      </c>
      <c r="D888">
        <v>1</v>
      </c>
      <c r="E888" t="s">
        <v>877</v>
      </c>
    </row>
    <row r="889" spans="1:5">
      <c r="A889">
        <f>HYPERLINK("http://www.twitter.com/NYCHA/status/772600960149577732", "772600960149577732")</f>
        <v>0</v>
      </c>
      <c r="B889" s="2">
        <v>42618.0439467593</v>
      </c>
      <c r="C889">
        <v>0</v>
      </c>
      <c r="D889">
        <v>47</v>
      </c>
      <c r="E889" t="s">
        <v>878</v>
      </c>
    </row>
    <row r="890" spans="1:5">
      <c r="A890">
        <f>HYPERLINK("http://www.twitter.com/NYCHA/status/772524960648757248", "772524960648757248")</f>
        <v>0</v>
      </c>
      <c r="B890" s="2">
        <v>42617.8342361111</v>
      </c>
      <c r="C890">
        <v>1</v>
      </c>
      <c r="D890">
        <v>3</v>
      </c>
      <c r="E890" t="s">
        <v>879</v>
      </c>
    </row>
    <row r="891" spans="1:5">
      <c r="A891">
        <f>HYPERLINK("http://www.twitter.com/NYCHA/status/772479674983260164", "772479674983260164")</f>
        <v>0</v>
      </c>
      <c r="B891" s="2">
        <v>42617.7092708333</v>
      </c>
      <c r="C891">
        <v>0</v>
      </c>
      <c r="D891">
        <v>1</v>
      </c>
      <c r="E891" t="s">
        <v>880</v>
      </c>
    </row>
    <row r="892" spans="1:5">
      <c r="A892">
        <f>HYPERLINK("http://www.twitter.com/NYCHA/status/772419255472193536", "772419255472193536")</f>
        <v>0</v>
      </c>
      <c r="B892" s="2">
        <v>42617.5425462963</v>
      </c>
      <c r="C892">
        <v>0</v>
      </c>
      <c r="D892">
        <v>2</v>
      </c>
      <c r="E892" t="s">
        <v>881</v>
      </c>
    </row>
    <row r="893" spans="1:5">
      <c r="A893">
        <f>HYPERLINK("http://www.twitter.com/NYCHA/status/772169965705236480", "772169965705236480")</f>
        <v>0</v>
      </c>
      <c r="B893" s="2">
        <v>42616.8546296296</v>
      </c>
      <c r="C893">
        <v>0</v>
      </c>
      <c r="D893">
        <v>2</v>
      </c>
      <c r="E893" t="s">
        <v>882</v>
      </c>
    </row>
    <row r="894" spans="1:5">
      <c r="A894">
        <f>HYPERLINK("http://www.twitter.com/NYCHA/status/772132323710074880", "772132323710074880")</f>
        <v>0</v>
      </c>
      <c r="B894" s="2">
        <v>42616.7507638889</v>
      </c>
      <c r="C894">
        <v>1</v>
      </c>
      <c r="D894">
        <v>3</v>
      </c>
      <c r="E894" t="s">
        <v>883</v>
      </c>
    </row>
    <row r="895" spans="1:5">
      <c r="A895">
        <f>HYPERLINK("http://www.twitter.com/NYCHA/status/772124733940916224", "772124733940916224")</f>
        <v>0</v>
      </c>
      <c r="B895" s="2">
        <v>42616.7298148148</v>
      </c>
      <c r="C895">
        <v>0</v>
      </c>
      <c r="D895">
        <v>93</v>
      </c>
      <c r="E895" t="s">
        <v>884</v>
      </c>
    </row>
    <row r="896" spans="1:5">
      <c r="A896">
        <f>HYPERLINK("http://www.twitter.com/NYCHA/status/772124676021690369", "772124676021690369")</f>
        <v>0</v>
      </c>
      <c r="B896" s="2">
        <v>42616.7296527778</v>
      </c>
      <c r="C896">
        <v>0</v>
      </c>
      <c r="D896">
        <v>105</v>
      </c>
      <c r="E896" t="s">
        <v>885</v>
      </c>
    </row>
    <row r="897" spans="1:5">
      <c r="A897">
        <f>HYPERLINK("http://www.twitter.com/NYCHA/status/772057907533844489", "772057907533844489")</f>
        <v>0</v>
      </c>
      <c r="B897" s="2">
        <v>42616.5454050926</v>
      </c>
      <c r="C897">
        <v>2</v>
      </c>
      <c r="D897">
        <v>1</v>
      </c>
      <c r="E897" t="s">
        <v>886</v>
      </c>
    </row>
    <row r="898" spans="1:5">
      <c r="A898">
        <f>HYPERLINK("http://www.twitter.com/NYCHA/status/771783547409530880", "771783547409530880")</f>
        <v>0</v>
      </c>
      <c r="B898" s="2">
        <v>42615.7883217593</v>
      </c>
      <c r="C898">
        <v>0</v>
      </c>
      <c r="D898">
        <v>1</v>
      </c>
      <c r="E898" t="s">
        <v>887</v>
      </c>
    </row>
    <row r="899" spans="1:5">
      <c r="A899">
        <f>HYPERLINK("http://www.twitter.com/NYCHA/status/771769806710243328", "771769806710243328")</f>
        <v>0</v>
      </c>
      <c r="B899" s="2">
        <v>42615.7504050926</v>
      </c>
      <c r="C899">
        <v>8</v>
      </c>
      <c r="D899">
        <v>7</v>
      </c>
      <c r="E899" t="s">
        <v>888</v>
      </c>
    </row>
    <row r="900" spans="1:5">
      <c r="A900">
        <f>HYPERLINK("http://www.twitter.com/NYCHA/status/771743514644189185", "771743514644189185")</f>
        <v>0</v>
      </c>
      <c r="B900" s="2">
        <v>42615.6778472222</v>
      </c>
      <c r="C900">
        <v>1</v>
      </c>
      <c r="D900">
        <v>0</v>
      </c>
      <c r="E900" t="s">
        <v>889</v>
      </c>
    </row>
    <row r="901" spans="1:5">
      <c r="A901">
        <f>HYPERLINK("http://www.twitter.com/NYCHA/status/771695121675026432", "771695121675026432")</f>
        <v>0</v>
      </c>
      <c r="B901" s="2">
        <v>42615.5443171296</v>
      </c>
      <c r="C901">
        <v>0</v>
      </c>
      <c r="D901">
        <v>0</v>
      </c>
      <c r="E901" t="s">
        <v>890</v>
      </c>
    </row>
    <row r="902" spans="1:5">
      <c r="A902">
        <f>HYPERLINK("http://www.twitter.com/NYCHA/status/771430472551374848", "771430472551374848")</f>
        <v>0</v>
      </c>
      <c r="B902" s="2">
        <v>42614.8140162037</v>
      </c>
      <c r="C902">
        <v>0</v>
      </c>
      <c r="D902">
        <v>2</v>
      </c>
      <c r="E902" t="s">
        <v>891</v>
      </c>
    </row>
    <row r="903" spans="1:5">
      <c r="A903">
        <f>HYPERLINK("http://www.twitter.com/NYCHA/status/771425247912423425", "771425247912423425")</f>
        <v>0</v>
      </c>
      <c r="B903" s="2">
        <v>42614.7996064815</v>
      </c>
      <c r="C903">
        <v>0</v>
      </c>
      <c r="D903">
        <v>4</v>
      </c>
      <c r="E903" t="s">
        <v>892</v>
      </c>
    </row>
    <row r="904" spans="1:5">
      <c r="A904">
        <f>HYPERLINK("http://www.twitter.com/NYCHA/status/771408066331996161", "771408066331996161")</f>
        <v>0</v>
      </c>
      <c r="B904" s="2">
        <v>42614.7521875</v>
      </c>
      <c r="C904">
        <v>0</v>
      </c>
      <c r="D904">
        <v>0</v>
      </c>
      <c r="E904" t="s">
        <v>893</v>
      </c>
    </row>
    <row r="905" spans="1:5">
      <c r="A905">
        <f>HYPERLINK("http://www.twitter.com/NYCHA/status/771347333825040384", "771347333825040384")</f>
        <v>0</v>
      </c>
      <c r="B905" s="2">
        <v>42614.5845949074</v>
      </c>
      <c r="C905">
        <v>2</v>
      </c>
      <c r="D905">
        <v>1</v>
      </c>
      <c r="E905" t="s">
        <v>894</v>
      </c>
    </row>
    <row r="906" spans="1:5">
      <c r="A906">
        <f>HYPERLINK("http://www.twitter.com/NYCHA/status/771332679883190273", "771332679883190273")</f>
        <v>0</v>
      </c>
      <c r="B906" s="2">
        <v>42614.5441666667</v>
      </c>
      <c r="C906">
        <v>2</v>
      </c>
      <c r="D906">
        <v>0</v>
      </c>
      <c r="E906" t="s">
        <v>895</v>
      </c>
    </row>
    <row r="907" spans="1:5">
      <c r="A907">
        <f>HYPERLINK("http://www.twitter.com/NYCHA/status/771047867217768448", "771047867217768448")</f>
        <v>0</v>
      </c>
      <c r="B907" s="2">
        <v>42613.7582291667</v>
      </c>
      <c r="C907">
        <v>0</v>
      </c>
      <c r="D907">
        <v>2</v>
      </c>
      <c r="E907" t="s">
        <v>896</v>
      </c>
    </row>
    <row r="908" spans="1:5">
      <c r="A908">
        <f>HYPERLINK("http://www.twitter.com/NYCHA/status/771045684225175552", "771045684225175552")</f>
        <v>0</v>
      </c>
      <c r="B908" s="2">
        <v>42613.7522106481</v>
      </c>
      <c r="C908">
        <v>1</v>
      </c>
      <c r="D908">
        <v>2</v>
      </c>
      <c r="E908" t="s">
        <v>897</v>
      </c>
    </row>
    <row r="909" spans="1:5">
      <c r="A909">
        <f>HYPERLINK("http://www.twitter.com/NYCHA/status/771033915150721024", "771033915150721024")</f>
        <v>0</v>
      </c>
      <c r="B909" s="2">
        <v>42613.7197337963</v>
      </c>
      <c r="C909">
        <v>0</v>
      </c>
      <c r="D909">
        <v>6</v>
      </c>
      <c r="E909" t="s">
        <v>898</v>
      </c>
    </row>
    <row r="910" spans="1:5">
      <c r="A910">
        <f>HYPERLINK("http://www.twitter.com/NYCHA/status/771033878043697153", "771033878043697153")</f>
        <v>0</v>
      </c>
      <c r="B910" s="2">
        <v>42613.7196296296</v>
      </c>
      <c r="C910">
        <v>0</v>
      </c>
      <c r="D910">
        <v>8</v>
      </c>
      <c r="E910" t="s">
        <v>899</v>
      </c>
    </row>
    <row r="911" spans="1:5">
      <c r="A911">
        <f>HYPERLINK("http://www.twitter.com/NYCHA/status/771015737351737344", "771015737351737344")</f>
        <v>0</v>
      </c>
      <c r="B911" s="2">
        <v>42613.6695717593</v>
      </c>
      <c r="C911">
        <v>6</v>
      </c>
      <c r="D911">
        <v>1</v>
      </c>
      <c r="E911" t="s">
        <v>900</v>
      </c>
    </row>
    <row r="912" spans="1:5">
      <c r="A912">
        <f>HYPERLINK("http://www.twitter.com/NYCHA/status/771001307272470528", "771001307272470528")</f>
        <v>0</v>
      </c>
      <c r="B912" s="2">
        <v>42613.6297453704</v>
      </c>
      <c r="C912">
        <v>0</v>
      </c>
      <c r="D912">
        <v>2</v>
      </c>
      <c r="E912" t="s">
        <v>901</v>
      </c>
    </row>
    <row r="913" spans="1:5">
      <c r="A913">
        <f>HYPERLINK("http://www.twitter.com/NYCHA/status/770996489686487040", "770996489686487040")</f>
        <v>0</v>
      </c>
      <c r="B913" s="2">
        <v>42613.6164583333</v>
      </c>
      <c r="C913">
        <v>2</v>
      </c>
      <c r="D913">
        <v>0</v>
      </c>
      <c r="E913" t="s">
        <v>902</v>
      </c>
    </row>
    <row r="914" spans="1:5">
      <c r="A914">
        <f>HYPERLINK("http://www.twitter.com/NYCHA/status/770991824953540608", "770991824953540608")</f>
        <v>0</v>
      </c>
      <c r="B914" s="2">
        <v>42613.603587963</v>
      </c>
      <c r="C914">
        <v>0</v>
      </c>
      <c r="D914">
        <v>1</v>
      </c>
      <c r="E914" t="s">
        <v>903</v>
      </c>
    </row>
    <row r="915" spans="1:5">
      <c r="A915">
        <f>HYPERLINK("http://www.twitter.com/NYCHA/status/770991722008576000", "770991722008576000")</f>
        <v>0</v>
      </c>
      <c r="B915" s="2">
        <v>42613.6032986111</v>
      </c>
      <c r="C915">
        <v>0</v>
      </c>
      <c r="D915">
        <v>0</v>
      </c>
      <c r="E915" t="s">
        <v>904</v>
      </c>
    </row>
    <row r="916" spans="1:5">
      <c r="A916">
        <f>HYPERLINK("http://www.twitter.com/NYCHA/status/770983528813174788", "770983528813174788")</f>
        <v>0</v>
      </c>
      <c r="B916" s="2">
        <v>42613.5806944444</v>
      </c>
      <c r="C916">
        <v>0</v>
      </c>
      <c r="D916">
        <v>3</v>
      </c>
      <c r="E916" t="s">
        <v>905</v>
      </c>
    </row>
    <row r="917" spans="1:5">
      <c r="A917">
        <f>HYPERLINK("http://www.twitter.com/NYCHA/status/770983278841135104", "770983278841135104")</f>
        <v>0</v>
      </c>
      <c r="B917" s="2">
        <v>42613.58</v>
      </c>
      <c r="C917">
        <v>0</v>
      </c>
      <c r="D917">
        <v>1</v>
      </c>
      <c r="E917" t="s">
        <v>906</v>
      </c>
    </row>
    <row r="918" spans="1:5">
      <c r="A918">
        <f>HYPERLINK("http://www.twitter.com/NYCHA/status/770970890561544192", "770970890561544192")</f>
        <v>0</v>
      </c>
      <c r="B918" s="2">
        <v>42613.5458101852</v>
      </c>
      <c r="C918">
        <v>0</v>
      </c>
      <c r="D918">
        <v>0</v>
      </c>
      <c r="E918" t="s">
        <v>907</v>
      </c>
    </row>
    <row r="919" spans="1:5">
      <c r="A919">
        <f>HYPERLINK("http://www.twitter.com/NYCHA/status/770970342751862784", "770970342751862784")</f>
        <v>0</v>
      </c>
      <c r="B919" s="2">
        <v>42613.5443055556</v>
      </c>
      <c r="C919">
        <v>0</v>
      </c>
      <c r="D919">
        <v>0</v>
      </c>
      <c r="E919" t="s">
        <v>908</v>
      </c>
    </row>
    <row r="920" spans="1:5">
      <c r="A920">
        <f>HYPERLINK("http://www.twitter.com/NYCHA/status/770663856209268736", "770663856209268736")</f>
        <v>0</v>
      </c>
      <c r="B920" s="2">
        <v>42612.6985648148</v>
      </c>
      <c r="C920">
        <v>3</v>
      </c>
      <c r="D920">
        <v>1</v>
      </c>
      <c r="E920" t="s">
        <v>909</v>
      </c>
    </row>
    <row r="921" spans="1:5">
      <c r="A921">
        <f>HYPERLINK("http://www.twitter.com/NYCHA/status/770652943645339648", "770652943645339648")</f>
        <v>0</v>
      </c>
      <c r="B921" s="2">
        <v>42612.6684490741</v>
      </c>
      <c r="C921">
        <v>5</v>
      </c>
      <c r="D921">
        <v>1</v>
      </c>
      <c r="E921" t="s">
        <v>910</v>
      </c>
    </row>
    <row r="922" spans="1:5">
      <c r="A922">
        <f>HYPERLINK("http://www.twitter.com/NYCHA/status/770647652044271617", "770647652044271617")</f>
        <v>0</v>
      </c>
      <c r="B922" s="2">
        <v>42612.6538425926</v>
      </c>
      <c r="C922">
        <v>0</v>
      </c>
      <c r="D922">
        <v>6</v>
      </c>
      <c r="E922" t="s">
        <v>911</v>
      </c>
    </row>
    <row r="923" spans="1:5">
      <c r="A923">
        <f>HYPERLINK("http://www.twitter.com/NYCHA/status/770630522821283840", "770630522821283840")</f>
        <v>0</v>
      </c>
      <c r="B923" s="2">
        <v>42612.6065740741</v>
      </c>
      <c r="C923">
        <v>0</v>
      </c>
      <c r="D923">
        <v>4</v>
      </c>
      <c r="E923" t="s">
        <v>912</v>
      </c>
    </row>
    <row r="924" spans="1:5">
      <c r="A924">
        <f>HYPERLINK("http://www.twitter.com/NYCHA/status/770626917410172928", "770626917410172928")</f>
        <v>0</v>
      </c>
      <c r="B924" s="2">
        <v>42612.5966319444</v>
      </c>
      <c r="C924">
        <v>0</v>
      </c>
      <c r="D924">
        <v>3</v>
      </c>
      <c r="E924" t="s">
        <v>913</v>
      </c>
    </row>
    <row r="925" spans="1:5">
      <c r="A925">
        <f>HYPERLINK("http://www.twitter.com/NYCHA/status/770626831271747584", "770626831271747584")</f>
        <v>0</v>
      </c>
      <c r="B925" s="2">
        <v>42612.5963888889</v>
      </c>
      <c r="C925">
        <v>0</v>
      </c>
      <c r="D925">
        <v>1</v>
      </c>
      <c r="E925" t="s">
        <v>914</v>
      </c>
    </row>
    <row r="926" spans="1:5">
      <c r="A926">
        <f>HYPERLINK("http://www.twitter.com/NYCHA/status/770626793904758790", "770626793904758790")</f>
        <v>0</v>
      </c>
      <c r="B926" s="2">
        <v>42612.5962847222</v>
      </c>
      <c r="C926">
        <v>0</v>
      </c>
      <c r="D926">
        <v>3</v>
      </c>
      <c r="E926" t="s">
        <v>915</v>
      </c>
    </row>
    <row r="927" spans="1:5">
      <c r="A927">
        <f>HYPERLINK("http://www.twitter.com/NYCHA/status/770608479782498305", "770608479782498305")</f>
        <v>0</v>
      </c>
      <c r="B927" s="2">
        <v>42612.5457523148</v>
      </c>
      <c r="C927">
        <v>0</v>
      </c>
      <c r="D927">
        <v>0</v>
      </c>
      <c r="E927" t="s">
        <v>916</v>
      </c>
    </row>
    <row r="928" spans="1:5">
      <c r="A928">
        <f>HYPERLINK("http://www.twitter.com/NYCHA/status/770607867342774276", "770607867342774276")</f>
        <v>0</v>
      </c>
      <c r="B928" s="2">
        <v>42612.5440625</v>
      </c>
      <c r="C928">
        <v>0</v>
      </c>
      <c r="D928">
        <v>1</v>
      </c>
      <c r="E928" t="s">
        <v>917</v>
      </c>
    </row>
    <row r="929" spans="1:5">
      <c r="A929">
        <f>HYPERLINK("http://www.twitter.com/NYCHA/status/770354468034605057", "770354468034605057")</f>
        <v>0</v>
      </c>
      <c r="B929" s="2">
        <v>42611.8448148148</v>
      </c>
      <c r="C929">
        <v>0</v>
      </c>
      <c r="D929">
        <v>8</v>
      </c>
      <c r="E929" t="s">
        <v>918</v>
      </c>
    </row>
    <row r="930" spans="1:5">
      <c r="A930">
        <f>HYPERLINK("http://www.twitter.com/NYCHA/status/770351969013817344", "770351969013817344")</f>
        <v>0</v>
      </c>
      <c r="B930" s="2">
        <v>42611.8379166667</v>
      </c>
      <c r="C930">
        <v>0</v>
      </c>
      <c r="D930">
        <v>3</v>
      </c>
      <c r="E930" t="s">
        <v>919</v>
      </c>
    </row>
    <row r="931" spans="1:5">
      <c r="A931">
        <f>HYPERLINK("http://www.twitter.com/NYCHA/status/770320739010539547", "770320739010539547")</f>
        <v>0</v>
      </c>
      <c r="B931" s="2">
        <v>42611.7517361111</v>
      </c>
      <c r="C931">
        <v>0</v>
      </c>
      <c r="D931">
        <v>0</v>
      </c>
      <c r="E931" t="s">
        <v>920</v>
      </c>
    </row>
    <row r="932" spans="1:5">
      <c r="A932">
        <f>HYPERLINK("http://www.twitter.com/NYCHA/status/770301431328931840", "770301431328931840")</f>
        <v>0</v>
      </c>
      <c r="B932" s="2">
        <v>42611.6984606481</v>
      </c>
      <c r="C932">
        <v>1</v>
      </c>
      <c r="D932">
        <v>0</v>
      </c>
      <c r="E932" t="s">
        <v>921</v>
      </c>
    </row>
    <row r="933" spans="1:5">
      <c r="A933">
        <f>HYPERLINK("http://www.twitter.com/NYCHA/status/770272476110675968", "770272476110675968")</f>
        <v>0</v>
      </c>
      <c r="B933" s="2">
        <v>42611.6185532407</v>
      </c>
      <c r="C933">
        <v>0</v>
      </c>
      <c r="D933">
        <v>6</v>
      </c>
      <c r="E933" t="s">
        <v>922</v>
      </c>
    </row>
    <row r="934" spans="1:5">
      <c r="A934">
        <f>HYPERLINK("http://www.twitter.com/NYCHA/status/770272367826309120", "770272367826309120")</f>
        <v>0</v>
      </c>
      <c r="B934" s="2">
        <v>42611.6182638889</v>
      </c>
      <c r="C934">
        <v>8</v>
      </c>
      <c r="D934">
        <v>3</v>
      </c>
      <c r="E934" t="s">
        <v>923</v>
      </c>
    </row>
    <row r="935" spans="1:5">
      <c r="A935">
        <f>HYPERLINK("http://www.twitter.com/NYCHA/status/770265861160574976", "770265861160574976")</f>
        <v>0</v>
      </c>
      <c r="B935" s="2">
        <v>42611.6003009259</v>
      </c>
      <c r="C935">
        <v>0</v>
      </c>
      <c r="D935">
        <v>8</v>
      </c>
      <c r="E935" t="s">
        <v>924</v>
      </c>
    </row>
    <row r="936" spans="1:5">
      <c r="A936">
        <f>HYPERLINK("http://www.twitter.com/NYCHA/status/770260605810999296", "770260605810999296")</f>
        <v>0</v>
      </c>
      <c r="B936" s="2">
        <v>42611.5857986111</v>
      </c>
      <c r="C936">
        <v>0</v>
      </c>
      <c r="D936">
        <v>12</v>
      </c>
      <c r="E936" t="s">
        <v>925</v>
      </c>
    </row>
    <row r="937" spans="1:5">
      <c r="A937">
        <f>HYPERLINK("http://www.twitter.com/NYCHA/status/770256973514301440", "770256973514301440")</f>
        <v>0</v>
      </c>
      <c r="B937" s="2">
        <v>42611.575775463</v>
      </c>
      <c r="C937">
        <v>0</v>
      </c>
      <c r="D937">
        <v>11</v>
      </c>
      <c r="E937" t="s">
        <v>926</v>
      </c>
    </row>
    <row r="938" spans="1:5">
      <c r="A938">
        <f>HYPERLINK("http://www.twitter.com/NYCHA/status/770246091132534784", "770246091132534784")</f>
        <v>0</v>
      </c>
      <c r="B938" s="2">
        <v>42611.5457523148</v>
      </c>
      <c r="C938">
        <v>0</v>
      </c>
      <c r="D938">
        <v>3</v>
      </c>
      <c r="E938" t="s">
        <v>927</v>
      </c>
    </row>
    <row r="939" spans="1:5">
      <c r="A939">
        <f>HYPERLINK("http://www.twitter.com/NYCHA/status/770245407322636288", "770245407322636288")</f>
        <v>0</v>
      </c>
      <c r="B939" s="2">
        <v>42611.5438657407</v>
      </c>
      <c r="C939">
        <v>0</v>
      </c>
      <c r="D939">
        <v>1</v>
      </c>
      <c r="E939" t="s">
        <v>928</v>
      </c>
    </row>
    <row r="940" spans="1:5">
      <c r="A940">
        <f>HYPERLINK("http://www.twitter.com/NYCHA/status/769958087151198209", "769958087151198209")</f>
        <v>0</v>
      </c>
      <c r="B940" s="2">
        <v>42610.7510069444</v>
      </c>
      <c r="C940">
        <v>3</v>
      </c>
      <c r="D940">
        <v>1</v>
      </c>
      <c r="E940" t="s">
        <v>929</v>
      </c>
    </row>
    <row r="941" spans="1:5">
      <c r="A941">
        <f>HYPERLINK("http://www.twitter.com/NYCHA/status/769912788382801920", "769912788382801920")</f>
        <v>0</v>
      </c>
      <c r="B941" s="2">
        <v>42610.6260069444</v>
      </c>
      <c r="C941">
        <v>2</v>
      </c>
      <c r="D941">
        <v>1</v>
      </c>
      <c r="E941" t="s">
        <v>930</v>
      </c>
    </row>
    <row r="942" spans="1:5">
      <c r="A942">
        <f>HYPERLINK("http://www.twitter.com/NYCHA/status/769640924662079488", "769640924662079488")</f>
        <v>0</v>
      </c>
      <c r="B942" s="2">
        <v>42609.8758101852</v>
      </c>
      <c r="C942">
        <v>3</v>
      </c>
      <c r="D942">
        <v>1</v>
      </c>
      <c r="E942" t="s">
        <v>931</v>
      </c>
    </row>
    <row r="943" spans="1:5">
      <c r="A943">
        <f>HYPERLINK("http://www.twitter.com/NYCHA/status/769595718948491264", "769595718948491264")</f>
        <v>0</v>
      </c>
      <c r="B943" s="2">
        <v>42609.7510648148</v>
      </c>
      <c r="C943">
        <v>1</v>
      </c>
      <c r="D943">
        <v>0</v>
      </c>
      <c r="E943" t="s">
        <v>932</v>
      </c>
    </row>
    <row r="944" spans="1:5">
      <c r="A944">
        <f>HYPERLINK("http://www.twitter.com/NYCHA/status/769550423866937347", "769550423866937347")</f>
        <v>0</v>
      </c>
      <c r="B944" s="2">
        <v>42609.6260763889</v>
      </c>
      <c r="C944">
        <v>0</v>
      </c>
      <c r="D944">
        <v>0</v>
      </c>
      <c r="E944" t="s">
        <v>933</v>
      </c>
    </row>
    <row r="945" spans="1:5">
      <c r="A945">
        <f>HYPERLINK("http://www.twitter.com/NYCHA/status/769505061483474944", "769505061483474944")</f>
        <v>0</v>
      </c>
      <c r="B945" s="2">
        <v>42609.5009027778</v>
      </c>
      <c r="C945">
        <v>0</v>
      </c>
      <c r="D945">
        <v>1</v>
      </c>
      <c r="E945" t="s">
        <v>934</v>
      </c>
    </row>
    <row r="946" spans="1:5">
      <c r="A946">
        <f>HYPERLINK("http://www.twitter.com/NYCHA/status/769278614269521926", "769278614269521926")</f>
        <v>0</v>
      </c>
      <c r="B946" s="2">
        <v>42608.8760185185</v>
      </c>
      <c r="C946">
        <v>0</v>
      </c>
      <c r="D946">
        <v>0</v>
      </c>
      <c r="E946" t="s">
        <v>935</v>
      </c>
    </row>
    <row r="947" spans="1:5">
      <c r="A947">
        <f>HYPERLINK("http://www.twitter.com/NYCHA/status/769259240712175616", "769259240712175616")</f>
        <v>0</v>
      </c>
      <c r="B947" s="2">
        <v>42608.8225578704</v>
      </c>
      <c r="C947">
        <v>0</v>
      </c>
      <c r="D947">
        <v>18</v>
      </c>
      <c r="E947" t="s">
        <v>936</v>
      </c>
    </row>
    <row r="948" spans="1:5">
      <c r="A948">
        <f>HYPERLINK("http://www.twitter.com/NYCHA/status/769247762814763008", "769247762814763008")</f>
        <v>0</v>
      </c>
      <c r="B948" s="2">
        <v>42608.7908912037</v>
      </c>
      <c r="C948">
        <v>0</v>
      </c>
      <c r="D948">
        <v>2</v>
      </c>
      <c r="E948" t="s">
        <v>937</v>
      </c>
    </row>
    <row r="949" spans="1:5">
      <c r="A949">
        <f>HYPERLINK("http://www.twitter.com/NYCHA/status/769233645785780225", "769233645785780225")</f>
        <v>0</v>
      </c>
      <c r="B949" s="2">
        <v>42608.7519328704</v>
      </c>
      <c r="C949">
        <v>1</v>
      </c>
      <c r="D949">
        <v>0</v>
      </c>
      <c r="E949" t="s">
        <v>938</v>
      </c>
    </row>
    <row r="950" spans="1:5">
      <c r="A950">
        <f>HYPERLINK("http://www.twitter.com/NYCHA/status/769233320420970496", "769233320420970496")</f>
        <v>0</v>
      </c>
      <c r="B950" s="2">
        <v>42608.7510300926</v>
      </c>
      <c r="C950">
        <v>1</v>
      </c>
      <c r="D950">
        <v>0</v>
      </c>
      <c r="E950" t="s">
        <v>939</v>
      </c>
    </row>
    <row r="951" spans="1:5">
      <c r="A951">
        <f>HYPERLINK("http://www.twitter.com/NYCHA/status/769225009768361988", "769225009768361988")</f>
        <v>0</v>
      </c>
      <c r="B951" s="2">
        <v>42608.7281018519</v>
      </c>
      <c r="C951">
        <v>0</v>
      </c>
      <c r="D951">
        <v>7</v>
      </c>
      <c r="E951" t="s">
        <v>940</v>
      </c>
    </row>
    <row r="952" spans="1:5">
      <c r="A952">
        <f>HYPERLINK("http://www.twitter.com/NYCHA/status/769188063872442368", "769188063872442368")</f>
        <v>0</v>
      </c>
      <c r="B952" s="2">
        <v>42608.6261458333</v>
      </c>
      <c r="C952">
        <v>0</v>
      </c>
      <c r="D952">
        <v>0</v>
      </c>
      <c r="E952" t="s">
        <v>941</v>
      </c>
    </row>
    <row r="953" spans="1:5">
      <c r="A953">
        <f>HYPERLINK("http://www.twitter.com/NYCHA/status/769158288445497348", "769158288445497348")</f>
        <v>0</v>
      </c>
      <c r="B953" s="2">
        <v>42608.5439814815</v>
      </c>
      <c r="C953">
        <v>0</v>
      </c>
      <c r="D953">
        <v>0</v>
      </c>
      <c r="E953" t="s">
        <v>942</v>
      </c>
    </row>
    <row r="954" spans="1:5">
      <c r="A954">
        <f>HYPERLINK("http://www.twitter.com/NYCHA/status/769142678739120128", "769142678739120128")</f>
        <v>0</v>
      </c>
      <c r="B954" s="2">
        <v>42608.5009143519</v>
      </c>
      <c r="C954">
        <v>0</v>
      </c>
      <c r="D954">
        <v>0</v>
      </c>
      <c r="E954" t="s">
        <v>943</v>
      </c>
    </row>
    <row r="955" spans="1:5">
      <c r="A955">
        <f>HYPERLINK("http://www.twitter.com/NYCHA/status/768901606175678464", "768901606175678464")</f>
        <v>0</v>
      </c>
      <c r="B955" s="2">
        <v>42607.8356828704</v>
      </c>
      <c r="C955">
        <v>6</v>
      </c>
      <c r="D955">
        <v>4</v>
      </c>
      <c r="E955" t="s">
        <v>944</v>
      </c>
    </row>
    <row r="956" spans="1:5">
      <c r="A956">
        <f>HYPERLINK("http://www.twitter.com/NYCHA/status/768871252660543489", "768871252660543489")</f>
        <v>0</v>
      </c>
      <c r="B956" s="2">
        <v>42607.7519212963</v>
      </c>
      <c r="C956">
        <v>1</v>
      </c>
      <c r="D956">
        <v>0</v>
      </c>
      <c r="E956" t="s">
        <v>945</v>
      </c>
    </row>
    <row r="957" spans="1:5">
      <c r="A957">
        <f>HYPERLINK("http://www.twitter.com/NYCHA/status/768847838239399936", "768847838239399936")</f>
        <v>0</v>
      </c>
      <c r="B957" s="2">
        <v>42607.6873032407</v>
      </c>
      <c r="C957">
        <v>0</v>
      </c>
      <c r="D957">
        <v>1</v>
      </c>
      <c r="E957" t="s">
        <v>946</v>
      </c>
    </row>
    <row r="958" spans="1:5">
      <c r="A958">
        <f>HYPERLINK("http://www.twitter.com/NYCHA/status/768829116732862464", "768829116732862464")</f>
        <v>0</v>
      </c>
      <c r="B958" s="2">
        <v>42607.6356481481</v>
      </c>
      <c r="C958">
        <v>1</v>
      </c>
      <c r="D958">
        <v>0</v>
      </c>
      <c r="E958" t="s">
        <v>947</v>
      </c>
    </row>
    <row r="959" spans="1:5">
      <c r="A959">
        <f>HYPERLINK("http://www.twitter.com/NYCHA/status/768816805762727936", "768816805762727936")</f>
        <v>0</v>
      </c>
      <c r="B959" s="2">
        <v>42607.6016782407</v>
      </c>
      <c r="C959">
        <v>0</v>
      </c>
      <c r="D959">
        <v>1</v>
      </c>
      <c r="E959" t="s">
        <v>948</v>
      </c>
    </row>
    <row r="960" spans="1:5">
      <c r="A960">
        <f>HYPERLINK("http://www.twitter.com/NYCHA/status/768814060125192192", "768814060125192192")</f>
        <v>0</v>
      </c>
      <c r="B960" s="2">
        <v>42607.5940972222</v>
      </c>
      <c r="C960">
        <v>1</v>
      </c>
      <c r="D960">
        <v>0</v>
      </c>
      <c r="E960" t="s">
        <v>949</v>
      </c>
    </row>
    <row r="961" spans="1:5">
      <c r="A961">
        <f>HYPERLINK("http://www.twitter.com/NYCHA/status/768810572028768256", "768810572028768256")</f>
        <v>0</v>
      </c>
      <c r="B961" s="2">
        <v>42607.5844675926</v>
      </c>
      <c r="C961">
        <v>5</v>
      </c>
      <c r="D961">
        <v>6</v>
      </c>
      <c r="E961" t="s">
        <v>950</v>
      </c>
    </row>
    <row r="962" spans="1:5">
      <c r="A962">
        <f>HYPERLINK("http://www.twitter.com/NYCHA/status/768805596497838080", "768805596497838080")</f>
        <v>0</v>
      </c>
      <c r="B962" s="2">
        <v>42607.5707407407</v>
      </c>
      <c r="C962">
        <v>0</v>
      </c>
      <c r="D962">
        <v>2</v>
      </c>
      <c r="E962" t="s">
        <v>951</v>
      </c>
    </row>
    <row r="963" spans="1:5">
      <c r="A963">
        <f>HYPERLINK("http://www.twitter.com/NYCHA/status/768796545655463937", "768796545655463937")</f>
        <v>0</v>
      </c>
      <c r="B963" s="2">
        <v>42607.5457638889</v>
      </c>
      <c r="C963">
        <v>0</v>
      </c>
      <c r="D963">
        <v>1</v>
      </c>
      <c r="E963" t="s">
        <v>952</v>
      </c>
    </row>
    <row r="964" spans="1:5">
      <c r="A964">
        <f>HYPERLINK("http://www.twitter.com/NYCHA/status/768795852454363138", "768795852454363138")</f>
        <v>0</v>
      </c>
      <c r="B964" s="2">
        <v>42607.5438541667</v>
      </c>
      <c r="C964">
        <v>0</v>
      </c>
      <c r="D964">
        <v>0</v>
      </c>
      <c r="E964" t="s">
        <v>953</v>
      </c>
    </row>
    <row r="965" spans="1:5">
      <c r="A965">
        <f>HYPERLINK("http://www.twitter.com/NYCHA/status/768508884990427137", "768508884990427137")</f>
        <v>0</v>
      </c>
      <c r="B965" s="2">
        <v>42606.7519791667</v>
      </c>
      <c r="C965">
        <v>0</v>
      </c>
      <c r="D965">
        <v>0</v>
      </c>
      <c r="E965" t="s">
        <v>954</v>
      </c>
    </row>
    <row r="966" spans="1:5">
      <c r="A966">
        <f>HYPERLINK("http://www.twitter.com/NYCHA/status/768505663899262976", "768505663899262976")</f>
        <v>0</v>
      </c>
      <c r="B966" s="2">
        <v>42606.7430902778</v>
      </c>
      <c r="C966">
        <v>1</v>
      </c>
      <c r="D966">
        <v>0</v>
      </c>
      <c r="E966" t="s">
        <v>955</v>
      </c>
    </row>
    <row r="967" spans="1:5">
      <c r="A967">
        <f>HYPERLINK("http://www.twitter.com/NYCHA/status/768487766598512640", "768487766598512640")</f>
        <v>0</v>
      </c>
      <c r="B967" s="2">
        <v>42606.6937037037</v>
      </c>
      <c r="C967">
        <v>0</v>
      </c>
      <c r="D967">
        <v>0</v>
      </c>
      <c r="E967" t="s">
        <v>956</v>
      </c>
    </row>
    <row r="968" spans="1:5">
      <c r="A968">
        <f>HYPERLINK("http://www.twitter.com/NYCHA/status/768457089949786112", "768457089949786112")</f>
        <v>0</v>
      </c>
      <c r="B968" s="2">
        <v>42606.6090509259</v>
      </c>
      <c r="C968">
        <v>0</v>
      </c>
      <c r="D968">
        <v>4</v>
      </c>
      <c r="E968" t="s">
        <v>957</v>
      </c>
    </row>
    <row r="969" spans="1:5">
      <c r="A969">
        <f>HYPERLINK("http://www.twitter.com/NYCHA/status/768448251854979072", "768448251854979072")</f>
        <v>0</v>
      </c>
      <c r="B969" s="2">
        <v>42606.5846527778</v>
      </c>
      <c r="C969">
        <v>0</v>
      </c>
      <c r="D969">
        <v>2</v>
      </c>
      <c r="E969" t="s">
        <v>958</v>
      </c>
    </row>
    <row r="970" spans="1:5">
      <c r="A970">
        <f>HYPERLINK("http://www.twitter.com/NYCHA/status/768434129138491393", "768434129138491393")</f>
        <v>0</v>
      </c>
      <c r="B970" s="2">
        <v>42606.5456828704</v>
      </c>
      <c r="C970">
        <v>1</v>
      </c>
      <c r="D970">
        <v>1</v>
      </c>
      <c r="E970" t="s">
        <v>959</v>
      </c>
    </row>
    <row r="971" spans="1:5">
      <c r="A971">
        <f>HYPERLINK("http://www.twitter.com/NYCHA/status/768433512580050944", "768433512580050944")</f>
        <v>0</v>
      </c>
      <c r="B971" s="2">
        <v>42606.5439814815</v>
      </c>
      <c r="C971">
        <v>2</v>
      </c>
      <c r="D971">
        <v>2</v>
      </c>
      <c r="E971" t="s">
        <v>960</v>
      </c>
    </row>
    <row r="972" spans="1:5">
      <c r="A972">
        <f>HYPERLINK("http://www.twitter.com/NYCHA/status/768134684714921984", "768134684714921984")</f>
        <v>0</v>
      </c>
      <c r="B972" s="2">
        <v>42605.719375</v>
      </c>
      <c r="C972">
        <v>2</v>
      </c>
      <c r="D972">
        <v>0</v>
      </c>
      <c r="E972" t="s">
        <v>961</v>
      </c>
    </row>
    <row r="973" spans="1:5">
      <c r="A973">
        <f>HYPERLINK("http://www.twitter.com/NYCHA/status/768095135288680450", "768095135288680450")</f>
        <v>0</v>
      </c>
      <c r="B973" s="2">
        <v>42605.6102430556</v>
      </c>
      <c r="C973">
        <v>0</v>
      </c>
      <c r="D973">
        <v>0</v>
      </c>
      <c r="E973" t="s">
        <v>962</v>
      </c>
    </row>
    <row r="974" spans="1:5">
      <c r="A974">
        <f>HYPERLINK("http://www.twitter.com/NYCHA/status/768085810419798016", "768085810419798016")</f>
        <v>0</v>
      </c>
      <c r="B974" s="2">
        <v>42605.5845138889</v>
      </c>
      <c r="C974">
        <v>2</v>
      </c>
      <c r="D974">
        <v>1</v>
      </c>
      <c r="E974" t="s">
        <v>963</v>
      </c>
    </row>
    <row r="975" spans="1:5">
      <c r="A975">
        <f>HYPERLINK("http://www.twitter.com/NYCHA/status/768071747300188160", "768071747300188160")</f>
        <v>0</v>
      </c>
      <c r="B975" s="2">
        <v>42605.5457060185</v>
      </c>
      <c r="C975">
        <v>1</v>
      </c>
      <c r="D975">
        <v>0</v>
      </c>
      <c r="E975" t="s">
        <v>964</v>
      </c>
    </row>
    <row r="976" spans="1:5">
      <c r="A976">
        <f>HYPERLINK("http://www.twitter.com/NYCHA/status/768071077809512448", "768071077809512448")</f>
        <v>0</v>
      </c>
      <c r="B976" s="2">
        <v>42605.5438541667</v>
      </c>
      <c r="C976">
        <v>0</v>
      </c>
      <c r="D976">
        <v>2</v>
      </c>
      <c r="E976" t="s">
        <v>965</v>
      </c>
    </row>
    <row r="977" spans="1:5">
      <c r="A977">
        <f>HYPERLINK("http://www.twitter.com/NYCHA/status/767820357327880192", "767820357327880192")</f>
        <v>0</v>
      </c>
      <c r="B977" s="2">
        <v>42604.8520023148</v>
      </c>
      <c r="C977">
        <v>0</v>
      </c>
      <c r="D977">
        <v>8</v>
      </c>
      <c r="E977" t="s">
        <v>966</v>
      </c>
    </row>
    <row r="978" spans="1:5">
      <c r="A978">
        <f>HYPERLINK("http://www.twitter.com/NYCHA/status/767814062449299456", "767814062449299456")</f>
        <v>0</v>
      </c>
      <c r="B978" s="2">
        <v>42604.8346296296</v>
      </c>
      <c r="C978">
        <v>2</v>
      </c>
      <c r="D978">
        <v>1</v>
      </c>
      <c r="E978" t="s">
        <v>967</v>
      </c>
    </row>
    <row r="979" spans="1:5">
      <c r="A979">
        <f>HYPERLINK("http://www.twitter.com/NYCHA/status/767783949783408644", "767783949783408644")</f>
        <v>0</v>
      </c>
      <c r="B979" s="2">
        <v>42604.7515393519</v>
      </c>
      <c r="C979">
        <v>0</v>
      </c>
      <c r="D979">
        <v>2</v>
      </c>
      <c r="E979" t="s">
        <v>968</v>
      </c>
    </row>
    <row r="980" spans="1:5">
      <c r="A980">
        <f>HYPERLINK("http://www.twitter.com/NYCHA/status/767777392106606592", "767777392106606592")</f>
        <v>0</v>
      </c>
      <c r="B980" s="2">
        <v>42604.7334375</v>
      </c>
      <c r="C980">
        <v>0</v>
      </c>
      <c r="D980">
        <v>5</v>
      </c>
      <c r="E980" t="s">
        <v>969</v>
      </c>
    </row>
    <row r="981" spans="1:5">
      <c r="A981">
        <f>HYPERLINK("http://www.twitter.com/NYCHA/status/767773218929274880", "767773218929274880")</f>
        <v>0</v>
      </c>
      <c r="B981" s="2">
        <v>42604.7219212963</v>
      </c>
      <c r="C981">
        <v>0</v>
      </c>
      <c r="D981">
        <v>6</v>
      </c>
      <c r="E981" t="s">
        <v>970</v>
      </c>
    </row>
    <row r="982" spans="1:5">
      <c r="A982">
        <f>HYPERLINK("http://www.twitter.com/NYCHA/status/767762625627389952", "767762625627389952")</f>
        <v>0</v>
      </c>
      <c r="B982" s="2">
        <v>42604.6926851852</v>
      </c>
      <c r="C982">
        <v>0</v>
      </c>
      <c r="D982">
        <v>1</v>
      </c>
      <c r="E982" t="s">
        <v>971</v>
      </c>
    </row>
    <row r="983" spans="1:5">
      <c r="A983">
        <f>HYPERLINK("http://www.twitter.com/NYCHA/status/767757866900086784", "767757866900086784")</f>
        <v>0</v>
      </c>
      <c r="B983" s="2">
        <v>42604.6795601852</v>
      </c>
      <c r="C983">
        <v>0</v>
      </c>
      <c r="D983">
        <v>4</v>
      </c>
      <c r="E983" t="s">
        <v>972</v>
      </c>
    </row>
    <row r="984" spans="1:5">
      <c r="A984">
        <f>HYPERLINK("http://www.twitter.com/NYCHA/status/767757774675701760", "767757774675701760")</f>
        <v>0</v>
      </c>
      <c r="B984" s="2">
        <v>42604.6793055556</v>
      </c>
      <c r="C984">
        <v>0</v>
      </c>
      <c r="D984">
        <v>12</v>
      </c>
      <c r="E984" t="s">
        <v>973</v>
      </c>
    </row>
    <row r="985" spans="1:5">
      <c r="A985">
        <f>HYPERLINK("http://www.twitter.com/NYCHA/status/767753832684191744", "767753832684191744")</f>
        <v>0</v>
      </c>
      <c r="B985" s="2">
        <v>42604.6684259259</v>
      </c>
      <c r="C985">
        <v>1</v>
      </c>
      <c r="D985">
        <v>1</v>
      </c>
      <c r="E985" t="s">
        <v>974</v>
      </c>
    </row>
    <row r="986" spans="1:5">
      <c r="A986">
        <f>HYPERLINK("http://www.twitter.com/NYCHA/status/767751291921719296", "767751291921719296")</f>
        <v>0</v>
      </c>
      <c r="B986" s="2">
        <v>42604.661412037</v>
      </c>
      <c r="C986">
        <v>0</v>
      </c>
      <c r="D986">
        <v>3</v>
      </c>
      <c r="E986" t="s">
        <v>975</v>
      </c>
    </row>
    <row r="987" spans="1:5">
      <c r="A987">
        <f>HYPERLINK("http://www.twitter.com/NYCHA/status/767751280265658368", "767751280265658368")</f>
        <v>0</v>
      </c>
      <c r="B987" s="2">
        <v>42604.6613888889</v>
      </c>
      <c r="C987">
        <v>0</v>
      </c>
      <c r="D987">
        <v>3</v>
      </c>
      <c r="E987" t="s">
        <v>976</v>
      </c>
    </row>
    <row r="988" spans="1:5">
      <c r="A988">
        <f>HYPERLINK("http://www.twitter.com/NYCHA/status/767751156370137088", "767751156370137088")</f>
        <v>0</v>
      </c>
      <c r="B988" s="2">
        <v>42604.6610416667</v>
      </c>
      <c r="C988">
        <v>0</v>
      </c>
      <c r="D988">
        <v>10</v>
      </c>
      <c r="E988" t="s">
        <v>977</v>
      </c>
    </row>
    <row r="989" spans="1:5">
      <c r="A989">
        <f>HYPERLINK("http://www.twitter.com/NYCHA/status/767736580882784256", "767736580882784256")</f>
        <v>0</v>
      </c>
      <c r="B989" s="2">
        <v>42604.6208217593</v>
      </c>
      <c r="C989">
        <v>0</v>
      </c>
      <c r="D989">
        <v>6</v>
      </c>
      <c r="E989" t="s">
        <v>978</v>
      </c>
    </row>
    <row r="990" spans="1:5">
      <c r="A990">
        <f>HYPERLINK("http://www.twitter.com/NYCHA/status/767729465216598016", "767729465216598016")</f>
        <v>0</v>
      </c>
      <c r="B990" s="2">
        <v>42604.6011805556</v>
      </c>
      <c r="C990">
        <v>0</v>
      </c>
      <c r="D990">
        <v>4</v>
      </c>
      <c r="E990" t="s">
        <v>979</v>
      </c>
    </row>
    <row r="991" spans="1:5">
      <c r="A991">
        <f>HYPERLINK("http://www.twitter.com/NYCHA/status/767720976222224384", "767720976222224384")</f>
        <v>0</v>
      </c>
      <c r="B991" s="2">
        <v>42604.5777546296</v>
      </c>
      <c r="C991">
        <v>0</v>
      </c>
      <c r="D991">
        <v>10</v>
      </c>
      <c r="E991" t="s">
        <v>980</v>
      </c>
    </row>
    <row r="992" spans="1:5">
      <c r="A992">
        <f>HYPERLINK("http://www.twitter.com/NYCHA/status/767720951668760576", "767720951668760576")</f>
        <v>0</v>
      </c>
      <c r="B992" s="2">
        <v>42604.5776967593</v>
      </c>
      <c r="C992">
        <v>0</v>
      </c>
      <c r="D992">
        <v>6</v>
      </c>
      <c r="E992" t="s">
        <v>981</v>
      </c>
    </row>
    <row r="993" spans="1:5">
      <c r="A993">
        <f>HYPERLINK("http://www.twitter.com/NYCHA/status/767720936875458561", "767720936875458561")</f>
        <v>0</v>
      </c>
      <c r="B993" s="2">
        <v>42604.577650463</v>
      </c>
      <c r="C993">
        <v>0</v>
      </c>
      <c r="D993">
        <v>4</v>
      </c>
      <c r="E993" t="s">
        <v>982</v>
      </c>
    </row>
    <row r="994" spans="1:5">
      <c r="A994">
        <f>HYPERLINK("http://www.twitter.com/NYCHA/status/767720930525245440", "767720930525245440")</f>
        <v>0</v>
      </c>
      <c r="B994" s="2">
        <v>42604.5776388889</v>
      </c>
      <c r="C994">
        <v>0</v>
      </c>
      <c r="D994">
        <v>5</v>
      </c>
      <c r="E994" t="s">
        <v>983</v>
      </c>
    </row>
    <row r="995" spans="1:5">
      <c r="A995">
        <f>HYPERLINK("http://www.twitter.com/NYCHA/status/767720165916180480", "767720165916180480")</f>
        <v>0</v>
      </c>
      <c r="B995" s="2">
        <v>42604.5755208333</v>
      </c>
      <c r="C995">
        <v>0</v>
      </c>
      <c r="D995">
        <v>2</v>
      </c>
      <c r="E995" t="s">
        <v>984</v>
      </c>
    </row>
    <row r="996" spans="1:5">
      <c r="A996">
        <f>HYPERLINK("http://www.twitter.com/NYCHA/status/767720154109280257", "767720154109280257")</f>
        <v>0</v>
      </c>
      <c r="B996" s="2">
        <v>42604.5754861111</v>
      </c>
      <c r="C996">
        <v>0</v>
      </c>
      <c r="D996">
        <v>4</v>
      </c>
      <c r="E996" t="s">
        <v>985</v>
      </c>
    </row>
    <row r="997" spans="1:5">
      <c r="A997">
        <f>HYPERLINK("http://www.twitter.com/NYCHA/status/767720136790990848", "767720136790990848")</f>
        <v>0</v>
      </c>
      <c r="B997" s="2">
        <v>42604.5754398148</v>
      </c>
      <c r="C997">
        <v>0</v>
      </c>
      <c r="D997">
        <v>1</v>
      </c>
      <c r="E997" t="s">
        <v>986</v>
      </c>
    </row>
    <row r="998" spans="1:5">
      <c r="A998">
        <f>HYPERLINK("http://www.twitter.com/NYCHA/status/767720123021000704", "767720123021000704")</f>
        <v>0</v>
      </c>
      <c r="B998" s="2">
        <v>42604.5754050926</v>
      </c>
      <c r="C998">
        <v>0</v>
      </c>
      <c r="D998">
        <v>3</v>
      </c>
      <c r="E998" t="s">
        <v>987</v>
      </c>
    </row>
    <row r="999" spans="1:5">
      <c r="A999">
        <f>HYPERLINK("http://www.twitter.com/NYCHA/status/767709323950776320", "767709323950776320")</f>
        <v>0</v>
      </c>
      <c r="B999" s="2">
        <v>42604.5456018519</v>
      </c>
      <c r="C999">
        <v>0</v>
      </c>
      <c r="D999">
        <v>0</v>
      </c>
      <c r="E999" t="s">
        <v>988</v>
      </c>
    </row>
    <row r="1000" spans="1:5">
      <c r="A1000">
        <f>HYPERLINK("http://www.twitter.com/NYCHA/status/767708652434227200", "767708652434227200")</f>
        <v>0</v>
      </c>
      <c r="B1000" s="2">
        <v>42604.54375</v>
      </c>
      <c r="C1000">
        <v>1</v>
      </c>
      <c r="D1000">
        <v>0</v>
      </c>
      <c r="E1000" t="s">
        <v>989</v>
      </c>
    </row>
    <row r="1001" spans="1:5">
      <c r="A1001">
        <f>HYPERLINK("http://www.twitter.com/NYCHA/status/767436503005921280", "767436503005921280")</f>
        <v>0</v>
      </c>
      <c r="B1001" s="2">
        <v>42603.7927662037</v>
      </c>
      <c r="C1001">
        <v>1</v>
      </c>
      <c r="D1001">
        <v>3</v>
      </c>
      <c r="E1001" t="s">
        <v>990</v>
      </c>
    </row>
    <row r="1002" spans="1:5">
      <c r="A1002">
        <f>HYPERLINK("http://www.twitter.com/NYCHA/status/767376066293985281", "767376066293985281")</f>
        <v>0</v>
      </c>
      <c r="B1002" s="2">
        <v>42603.6259953704</v>
      </c>
      <c r="C1002">
        <v>2</v>
      </c>
      <c r="D1002">
        <v>0</v>
      </c>
      <c r="E1002" t="s">
        <v>991</v>
      </c>
    </row>
    <row r="1003" spans="1:5">
      <c r="A1003">
        <f>HYPERLINK("http://www.twitter.com/NYCHA/status/767330715696521217", "767330715696521217")</f>
        <v>0</v>
      </c>
      <c r="B1003" s="2">
        <v>42603.5008449074</v>
      </c>
      <c r="C1003">
        <v>0</v>
      </c>
      <c r="D1003">
        <v>0</v>
      </c>
      <c r="E1003" t="s">
        <v>992</v>
      </c>
    </row>
    <row r="1004" spans="1:5">
      <c r="A1004">
        <f>HYPERLINK("http://www.twitter.com/NYCHA/status/767074099663429640", "767074099663429640")</f>
        <v>0</v>
      </c>
      <c r="B1004" s="2">
        <v>42602.7927199074</v>
      </c>
      <c r="C1004">
        <v>5</v>
      </c>
      <c r="D1004">
        <v>1</v>
      </c>
      <c r="E1004" t="s">
        <v>993</v>
      </c>
    </row>
    <row r="1005" spans="1:5">
      <c r="A1005">
        <f>HYPERLINK("http://www.twitter.com/NYCHA/status/767013824260177920", "767013824260177920")</f>
        <v>0</v>
      </c>
      <c r="B1005" s="2">
        <v>42602.6263888889</v>
      </c>
      <c r="C1005">
        <v>4</v>
      </c>
      <c r="D1005">
        <v>3</v>
      </c>
      <c r="E1005" t="s">
        <v>994</v>
      </c>
    </row>
    <row r="1006" spans="1:5">
      <c r="A1006">
        <f>HYPERLINK("http://www.twitter.com/NYCHA/status/766968379706048512", "766968379706048512")</f>
        <v>0</v>
      </c>
      <c r="B1006" s="2">
        <v>42602.5009837963</v>
      </c>
      <c r="C1006">
        <v>1</v>
      </c>
      <c r="D1006">
        <v>0</v>
      </c>
      <c r="E1006" t="s">
        <v>995</v>
      </c>
    </row>
    <row r="1007" spans="1:5">
      <c r="A1007">
        <f>HYPERLINK("http://www.twitter.com/NYCHA/status/766749299061493761", "766749299061493761")</f>
        <v>0</v>
      </c>
      <c r="B1007" s="2">
        <v>42601.8964467593</v>
      </c>
      <c r="C1007">
        <v>5</v>
      </c>
      <c r="D1007">
        <v>1</v>
      </c>
      <c r="E1007" t="s">
        <v>996</v>
      </c>
    </row>
    <row r="1008" spans="1:5">
      <c r="A1008">
        <f>HYPERLINK("http://www.twitter.com/NYCHA/status/766711948104851456", "766711948104851456")</f>
        <v>0</v>
      </c>
      <c r="B1008" s="2">
        <v>42601.7933680556</v>
      </c>
      <c r="C1008">
        <v>4</v>
      </c>
      <c r="D1008">
        <v>1</v>
      </c>
      <c r="E1008" t="s">
        <v>997</v>
      </c>
    </row>
    <row r="1009" spans="1:5">
      <c r="A1009">
        <f>HYPERLINK("http://www.twitter.com/NYCHA/status/766708811612717056", "766708811612717056")</f>
        <v>0</v>
      </c>
      <c r="B1009" s="2">
        <v>42601.7847222222</v>
      </c>
      <c r="C1009">
        <v>4</v>
      </c>
      <c r="D1009">
        <v>2</v>
      </c>
      <c r="E1009" t="s">
        <v>998</v>
      </c>
    </row>
    <row r="1010" spans="1:5">
      <c r="A1010">
        <f>HYPERLINK("http://www.twitter.com/NYCHA/status/766705723669618688", "766705723669618688")</f>
        <v>0</v>
      </c>
      <c r="B1010" s="2">
        <v>42601.7761921296</v>
      </c>
      <c r="C1010">
        <v>0</v>
      </c>
      <c r="D1010">
        <v>5</v>
      </c>
      <c r="E1010" t="s">
        <v>999</v>
      </c>
    </row>
    <row r="1011" spans="1:5">
      <c r="A1011">
        <f>HYPERLINK("http://www.twitter.com/NYCHA/status/766682006029733888", "766682006029733888")</f>
        <v>0</v>
      </c>
      <c r="B1011" s="2">
        <v>42601.7107523148</v>
      </c>
      <c r="C1011">
        <v>2</v>
      </c>
      <c r="D1011">
        <v>2</v>
      </c>
      <c r="E1011" t="s">
        <v>1000</v>
      </c>
    </row>
    <row r="1012" spans="1:5">
      <c r="A1012">
        <f>HYPERLINK("http://www.twitter.com/NYCHA/status/766681015939108864", "766681015939108864")</f>
        <v>0</v>
      </c>
      <c r="B1012" s="2">
        <v>42601.7080208333</v>
      </c>
      <c r="C1012">
        <v>0</v>
      </c>
      <c r="D1012">
        <v>1</v>
      </c>
      <c r="E1012" t="s">
        <v>1001</v>
      </c>
    </row>
    <row r="1013" spans="1:5">
      <c r="A1013">
        <f>HYPERLINK("http://www.twitter.com/NYCHA/status/766674045878370305", "766674045878370305")</f>
        <v>0</v>
      </c>
      <c r="B1013" s="2">
        <v>42601.6887847222</v>
      </c>
      <c r="C1013">
        <v>0</v>
      </c>
      <c r="D1013">
        <v>2</v>
      </c>
      <c r="E1013" t="s">
        <v>1002</v>
      </c>
    </row>
    <row r="1014" spans="1:5">
      <c r="A1014">
        <f>HYPERLINK("http://www.twitter.com/NYCHA/status/766673998503632900", "766673998503632900")</f>
        <v>0</v>
      </c>
      <c r="B1014" s="2">
        <v>42601.6886574074</v>
      </c>
      <c r="C1014">
        <v>0</v>
      </c>
      <c r="D1014">
        <v>4</v>
      </c>
      <c r="E1014" t="s">
        <v>1003</v>
      </c>
    </row>
    <row r="1015" spans="1:5">
      <c r="A1015">
        <f>HYPERLINK("http://www.twitter.com/NYCHA/status/766673805662162944", "766673805662162944")</f>
        <v>0</v>
      </c>
      <c r="B1015" s="2">
        <v>42601.688125</v>
      </c>
      <c r="C1015">
        <v>2</v>
      </c>
      <c r="D1015">
        <v>3</v>
      </c>
      <c r="E1015" t="s">
        <v>1004</v>
      </c>
    </row>
    <row r="1016" spans="1:5">
      <c r="A1016">
        <f>HYPERLINK("http://www.twitter.com/NYCHA/status/766654161605779456", "766654161605779456")</f>
        <v>0</v>
      </c>
      <c r="B1016" s="2">
        <v>42601.633912037</v>
      </c>
      <c r="C1016">
        <v>5</v>
      </c>
      <c r="D1016">
        <v>7</v>
      </c>
      <c r="E1016" t="s">
        <v>1005</v>
      </c>
    </row>
    <row r="1017" spans="1:5">
      <c r="A1017">
        <f>HYPERLINK("http://www.twitter.com/NYCHA/status/766651382363480065", "766651382363480065")</f>
        <v>0</v>
      </c>
      <c r="B1017" s="2">
        <v>42601.6262384259</v>
      </c>
      <c r="C1017">
        <v>3</v>
      </c>
      <c r="D1017">
        <v>1</v>
      </c>
      <c r="E1017" t="s">
        <v>1006</v>
      </c>
    </row>
    <row r="1018" spans="1:5">
      <c r="A1018">
        <f>HYPERLINK("http://www.twitter.com/NYCHA/status/766649002964189184", "766649002964189184")</f>
        <v>0</v>
      </c>
      <c r="B1018" s="2">
        <v>42601.6196759259</v>
      </c>
      <c r="C1018">
        <v>1</v>
      </c>
      <c r="D1018">
        <v>1</v>
      </c>
      <c r="E1018" t="s">
        <v>1007</v>
      </c>
    </row>
    <row r="1019" spans="1:5">
      <c r="A1019">
        <f>HYPERLINK("http://www.twitter.com/NYCHA/status/766639585132765184", "766639585132765184")</f>
        <v>0</v>
      </c>
      <c r="B1019" s="2">
        <v>42601.5936921296</v>
      </c>
      <c r="C1019">
        <v>0</v>
      </c>
      <c r="D1019">
        <v>0</v>
      </c>
      <c r="E1019" t="s">
        <v>1008</v>
      </c>
    </row>
    <row r="1020" spans="1:5">
      <c r="A1020">
        <f>HYPERLINK("http://www.twitter.com/NYCHA/status/766638810486702081", "766638810486702081")</f>
        <v>0</v>
      </c>
      <c r="B1020" s="2">
        <v>42601.5915509259</v>
      </c>
      <c r="C1020">
        <v>0</v>
      </c>
      <c r="D1020">
        <v>0</v>
      </c>
      <c r="E1020" t="s">
        <v>1009</v>
      </c>
    </row>
    <row r="1021" spans="1:5">
      <c r="A1021">
        <f>HYPERLINK("http://www.twitter.com/NYCHA/status/766637710610235392", "766637710610235392")</f>
        <v>0</v>
      </c>
      <c r="B1021" s="2">
        <v>42601.5885185185</v>
      </c>
      <c r="C1021">
        <v>0</v>
      </c>
      <c r="D1021">
        <v>6</v>
      </c>
      <c r="E1021" t="s">
        <v>1010</v>
      </c>
    </row>
    <row r="1022" spans="1:5">
      <c r="A1022">
        <f>HYPERLINK("http://www.twitter.com/NYCHA/status/766637698685730817", "766637698685730817")</f>
        <v>0</v>
      </c>
      <c r="B1022" s="2">
        <v>42601.5884837963</v>
      </c>
      <c r="C1022">
        <v>0</v>
      </c>
      <c r="D1022">
        <v>2</v>
      </c>
      <c r="E1022" t="s">
        <v>1011</v>
      </c>
    </row>
    <row r="1023" spans="1:5">
      <c r="A1023">
        <f>HYPERLINK("http://www.twitter.com/NYCHA/status/766622171477204992", "766622171477204992")</f>
        <v>0</v>
      </c>
      <c r="B1023" s="2">
        <v>42601.5456365741</v>
      </c>
      <c r="C1023">
        <v>2</v>
      </c>
      <c r="D1023">
        <v>0</v>
      </c>
      <c r="E1023" t="s">
        <v>1012</v>
      </c>
    </row>
    <row r="1024" spans="1:5">
      <c r="A1024">
        <f>HYPERLINK("http://www.twitter.com/NYCHA/status/766621510094229504", "766621510094229504")</f>
        <v>0</v>
      </c>
      <c r="B1024" s="2">
        <v>42601.5438078704</v>
      </c>
      <c r="C1024">
        <v>1</v>
      </c>
      <c r="D1024">
        <v>1</v>
      </c>
      <c r="E1024" t="s">
        <v>1013</v>
      </c>
    </row>
    <row r="1025" spans="1:5">
      <c r="A1025">
        <f>HYPERLINK("http://www.twitter.com/NYCHA/status/766386878320939008", "766386878320939008")</f>
        <v>0</v>
      </c>
      <c r="B1025" s="2">
        <v>42600.8963541667</v>
      </c>
      <c r="C1025">
        <v>1</v>
      </c>
      <c r="D1025">
        <v>1</v>
      </c>
      <c r="E1025" t="s">
        <v>1014</v>
      </c>
    </row>
    <row r="1026" spans="1:5">
      <c r="A1026">
        <f>HYPERLINK("http://www.twitter.com/NYCHA/status/766386647583879168", "766386647583879168")</f>
        <v>0</v>
      </c>
      <c r="B1026" s="2">
        <v>42600.8957175926</v>
      </c>
      <c r="C1026">
        <v>0</v>
      </c>
      <c r="D1026">
        <v>20</v>
      </c>
      <c r="E1026" t="s">
        <v>1015</v>
      </c>
    </row>
    <row r="1027" spans="1:5">
      <c r="A1027">
        <f>HYPERLINK("http://www.twitter.com/NYCHA/status/766374831310802944", "766374831310802944")</f>
        <v>0</v>
      </c>
      <c r="B1027" s="2">
        <v>42600.8631018518</v>
      </c>
      <c r="C1027">
        <v>0</v>
      </c>
      <c r="D1027">
        <v>1</v>
      </c>
      <c r="E1027" t="s">
        <v>1016</v>
      </c>
    </row>
    <row r="1028" spans="1:5">
      <c r="A1028">
        <f>HYPERLINK("http://www.twitter.com/NYCHA/status/766360409242738688", "766360409242738688")</f>
        <v>0</v>
      </c>
      <c r="B1028" s="2">
        <v>42600.8233101852</v>
      </c>
      <c r="C1028">
        <v>0</v>
      </c>
      <c r="D1028">
        <v>9</v>
      </c>
      <c r="E1028" t="s">
        <v>1017</v>
      </c>
    </row>
    <row r="1029" spans="1:5">
      <c r="A1029">
        <f>HYPERLINK("http://www.twitter.com/NYCHA/status/766334054832766977", "766334054832766977")</f>
        <v>0</v>
      </c>
      <c r="B1029" s="2">
        <v>42600.7505902778</v>
      </c>
      <c r="C1029">
        <v>3</v>
      </c>
      <c r="D1029">
        <v>2</v>
      </c>
      <c r="E1029" t="s">
        <v>1018</v>
      </c>
    </row>
    <row r="1030" spans="1:5">
      <c r="A1030">
        <f>HYPERLINK("http://www.twitter.com/NYCHA/status/766322928304680960", "766322928304680960")</f>
        <v>0</v>
      </c>
      <c r="B1030" s="2">
        <v>42600.7198842593</v>
      </c>
      <c r="C1030">
        <v>0</v>
      </c>
      <c r="D1030">
        <v>5</v>
      </c>
      <c r="E1030" t="s">
        <v>1019</v>
      </c>
    </row>
    <row r="1031" spans="1:5">
      <c r="A1031">
        <f>HYPERLINK("http://www.twitter.com/NYCHA/status/766298710066204672", "766298710066204672")</f>
        <v>0</v>
      </c>
      <c r="B1031" s="2">
        <v>42600.6530555556</v>
      </c>
      <c r="C1031">
        <v>0</v>
      </c>
      <c r="D1031">
        <v>4</v>
      </c>
      <c r="E1031" t="s">
        <v>1020</v>
      </c>
    </row>
    <row r="1032" spans="1:5">
      <c r="A1032">
        <f>HYPERLINK("http://www.twitter.com/NYCHA/status/766288693678178304", "766288693678178304")</f>
        <v>0</v>
      </c>
      <c r="B1032" s="2">
        <v>42600.6254166667</v>
      </c>
      <c r="C1032">
        <v>4</v>
      </c>
      <c r="D1032">
        <v>2</v>
      </c>
      <c r="E1032" t="s">
        <v>1021</v>
      </c>
    </row>
    <row r="1033" spans="1:5">
      <c r="A1033">
        <f>HYPERLINK("http://www.twitter.com/NYCHA/status/766286527500615680", "766286527500615680")</f>
        <v>0</v>
      </c>
      <c r="B1033" s="2">
        <v>42600.6194328704</v>
      </c>
      <c r="C1033">
        <v>0</v>
      </c>
      <c r="D1033">
        <v>5</v>
      </c>
      <c r="E1033" t="s">
        <v>623</v>
      </c>
    </row>
    <row r="1034" spans="1:5">
      <c r="A1034">
        <f>HYPERLINK("http://www.twitter.com/NYCHA/status/766274867067052037", "766274867067052037")</f>
        <v>0</v>
      </c>
      <c r="B1034" s="2">
        <v>42600.5872569444</v>
      </c>
      <c r="C1034">
        <v>0</v>
      </c>
      <c r="D1034">
        <v>1</v>
      </c>
      <c r="E1034" t="s">
        <v>1022</v>
      </c>
    </row>
    <row r="1035" spans="1:5">
      <c r="A1035">
        <f>HYPERLINK("http://www.twitter.com/NYCHA/status/766259769850130432", "766259769850130432")</f>
        <v>0</v>
      </c>
      <c r="B1035" s="2">
        <v>42600.5456018519</v>
      </c>
      <c r="C1035">
        <v>8</v>
      </c>
      <c r="D1035">
        <v>2</v>
      </c>
      <c r="E1035" t="s">
        <v>1023</v>
      </c>
    </row>
    <row r="1036" spans="1:5">
      <c r="A1036">
        <f>HYPERLINK("http://www.twitter.com/NYCHA/status/766024388521103360", "766024388521103360")</f>
        <v>0</v>
      </c>
      <c r="B1036" s="2">
        <v>42599.8960648148</v>
      </c>
      <c r="C1036">
        <v>2</v>
      </c>
      <c r="D1036">
        <v>0</v>
      </c>
      <c r="E1036" t="s">
        <v>1024</v>
      </c>
    </row>
    <row r="1037" spans="1:5">
      <c r="A1037">
        <f>HYPERLINK("http://www.twitter.com/NYCHA/status/766015914793897984", "766015914793897984")</f>
        <v>0</v>
      </c>
      <c r="B1037" s="2">
        <v>42599.8726851852</v>
      </c>
      <c r="C1037">
        <v>0</v>
      </c>
      <c r="D1037">
        <v>4</v>
      </c>
      <c r="E1037" t="s">
        <v>1025</v>
      </c>
    </row>
    <row r="1038" spans="1:5">
      <c r="A1038">
        <f>HYPERLINK("http://www.twitter.com/NYCHA/status/766009440600481793", "766009440600481793")</f>
        <v>0</v>
      </c>
      <c r="B1038" s="2">
        <v>42599.8548263889</v>
      </c>
      <c r="C1038">
        <v>0</v>
      </c>
      <c r="D1038">
        <v>2</v>
      </c>
      <c r="E1038" t="s">
        <v>1026</v>
      </c>
    </row>
    <row r="1039" spans="1:5">
      <c r="A1039">
        <f>HYPERLINK("http://www.twitter.com/NYCHA/status/766009435177254913", "766009435177254913")</f>
        <v>0</v>
      </c>
      <c r="B1039" s="2">
        <v>42599.8548032407</v>
      </c>
      <c r="C1039">
        <v>0</v>
      </c>
      <c r="D1039">
        <v>5</v>
      </c>
      <c r="E1039" t="s">
        <v>1027</v>
      </c>
    </row>
    <row r="1040" spans="1:5">
      <c r="A1040">
        <f>HYPERLINK("http://www.twitter.com/NYCHA/status/765992565665587200", "765992565665587200")</f>
        <v>0</v>
      </c>
      <c r="B1040" s="2">
        <v>42599.8082523148</v>
      </c>
      <c r="C1040">
        <v>5</v>
      </c>
      <c r="D1040">
        <v>3</v>
      </c>
      <c r="E1040" t="s">
        <v>1028</v>
      </c>
    </row>
    <row r="1041" spans="1:5">
      <c r="A1041">
        <f>HYPERLINK("http://www.twitter.com/NYCHA/status/765972040675430401", "765972040675430401")</f>
        <v>0</v>
      </c>
      <c r="B1041" s="2">
        <v>42599.7516203704</v>
      </c>
      <c r="C1041">
        <v>1</v>
      </c>
      <c r="D1041">
        <v>1</v>
      </c>
      <c r="E1041" t="s">
        <v>1029</v>
      </c>
    </row>
    <row r="1042" spans="1:5">
      <c r="A1042">
        <f>HYPERLINK("http://www.twitter.com/NYCHA/status/765930896956461056", "765930896956461056")</f>
        <v>0</v>
      </c>
      <c r="B1042" s="2">
        <v>42599.6380787037</v>
      </c>
      <c r="C1042">
        <v>0</v>
      </c>
      <c r="D1042">
        <v>1</v>
      </c>
      <c r="E1042" t="s">
        <v>1030</v>
      </c>
    </row>
    <row r="1043" spans="1:5">
      <c r="A1043">
        <f>HYPERLINK("http://www.twitter.com/NYCHA/status/765918895215640576", "765918895215640576")</f>
        <v>0</v>
      </c>
      <c r="B1043" s="2">
        <v>42599.6049652778</v>
      </c>
      <c r="C1043">
        <v>0</v>
      </c>
      <c r="D1043">
        <v>3</v>
      </c>
      <c r="E1043" t="s">
        <v>1031</v>
      </c>
    </row>
    <row r="1044" spans="1:5">
      <c r="A1044">
        <f>HYPERLINK("http://www.twitter.com/NYCHA/status/765897415698354176", "765897415698354176")</f>
        <v>0</v>
      </c>
      <c r="B1044" s="2">
        <v>42599.5456944444</v>
      </c>
      <c r="C1044">
        <v>1</v>
      </c>
      <c r="D1044">
        <v>0</v>
      </c>
      <c r="E1044" t="s">
        <v>1032</v>
      </c>
    </row>
    <row r="1045" spans="1:5">
      <c r="A1045">
        <f>HYPERLINK("http://www.twitter.com/NYCHA/status/765896666897670145", "765896666897670145")</f>
        <v>0</v>
      </c>
      <c r="B1045" s="2">
        <v>42599.5436226852</v>
      </c>
      <c r="C1045">
        <v>2</v>
      </c>
      <c r="D1045">
        <v>0</v>
      </c>
      <c r="E1045" t="s">
        <v>1033</v>
      </c>
    </row>
    <row r="1046" spans="1:5">
      <c r="A1046">
        <f>HYPERLINK("http://www.twitter.com/NYCHA/status/765894792643502080", "765894792643502080")</f>
        <v>0</v>
      </c>
      <c r="B1046" s="2">
        <v>42599.5384490741</v>
      </c>
      <c r="C1046">
        <v>0</v>
      </c>
      <c r="D1046">
        <v>0</v>
      </c>
      <c r="E1046" t="s">
        <v>1034</v>
      </c>
    </row>
    <row r="1047" spans="1:5">
      <c r="A1047">
        <f>HYPERLINK("http://www.twitter.com/NYCHA/status/765656825278627841", "765656825278627841")</f>
        <v>0</v>
      </c>
      <c r="B1047" s="2">
        <v>42598.8817939815</v>
      </c>
      <c r="C1047">
        <v>1</v>
      </c>
      <c r="D1047">
        <v>0</v>
      </c>
      <c r="E1047" t="s">
        <v>1035</v>
      </c>
    </row>
    <row r="1048" spans="1:5">
      <c r="A1048">
        <f>HYPERLINK("http://www.twitter.com/NYCHA/status/765641587175133185", "765641587175133185")</f>
        <v>0</v>
      </c>
      <c r="B1048" s="2">
        <v>42598.8397337963</v>
      </c>
      <c r="C1048">
        <v>0</v>
      </c>
      <c r="D1048">
        <v>0</v>
      </c>
      <c r="E1048" t="s">
        <v>1036</v>
      </c>
    </row>
    <row r="1049" spans="1:5">
      <c r="A1049">
        <f>HYPERLINK("http://www.twitter.com/NYCHA/status/765639510743015424", "765639510743015424")</f>
        <v>0</v>
      </c>
      <c r="B1049" s="2">
        <v>42598.8340046296</v>
      </c>
      <c r="C1049">
        <v>2</v>
      </c>
      <c r="D1049">
        <v>0</v>
      </c>
      <c r="E1049" t="s">
        <v>992</v>
      </c>
    </row>
    <row r="1050" spans="1:5">
      <c r="A1050">
        <f>HYPERLINK("http://www.twitter.com/NYCHA/status/765611715270762497", "765611715270762497")</f>
        <v>0</v>
      </c>
      <c r="B1050" s="2">
        <v>42598.7573032407</v>
      </c>
      <c r="C1050">
        <v>0</v>
      </c>
      <c r="D1050">
        <v>0</v>
      </c>
      <c r="E1050" t="s">
        <v>156</v>
      </c>
    </row>
    <row r="1051" spans="1:5">
      <c r="A1051">
        <f>HYPERLINK("http://www.twitter.com/NYCHA/status/765579980571045888", "765579980571045888")</f>
        <v>0</v>
      </c>
      <c r="B1051" s="2">
        <v>42598.6697337963</v>
      </c>
      <c r="C1051">
        <v>0</v>
      </c>
      <c r="D1051">
        <v>2</v>
      </c>
      <c r="E1051" t="s">
        <v>1037</v>
      </c>
    </row>
    <row r="1052" spans="1:5">
      <c r="A1052">
        <f>HYPERLINK("http://www.twitter.com/NYCHA/status/765566260545486848", "765566260545486848")</f>
        <v>0</v>
      </c>
      <c r="B1052" s="2">
        <v>42598.631875</v>
      </c>
      <c r="C1052">
        <v>0</v>
      </c>
      <c r="D1052">
        <v>1</v>
      </c>
      <c r="E1052" t="s">
        <v>995</v>
      </c>
    </row>
    <row r="1053" spans="1:5">
      <c r="A1053">
        <f>HYPERLINK("http://www.twitter.com/NYCHA/status/765541068536512513", "765541068536512513")</f>
        <v>0</v>
      </c>
      <c r="B1053" s="2">
        <v>42598.5623611111</v>
      </c>
      <c r="C1053">
        <v>0</v>
      </c>
      <c r="D1053">
        <v>0</v>
      </c>
      <c r="E1053" t="s">
        <v>1038</v>
      </c>
    </row>
    <row r="1054" spans="1:5">
      <c r="A1054">
        <f>HYPERLINK("http://www.twitter.com/NYCHA/status/765535022585610240", "765535022585610240")</f>
        <v>0</v>
      </c>
      <c r="B1054" s="2">
        <v>42598.5456712963</v>
      </c>
      <c r="C1054">
        <v>0</v>
      </c>
      <c r="D1054">
        <v>1</v>
      </c>
      <c r="E1054" t="s">
        <v>1039</v>
      </c>
    </row>
    <row r="1055" spans="1:5">
      <c r="A1055">
        <f>HYPERLINK("http://www.twitter.com/NYCHA/status/765534252289167364", "765534252289167364")</f>
        <v>0</v>
      </c>
      <c r="B1055" s="2">
        <v>42598.5435532407</v>
      </c>
      <c r="C1055">
        <v>5</v>
      </c>
      <c r="D1055">
        <v>1</v>
      </c>
      <c r="E1055" t="s">
        <v>1040</v>
      </c>
    </row>
    <row r="1056" spans="1:5">
      <c r="A1056">
        <f>HYPERLINK("http://www.twitter.com/NYCHA/status/765293604948566019", "765293604948566019")</f>
        <v>0</v>
      </c>
      <c r="B1056" s="2">
        <v>42597.8794907407</v>
      </c>
      <c r="C1056">
        <v>0</v>
      </c>
      <c r="D1056">
        <v>4</v>
      </c>
      <c r="E1056" t="s">
        <v>1041</v>
      </c>
    </row>
    <row r="1057" spans="1:5">
      <c r="A1057">
        <f>HYPERLINK("http://www.twitter.com/NYCHA/status/765275864087101440", "765275864087101440")</f>
        <v>0</v>
      </c>
      <c r="B1057" s="2">
        <v>42597.8305324074</v>
      </c>
      <c r="C1057">
        <v>0</v>
      </c>
      <c r="D1057">
        <v>1</v>
      </c>
      <c r="E1057" t="s">
        <v>1042</v>
      </c>
    </row>
    <row r="1058" spans="1:5">
      <c r="A1058">
        <f>HYPERLINK("http://www.twitter.com/NYCHA/status/765262326157180932", "765262326157180932")</f>
        <v>0</v>
      </c>
      <c r="B1058" s="2">
        <v>42597.7931828704</v>
      </c>
      <c r="C1058">
        <v>1</v>
      </c>
      <c r="D1058">
        <v>1</v>
      </c>
      <c r="E1058" t="s">
        <v>1043</v>
      </c>
    </row>
    <row r="1059" spans="1:5">
      <c r="A1059">
        <f>HYPERLINK("http://www.twitter.com/NYCHA/status/765247188008140800", "765247188008140800")</f>
        <v>0</v>
      </c>
      <c r="B1059" s="2">
        <v>42597.751400463</v>
      </c>
      <c r="C1059">
        <v>0</v>
      </c>
      <c r="D1059">
        <v>1</v>
      </c>
      <c r="E1059" t="s">
        <v>1044</v>
      </c>
    </row>
    <row r="1060" spans="1:5">
      <c r="A1060">
        <f>HYPERLINK("http://www.twitter.com/NYCHA/status/765212171957628928", "765212171957628928")</f>
        <v>0</v>
      </c>
      <c r="B1060" s="2">
        <v>42597.6547800926</v>
      </c>
      <c r="C1060">
        <v>0</v>
      </c>
      <c r="D1060">
        <v>22</v>
      </c>
      <c r="E1060" t="s">
        <v>1045</v>
      </c>
    </row>
    <row r="1061" spans="1:5">
      <c r="A1061">
        <f>HYPERLINK("http://www.twitter.com/NYCHA/status/765212049710391300", "765212049710391300")</f>
        <v>0</v>
      </c>
      <c r="B1061" s="2">
        <v>42597.6544444444</v>
      </c>
      <c r="C1061">
        <v>0</v>
      </c>
      <c r="D1061">
        <v>20</v>
      </c>
      <c r="E1061" t="s">
        <v>1046</v>
      </c>
    </row>
    <row r="1062" spans="1:5">
      <c r="A1062">
        <f>HYPERLINK("http://www.twitter.com/NYCHA/status/765211953929261056", "765211953929261056")</f>
        <v>0</v>
      </c>
      <c r="B1062" s="2">
        <v>42597.6541782407</v>
      </c>
      <c r="C1062">
        <v>0</v>
      </c>
      <c r="D1062">
        <v>13</v>
      </c>
      <c r="E1062" t="s">
        <v>1047</v>
      </c>
    </row>
    <row r="1063" spans="1:5">
      <c r="A1063">
        <f>HYPERLINK("http://www.twitter.com/NYCHA/status/765208977185669120", "765208977185669120")</f>
        <v>0</v>
      </c>
      <c r="B1063" s="2">
        <v>42597.6459606482</v>
      </c>
      <c r="C1063">
        <v>0</v>
      </c>
      <c r="D1063">
        <v>3</v>
      </c>
      <c r="E1063" t="s">
        <v>1048</v>
      </c>
    </row>
    <row r="1064" spans="1:5">
      <c r="A1064">
        <f>HYPERLINK("http://www.twitter.com/NYCHA/status/765203801640935424", "765203801640935424")</f>
        <v>0</v>
      </c>
      <c r="B1064" s="2">
        <v>42597.6316782407</v>
      </c>
      <c r="C1064">
        <v>0</v>
      </c>
      <c r="D1064">
        <v>2</v>
      </c>
      <c r="E1064" t="s">
        <v>1049</v>
      </c>
    </row>
    <row r="1065" spans="1:5">
      <c r="A1065">
        <f>HYPERLINK("http://www.twitter.com/NYCHA/status/765203610401640448", "765203610401640448")</f>
        <v>0</v>
      </c>
      <c r="B1065" s="2">
        <v>42597.6311574074</v>
      </c>
      <c r="C1065">
        <v>0</v>
      </c>
      <c r="D1065">
        <v>0</v>
      </c>
      <c r="E1065" t="s">
        <v>1050</v>
      </c>
    </row>
    <row r="1066" spans="1:5">
      <c r="A1066">
        <f>HYPERLINK("http://www.twitter.com/NYCHA/status/765201695706144768", "765201695706144768")</f>
        <v>0</v>
      </c>
      <c r="B1066" s="2">
        <v>42597.6258680556</v>
      </c>
      <c r="C1066">
        <v>0</v>
      </c>
      <c r="D1066">
        <v>1</v>
      </c>
      <c r="E1066" t="s">
        <v>1051</v>
      </c>
    </row>
    <row r="1067" spans="1:5">
      <c r="A1067">
        <f>HYPERLINK("http://www.twitter.com/NYCHA/status/765195662615056384", "765195662615056384")</f>
        <v>0</v>
      </c>
      <c r="B1067" s="2">
        <v>42597.609224537</v>
      </c>
      <c r="C1067">
        <v>0</v>
      </c>
      <c r="D1067">
        <v>0</v>
      </c>
      <c r="E1067" t="s">
        <v>1052</v>
      </c>
    </row>
    <row r="1068" spans="1:5">
      <c r="A1068">
        <f>HYPERLINK("http://www.twitter.com/NYCHA/status/765195386847985665", "765195386847985665")</f>
        <v>0</v>
      </c>
      <c r="B1068" s="2">
        <v>42597.6084606481</v>
      </c>
      <c r="C1068">
        <v>0</v>
      </c>
      <c r="D1068">
        <v>0</v>
      </c>
      <c r="E1068" t="s">
        <v>1053</v>
      </c>
    </row>
    <row r="1069" spans="1:5">
      <c r="A1069">
        <f>HYPERLINK("http://www.twitter.com/NYCHA/status/765194144327360512", "765194144327360512")</f>
        <v>0</v>
      </c>
      <c r="B1069" s="2">
        <v>42597.6050347222</v>
      </c>
      <c r="C1069">
        <v>0</v>
      </c>
      <c r="D1069">
        <v>0</v>
      </c>
      <c r="E1069" t="s">
        <v>1054</v>
      </c>
    </row>
    <row r="1070" spans="1:5">
      <c r="A1070">
        <f>HYPERLINK("http://www.twitter.com/NYCHA/status/765193608613990400", "765193608613990400")</f>
        <v>0</v>
      </c>
      <c r="B1070" s="2">
        <v>42597.6035532407</v>
      </c>
      <c r="C1070">
        <v>0</v>
      </c>
      <c r="D1070">
        <v>0</v>
      </c>
      <c r="E1070" t="s">
        <v>1055</v>
      </c>
    </row>
    <row r="1071" spans="1:5">
      <c r="A1071">
        <f>HYPERLINK("http://www.twitter.com/NYCHA/status/765191685190156288", "765191685190156288")</f>
        <v>0</v>
      </c>
      <c r="B1071" s="2">
        <v>42597.5982407407</v>
      </c>
      <c r="C1071">
        <v>0</v>
      </c>
      <c r="D1071">
        <v>0</v>
      </c>
      <c r="E1071" t="s">
        <v>1056</v>
      </c>
    </row>
    <row r="1072" spans="1:5">
      <c r="A1072">
        <f>HYPERLINK("http://www.twitter.com/NYCHA/status/765188634920247296", "765188634920247296")</f>
        <v>0</v>
      </c>
      <c r="B1072" s="2">
        <v>42597.5898263889</v>
      </c>
      <c r="C1072">
        <v>0</v>
      </c>
      <c r="D1072">
        <v>0</v>
      </c>
      <c r="E1072" t="s">
        <v>1057</v>
      </c>
    </row>
    <row r="1073" spans="1:5">
      <c r="A1073">
        <f>HYPERLINK("http://www.twitter.com/NYCHA/status/765188465935937536", "765188465935937536")</f>
        <v>0</v>
      </c>
      <c r="B1073" s="2">
        <v>42597.5893634259</v>
      </c>
      <c r="C1073">
        <v>0</v>
      </c>
      <c r="D1073">
        <v>0</v>
      </c>
      <c r="E1073" t="s">
        <v>1058</v>
      </c>
    </row>
    <row r="1074" spans="1:5">
      <c r="A1074">
        <f>HYPERLINK("http://www.twitter.com/NYCHA/status/765188282279952385", "765188282279952385")</f>
        <v>0</v>
      </c>
      <c r="B1074" s="2">
        <v>42597.5888541667</v>
      </c>
      <c r="C1074">
        <v>0</v>
      </c>
      <c r="D1074">
        <v>1</v>
      </c>
      <c r="E1074" t="s">
        <v>1059</v>
      </c>
    </row>
    <row r="1075" spans="1:5">
      <c r="A1075">
        <f>HYPERLINK("http://www.twitter.com/NYCHA/status/765188256061353985", "765188256061353985")</f>
        <v>0</v>
      </c>
      <c r="B1075" s="2">
        <v>42597.5887847222</v>
      </c>
      <c r="C1075">
        <v>0</v>
      </c>
      <c r="D1075">
        <v>4</v>
      </c>
      <c r="E1075" t="s">
        <v>975</v>
      </c>
    </row>
    <row r="1076" spans="1:5">
      <c r="A1076">
        <f>HYPERLINK("http://www.twitter.com/NYCHA/status/765188175031574528", "765188175031574528")</f>
        <v>0</v>
      </c>
      <c r="B1076" s="2">
        <v>42597.5885648148</v>
      </c>
      <c r="C1076">
        <v>0</v>
      </c>
      <c r="D1076">
        <v>0</v>
      </c>
      <c r="E1076" t="s">
        <v>1060</v>
      </c>
    </row>
    <row r="1077" spans="1:5">
      <c r="A1077">
        <f>HYPERLINK("http://www.twitter.com/NYCHA/status/765188006764482560", "765188006764482560")</f>
        <v>0</v>
      </c>
      <c r="B1077" s="2">
        <v>42597.5880902778</v>
      </c>
      <c r="C1077">
        <v>0</v>
      </c>
      <c r="D1077">
        <v>1</v>
      </c>
      <c r="E1077" t="s">
        <v>1061</v>
      </c>
    </row>
    <row r="1078" spans="1:5">
      <c r="A1078">
        <f>HYPERLINK("http://www.twitter.com/NYCHA/status/765187805559521280", "765187805559521280")</f>
        <v>0</v>
      </c>
      <c r="B1078" s="2">
        <v>42597.5875462963</v>
      </c>
      <c r="C1078">
        <v>0</v>
      </c>
      <c r="D1078">
        <v>0</v>
      </c>
      <c r="E1078" t="s">
        <v>1062</v>
      </c>
    </row>
    <row r="1079" spans="1:5">
      <c r="A1079">
        <f>HYPERLINK("http://www.twitter.com/NYCHA/status/765187568682098688", "765187568682098688")</f>
        <v>0</v>
      </c>
      <c r="B1079" s="2">
        <v>42597.5868865741</v>
      </c>
      <c r="C1079">
        <v>0</v>
      </c>
      <c r="D1079">
        <v>3</v>
      </c>
      <c r="E1079" t="s">
        <v>1063</v>
      </c>
    </row>
    <row r="1080" spans="1:5">
      <c r="A1080">
        <f>HYPERLINK("http://www.twitter.com/NYCHA/status/765187566148677632", "765187566148677632")</f>
        <v>0</v>
      </c>
      <c r="B1080" s="2">
        <v>42597.586875</v>
      </c>
      <c r="C1080">
        <v>0</v>
      </c>
      <c r="D1080">
        <v>4</v>
      </c>
      <c r="E1080" t="s">
        <v>1064</v>
      </c>
    </row>
    <row r="1081" spans="1:5">
      <c r="A1081">
        <f>HYPERLINK("http://www.twitter.com/NYCHA/status/765172732887764992", "765172732887764992")</f>
        <v>0</v>
      </c>
      <c r="B1081" s="2">
        <v>42597.5459490741</v>
      </c>
      <c r="C1081">
        <v>3</v>
      </c>
      <c r="D1081">
        <v>1</v>
      </c>
      <c r="E1081" t="s">
        <v>1065</v>
      </c>
    </row>
    <row r="1082" spans="1:5">
      <c r="A1082">
        <f>HYPERLINK("http://www.twitter.com/NYCHA/status/765172036188733440", "765172036188733440")</f>
        <v>0</v>
      </c>
      <c r="B1082" s="2">
        <v>42597.5440277778</v>
      </c>
      <c r="C1082">
        <v>0</v>
      </c>
      <c r="D1082">
        <v>1</v>
      </c>
      <c r="E1082" t="s">
        <v>1066</v>
      </c>
    </row>
    <row r="1083" spans="1:5">
      <c r="A1083">
        <f>HYPERLINK("http://www.twitter.com/NYCHA/status/764854564323557378", "764854564323557378")</f>
        <v>0</v>
      </c>
      <c r="B1083" s="2">
        <v>42596.667974537</v>
      </c>
      <c r="C1083">
        <v>1</v>
      </c>
      <c r="D1083">
        <v>2</v>
      </c>
      <c r="E1083" t="s">
        <v>1067</v>
      </c>
    </row>
    <row r="1084" spans="1:5">
      <c r="A1084">
        <f>HYPERLINK("http://www.twitter.com/NYCHA/status/764809291027062785", "764809291027062785")</f>
        <v>0</v>
      </c>
      <c r="B1084" s="2">
        <v>42596.5430439815</v>
      </c>
      <c r="C1084">
        <v>1</v>
      </c>
      <c r="D1084">
        <v>5</v>
      </c>
      <c r="E1084" t="s">
        <v>1068</v>
      </c>
    </row>
    <row r="1085" spans="1:5">
      <c r="A1085">
        <f>HYPERLINK("http://www.twitter.com/NYCHA/status/764794069826564096", "764794069826564096")</f>
        <v>0</v>
      </c>
      <c r="B1085" s="2">
        <v>42596.5010416667</v>
      </c>
      <c r="C1085">
        <v>2</v>
      </c>
      <c r="D1085">
        <v>0</v>
      </c>
      <c r="E1085" t="s">
        <v>1069</v>
      </c>
    </row>
    <row r="1086" spans="1:5">
      <c r="A1086">
        <f>HYPERLINK("http://www.twitter.com/NYCHA/status/764552405295984641", "764552405295984641")</f>
        <v>0</v>
      </c>
      <c r="B1086" s="2">
        <v>42595.8341666667</v>
      </c>
      <c r="C1086">
        <v>3</v>
      </c>
      <c r="D1086">
        <v>5</v>
      </c>
      <c r="E1086" t="s">
        <v>1070</v>
      </c>
    </row>
    <row r="1087" spans="1:5">
      <c r="A1087">
        <f>HYPERLINK("http://www.twitter.com/NYCHA/status/764492303536914432", "764492303536914432")</f>
        <v>0</v>
      </c>
      <c r="B1087" s="2">
        <v>42595.6683217593</v>
      </c>
      <c r="C1087">
        <v>2</v>
      </c>
      <c r="D1087">
        <v>3</v>
      </c>
      <c r="E1087" t="s">
        <v>1071</v>
      </c>
    </row>
    <row r="1088" spans="1:5">
      <c r="A1088">
        <f>HYPERLINK("http://www.twitter.com/NYCHA/status/764462138165452804", "764462138165452804")</f>
        <v>0</v>
      </c>
      <c r="B1088" s="2">
        <v>42595.5850810185</v>
      </c>
      <c r="C1088">
        <v>1</v>
      </c>
      <c r="D1088">
        <v>1</v>
      </c>
      <c r="E1088" t="s">
        <v>1072</v>
      </c>
    </row>
    <row r="1089" spans="1:5">
      <c r="A1089">
        <f>HYPERLINK("http://www.twitter.com/NYCHA/status/764431740811243520", "764431740811243520")</f>
        <v>0</v>
      </c>
      <c r="B1089" s="2">
        <v>42595.5012037037</v>
      </c>
      <c r="C1089">
        <v>0</v>
      </c>
      <c r="D1089">
        <v>3</v>
      </c>
      <c r="E1089" t="s">
        <v>1073</v>
      </c>
    </row>
    <row r="1090" spans="1:5">
      <c r="A1090">
        <f>HYPERLINK("http://www.twitter.com/NYCHA/status/764190163681611777", "764190163681611777")</f>
        <v>0</v>
      </c>
      <c r="B1090" s="2">
        <v>42594.8345717593</v>
      </c>
      <c r="C1090">
        <v>0</v>
      </c>
      <c r="D1090">
        <v>2</v>
      </c>
      <c r="E1090" t="s">
        <v>1074</v>
      </c>
    </row>
    <row r="1091" spans="1:5">
      <c r="A1091">
        <f>HYPERLINK("http://www.twitter.com/NYCHA/status/764190144169738240", "764190144169738240")</f>
        <v>0</v>
      </c>
      <c r="B1091" s="2">
        <v>42594.8345138889</v>
      </c>
      <c r="C1091">
        <v>0</v>
      </c>
      <c r="D1091">
        <v>1</v>
      </c>
      <c r="E1091" t="s">
        <v>1075</v>
      </c>
    </row>
    <row r="1092" spans="1:5">
      <c r="A1092">
        <f>HYPERLINK("http://www.twitter.com/NYCHA/status/764182470841470976", "764182470841470976")</f>
        <v>0</v>
      </c>
      <c r="B1092" s="2">
        <v>42594.8133449074</v>
      </c>
      <c r="C1092">
        <v>0</v>
      </c>
      <c r="D1092">
        <v>0</v>
      </c>
      <c r="E1092" t="s">
        <v>1076</v>
      </c>
    </row>
    <row r="1093" spans="1:5">
      <c r="A1093">
        <f>HYPERLINK("http://www.twitter.com/NYCHA/status/764179972240052224", "764179972240052224")</f>
        <v>0</v>
      </c>
      <c r="B1093" s="2">
        <v>42594.8064467593</v>
      </c>
      <c r="C1093">
        <v>0</v>
      </c>
      <c r="D1093">
        <v>3</v>
      </c>
      <c r="E1093" t="s">
        <v>1077</v>
      </c>
    </row>
    <row r="1094" spans="1:5">
      <c r="A1094">
        <f>HYPERLINK("http://www.twitter.com/NYCHA/status/764179968238751744", "764179968238751744")</f>
        <v>0</v>
      </c>
      <c r="B1094" s="2">
        <v>42594.8064351852</v>
      </c>
      <c r="C1094">
        <v>0</v>
      </c>
      <c r="D1094">
        <v>6</v>
      </c>
      <c r="E1094" t="s">
        <v>1078</v>
      </c>
    </row>
    <row r="1095" spans="1:5">
      <c r="A1095">
        <f>HYPERLINK("http://www.twitter.com/NYCHA/status/764179927696539648", "764179927696539648")</f>
        <v>0</v>
      </c>
      <c r="B1095" s="2">
        <v>42594.8063310185</v>
      </c>
      <c r="C1095">
        <v>0</v>
      </c>
      <c r="D1095">
        <v>1</v>
      </c>
      <c r="E1095" t="s">
        <v>1079</v>
      </c>
    </row>
    <row r="1096" spans="1:5">
      <c r="A1096">
        <f>HYPERLINK("http://www.twitter.com/NYCHA/status/764175289475854336", "764175289475854336")</f>
        <v>0</v>
      </c>
      <c r="B1096" s="2">
        <v>42594.7935300926</v>
      </c>
      <c r="C1096">
        <v>0</v>
      </c>
      <c r="D1096">
        <v>0</v>
      </c>
      <c r="E1096" t="s">
        <v>1080</v>
      </c>
    </row>
    <row r="1097" spans="1:5">
      <c r="A1097">
        <f>HYPERLINK("http://www.twitter.com/NYCHA/status/764137698500157440", "764137698500157440")</f>
        <v>0</v>
      </c>
      <c r="B1097" s="2">
        <v>42594.6897916667</v>
      </c>
      <c r="C1097">
        <v>0</v>
      </c>
      <c r="D1097">
        <v>1</v>
      </c>
      <c r="E1097" t="s">
        <v>1081</v>
      </c>
    </row>
    <row r="1098" spans="1:5">
      <c r="A1098">
        <f>HYPERLINK("http://www.twitter.com/NYCHA/status/764136482177245184", "764136482177245184")</f>
        <v>0</v>
      </c>
      <c r="B1098" s="2">
        <v>42594.6864351852</v>
      </c>
      <c r="C1098">
        <v>0</v>
      </c>
      <c r="D1098">
        <v>5</v>
      </c>
      <c r="E1098" t="s">
        <v>1082</v>
      </c>
    </row>
    <row r="1099" spans="1:5">
      <c r="A1099">
        <f>HYPERLINK("http://www.twitter.com/NYCHA/status/764134733106339840", "764134733106339840")</f>
        <v>0</v>
      </c>
      <c r="B1099" s="2">
        <v>42594.6816087963</v>
      </c>
      <c r="C1099">
        <v>0</v>
      </c>
      <c r="D1099">
        <v>3</v>
      </c>
      <c r="E1099" t="s">
        <v>1083</v>
      </c>
    </row>
    <row r="1100" spans="1:5">
      <c r="A1100">
        <f>HYPERLINK("http://www.twitter.com/NYCHA/status/764133037210759169", "764133037210759169")</f>
        <v>0</v>
      </c>
      <c r="B1100" s="2">
        <v>42594.6769328704</v>
      </c>
      <c r="C1100">
        <v>0</v>
      </c>
      <c r="D1100">
        <v>6</v>
      </c>
      <c r="E1100" t="s">
        <v>1084</v>
      </c>
    </row>
    <row r="1101" spans="1:5">
      <c r="A1101">
        <f>HYPERLINK("http://www.twitter.com/NYCHA/status/764130741290668032", "764130741290668032")</f>
        <v>0</v>
      </c>
      <c r="B1101" s="2">
        <v>42594.6706018519</v>
      </c>
      <c r="C1101">
        <v>0</v>
      </c>
      <c r="D1101">
        <v>1</v>
      </c>
      <c r="E1101" t="s">
        <v>1085</v>
      </c>
    </row>
    <row r="1102" spans="1:5">
      <c r="A1102">
        <f>HYPERLINK("http://www.twitter.com/NYCHA/status/764130647694839812", "764130647694839812")</f>
        <v>0</v>
      </c>
      <c r="B1102" s="2">
        <v>42594.6703356481</v>
      </c>
      <c r="C1102">
        <v>0</v>
      </c>
      <c r="D1102">
        <v>0</v>
      </c>
      <c r="E1102" t="s">
        <v>1086</v>
      </c>
    </row>
    <row r="1103" spans="1:5">
      <c r="A1103">
        <f>HYPERLINK("http://www.twitter.com/NYCHA/status/764130168134832128", "764130168134832128")</f>
        <v>0</v>
      </c>
      <c r="B1103" s="2">
        <v>42594.6690162037</v>
      </c>
      <c r="C1103">
        <v>0</v>
      </c>
      <c r="D1103">
        <v>4</v>
      </c>
      <c r="E1103" t="s">
        <v>1087</v>
      </c>
    </row>
    <row r="1104" spans="1:5">
      <c r="A1104">
        <f>HYPERLINK("http://www.twitter.com/NYCHA/status/764130103177732096", "764130103177732096")</f>
        <v>0</v>
      </c>
      <c r="B1104" s="2">
        <v>42594.6688425926</v>
      </c>
      <c r="C1104">
        <v>0</v>
      </c>
      <c r="D1104">
        <v>23</v>
      </c>
      <c r="E1104" t="s">
        <v>1088</v>
      </c>
    </row>
    <row r="1105" spans="1:5">
      <c r="A1105">
        <f>HYPERLINK("http://www.twitter.com/NYCHA/status/764123861139030018", "764123861139030018")</f>
        <v>0</v>
      </c>
      <c r="B1105" s="2">
        <v>42594.6516087963</v>
      </c>
      <c r="C1105">
        <v>0</v>
      </c>
      <c r="D1105">
        <v>4</v>
      </c>
      <c r="E1105" t="s">
        <v>1089</v>
      </c>
    </row>
    <row r="1106" spans="1:5">
      <c r="A1106">
        <f>HYPERLINK("http://www.twitter.com/NYCHA/status/764099779207061505", "764099779207061505")</f>
        <v>0</v>
      </c>
      <c r="B1106" s="2">
        <v>42594.585162037</v>
      </c>
      <c r="C1106">
        <v>2</v>
      </c>
      <c r="D1106">
        <v>1</v>
      </c>
      <c r="E1106" t="s">
        <v>1090</v>
      </c>
    </row>
    <row r="1107" spans="1:5">
      <c r="A1107">
        <f>HYPERLINK("http://www.twitter.com/NYCHA/status/764094525153226752", "764094525153226752")</f>
        <v>0</v>
      </c>
      <c r="B1107" s="2">
        <v>42594.5706597222</v>
      </c>
      <c r="C1107">
        <v>0</v>
      </c>
      <c r="D1107">
        <v>1</v>
      </c>
      <c r="E1107" t="s">
        <v>1091</v>
      </c>
    </row>
    <row r="1108" spans="1:5">
      <c r="A1108">
        <f>HYPERLINK("http://www.twitter.com/NYCHA/status/764085439485673472", "764085439485673472")</f>
        <v>0</v>
      </c>
      <c r="B1108" s="2">
        <v>42594.5455902778</v>
      </c>
      <c r="C1108">
        <v>0</v>
      </c>
      <c r="D1108">
        <v>0</v>
      </c>
      <c r="E1108" t="s">
        <v>1092</v>
      </c>
    </row>
    <row r="1109" spans="1:5">
      <c r="A1109">
        <f>HYPERLINK("http://www.twitter.com/NYCHA/status/764084786675654658", "764084786675654658")</f>
        <v>0</v>
      </c>
      <c r="B1109" s="2">
        <v>42594.5437847222</v>
      </c>
      <c r="C1109">
        <v>1</v>
      </c>
      <c r="D1109">
        <v>0</v>
      </c>
      <c r="E1109" t="s">
        <v>1093</v>
      </c>
    </row>
    <row r="1110" spans="1:5">
      <c r="A1110">
        <f>HYPERLINK("http://www.twitter.com/NYCHA/status/764069325447700480", "764069325447700480")</f>
        <v>0</v>
      </c>
      <c r="B1110" s="2">
        <v>42594.5011226852</v>
      </c>
      <c r="C1110">
        <v>2</v>
      </c>
      <c r="D1110">
        <v>3</v>
      </c>
      <c r="E1110" t="s">
        <v>1094</v>
      </c>
    </row>
    <row r="1111" spans="1:5">
      <c r="A1111">
        <f>HYPERLINK("http://www.twitter.com/NYCHA/status/763842920692715521", "763842920692715521")</f>
        <v>0</v>
      </c>
      <c r="B1111" s="2">
        <v>42593.8763657407</v>
      </c>
      <c r="C1111">
        <v>1</v>
      </c>
      <c r="D1111">
        <v>0</v>
      </c>
      <c r="E1111" t="s">
        <v>1095</v>
      </c>
    </row>
    <row r="1112" spans="1:5">
      <c r="A1112">
        <f>HYPERLINK("http://www.twitter.com/NYCHA/status/763827690621247488", "763827690621247488")</f>
        <v>0</v>
      </c>
      <c r="B1112" s="2">
        <v>42593.8343402778</v>
      </c>
      <c r="C1112">
        <v>0</v>
      </c>
      <c r="D1112">
        <v>1</v>
      </c>
      <c r="E1112" t="s">
        <v>1096</v>
      </c>
    </row>
    <row r="1113" spans="1:5">
      <c r="A1113">
        <f>HYPERLINK("http://www.twitter.com/NYCHA/status/763827197299875841", "763827197299875841")</f>
        <v>0</v>
      </c>
      <c r="B1113" s="2">
        <v>42593.832974537</v>
      </c>
      <c r="C1113">
        <v>0</v>
      </c>
      <c r="D1113">
        <v>0</v>
      </c>
      <c r="E1113" t="s">
        <v>1097</v>
      </c>
    </row>
    <row r="1114" spans="1:5">
      <c r="A1114">
        <f>HYPERLINK("http://www.twitter.com/NYCHA/status/763817681321689089", "763817681321689089")</f>
        <v>0</v>
      </c>
      <c r="B1114" s="2">
        <v>42593.806712963</v>
      </c>
      <c r="C1114">
        <v>0</v>
      </c>
      <c r="D1114">
        <v>3</v>
      </c>
      <c r="E1114" t="s">
        <v>1098</v>
      </c>
    </row>
    <row r="1115" spans="1:5">
      <c r="A1115">
        <f>HYPERLINK("http://www.twitter.com/NYCHA/status/763817651089051648", "763817651089051648")</f>
        <v>0</v>
      </c>
      <c r="B1115" s="2">
        <v>42593.8066319444</v>
      </c>
      <c r="C1115">
        <v>0</v>
      </c>
      <c r="D1115">
        <v>3</v>
      </c>
      <c r="E1115" t="s">
        <v>1099</v>
      </c>
    </row>
    <row r="1116" spans="1:5">
      <c r="A1116">
        <f>HYPERLINK("http://www.twitter.com/NYCHA/status/763817555987423232", "763817555987423232")</f>
        <v>0</v>
      </c>
      <c r="B1116" s="2">
        <v>42593.8063773148</v>
      </c>
      <c r="C1116">
        <v>0</v>
      </c>
      <c r="D1116">
        <v>2</v>
      </c>
      <c r="E1116" t="s">
        <v>1100</v>
      </c>
    </row>
    <row r="1117" spans="1:5">
      <c r="A1117">
        <f>HYPERLINK("http://www.twitter.com/NYCHA/status/763811005948370944", "763811005948370944")</f>
        <v>0</v>
      </c>
      <c r="B1117" s="2">
        <v>42593.7882986111</v>
      </c>
      <c r="C1117">
        <v>0</v>
      </c>
      <c r="D1117">
        <v>2</v>
      </c>
      <c r="E1117" t="s">
        <v>1101</v>
      </c>
    </row>
    <row r="1118" spans="1:5">
      <c r="A1118">
        <f>HYPERLINK("http://www.twitter.com/NYCHA/status/763787530953187328", "763787530953187328")</f>
        <v>0</v>
      </c>
      <c r="B1118" s="2">
        <v>42593.7235185185</v>
      </c>
      <c r="C1118">
        <v>0</v>
      </c>
      <c r="D1118">
        <v>1</v>
      </c>
      <c r="E1118" t="s">
        <v>1102</v>
      </c>
    </row>
    <row r="1119" spans="1:5">
      <c r="A1119">
        <f>HYPERLINK("http://www.twitter.com/NYCHA/status/763787527438340096", "763787527438340096")</f>
        <v>0</v>
      </c>
      <c r="B1119" s="2">
        <v>42593.7235069444</v>
      </c>
      <c r="C1119">
        <v>0</v>
      </c>
      <c r="D1119">
        <v>3</v>
      </c>
      <c r="E1119" t="s">
        <v>1103</v>
      </c>
    </row>
    <row r="1120" spans="1:5">
      <c r="A1120">
        <f>HYPERLINK("http://www.twitter.com/NYCHA/status/763787493653315585", "763787493653315585")</f>
        <v>0</v>
      </c>
      <c r="B1120" s="2">
        <v>42593.7234143519</v>
      </c>
      <c r="C1120">
        <v>0</v>
      </c>
      <c r="D1120">
        <v>1</v>
      </c>
      <c r="E1120" t="s">
        <v>1104</v>
      </c>
    </row>
    <row r="1121" spans="1:5">
      <c r="A1121">
        <f>HYPERLINK("http://www.twitter.com/NYCHA/status/763753050464976896", "763753050464976896")</f>
        <v>0</v>
      </c>
      <c r="B1121" s="2">
        <v>42593.6283680556</v>
      </c>
      <c r="C1121">
        <v>1</v>
      </c>
      <c r="D1121">
        <v>0</v>
      </c>
      <c r="E1121" t="s">
        <v>1105</v>
      </c>
    </row>
    <row r="1122" spans="1:5">
      <c r="A1122">
        <f>HYPERLINK("http://www.twitter.com/NYCHA/status/763738025746661376", "763738025746661376")</f>
        <v>0</v>
      </c>
      <c r="B1122" s="2">
        <v>42593.5869097222</v>
      </c>
      <c r="C1122">
        <v>5</v>
      </c>
      <c r="D1122">
        <v>3</v>
      </c>
      <c r="E1122" t="s">
        <v>1106</v>
      </c>
    </row>
    <row r="1123" spans="1:5">
      <c r="A1123">
        <f>HYPERLINK("http://www.twitter.com/NYCHA/status/763737784603578368", "763737784603578368")</f>
        <v>0</v>
      </c>
      <c r="B1123" s="2">
        <v>42593.58625</v>
      </c>
      <c r="C1123">
        <v>0</v>
      </c>
      <c r="D1123">
        <v>3</v>
      </c>
      <c r="E1123" t="s">
        <v>1107</v>
      </c>
    </row>
    <row r="1124" spans="1:5">
      <c r="A1124">
        <f>HYPERLINK("http://www.twitter.com/NYCHA/status/763724403104415744", "763724403104415744")</f>
        <v>0</v>
      </c>
      <c r="B1124" s="2">
        <v>42593.5493171296</v>
      </c>
      <c r="C1124">
        <v>0</v>
      </c>
      <c r="D1124">
        <v>1</v>
      </c>
      <c r="E1124" t="s">
        <v>1108</v>
      </c>
    </row>
    <row r="1125" spans="1:5">
      <c r="A1125">
        <f>HYPERLINK("http://www.twitter.com/NYCHA/status/763723824906969089", "763723824906969089")</f>
        <v>0</v>
      </c>
      <c r="B1125" s="2">
        <v>42593.5477199074</v>
      </c>
      <c r="C1125">
        <v>1</v>
      </c>
      <c r="D1125">
        <v>0</v>
      </c>
      <c r="E1125" t="s">
        <v>1109</v>
      </c>
    </row>
    <row r="1126" spans="1:5">
      <c r="A1126">
        <f>HYPERLINK("http://www.twitter.com/NYCHA/status/763706868179099648", "763706868179099648")</f>
        <v>0</v>
      </c>
      <c r="B1126" s="2">
        <v>42593.5009375</v>
      </c>
      <c r="C1126">
        <v>5</v>
      </c>
      <c r="D1126">
        <v>5</v>
      </c>
      <c r="E1126" t="s">
        <v>1110</v>
      </c>
    </row>
    <row r="1127" spans="1:5">
      <c r="A1127">
        <f>HYPERLINK("http://www.twitter.com/NYCHA/status/763525434948644866", "763525434948644866")</f>
        <v>0</v>
      </c>
      <c r="B1127" s="2">
        <v>42593.0002662037</v>
      </c>
      <c r="C1127">
        <v>0</v>
      </c>
      <c r="D1127">
        <v>0</v>
      </c>
      <c r="E1127" t="s">
        <v>1111</v>
      </c>
    </row>
    <row r="1128" spans="1:5">
      <c r="A1128">
        <f>HYPERLINK("http://www.twitter.com/NYCHA/status/763490412778647556", "763490412778647556")</f>
        <v>0</v>
      </c>
      <c r="B1128" s="2">
        <v>42592.9036342593</v>
      </c>
      <c r="C1128">
        <v>2</v>
      </c>
      <c r="D1128">
        <v>2</v>
      </c>
      <c r="E1128" t="s">
        <v>1112</v>
      </c>
    </row>
    <row r="1129" spans="1:5">
      <c r="A1129">
        <f>HYPERLINK("http://www.twitter.com/NYCHA/status/763484566413770752", "763484566413770752")</f>
        <v>0</v>
      </c>
      <c r="B1129" s="2">
        <v>42592.8875</v>
      </c>
      <c r="C1129">
        <v>0</v>
      </c>
      <c r="D1129">
        <v>3</v>
      </c>
      <c r="E1129" t="s">
        <v>1113</v>
      </c>
    </row>
    <row r="1130" spans="1:5">
      <c r="A1130">
        <f>HYPERLINK("http://www.twitter.com/NYCHA/status/763472949940776960", "763472949940776960")</f>
        <v>0</v>
      </c>
      <c r="B1130" s="2">
        <v>42592.8554398148</v>
      </c>
      <c r="C1130">
        <v>0</v>
      </c>
      <c r="D1130">
        <v>1</v>
      </c>
      <c r="E1130" t="s">
        <v>1114</v>
      </c>
    </row>
    <row r="1131" spans="1:5">
      <c r="A1131">
        <f>HYPERLINK("http://www.twitter.com/NYCHA/status/763469136483774464", "763469136483774464")</f>
        <v>0</v>
      </c>
      <c r="B1131" s="2">
        <v>42592.8449189815</v>
      </c>
      <c r="C1131">
        <v>1</v>
      </c>
      <c r="D1131">
        <v>0</v>
      </c>
      <c r="E1131" t="s">
        <v>1115</v>
      </c>
    </row>
    <row r="1132" spans="1:5">
      <c r="A1132">
        <f>HYPERLINK("http://www.twitter.com/NYCHA/status/763465349270568967", "763465349270568967")</f>
        <v>0</v>
      </c>
      <c r="B1132" s="2">
        <v>42592.8344675926</v>
      </c>
      <c r="C1132">
        <v>0</v>
      </c>
      <c r="D1132">
        <v>0</v>
      </c>
      <c r="E1132" t="s">
        <v>1116</v>
      </c>
    </row>
    <row r="1133" spans="1:5">
      <c r="A1133">
        <f>HYPERLINK("http://www.twitter.com/NYCHA/status/763463059964882944", "763463059964882944")</f>
        <v>0</v>
      </c>
      <c r="B1133" s="2">
        <v>42592.8281481481</v>
      </c>
      <c r="C1133">
        <v>0</v>
      </c>
      <c r="D1133">
        <v>21</v>
      </c>
      <c r="E1133" t="s">
        <v>1117</v>
      </c>
    </row>
    <row r="1134" spans="1:5">
      <c r="A1134">
        <f>HYPERLINK("http://www.twitter.com/NYCHA/status/763450441002778624", "763450441002778624")</f>
        <v>0</v>
      </c>
      <c r="B1134" s="2">
        <v>42592.7933333333</v>
      </c>
      <c r="C1134">
        <v>0</v>
      </c>
      <c r="D1134">
        <v>0</v>
      </c>
      <c r="E1134" t="s">
        <v>1118</v>
      </c>
    </row>
    <row r="1135" spans="1:5">
      <c r="A1135">
        <f>HYPERLINK("http://www.twitter.com/NYCHA/status/763420303649374208", "763420303649374208")</f>
        <v>0</v>
      </c>
      <c r="B1135" s="2">
        <v>42592.710162037</v>
      </c>
      <c r="C1135">
        <v>5</v>
      </c>
      <c r="D1135">
        <v>5</v>
      </c>
      <c r="E1135" t="s">
        <v>1119</v>
      </c>
    </row>
    <row r="1136" spans="1:5">
      <c r="A1136">
        <f>HYPERLINK("http://www.twitter.com/NYCHA/status/763390242825105408", "763390242825105408")</f>
        <v>0</v>
      </c>
      <c r="B1136" s="2">
        <v>42592.6272106481</v>
      </c>
      <c r="C1136">
        <v>1</v>
      </c>
      <c r="D1136">
        <v>0</v>
      </c>
      <c r="E1136" t="s">
        <v>1120</v>
      </c>
    </row>
    <row r="1137" spans="1:5">
      <c r="A1137">
        <f>HYPERLINK("http://www.twitter.com/NYCHA/status/763360672650563584", "763360672650563584")</f>
        <v>0</v>
      </c>
      <c r="B1137" s="2">
        <v>42592.5456134259</v>
      </c>
      <c r="C1137">
        <v>0</v>
      </c>
      <c r="D1137">
        <v>1</v>
      </c>
      <c r="E1137" t="s">
        <v>1121</v>
      </c>
    </row>
    <row r="1138" spans="1:5">
      <c r="A1138">
        <f>HYPERLINK("http://www.twitter.com/NYCHA/status/763359995333337089", "763359995333337089")</f>
        <v>0</v>
      </c>
      <c r="B1138" s="2">
        <v>42592.54375</v>
      </c>
      <c r="C1138">
        <v>1</v>
      </c>
      <c r="D1138">
        <v>1</v>
      </c>
      <c r="E1138" t="s">
        <v>1122</v>
      </c>
    </row>
    <row r="1139" spans="1:5">
      <c r="A1139">
        <f>HYPERLINK("http://www.twitter.com/NYCHA/status/763351874263220225", "763351874263220225")</f>
        <v>0</v>
      </c>
      <c r="B1139" s="2">
        <v>42592.5213310185</v>
      </c>
      <c r="C1139">
        <v>3</v>
      </c>
      <c r="D1139">
        <v>2</v>
      </c>
      <c r="E1139" t="s">
        <v>1123</v>
      </c>
    </row>
    <row r="1140" spans="1:5">
      <c r="A1140">
        <f>HYPERLINK("http://www.twitter.com/NYCHA/status/763088316623417345", "763088316623417345")</f>
        <v>0</v>
      </c>
      <c r="B1140" s="2">
        <v>42591.7940509259</v>
      </c>
      <c r="C1140">
        <v>0</v>
      </c>
      <c r="D1140">
        <v>2</v>
      </c>
      <c r="E1140" t="s">
        <v>1124</v>
      </c>
    </row>
    <row r="1141" spans="1:5">
      <c r="A1141">
        <f>HYPERLINK("http://www.twitter.com/NYCHA/status/763065184235692032", "763065184235692032")</f>
        <v>0</v>
      </c>
      <c r="B1141" s="2">
        <v>42591.7302199074</v>
      </c>
      <c r="C1141">
        <v>0</v>
      </c>
      <c r="D1141">
        <v>1</v>
      </c>
      <c r="E1141" t="s">
        <v>1125</v>
      </c>
    </row>
    <row r="1142" spans="1:5">
      <c r="A1142">
        <f>HYPERLINK("http://www.twitter.com/NYCHA/status/763053996386971648", "763053996386971648")</f>
        <v>0</v>
      </c>
      <c r="B1142" s="2">
        <v>42591.6993518519</v>
      </c>
      <c r="C1142">
        <v>1</v>
      </c>
      <c r="D1142">
        <v>0</v>
      </c>
      <c r="E1142" t="s">
        <v>1126</v>
      </c>
    </row>
    <row r="1143" spans="1:5">
      <c r="A1143">
        <f>HYPERLINK("http://www.twitter.com/NYCHA/status/763028685238722560", "763028685238722560")</f>
        <v>0</v>
      </c>
      <c r="B1143" s="2">
        <v>42591.6295023148</v>
      </c>
      <c r="C1143">
        <v>0</v>
      </c>
      <c r="D1143">
        <v>2</v>
      </c>
      <c r="E1143" t="s">
        <v>1127</v>
      </c>
    </row>
    <row r="1144" spans="1:5">
      <c r="A1144">
        <f>HYPERLINK("http://www.twitter.com/NYCHA/status/763024235656781824", "763024235656781824")</f>
        <v>0</v>
      </c>
      <c r="B1144" s="2">
        <v>42591.6172222222</v>
      </c>
      <c r="C1144">
        <v>0</v>
      </c>
      <c r="D1144">
        <v>3</v>
      </c>
      <c r="E1144" t="s">
        <v>1128</v>
      </c>
    </row>
    <row r="1145" spans="1:5">
      <c r="A1145">
        <f>HYPERLINK("http://www.twitter.com/NYCHA/status/763024210939830272", "763024210939830272")</f>
        <v>0</v>
      </c>
      <c r="B1145" s="2">
        <v>42591.6171527778</v>
      </c>
      <c r="C1145">
        <v>0</v>
      </c>
      <c r="D1145">
        <v>18</v>
      </c>
      <c r="E1145" t="s">
        <v>1129</v>
      </c>
    </row>
    <row r="1146" spans="1:5">
      <c r="A1146">
        <f>HYPERLINK("http://www.twitter.com/NYCHA/status/763012133164609537", "763012133164609537")</f>
        <v>0</v>
      </c>
      <c r="B1146" s="2">
        <v>42591.5838310185</v>
      </c>
      <c r="C1146">
        <v>0</v>
      </c>
      <c r="D1146">
        <v>8</v>
      </c>
      <c r="E1146" t="s">
        <v>1130</v>
      </c>
    </row>
    <row r="1147" spans="1:5">
      <c r="A1147">
        <f>HYPERLINK("http://www.twitter.com/NYCHA/status/762998285435043840", "762998285435043840")</f>
        <v>0</v>
      </c>
      <c r="B1147" s="2">
        <v>42591.5456134259</v>
      </c>
      <c r="C1147">
        <v>1</v>
      </c>
      <c r="D1147">
        <v>1</v>
      </c>
      <c r="E1147" t="s">
        <v>1131</v>
      </c>
    </row>
    <row r="1148" spans="1:5">
      <c r="A1148">
        <f>HYPERLINK("http://www.twitter.com/NYCHA/status/762997579709816833", "762997579709816833")</f>
        <v>0</v>
      </c>
      <c r="B1148" s="2">
        <v>42591.5436689815</v>
      </c>
      <c r="C1148">
        <v>0</v>
      </c>
      <c r="D1148">
        <v>1</v>
      </c>
      <c r="E1148" t="s">
        <v>1132</v>
      </c>
    </row>
    <row r="1149" spans="1:5">
      <c r="A1149">
        <f>HYPERLINK("http://www.twitter.com/NYCHA/status/762997464160956417", "762997464160956417")</f>
        <v>0</v>
      </c>
      <c r="B1149" s="2">
        <v>42591.5433449074</v>
      </c>
      <c r="C1149">
        <v>0</v>
      </c>
      <c r="D1149">
        <v>1</v>
      </c>
      <c r="E1149" t="s">
        <v>1133</v>
      </c>
    </row>
    <row r="1150" spans="1:5">
      <c r="A1150">
        <f>HYPERLINK("http://www.twitter.com/NYCHA/status/762770009374547969", "762770009374547969")</f>
        <v>0</v>
      </c>
      <c r="B1150" s="2">
        <v>42590.9156944444</v>
      </c>
      <c r="C1150">
        <v>1</v>
      </c>
      <c r="D1150">
        <v>0</v>
      </c>
      <c r="E1150" t="s">
        <v>1134</v>
      </c>
    </row>
    <row r="1151" spans="1:5">
      <c r="A1151">
        <f>HYPERLINK("http://www.twitter.com/NYCHA/status/762741447682584577", "762741447682584577")</f>
        <v>0</v>
      </c>
      <c r="B1151" s="2">
        <v>42590.836875</v>
      </c>
      <c r="C1151">
        <v>0</v>
      </c>
      <c r="D1151">
        <v>0</v>
      </c>
      <c r="E1151" t="s">
        <v>1135</v>
      </c>
    </row>
    <row r="1152" spans="1:5">
      <c r="A1152">
        <f>HYPERLINK("http://www.twitter.com/NYCHA/status/762725573466685440", "762725573466685440")</f>
        <v>0</v>
      </c>
      <c r="B1152" s="2">
        <v>42590.7930787037</v>
      </c>
      <c r="C1152">
        <v>1</v>
      </c>
      <c r="D1152">
        <v>3</v>
      </c>
      <c r="E1152" t="s">
        <v>1136</v>
      </c>
    </row>
    <row r="1153" spans="1:5">
      <c r="A1153">
        <f>HYPERLINK("http://www.twitter.com/NYCHA/status/762650197235236864", "762650197235236864")</f>
        <v>0</v>
      </c>
      <c r="B1153" s="2">
        <v>42590.5850810185</v>
      </c>
      <c r="C1153">
        <v>1</v>
      </c>
      <c r="D1153">
        <v>0</v>
      </c>
      <c r="E1153" t="s">
        <v>1137</v>
      </c>
    </row>
    <row r="1154" spans="1:5">
      <c r="A1154">
        <f>HYPERLINK("http://www.twitter.com/NYCHA/status/762647033773715456", "762647033773715456")</f>
        <v>0</v>
      </c>
      <c r="B1154" s="2">
        <v>42590.5763425926</v>
      </c>
      <c r="C1154">
        <v>0</v>
      </c>
      <c r="D1154">
        <v>1</v>
      </c>
      <c r="E1154" t="s">
        <v>1138</v>
      </c>
    </row>
    <row r="1155" spans="1:5">
      <c r="A1155">
        <f>HYPERLINK("http://www.twitter.com/NYCHA/status/762642259183632384", "762642259183632384")</f>
        <v>0</v>
      </c>
      <c r="B1155" s="2">
        <v>42590.5631712963</v>
      </c>
      <c r="C1155">
        <v>1</v>
      </c>
      <c r="D1155">
        <v>0</v>
      </c>
      <c r="E1155" t="s">
        <v>1139</v>
      </c>
    </row>
    <row r="1156" spans="1:5">
      <c r="A1156">
        <f>HYPERLINK("http://www.twitter.com/NYCHA/status/762635885665976321", "762635885665976321")</f>
        <v>0</v>
      </c>
      <c r="B1156" s="2">
        <v>42590.5455787037</v>
      </c>
      <c r="C1156">
        <v>0</v>
      </c>
      <c r="D1156">
        <v>0</v>
      </c>
      <c r="E1156" t="s">
        <v>1140</v>
      </c>
    </row>
    <row r="1157" spans="1:5">
      <c r="A1157">
        <f>HYPERLINK("http://www.twitter.com/NYCHA/status/762635161045495808", "762635161045495808")</f>
        <v>0</v>
      </c>
      <c r="B1157" s="2">
        <v>42590.543587963</v>
      </c>
      <c r="C1157">
        <v>0</v>
      </c>
      <c r="D1157">
        <v>0</v>
      </c>
      <c r="E1157" t="s">
        <v>1141</v>
      </c>
    </row>
    <row r="1158" spans="1:5">
      <c r="A1158">
        <f>HYPERLINK("http://www.twitter.com/NYCHA/status/762287462924378112", "762287462924378112")</f>
        <v>0</v>
      </c>
      <c r="B1158" s="2">
        <v>42589.5841203704</v>
      </c>
      <c r="C1158">
        <v>0</v>
      </c>
      <c r="D1158">
        <v>0</v>
      </c>
      <c r="E1158" t="s">
        <v>1142</v>
      </c>
    </row>
    <row r="1159" spans="1:5">
      <c r="A1159">
        <f>HYPERLINK("http://www.twitter.com/NYCHA/status/762257269799129089", "762257269799129089")</f>
        <v>0</v>
      </c>
      <c r="B1159" s="2">
        <v>42589.5007986111</v>
      </c>
      <c r="C1159">
        <v>3</v>
      </c>
      <c r="D1159">
        <v>0</v>
      </c>
      <c r="E1159" t="s">
        <v>1143</v>
      </c>
    </row>
    <row r="1160" spans="1:5">
      <c r="A1160">
        <f>HYPERLINK("http://www.twitter.com/NYCHA/status/762116368229625856", "762116368229625856")</f>
        <v>0</v>
      </c>
      <c r="B1160" s="2">
        <v>42589.1119907407</v>
      </c>
      <c r="C1160">
        <v>0</v>
      </c>
      <c r="D1160">
        <v>1</v>
      </c>
      <c r="E1160" t="s">
        <v>1144</v>
      </c>
    </row>
    <row r="1161" spans="1:5">
      <c r="A1161">
        <f>HYPERLINK("http://www.twitter.com/NYCHA/status/762116347874508804", "762116347874508804")</f>
        <v>0</v>
      </c>
      <c r="B1161" s="2">
        <v>42589.1119328704</v>
      </c>
      <c r="C1161">
        <v>0</v>
      </c>
      <c r="D1161">
        <v>2</v>
      </c>
      <c r="E1161" t="s">
        <v>1145</v>
      </c>
    </row>
    <row r="1162" spans="1:5">
      <c r="A1162">
        <f>HYPERLINK("http://www.twitter.com/NYCHA/status/761925219284086788", "761925219284086788")</f>
        <v>0</v>
      </c>
      <c r="B1162" s="2">
        <v>42588.5845138889</v>
      </c>
      <c r="C1162">
        <v>2</v>
      </c>
      <c r="D1162">
        <v>1</v>
      </c>
      <c r="E1162" t="s">
        <v>1146</v>
      </c>
    </row>
    <row r="1163" spans="1:5">
      <c r="A1163">
        <f>HYPERLINK("http://www.twitter.com/NYCHA/status/761894797980368896", "761894797980368896")</f>
        <v>0</v>
      </c>
      <c r="B1163" s="2">
        <v>42588.5005671296</v>
      </c>
      <c r="C1163">
        <v>4</v>
      </c>
      <c r="D1163">
        <v>0</v>
      </c>
      <c r="E1163" t="s">
        <v>1147</v>
      </c>
    </row>
    <row r="1164" spans="1:5">
      <c r="A1164">
        <f>HYPERLINK("http://www.twitter.com/NYCHA/status/761658440125210624", "761658440125210624")</f>
        <v>0</v>
      </c>
      <c r="B1164" s="2">
        <v>42587.8483449074</v>
      </c>
      <c r="C1164">
        <v>0</v>
      </c>
      <c r="D1164">
        <v>2</v>
      </c>
      <c r="E1164" t="s">
        <v>1148</v>
      </c>
    </row>
    <row r="1165" spans="1:5">
      <c r="A1165">
        <f>HYPERLINK("http://www.twitter.com/NYCHA/status/761653328392622080", "761653328392622080")</f>
        <v>0</v>
      </c>
      <c r="B1165" s="2">
        <v>42587.8342361111</v>
      </c>
      <c r="C1165">
        <v>0</v>
      </c>
      <c r="D1165">
        <v>0</v>
      </c>
      <c r="E1165" t="s">
        <v>1149</v>
      </c>
    </row>
    <row r="1166" spans="1:5">
      <c r="A1166">
        <f>HYPERLINK("http://www.twitter.com/NYCHA/status/761650253753974784", "761650253753974784")</f>
        <v>0</v>
      </c>
      <c r="B1166" s="2">
        <v>42587.8257523148</v>
      </c>
      <c r="C1166">
        <v>0</v>
      </c>
      <c r="D1166">
        <v>2</v>
      </c>
      <c r="E1166" t="s">
        <v>1150</v>
      </c>
    </row>
    <row r="1167" spans="1:5">
      <c r="A1167">
        <f>HYPERLINK("http://www.twitter.com/NYCHA/status/761645774258274304", "761645774258274304")</f>
        <v>0</v>
      </c>
      <c r="B1167" s="2">
        <v>42587.8133912037</v>
      </c>
      <c r="C1167">
        <v>0</v>
      </c>
      <c r="D1167">
        <v>7</v>
      </c>
      <c r="E1167" t="s">
        <v>1151</v>
      </c>
    </row>
    <row r="1168" spans="1:5">
      <c r="A1168">
        <f>HYPERLINK("http://www.twitter.com/NYCHA/status/761638416576552960", "761638416576552960")</f>
        <v>0</v>
      </c>
      <c r="B1168" s="2">
        <v>42587.7930902778</v>
      </c>
      <c r="C1168">
        <v>2</v>
      </c>
      <c r="D1168">
        <v>1</v>
      </c>
      <c r="E1168" t="s">
        <v>1152</v>
      </c>
    </row>
    <row r="1169" spans="1:5">
      <c r="A1169">
        <f>HYPERLINK("http://www.twitter.com/NYCHA/status/761615534995730432", "761615534995730432")</f>
        <v>0</v>
      </c>
      <c r="B1169" s="2">
        <v>42587.7299537037</v>
      </c>
      <c r="C1169">
        <v>2</v>
      </c>
      <c r="D1169">
        <v>2</v>
      </c>
      <c r="E1169" t="s">
        <v>1153</v>
      </c>
    </row>
    <row r="1170" spans="1:5">
      <c r="A1170">
        <f>HYPERLINK("http://www.twitter.com/NYCHA/status/761588017450586112", "761588017450586112")</f>
        <v>0</v>
      </c>
      <c r="B1170" s="2">
        <v>42587.6540162037</v>
      </c>
      <c r="C1170">
        <v>1</v>
      </c>
      <c r="D1170">
        <v>1</v>
      </c>
      <c r="E1170" t="s">
        <v>1154</v>
      </c>
    </row>
    <row r="1171" spans="1:5">
      <c r="A1171">
        <f>HYPERLINK("http://www.twitter.com/NYCHA/status/761562788632399872", "761562788632399872")</f>
        <v>0</v>
      </c>
      <c r="B1171" s="2">
        <v>42587.5843981481</v>
      </c>
      <c r="C1171">
        <v>3</v>
      </c>
      <c r="D1171">
        <v>0</v>
      </c>
      <c r="E1171" t="s">
        <v>1155</v>
      </c>
    </row>
    <row r="1172" spans="1:5">
      <c r="A1172">
        <f>HYPERLINK("http://www.twitter.com/NYCHA/status/761561154904846336", "761561154904846336")</f>
        <v>0</v>
      </c>
      <c r="B1172" s="2">
        <v>42587.5798958333</v>
      </c>
      <c r="C1172">
        <v>0</v>
      </c>
      <c r="D1172">
        <v>2</v>
      </c>
      <c r="E1172" t="s">
        <v>1156</v>
      </c>
    </row>
    <row r="1173" spans="1:5">
      <c r="A1173">
        <f>HYPERLINK("http://www.twitter.com/NYCHA/status/761548720706060288", "761548720706060288")</f>
        <v>0</v>
      </c>
      <c r="B1173" s="2">
        <v>42587.5455787037</v>
      </c>
      <c r="C1173">
        <v>1</v>
      </c>
      <c r="D1173">
        <v>0</v>
      </c>
      <c r="E1173" t="s">
        <v>1157</v>
      </c>
    </row>
    <row r="1174" spans="1:5">
      <c r="A1174">
        <f>HYPERLINK("http://www.twitter.com/NYCHA/status/761548020236357632", "761548020236357632")</f>
        <v>0</v>
      </c>
      <c r="B1174" s="2">
        <v>42587.5436458333</v>
      </c>
      <c r="C1174">
        <v>0</v>
      </c>
      <c r="D1174">
        <v>0</v>
      </c>
      <c r="E1174" t="s">
        <v>1158</v>
      </c>
    </row>
    <row r="1175" spans="1:5">
      <c r="A1175">
        <f>HYPERLINK("http://www.twitter.com/NYCHA/status/761532591199707136", "761532591199707136")</f>
        <v>0</v>
      </c>
      <c r="B1175" s="2">
        <v>42587.5010648148</v>
      </c>
      <c r="C1175">
        <v>2</v>
      </c>
      <c r="D1175">
        <v>1</v>
      </c>
      <c r="E1175" t="s">
        <v>1159</v>
      </c>
    </row>
    <row r="1176" spans="1:5">
      <c r="A1176">
        <f>HYPERLINK("http://www.twitter.com/NYCHA/status/761315354337546241", "761315354337546241")</f>
        <v>0</v>
      </c>
      <c r="B1176" s="2">
        <v>42586.9016087963</v>
      </c>
      <c r="C1176">
        <v>0</v>
      </c>
      <c r="D1176">
        <v>5</v>
      </c>
      <c r="E1176" t="s">
        <v>1160</v>
      </c>
    </row>
    <row r="1177" spans="1:5">
      <c r="A1177">
        <f>HYPERLINK("http://www.twitter.com/NYCHA/status/761310875957522436", "761310875957522436")</f>
        <v>0</v>
      </c>
      <c r="B1177" s="2">
        <v>42586.8892476852</v>
      </c>
      <c r="C1177">
        <v>0</v>
      </c>
      <c r="D1177">
        <v>0</v>
      </c>
      <c r="E1177" t="s">
        <v>1161</v>
      </c>
    </row>
    <row r="1178" spans="1:5">
      <c r="A1178">
        <f>HYPERLINK("http://www.twitter.com/NYCHA/status/761307878678462465", "761307878678462465")</f>
        <v>0</v>
      </c>
      <c r="B1178" s="2">
        <v>42586.8809837963</v>
      </c>
      <c r="C1178">
        <v>1</v>
      </c>
      <c r="D1178">
        <v>0</v>
      </c>
      <c r="E1178" t="s">
        <v>1162</v>
      </c>
    </row>
    <row r="1179" spans="1:5">
      <c r="A1179">
        <f>HYPERLINK("http://www.twitter.com/NYCHA/status/761276248874164224", "761276248874164224")</f>
        <v>0</v>
      </c>
      <c r="B1179" s="2">
        <v>42586.7937037037</v>
      </c>
      <c r="C1179">
        <v>2</v>
      </c>
      <c r="D1179">
        <v>3</v>
      </c>
      <c r="E1179" t="s">
        <v>1163</v>
      </c>
    </row>
    <row r="1180" spans="1:5">
      <c r="A1180">
        <f>HYPERLINK("http://www.twitter.com/NYCHA/status/761253186472710146", "761253186472710146")</f>
        <v>0</v>
      </c>
      <c r="B1180" s="2">
        <v>42586.7300578704</v>
      </c>
      <c r="C1180">
        <v>1</v>
      </c>
      <c r="D1180">
        <v>0</v>
      </c>
      <c r="E1180" t="s">
        <v>1164</v>
      </c>
    </row>
    <row r="1181" spans="1:5">
      <c r="A1181">
        <f>HYPERLINK("http://www.twitter.com/NYCHA/status/761253082793701376", "761253082793701376")</f>
        <v>0</v>
      </c>
      <c r="B1181" s="2">
        <v>42586.7297685185</v>
      </c>
      <c r="C1181">
        <v>0</v>
      </c>
      <c r="D1181">
        <v>2</v>
      </c>
      <c r="E1181" t="s">
        <v>1165</v>
      </c>
    </row>
    <row r="1182" spans="1:5">
      <c r="A1182">
        <f>HYPERLINK("http://www.twitter.com/NYCHA/status/761230408377831426", "761230408377831426")</f>
        <v>0</v>
      </c>
      <c r="B1182" s="2">
        <v>42586.6671990741</v>
      </c>
      <c r="C1182">
        <v>2</v>
      </c>
      <c r="D1182">
        <v>6</v>
      </c>
      <c r="E1182" t="s">
        <v>1166</v>
      </c>
    </row>
    <row r="1183" spans="1:5">
      <c r="A1183">
        <f>HYPERLINK("http://www.twitter.com/NYCHA/status/761222967950999552", "761222967950999552")</f>
        <v>0</v>
      </c>
      <c r="B1183" s="2">
        <v>42586.6466782407</v>
      </c>
      <c r="C1183">
        <v>3</v>
      </c>
      <c r="D1183">
        <v>4</v>
      </c>
      <c r="E1183" t="s">
        <v>1167</v>
      </c>
    </row>
    <row r="1184" spans="1:5">
      <c r="A1184">
        <f>HYPERLINK("http://www.twitter.com/NYCHA/status/761217177525559296", "761217177525559296")</f>
        <v>0</v>
      </c>
      <c r="B1184" s="2">
        <v>42586.6306944444</v>
      </c>
      <c r="C1184">
        <v>0</v>
      </c>
      <c r="D1184">
        <v>3</v>
      </c>
      <c r="E1184" t="s">
        <v>1168</v>
      </c>
    </row>
    <row r="1185" spans="1:5">
      <c r="A1185">
        <f>HYPERLINK("http://www.twitter.com/NYCHA/status/761186324372226048", "761186324372226048")</f>
        <v>0</v>
      </c>
      <c r="B1185" s="2">
        <v>42586.5455555556</v>
      </c>
      <c r="C1185">
        <v>0</v>
      </c>
      <c r="D1185">
        <v>0</v>
      </c>
      <c r="E1185" t="s">
        <v>1169</v>
      </c>
    </row>
    <row r="1186" spans="1:5">
      <c r="A1186">
        <f>HYPERLINK("http://www.twitter.com/NYCHA/status/761185624791642112", "761185624791642112")</f>
        <v>0</v>
      </c>
      <c r="B1186" s="2">
        <v>42586.5436226852</v>
      </c>
      <c r="C1186">
        <v>1</v>
      </c>
      <c r="D1186">
        <v>1</v>
      </c>
      <c r="E1186" t="s">
        <v>1170</v>
      </c>
    </row>
    <row r="1187" spans="1:5">
      <c r="A1187">
        <f>HYPERLINK("http://www.twitter.com/NYCHA/status/761185554948038656", "761185554948038656")</f>
        <v>0</v>
      </c>
      <c r="B1187" s="2">
        <v>42586.5434375</v>
      </c>
      <c r="C1187">
        <v>0</v>
      </c>
      <c r="D1187">
        <v>4</v>
      </c>
      <c r="E1187" t="s">
        <v>1171</v>
      </c>
    </row>
    <row r="1188" spans="1:5">
      <c r="A1188">
        <f>HYPERLINK("http://www.twitter.com/NYCHA/status/760987924225748992", "760987924225748992")</f>
        <v>0</v>
      </c>
      <c r="B1188" s="2">
        <v>42585.9980787037</v>
      </c>
      <c r="C1188">
        <v>5</v>
      </c>
      <c r="D1188">
        <v>2</v>
      </c>
      <c r="E1188" t="s">
        <v>1172</v>
      </c>
    </row>
    <row r="1189" spans="1:5">
      <c r="A1189">
        <f>HYPERLINK("http://www.twitter.com/NYCHA/status/760986283489501184", "760986283489501184")</f>
        <v>0</v>
      </c>
      <c r="B1189" s="2">
        <v>42585.9935532407</v>
      </c>
      <c r="C1189">
        <v>0</v>
      </c>
      <c r="D1189">
        <v>0</v>
      </c>
      <c r="E1189" t="s">
        <v>1173</v>
      </c>
    </row>
    <row r="1190" spans="1:5">
      <c r="A1190">
        <f>HYPERLINK("http://www.twitter.com/NYCHA/status/760982794659069952", "760982794659069952")</f>
        <v>0</v>
      </c>
      <c r="B1190" s="2">
        <v>42585.9839236111</v>
      </c>
      <c r="C1190">
        <v>0</v>
      </c>
      <c r="D1190">
        <v>6</v>
      </c>
      <c r="E1190" t="s">
        <v>1174</v>
      </c>
    </row>
    <row r="1191" spans="1:5">
      <c r="A1191">
        <f>HYPERLINK("http://www.twitter.com/NYCHA/status/760968367234834433", "760968367234834433")</f>
        <v>0</v>
      </c>
      <c r="B1191" s="2">
        <v>42585.9441087963</v>
      </c>
      <c r="C1191">
        <v>0</v>
      </c>
      <c r="D1191">
        <v>2</v>
      </c>
      <c r="E1191" t="s">
        <v>1175</v>
      </c>
    </row>
    <row r="1192" spans="1:5">
      <c r="A1192">
        <f>HYPERLINK("http://www.twitter.com/NYCHA/status/760960970042859520", "760960970042859520")</f>
        <v>0</v>
      </c>
      <c r="B1192" s="2">
        <v>42585.9236921296</v>
      </c>
      <c r="C1192">
        <v>0</v>
      </c>
      <c r="D1192">
        <v>0</v>
      </c>
      <c r="E1192" t="s">
        <v>1176</v>
      </c>
    </row>
    <row r="1193" spans="1:5">
      <c r="A1193">
        <f>HYPERLINK("http://www.twitter.com/NYCHA/status/760959628276600832", "760959628276600832")</f>
        <v>0</v>
      </c>
      <c r="B1193" s="2">
        <v>42585.9199884259</v>
      </c>
      <c r="C1193">
        <v>1</v>
      </c>
      <c r="D1193">
        <v>0</v>
      </c>
      <c r="E1193" t="s">
        <v>1177</v>
      </c>
    </row>
    <row r="1194" spans="1:5">
      <c r="A1194">
        <f>HYPERLINK("http://www.twitter.com/NYCHA/status/760958960463704069", "760958960463704069")</f>
        <v>0</v>
      </c>
      <c r="B1194" s="2">
        <v>42585.9181481482</v>
      </c>
      <c r="C1194">
        <v>0</v>
      </c>
      <c r="D1194">
        <v>1</v>
      </c>
      <c r="E1194" t="s">
        <v>1178</v>
      </c>
    </row>
    <row r="1195" spans="1:5">
      <c r="A1195">
        <f>HYPERLINK("http://www.twitter.com/NYCHA/status/760957995597561856", "760957995597561856")</f>
        <v>0</v>
      </c>
      <c r="B1195" s="2">
        <v>42585.9154861111</v>
      </c>
      <c r="C1195">
        <v>0</v>
      </c>
      <c r="D1195">
        <v>0</v>
      </c>
      <c r="E1195" t="s">
        <v>1179</v>
      </c>
    </row>
    <row r="1196" spans="1:5">
      <c r="A1196">
        <f>HYPERLINK("http://www.twitter.com/NYCHA/status/760957233618386944", "760957233618386944")</f>
        <v>0</v>
      </c>
      <c r="B1196" s="2">
        <v>42585.9133912037</v>
      </c>
      <c r="C1196">
        <v>0</v>
      </c>
      <c r="D1196">
        <v>1</v>
      </c>
      <c r="E1196" t="s">
        <v>1180</v>
      </c>
    </row>
    <row r="1197" spans="1:5">
      <c r="A1197">
        <f>HYPERLINK("http://www.twitter.com/NYCHA/status/760956702736977920", "760956702736977920")</f>
        <v>0</v>
      </c>
      <c r="B1197" s="2">
        <v>42585.9119212963</v>
      </c>
      <c r="C1197">
        <v>0</v>
      </c>
      <c r="D1197">
        <v>1</v>
      </c>
      <c r="E1197" t="s">
        <v>1181</v>
      </c>
    </row>
    <row r="1198" spans="1:5">
      <c r="A1198">
        <f>HYPERLINK("http://www.twitter.com/NYCHA/status/760956219272073216", "760956219272073216")</f>
        <v>0</v>
      </c>
      <c r="B1198" s="2">
        <v>42585.9105902778</v>
      </c>
      <c r="C1198">
        <v>0</v>
      </c>
      <c r="D1198">
        <v>1</v>
      </c>
      <c r="E1198" t="s">
        <v>1182</v>
      </c>
    </row>
    <row r="1199" spans="1:5">
      <c r="A1199">
        <f>HYPERLINK("http://www.twitter.com/NYCHA/status/760956181254987778", "760956181254987778")</f>
        <v>0</v>
      </c>
      <c r="B1199" s="2">
        <v>42585.9104861111</v>
      </c>
      <c r="C1199">
        <v>0</v>
      </c>
      <c r="D1199">
        <v>1</v>
      </c>
      <c r="E1199" t="s">
        <v>1183</v>
      </c>
    </row>
    <row r="1200" spans="1:5">
      <c r="A1200">
        <f>HYPERLINK("http://www.twitter.com/NYCHA/status/760956118625640448", "760956118625640448")</f>
        <v>0</v>
      </c>
      <c r="B1200" s="2">
        <v>42585.9103125</v>
      </c>
      <c r="C1200">
        <v>0</v>
      </c>
      <c r="D1200">
        <v>1</v>
      </c>
      <c r="E1200" t="s">
        <v>1184</v>
      </c>
    </row>
    <row r="1201" spans="1:5">
      <c r="A1201">
        <f>HYPERLINK("http://www.twitter.com/NYCHA/status/760956062128304130", "760956062128304130")</f>
        <v>0</v>
      </c>
      <c r="B1201" s="2">
        <v>42585.910150463</v>
      </c>
      <c r="C1201">
        <v>1</v>
      </c>
      <c r="D1201">
        <v>1</v>
      </c>
      <c r="E1201" t="s">
        <v>1185</v>
      </c>
    </row>
    <row r="1202" spans="1:5">
      <c r="A1202">
        <f>HYPERLINK("http://www.twitter.com/NYCHA/status/760955972244430852", "760955972244430852")</f>
        <v>0</v>
      </c>
      <c r="B1202" s="2">
        <v>42585.9099074074</v>
      </c>
      <c r="C1202">
        <v>1</v>
      </c>
      <c r="D1202">
        <v>0</v>
      </c>
      <c r="E1202" t="s">
        <v>1186</v>
      </c>
    </row>
    <row r="1203" spans="1:5">
      <c r="A1203">
        <f>HYPERLINK("http://www.twitter.com/NYCHA/status/760955901939507200", "760955901939507200")</f>
        <v>0</v>
      </c>
      <c r="B1203" s="2">
        <v>42585.9097106481</v>
      </c>
      <c r="C1203">
        <v>2</v>
      </c>
      <c r="D1203">
        <v>2</v>
      </c>
      <c r="E1203" t="s">
        <v>1187</v>
      </c>
    </row>
    <row r="1204" spans="1:5">
      <c r="A1204">
        <f>HYPERLINK("http://www.twitter.com/NYCHA/status/760955708439465984", "760955708439465984")</f>
        <v>0</v>
      </c>
      <c r="B1204" s="2">
        <v>42585.9091782407</v>
      </c>
      <c r="C1204">
        <v>1</v>
      </c>
      <c r="D1204">
        <v>0</v>
      </c>
      <c r="E1204" t="s">
        <v>1188</v>
      </c>
    </row>
    <row r="1205" spans="1:5">
      <c r="A1205">
        <f>HYPERLINK("http://www.twitter.com/NYCHA/status/760955621458018304", "760955621458018304")</f>
        <v>0</v>
      </c>
      <c r="B1205" s="2">
        <v>42585.9089351852</v>
      </c>
      <c r="C1205">
        <v>0</v>
      </c>
      <c r="D1205">
        <v>1</v>
      </c>
      <c r="E1205" t="s">
        <v>1189</v>
      </c>
    </row>
    <row r="1206" spans="1:5">
      <c r="A1206">
        <f>HYPERLINK("http://www.twitter.com/NYCHA/status/760954661377568768", "760954661377568768")</f>
        <v>0</v>
      </c>
      <c r="B1206" s="2">
        <v>42585.9062847222</v>
      </c>
      <c r="C1206">
        <v>1</v>
      </c>
      <c r="D1206">
        <v>0</v>
      </c>
      <c r="E1206" t="s">
        <v>1190</v>
      </c>
    </row>
    <row r="1207" spans="1:5">
      <c r="A1207">
        <f>HYPERLINK("http://www.twitter.com/NYCHA/status/760954137026695169", "760954137026695169")</f>
        <v>0</v>
      </c>
      <c r="B1207" s="2">
        <v>42585.904837963</v>
      </c>
      <c r="C1207">
        <v>0</v>
      </c>
      <c r="D1207">
        <v>0</v>
      </c>
      <c r="E1207" t="s">
        <v>1191</v>
      </c>
    </row>
    <row r="1208" spans="1:5">
      <c r="A1208">
        <f>HYPERLINK("http://www.twitter.com/NYCHA/status/760953425454661632", "760953425454661632")</f>
        <v>0</v>
      </c>
      <c r="B1208" s="2">
        <v>42585.9028819444</v>
      </c>
      <c r="C1208">
        <v>0</v>
      </c>
      <c r="D1208">
        <v>1</v>
      </c>
      <c r="E1208" t="s">
        <v>1192</v>
      </c>
    </row>
    <row r="1209" spans="1:5">
      <c r="A1209">
        <f>HYPERLINK("http://www.twitter.com/NYCHA/status/760952024636809217", "760952024636809217")</f>
        <v>0</v>
      </c>
      <c r="B1209" s="2">
        <v>42585.8990162037</v>
      </c>
      <c r="C1209">
        <v>0</v>
      </c>
      <c r="D1209">
        <v>5</v>
      </c>
      <c r="E1209" t="s">
        <v>1193</v>
      </c>
    </row>
    <row r="1210" spans="1:5">
      <c r="A1210">
        <f>HYPERLINK("http://www.twitter.com/NYCHA/status/760928427180449792", "760928427180449792")</f>
        <v>0</v>
      </c>
      <c r="B1210" s="2">
        <v>42585.833900463</v>
      </c>
      <c r="C1210">
        <v>6</v>
      </c>
      <c r="D1210">
        <v>5</v>
      </c>
      <c r="E1210" t="s">
        <v>1194</v>
      </c>
    </row>
    <row r="1211" spans="1:5">
      <c r="A1211">
        <f>HYPERLINK("http://www.twitter.com/NYCHA/status/760913374884532224", "760913374884532224")</f>
        <v>0</v>
      </c>
      <c r="B1211" s="2">
        <v>42585.7923611111</v>
      </c>
      <c r="C1211">
        <v>3</v>
      </c>
      <c r="D1211">
        <v>1</v>
      </c>
      <c r="E1211" t="s">
        <v>1195</v>
      </c>
    </row>
    <row r="1212" spans="1:5">
      <c r="A1212">
        <f>HYPERLINK("http://www.twitter.com/NYCHA/status/760899412071739393", "760899412071739393")</f>
        <v>0</v>
      </c>
      <c r="B1212" s="2">
        <v>42585.7538310185</v>
      </c>
      <c r="C1212">
        <v>0</v>
      </c>
      <c r="D1212">
        <v>2</v>
      </c>
      <c r="E1212" t="s">
        <v>1196</v>
      </c>
    </row>
    <row r="1213" spans="1:5">
      <c r="A1213">
        <f>HYPERLINK("http://www.twitter.com/NYCHA/status/760894276570058752", "760894276570058752")</f>
        <v>0</v>
      </c>
      <c r="B1213" s="2">
        <v>42585.7396527778</v>
      </c>
      <c r="C1213">
        <v>0</v>
      </c>
      <c r="D1213">
        <v>0</v>
      </c>
      <c r="E1213" t="s">
        <v>1197</v>
      </c>
    </row>
    <row r="1214" spans="1:5">
      <c r="A1214">
        <f>HYPERLINK("http://www.twitter.com/NYCHA/status/760890708098215936", "760890708098215936")</f>
        <v>0</v>
      </c>
      <c r="B1214" s="2">
        <v>42585.7298148148</v>
      </c>
      <c r="C1214">
        <v>1</v>
      </c>
      <c r="D1214">
        <v>1</v>
      </c>
      <c r="E1214" t="s">
        <v>1198</v>
      </c>
    </row>
    <row r="1215" spans="1:5">
      <c r="A1215">
        <f>HYPERLINK("http://www.twitter.com/NYCHA/status/760877057538686976", "760877057538686976")</f>
        <v>0</v>
      </c>
      <c r="B1215" s="2">
        <v>42585.6921412037</v>
      </c>
      <c r="C1215">
        <v>0</v>
      </c>
      <c r="D1215">
        <v>2</v>
      </c>
      <c r="E1215" t="s">
        <v>1199</v>
      </c>
    </row>
    <row r="1216" spans="1:5">
      <c r="A1216">
        <f>HYPERLINK("http://www.twitter.com/NYCHA/status/760872938992173056", "760872938992173056")</f>
        <v>0</v>
      </c>
      <c r="B1216" s="2">
        <v>42585.680775463</v>
      </c>
      <c r="C1216">
        <v>0</v>
      </c>
      <c r="D1216">
        <v>4</v>
      </c>
      <c r="E1216" t="s">
        <v>1200</v>
      </c>
    </row>
    <row r="1217" spans="1:5">
      <c r="A1217">
        <f>HYPERLINK("http://www.twitter.com/NYCHA/status/760870059296292864", "760870059296292864")</f>
        <v>0</v>
      </c>
      <c r="B1217" s="2">
        <v>42585.6728356481</v>
      </c>
      <c r="C1217">
        <v>0</v>
      </c>
      <c r="D1217">
        <v>8</v>
      </c>
      <c r="E1217" t="s">
        <v>1201</v>
      </c>
    </row>
    <row r="1218" spans="1:5">
      <c r="A1218">
        <f>HYPERLINK("http://www.twitter.com/NYCHA/status/760863144134766592", "760863144134766592")</f>
        <v>0</v>
      </c>
      <c r="B1218" s="2">
        <v>42585.65375</v>
      </c>
      <c r="C1218">
        <v>5</v>
      </c>
      <c r="D1218">
        <v>6</v>
      </c>
      <c r="E1218" t="s">
        <v>1202</v>
      </c>
    </row>
    <row r="1219" spans="1:5">
      <c r="A1219">
        <f>HYPERLINK("http://www.twitter.com/NYCHA/status/760861681593573376", "760861681593573376")</f>
        <v>0</v>
      </c>
      <c r="B1219" s="2">
        <v>42585.6497106481</v>
      </c>
      <c r="C1219">
        <v>0</v>
      </c>
      <c r="D1219">
        <v>1</v>
      </c>
      <c r="E1219" t="s">
        <v>1203</v>
      </c>
    </row>
    <row r="1220" spans="1:5">
      <c r="A1220">
        <f>HYPERLINK("http://www.twitter.com/NYCHA/status/760860937423290368", "760860937423290368")</f>
        <v>0</v>
      </c>
      <c r="B1220" s="2">
        <v>42585.647662037</v>
      </c>
      <c r="C1220">
        <v>4</v>
      </c>
      <c r="D1220">
        <v>4</v>
      </c>
      <c r="E1220" t="s">
        <v>1204</v>
      </c>
    </row>
    <row r="1221" spans="1:5">
      <c r="A1221">
        <f>HYPERLINK("http://www.twitter.com/NYCHA/status/760859509237567488", "760859509237567488")</f>
        <v>0</v>
      </c>
      <c r="B1221" s="2">
        <v>42585.6437152778</v>
      </c>
      <c r="C1221">
        <v>3</v>
      </c>
      <c r="D1221">
        <v>4</v>
      </c>
      <c r="E1221" t="s">
        <v>1205</v>
      </c>
    </row>
    <row r="1222" spans="1:5">
      <c r="A1222">
        <f>HYPERLINK("http://www.twitter.com/NYCHA/status/760858776626876416", "760858776626876416")</f>
        <v>0</v>
      </c>
      <c r="B1222" s="2">
        <v>42585.6417013889</v>
      </c>
      <c r="C1222">
        <v>3</v>
      </c>
      <c r="D1222">
        <v>0</v>
      </c>
      <c r="E1222" t="s">
        <v>1206</v>
      </c>
    </row>
    <row r="1223" spans="1:5">
      <c r="A1223">
        <f>HYPERLINK("http://www.twitter.com/NYCHA/status/760857089858113536", "760857089858113536")</f>
        <v>0</v>
      </c>
      <c r="B1223" s="2">
        <v>42585.637037037</v>
      </c>
      <c r="C1223">
        <v>6</v>
      </c>
      <c r="D1223">
        <v>4</v>
      </c>
      <c r="E1223" t="s">
        <v>1207</v>
      </c>
    </row>
    <row r="1224" spans="1:5">
      <c r="A1224">
        <f>HYPERLINK("http://www.twitter.com/NYCHA/status/760855269777641472", "760855269777641472")</f>
        <v>0</v>
      </c>
      <c r="B1224" s="2">
        <v>42585.6320138889</v>
      </c>
      <c r="C1224">
        <v>2</v>
      </c>
      <c r="D1224">
        <v>1</v>
      </c>
      <c r="E1224" t="s">
        <v>1208</v>
      </c>
    </row>
    <row r="1225" spans="1:5">
      <c r="A1225">
        <f>HYPERLINK("http://www.twitter.com/NYCHA/status/760854744743108608", "760854744743108608")</f>
        <v>0</v>
      </c>
      <c r="B1225" s="2">
        <v>42585.6305671296</v>
      </c>
      <c r="C1225">
        <v>6</v>
      </c>
      <c r="D1225">
        <v>3</v>
      </c>
      <c r="E1225" t="s">
        <v>1209</v>
      </c>
    </row>
    <row r="1226" spans="1:5">
      <c r="A1226">
        <f>HYPERLINK("http://www.twitter.com/NYCHA/status/760853364557000706", "760853364557000706")</f>
        <v>0</v>
      </c>
      <c r="B1226" s="2">
        <v>42585.6267592593</v>
      </c>
      <c r="C1226">
        <v>2</v>
      </c>
      <c r="D1226">
        <v>1</v>
      </c>
      <c r="E1226" t="s">
        <v>1210</v>
      </c>
    </row>
    <row r="1227" spans="1:5">
      <c r="A1227">
        <f>HYPERLINK("http://www.twitter.com/NYCHA/status/760852642549628928", "760852642549628928")</f>
        <v>0</v>
      </c>
      <c r="B1227" s="2">
        <v>42585.6247685185</v>
      </c>
      <c r="C1227">
        <v>0</v>
      </c>
      <c r="D1227">
        <v>5</v>
      </c>
      <c r="E1227" t="s">
        <v>1211</v>
      </c>
    </row>
    <row r="1228" spans="1:5">
      <c r="A1228">
        <f>HYPERLINK("http://www.twitter.com/NYCHA/status/760852283454136320", "760852283454136320")</f>
        <v>0</v>
      </c>
      <c r="B1228" s="2">
        <v>42585.6237731481</v>
      </c>
      <c r="C1228">
        <v>0</v>
      </c>
      <c r="D1228">
        <v>3</v>
      </c>
      <c r="E1228" t="s">
        <v>1212</v>
      </c>
    </row>
    <row r="1229" spans="1:5">
      <c r="A1229">
        <f>HYPERLINK("http://www.twitter.com/NYCHA/status/760850761819361280", "760850761819361280")</f>
        <v>0</v>
      </c>
      <c r="B1229" s="2">
        <v>42585.6195833333</v>
      </c>
      <c r="C1229">
        <v>3</v>
      </c>
      <c r="D1229">
        <v>5</v>
      </c>
      <c r="E1229" t="s">
        <v>1213</v>
      </c>
    </row>
    <row r="1230" spans="1:5">
      <c r="A1230">
        <f>HYPERLINK("http://www.twitter.com/NYCHA/status/760838123127439361", "760838123127439361")</f>
        <v>0</v>
      </c>
      <c r="B1230" s="2">
        <v>42585.5846990741</v>
      </c>
      <c r="C1230">
        <v>2</v>
      </c>
      <c r="D1230">
        <v>2</v>
      </c>
      <c r="E1230" t="s">
        <v>1214</v>
      </c>
    </row>
    <row r="1231" spans="1:5">
      <c r="A1231">
        <f>HYPERLINK("http://www.twitter.com/NYCHA/status/760823961571749888", "760823961571749888")</f>
        <v>0</v>
      </c>
      <c r="B1231" s="2">
        <v>42585.545625</v>
      </c>
      <c r="C1231">
        <v>0</v>
      </c>
      <c r="D1231">
        <v>0</v>
      </c>
      <c r="E1231" t="s">
        <v>1215</v>
      </c>
    </row>
    <row r="1232" spans="1:5">
      <c r="A1232">
        <f>HYPERLINK("http://www.twitter.com/NYCHA/status/760823260510650369", "760823260510650369")</f>
        <v>0</v>
      </c>
      <c r="B1232" s="2">
        <v>42585.5436921296</v>
      </c>
      <c r="C1232">
        <v>1</v>
      </c>
      <c r="D1232">
        <v>0</v>
      </c>
      <c r="E1232" t="s">
        <v>1216</v>
      </c>
    </row>
    <row r="1233" spans="1:5">
      <c r="A1233">
        <f>HYPERLINK("http://www.twitter.com/NYCHA/status/760815936089751552", "760815936089751552")</f>
        <v>0</v>
      </c>
      <c r="B1233" s="2">
        <v>42585.5234837963</v>
      </c>
      <c r="C1233">
        <v>7</v>
      </c>
      <c r="D1233">
        <v>7</v>
      </c>
      <c r="E1233" t="s">
        <v>1217</v>
      </c>
    </row>
    <row r="1234" spans="1:5">
      <c r="A1234">
        <f>HYPERLINK("http://www.twitter.com/NYCHA/status/760785273437511680", "760785273437511680")</f>
        <v>0</v>
      </c>
      <c r="B1234" s="2">
        <v>42585.4388657407</v>
      </c>
      <c r="C1234">
        <v>0</v>
      </c>
      <c r="D1234">
        <v>8</v>
      </c>
      <c r="E1234" t="s">
        <v>1218</v>
      </c>
    </row>
    <row r="1235" spans="1:5">
      <c r="A1235">
        <f>HYPERLINK("http://www.twitter.com/NYCHA/status/760785073234972672", "760785073234972672")</f>
        <v>0</v>
      </c>
      <c r="B1235" s="2">
        <v>42585.4383101852</v>
      </c>
      <c r="C1235">
        <v>0</v>
      </c>
      <c r="D1235">
        <v>3</v>
      </c>
      <c r="E1235" t="s">
        <v>1219</v>
      </c>
    </row>
    <row r="1236" spans="1:5">
      <c r="A1236">
        <f>HYPERLINK("http://www.twitter.com/NYCHA/status/760650549482008577", "760650549482008577")</f>
        <v>0</v>
      </c>
      <c r="B1236" s="2">
        <v>42585.0670949074</v>
      </c>
      <c r="C1236">
        <v>0</v>
      </c>
      <c r="D1236">
        <v>2</v>
      </c>
      <c r="E1236" t="s">
        <v>1220</v>
      </c>
    </row>
    <row r="1237" spans="1:5">
      <c r="A1237">
        <f>HYPERLINK("http://www.twitter.com/NYCHA/status/760650535401697281", "760650535401697281")</f>
        <v>0</v>
      </c>
      <c r="B1237" s="2">
        <v>42585.0670601852</v>
      </c>
      <c r="C1237">
        <v>0</v>
      </c>
      <c r="D1237">
        <v>3</v>
      </c>
      <c r="E1237" t="s">
        <v>1221</v>
      </c>
    </row>
    <row r="1238" spans="1:5">
      <c r="A1238">
        <f>HYPERLINK("http://www.twitter.com/NYCHA/status/760650510617620481", "760650510617620481")</f>
        <v>0</v>
      </c>
      <c r="B1238" s="2">
        <v>42585.0669907407</v>
      </c>
      <c r="C1238">
        <v>0</v>
      </c>
      <c r="D1238">
        <v>1</v>
      </c>
      <c r="E1238" t="s">
        <v>1222</v>
      </c>
    </row>
    <row r="1239" spans="1:5">
      <c r="A1239">
        <f>HYPERLINK("http://www.twitter.com/NYCHA/status/760650468573884416", "760650468573884416")</f>
        <v>0</v>
      </c>
      <c r="B1239" s="2">
        <v>42585.066875</v>
      </c>
      <c r="C1239">
        <v>0</v>
      </c>
      <c r="D1239">
        <v>5</v>
      </c>
      <c r="E1239" t="s">
        <v>1223</v>
      </c>
    </row>
    <row r="1240" spans="1:5">
      <c r="A1240">
        <f>HYPERLINK("http://www.twitter.com/NYCHA/status/760650268446953472", "760650268446953472")</f>
        <v>0</v>
      </c>
      <c r="B1240" s="2">
        <v>42585.0663194444</v>
      </c>
      <c r="C1240">
        <v>0</v>
      </c>
      <c r="D1240">
        <v>1</v>
      </c>
      <c r="E1240" t="s">
        <v>1224</v>
      </c>
    </row>
    <row r="1241" spans="1:5">
      <c r="A1241">
        <f>HYPERLINK("http://www.twitter.com/NYCHA/status/760650221466578944", "760650221466578944")</f>
        <v>0</v>
      </c>
      <c r="B1241" s="2">
        <v>42585.0661921296</v>
      </c>
      <c r="C1241">
        <v>0</v>
      </c>
      <c r="D1241">
        <v>1</v>
      </c>
      <c r="E1241" t="s">
        <v>1225</v>
      </c>
    </row>
    <row r="1242" spans="1:5">
      <c r="A1242">
        <f>HYPERLINK("http://www.twitter.com/NYCHA/status/760650137806995456", "760650137806995456")</f>
        <v>0</v>
      </c>
      <c r="B1242" s="2">
        <v>42585.0659606481</v>
      </c>
      <c r="C1242">
        <v>0</v>
      </c>
      <c r="D1242">
        <v>1</v>
      </c>
      <c r="E1242" t="s">
        <v>1226</v>
      </c>
    </row>
    <row r="1243" spans="1:5">
      <c r="A1243">
        <f>HYPERLINK("http://www.twitter.com/NYCHA/status/760650019024363520", "760650019024363520")</f>
        <v>0</v>
      </c>
      <c r="B1243" s="2">
        <v>42585.0656365741</v>
      </c>
      <c r="C1243">
        <v>0</v>
      </c>
      <c r="D1243">
        <v>2</v>
      </c>
      <c r="E1243" t="s">
        <v>1227</v>
      </c>
    </row>
    <row r="1244" spans="1:5">
      <c r="A1244">
        <f>HYPERLINK("http://www.twitter.com/NYCHA/status/760578510461210626", "760578510461210626")</f>
        <v>0</v>
      </c>
      <c r="B1244" s="2">
        <v>42584.8683101852</v>
      </c>
      <c r="C1244">
        <v>0</v>
      </c>
      <c r="D1244">
        <v>0</v>
      </c>
      <c r="E1244" t="s">
        <v>1228</v>
      </c>
    </row>
    <row r="1245" spans="1:5">
      <c r="A1245">
        <f>HYPERLINK("http://www.twitter.com/NYCHA/status/760568124915716097", "760568124915716097")</f>
        <v>0</v>
      </c>
      <c r="B1245" s="2">
        <v>42584.8396527778</v>
      </c>
      <c r="C1245">
        <v>4</v>
      </c>
      <c r="D1245">
        <v>5</v>
      </c>
      <c r="E1245" t="s">
        <v>1229</v>
      </c>
    </row>
    <row r="1246" spans="1:5">
      <c r="A1246">
        <f>HYPERLINK("http://www.twitter.com/NYCHA/status/760549822264905729", "760549822264905729")</f>
        <v>0</v>
      </c>
      <c r="B1246" s="2">
        <v>42584.7891435185</v>
      </c>
      <c r="C1246">
        <v>2</v>
      </c>
      <c r="D1246">
        <v>2</v>
      </c>
      <c r="E1246" t="s">
        <v>1230</v>
      </c>
    </row>
    <row r="1247" spans="1:5">
      <c r="A1247">
        <f>HYPERLINK("http://www.twitter.com/NYCHA/status/760545031757373441", "760545031757373441")</f>
        <v>0</v>
      </c>
      <c r="B1247" s="2">
        <v>42584.7759259259</v>
      </c>
      <c r="C1247">
        <v>0</v>
      </c>
      <c r="D1247">
        <v>1</v>
      </c>
      <c r="E1247" t="s">
        <v>1231</v>
      </c>
    </row>
    <row r="1248" spans="1:5">
      <c r="A1248">
        <f>HYPERLINK("http://www.twitter.com/NYCHA/status/760544990913241088", "760544990913241088")</f>
        <v>0</v>
      </c>
      <c r="B1248" s="2">
        <v>42584.7758101852</v>
      </c>
      <c r="C1248">
        <v>0</v>
      </c>
      <c r="D1248">
        <v>3</v>
      </c>
      <c r="E1248" t="s">
        <v>1232</v>
      </c>
    </row>
    <row r="1249" spans="1:5">
      <c r="A1249">
        <f>HYPERLINK("http://www.twitter.com/NYCHA/status/760541102567030784", "760541102567030784")</f>
        <v>0</v>
      </c>
      <c r="B1249" s="2">
        <v>42584.7650810185</v>
      </c>
      <c r="C1249">
        <v>0</v>
      </c>
      <c r="D1249">
        <v>6</v>
      </c>
      <c r="E1249" t="s">
        <v>1233</v>
      </c>
    </row>
    <row r="1250" spans="1:5">
      <c r="A1250">
        <f>HYPERLINK("http://www.twitter.com/NYCHA/status/760528155539042305", "760528155539042305")</f>
        <v>0</v>
      </c>
      <c r="B1250" s="2">
        <v>42584.7293518518</v>
      </c>
      <c r="C1250">
        <v>1</v>
      </c>
      <c r="D1250">
        <v>0</v>
      </c>
      <c r="E1250" t="s">
        <v>1234</v>
      </c>
    </row>
    <row r="1251" spans="1:5">
      <c r="A1251">
        <f>HYPERLINK("http://www.twitter.com/NYCHA/status/760515573449121792", "760515573449121792")</f>
        <v>0</v>
      </c>
      <c r="B1251" s="2">
        <v>42584.6946412037</v>
      </c>
      <c r="C1251">
        <v>0</v>
      </c>
      <c r="D1251">
        <v>74</v>
      </c>
      <c r="E1251" t="s">
        <v>1235</v>
      </c>
    </row>
    <row r="1252" spans="1:5">
      <c r="A1252">
        <f>HYPERLINK("http://www.twitter.com/NYCHA/status/760515332742193153", "760515332742193153")</f>
        <v>0</v>
      </c>
      <c r="B1252" s="2">
        <v>42584.6939699074</v>
      </c>
      <c r="C1252">
        <v>0</v>
      </c>
      <c r="D1252">
        <v>4</v>
      </c>
      <c r="E1252" t="s">
        <v>1236</v>
      </c>
    </row>
    <row r="1253" spans="1:5">
      <c r="A1253">
        <f>HYPERLINK("http://www.twitter.com/NYCHA/status/760510720459022336", "760510720459022336")</f>
        <v>0</v>
      </c>
      <c r="B1253" s="2">
        <v>42584.68125</v>
      </c>
      <c r="C1253">
        <v>0</v>
      </c>
      <c r="D1253">
        <v>4</v>
      </c>
      <c r="E1253" t="s">
        <v>1237</v>
      </c>
    </row>
    <row r="1254" spans="1:5">
      <c r="A1254">
        <f>HYPERLINK("http://www.twitter.com/NYCHA/status/760510670014124033", "760510670014124033")</f>
        <v>0</v>
      </c>
      <c r="B1254" s="2">
        <v>42584.681099537</v>
      </c>
      <c r="C1254">
        <v>0</v>
      </c>
      <c r="D1254">
        <v>3</v>
      </c>
      <c r="E1254" t="s">
        <v>1238</v>
      </c>
    </row>
    <row r="1255" spans="1:5">
      <c r="A1255">
        <f>HYPERLINK("http://www.twitter.com/NYCHA/status/760501754089902080", "760501754089902080")</f>
        <v>0</v>
      </c>
      <c r="B1255" s="2">
        <v>42584.6565046296</v>
      </c>
      <c r="C1255">
        <v>0</v>
      </c>
      <c r="D1255">
        <v>20</v>
      </c>
      <c r="E1255" t="s">
        <v>1239</v>
      </c>
    </row>
    <row r="1256" spans="1:5">
      <c r="A1256">
        <f>HYPERLINK("http://www.twitter.com/NYCHA/status/760475667217715200", "760475667217715200")</f>
        <v>0</v>
      </c>
      <c r="B1256" s="2">
        <v>42584.5845138889</v>
      </c>
      <c r="C1256">
        <v>2</v>
      </c>
      <c r="D1256">
        <v>1</v>
      </c>
      <c r="E1256" t="s">
        <v>1240</v>
      </c>
    </row>
    <row r="1257" spans="1:5">
      <c r="A1257">
        <f>HYPERLINK("http://www.twitter.com/NYCHA/status/760461560573747200", "760461560573747200")</f>
        <v>0</v>
      </c>
      <c r="B1257" s="2">
        <v>42584.5455902778</v>
      </c>
      <c r="C1257">
        <v>0</v>
      </c>
      <c r="D1257">
        <v>0</v>
      </c>
      <c r="E1257" t="s">
        <v>1241</v>
      </c>
    </row>
    <row r="1258" spans="1:5">
      <c r="A1258">
        <f>HYPERLINK("http://www.twitter.com/NYCHA/status/760460869243379712", "760460869243379712")</f>
        <v>0</v>
      </c>
      <c r="B1258" s="2">
        <v>42584.5436805556</v>
      </c>
      <c r="C1258">
        <v>2</v>
      </c>
      <c r="D1258">
        <v>1</v>
      </c>
      <c r="E1258" t="s">
        <v>1242</v>
      </c>
    </row>
    <row r="1259" spans="1:5">
      <c r="A1259">
        <f>HYPERLINK("http://www.twitter.com/NYCHA/status/760236187172892674", "760236187172892674")</f>
        <v>0</v>
      </c>
      <c r="B1259" s="2">
        <v>42583.9236805556</v>
      </c>
      <c r="C1259">
        <v>0</v>
      </c>
      <c r="D1259">
        <v>0</v>
      </c>
      <c r="E1259" t="s">
        <v>1243</v>
      </c>
    </row>
    <row r="1260" spans="1:5">
      <c r="A1260">
        <f>HYPERLINK("http://www.twitter.com/NYCHA/status/760168616000122881", "760168616000122881")</f>
        <v>0</v>
      </c>
      <c r="B1260" s="2">
        <v>42583.7372106481</v>
      </c>
      <c r="C1260">
        <v>0</v>
      </c>
      <c r="D1260">
        <v>1</v>
      </c>
      <c r="E1260" t="s">
        <v>1244</v>
      </c>
    </row>
    <row r="1261" spans="1:5">
      <c r="A1261">
        <f>HYPERLINK("http://www.twitter.com/NYCHA/status/760151817372233728", "760151817372233728")</f>
        <v>0</v>
      </c>
      <c r="B1261" s="2">
        <v>42583.6908564815</v>
      </c>
      <c r="C1261">
        <v>0</v>
      </c>
      <c r="D1261">
        <v>2</v>
      </c>
      <c r="E1261" t="s">
        <v>1245</v>
      </c>
    </row>
    <row r="1262" spans="1:5">
      <c r="A1262">
        <f>HYPERLINK("http://www.twitter.com/NYCHA/status/760128680827977728", "760128680827977728")</f>
        <v>0</v>
      </c>
      <c r="B1262" s="2">
        <v>42583.6270138889</v>
      </c>
      <c r="C1262">
        <v>1</v>
      </c>
      <c r="D1262">
        <v>0</v>
      </c>
      <c r="E1262" t="s">
        <v>1246</v>
      </c>
    </row>
    <row r="1263" spans="1:5">
      <c r="A1263">
        <f>HYPERLINK("http://www.twitter.com/NYCHA/status/760113329893412864", "760113329893412864")</f>
        <v>0</v>
      </c>
      <c r="B1263" s="2">
        <v>42583.5846527778</v>
      </c>
      <c r="C1263">
        <v>1</v>
      </c>
      <c r="D1263">
        <v>2</v>
      </c>
      <c r="E1263" t="s">
        <v>1247</v>
      </c>
    </row>
    <row r="1264" spans="1:5">
      <c r="A1264">
        <f>HYPERLINK("http://www.twitter.com/NYCHA/status/760108049470263296", "760108049470263296")</f>
        <v>0</v>
      </c>
      <c r="B1264" s="2">
        <v>42583.5700810185</v>
      </c>
      <c r="C1264">
        <v>0</v>
      </c>
      <c r="D1264">
        <v>7</v>
      </c>
      <c r="E1264" t="s">
        <v>1248</v>
      </c>
    </row>
    <row r="1265" spans="1:5">
      <c r="A1265">
        <f>HYPERLINK("http://www.twitter.com/NYCHA/status/760107911158824960", "760107911158824960")</f>
        <v>0</v>
      </c>
      <c r="B1265" s="2">
        <v>42583.5696990741</v>
      </c>
      <c r="C1265">
        <v>0</v>
      </c>
      <c r="D1265">
        <v>39</v>
      </c>
      <c r="E1265" t="s">
        <v>1249</v>
      </c>
    </row>
    <row r="1266" spans="1:5">
      <c r="A1266">
        <f>HYPERLINK("http://www.twitter.com/NYCHA/status/760099165212905472", "760099165212905472")</f>
        <v>0</v>
      </c>
      <c r="B1266" s="2">
        <v>42583.5455671296</v>
      </c>
      <c r="C1266">
        <v>0</v>
      </c>
      <c r="D1266">
        <v>1</v>
      </c>
      <c r="E1266" t="s">
        <v>1250</v>
      </c>
    </row>
    <row r="1267" spans="1:5">
      <c r="A1267">
        <f>HYPERLINK("http://www.twitter.com/NYCHA/status/760098433797656576", "760098433797656576")</f>
        <v>0</v>
      </c>
      <c r="B1267" s="2">
        <v>42583.5435532407</v>
      </c>
      <c r="C1267">
        <v>0</v>
      </c>
      <c r="D1267">
        <v>0</v>
      </c>
      <c r="E1267" t="s">
        <v>1251</v>
      </c>
    </row>
    <row r="1268" spans="1:5">
      <c r="A1268">
        <f>HYPERLINK("http://www.twitter.com/NYCHA/status/759780980064387072", "759780980064387072")</f>
        <v>0</v>
      </c>
      <c r="B1268" s="2">
        <v>42582.6675462963</v>
      </c>
      <c r="C1268">
        <v>7</v>
      </c>
      <c r="D1268">
        <v>6</v>
      </c>
      <c r="E1268" t="s">
        <v>1252</v>
      </c>
    </row>
    <row r="1269" spans="1:5">
      <c r="A1269">
        <f>HYPERLINK("http://www.twitter.com/NYCHA/status/759750889133473792", "759750889133473792")</f>
        <v>0</v>
      </c>
      <c r="B1269" s="2">
        <v>42582.5845138889</v>
      </c>
      <c r="C1269">
        <v>1</v>
      </c>
      <c r="D1269">
        <v>0</v>
      </c>
      <c r="E1269" t="s">
        <v>1253</v>
      </c>
    </row>
    <row r="1270" spans="1:5">
      <c r="A1270">
        <f>HYPERLINK("http://www.twitter.com/NYCHA/status/759388636232224768", "759388636232224768")</f>
        <v>0</v>
      </c>
      <c r="B1270" s="2">
        <v>42581.5848842593</v>
      </c>
      <c r="C1270">
        <v>3</v>
      </c>
      <c r="D1270">
        <v>1</v>
      </c>
      <c r="E1270" t="s">
        <v>1254</v>
      </c>
    </row>
    <row r="1271" spans="1:5">
      <c r="A1271">
        <f>HYPERLINK("http://www.twitter.com/NYCHA/status/759112201961672704", "759112201961672704")</f>
        <v>0</v>
      </c>
      <c r="B1271" s="2">
        <v>42580.8220717593</v>
      </c>
      <c r="C1271">
        <v>0</v>
      </c>
      <c r="D1271">
        <v>2</v>
      </c>
      <c r="E1271" t="s">
        <v>1255</v>
      </c>
    </row>
    <row r="1272" spans="1:5">
      <c r="A1272">
        <f>HYPERLINK("http://www.twitter.com/NYCHA/status/759109746016284672", "759109746016284672")</f>
        <v>0</v>
      </c>
      <c r="B1272" s="2">
        <v>42580.8152893518</v>
      </c>
      <c r="C1272">
        <v>0</v>
      </c>
      <c r="D1272">
        <v>5</v>
      </c>
      <c r="E1272" t="s">
        <v>1256</v>
      </c>
    </row>
    <row r="1273" spans="1:5">
      <c r="A1273">
        <f>HYPERLINK("http://www.twitter.com/NYCHA/status/759086687473508352", "759086687473508352")</f>
        <v>0</v>
      </c>
      <c r="B1273" s="2">
        <v>42580.7516666667</v>
      </c>
      <c r="C1273">
        <v>0</v>
      </c>
      <c r="D1273">
        <v>0</v>
      </c>
      <c r="E1273" t="s">
        <v>1257</v>
      </c>
    </row>
    <row r="1274" spans="1:5">
      <c r="A1274">
        <f>HYPERLINK("http://www.twitter.com/NYCHA/status/759077651185278976", "759077651185278976")</f>
        <v>0</v>
      </c>
      <c r="B1274" s="2">
        <v>42580.726724537</v>
      </c>
      <c r="C1274">
        <v>0</v>
      </c>
      <c r="D1274">
        <v>0</v>
      </c>
      <c r="E1274" t="s">
        <v>1258</v>
      </c>
    </row>
    <row r="1275" spans="1:5">
      <c r="A1275">
        <f>HYPERLINK("http://www.twitter.com/NYCHA/status/759041575989022720", "759041575989022720")</f>
        <v>0</v>
      </c>
      <c r="B1275" s="2">
        <v>42580.6271759259</v>
      </c>
      <c r="C1275">
        <v>1</v>
      </c>
      <c r="D1275">
        <v>0</v>
      </c>
      <c r="E1275" t="s">
        <v>1259</v>
      </c>
    </row>
    <row r="1276" spans="1:5">
      <c r="A1276">
        <f>HYPERLINK("http://www.twitter.com/NYCHA/status/759032459413581824", "759032459413581824")</f>
        <v>0</v>
      </c>
      <c r="B1276" s="2">
        <v>42580.602025463</v>
      </c>
      <c r="C1276">
        <v>7</v>
      </c>
      <c r="D1276">
        <v>6</v>
      </c>
      <c r="E1276" t="s">
        <v>1260</v>
      </c>
    </row>
    <row r="1277" spans="1:5">
      <c r="A1277">
        <f>HYPERLINK("http://www.twitter.com/NYCHA/status/759031938682351616", "759031938682351616")</f>
        <v>0</v>
      </c>
      <c r="B1277" s="2">
        <v>42580.6005787037</v>
      </c>
      <c r="C1277">
        <v>0</v>
      </c>
      <c r="D1277">
        <v>2</v>
      </c>
      <c r="E1277" t="s">
        <v>1261</v>
      </c>
    </row>
    <row r="1278" spans="1:5">
      <c r="A1278">
        <f>HYPERLINK("http://www.twitter.com/NYCHA/status/759031921452146689", "759031921452146689")</f>
        <v>0</v>
      </c>
      <c r="B1278" s="2">
        <v>42580.6005324074</v>
      </c>
      <c r="C1278">
        <v>0</v>
      </c>
      <c r="D1278">
        <v>2</v>
      </c>
      <c r="E1278" t="s">
        <v>1262</v>
      </c>
    </row>
    <row r="1279" spans="1:5">
      <c r="A1279">
        <f>HYPERLINK("http://www.twitter.com/NYCHA/status/759019978490195974", "759019978490195974")</f>
        <v>0</v>
      </c>
      <c r="B1279" s="2">
        <v>42580.5675810185</v>
      </c>
      <c r="C1279">
        <v>0</v>
      </c>
      <c r="D1279">
        <v>3</v>
      </c>
      <c r="E1279" t="s">
        <v>1263</v>
      </c>
    </row>
    <row r="1280" spans="1:5">
      <c r="A1280">
        <f>HYPERLINK("http://www.twitter.com/NYCHA/status/759019965454442496", "759019965454442496")</f>
        <v>0</v>
      </c>
      <c r="B1280" s="2">
        <v>42580.5675462963</v>
      </c>
      <c r="C1280">
        <v>0</v>
      </c>
      <c r="D1280">
        <v>5</v>
      </c>
      <c r="E1280" t="s">
        <v>1264</v>
      </c>
    </row>
    <row r="1281" spans="1:5">
      <c r="A1281">
        <f>HYPERLINK("http://www.twitter.com/NYCHA/status/759019932969336834", "759019932969336834")</f>
        <v>0</v>
      </c>
      <c r="B1281" s="2">
        <v>42580.5674537037</v>
      </c>
      <c r="C1281">
        <v>0</v>
      </c>
      <c r="D1281">
        <v>3</v>
      </c>
      <c r="E1281" t="s">
        <v>1265</v>
      </c>
    </row>
    <row r="1282" spans="1:5">
      <c r="A1282">
        <f>HYPERLINK("http://www.twitter.com/NYCHA/status/759019923926495232", "759019923926495232")</f>
        <v>0</v>
      </c>
      <c r="B1282" s="2">
        <v>42580.5674305556</v>
      </c>
      <c r="C1282">
        <v>0</v>
      </c>
      <c r="D1282">
        <v>3</v>
      </c>
      <c r="E1282" t="s">
        <v>1266</v>
      </c>
    </row>
    <row r="1283" spans="1:5">
      <c r="A1283">
        <f>HYPERLINK("http://www.twitter.com/NYCHA/status/759019914837434372", "759019914837434372")</f>
        <v>0</v>
      </c>
      <c r="B1283" s="2">
        <v>42580.5674074074</v>
      </c>
      <c r="C1283">
        <v>0</v>
      </c>
      <c r="D1283">
        <v>1</v>
      </c>
      <c r="E1283" t="s">
        <v>1267</v>
      </c>
    </row>
    <row r="1284" spans="1:5">
      <c r="A1284">
        <f>HYPERLINK("http://www.twitter.com/NYCHA/status/759019574083792900", "759019574083792900")</f>
        <v>0</v>
      </c>
      <c r="B1284" s="2">
        <v>42580.5664699074</v>
      </c>
      <c r="C1284">
        <v>0</v>
      </c>
      <c r="D1284">
        <v>0</v>
      </c>
      <c r="E1284" t="s">
        <v>1268</v>
      </c>
    </row>
    <row r="1285" spans="1:5">
      <c r="A1285">
        <f>HYPERLINK("http://www.twitter.com/NYCHA/status/759016834678960128", "759016834678960128")</f>
        <v>0</v>
      </c>
      <c r="B1285" s="2">
        <v>42580.558900463</v>
      </c>
      <c r="C1285">
        <v>0</v>
      </c>
      <c r="D1285">
        <v>3</v>
      </c>
      <c r="E1285" t="s">
        <v>1269</v>
      </c>
    </row>
    <row r="1286" spans="1:5">
      <c r="A1286">
        <f>HYPERLINK("http://www.twitter.com/NYCHA/status/759012024986718208", "759012024986718208")</f>
        <v>0</v>
      </c>
      <c r="B1286" s="2">
        <v>42580.5456365741</v>
      </c>
      <c r="C1286">
        <v>1</v>
      </c>
      <c r="D1286">
        <v>0</v>
      </c>
      <c r="E1286" t="s">
        <v>1270</v>
      </c>
    </row>
    <row r="1287" spans="1:5">
      <c r="A1287">
        <f>HYPERLINK("http://www.twitter.com/NYCHA/status/759011232774967296", "759011232774967296")</f>
        <v>0</v>
      </c>
      <c r="B1287" s="2">
        <v>42580.5434490741</v>
      </c>
      <c r="C1287">
        <v>0</v>
      </c>
      <c r="D1287">
        <v>1</v>
      </c>
      <c r="E1287" t="s">
        <v>1271</v>
      </c>
    </row>
    <row r="1288" spans="1:5">
      <c r="A1288">
        <f>HYPERLINK("http://www.twitter.com/NYCHA/status/758819179839361024", "758819179839361024")</f>
        <v>0</v>
      </c>
      <c r="B1288" s="2">
        <v>42580.0134837963</v>
      </c>
      <c r="C1288">
        <v>2</v>
      </c>
      <c r="D1288">
        <v>1</v>
      </c>
      <c r="E1288" t="s">
        <v>1272</v>
      </c>
    </row>
    <row r="1289" spans="1:5">
      <c r="A1289">
        <f>HYPERLINK("http://www.twitter.com/NYCHA/status/758818469588545536", "758818469588545536")</f>
        <v>0</v>
      </c>
      <c r="B1289" s="2">
        <v>42580.0115162037</v>
      </c>
      <c r="C1289">
        <v>0</v>
      </c>
      <c r="D1289">
        <v>0</v>
      </c>
      <c r="E1289" s="3" t="s">
        <v>1273</v>
      </c>
    </row>
    <row r="1290" spans="1:5">
      <c r="A1290">
        <f>HYPERLINK("http://www.twitter.com/NYCHA/status/758766578997530624", "758766578997530624")</f>
        <v>0</v>
      </c>
      <c r="B1290" s="2">
        <v>42579.8683333333</v>
      </c>
      <c r="C1290">
        <v>2</v>
      </c>
      <c r="D1290">
        <v>0</v>
      </c>
      <c r="E1290" t="s">
        <v>1274</v>
      </c>
    </row>
    <row r="1291" spans="1:5">
      <c r="A1291">
        <f>HYPERLINK("http://www.twitter.com/NYCHA/status/758689884244697092", "758689884244697092")</f>
        <v>0</v>
      </c>
      <c r="B1291" s="2">
        <v>42579.6566898148</v>
      </c>
      <c r="C1291">
        <v>1</v>
      </c>
      <c r="D1291">
        <v>0</v>
      </c>
      <c r="E1291" t="s">
        <v>1275</v>
      </c>
    </row>
    <row r="1292" spans="1:5">
      <c r="A1292">
        <f>HYPERLINK("http://www.twitter.com/NYCHA/status/758682001050394624", "758682001050394624")</f>
        <v>0</v>
      </c>
      <c r="B1292" s="2">
        <v>42579.6349421296</v>
      </c>
      <c r="C1292">
        <v>0</v>
      </c>
      <c r="D1292">
        <v>2</v>
      </c>
      <c r="E1292" t="s">
        <v>1276</v>
      </c>
    </row>
    <row r="1293" spans="1:5">
      <c r="A1293">
        <f>HYPERLINK("http://www.twitter.com/NYCHA/status/758681995585130496", "758681995585130496")</f>
        <v>0</v>
      </c>
      <c r="B1293" s="2">
        <v>42579.6349305556</v>
      </c>
      <c r="C1293">
        <v>0</v>
      </c>
      <c r="D1293">
        <v>1</v>
      </c>
      <c r="E1293" t="s">
        <v>1277</v>
      </c>
    </row>
    <row r="1294" spans="1:5">
      <c r="A1294">
        <f>HYPERLINK("http://www.twitter.com/NYCHA/status/758679122214346754", "758679122214346754")</f>
        <v>0</v>
      </c>
      <c r="B1294" s="2">
        <v>42579.6269907407</v>
      </c>
      <c r="C1294">
        <v>2</v>
      </c>
      <c r="D1294">
        <v>1</v>
      </c>
      <c r="E1294" t="s">
        <v>1278</v>
      </c>
    </row>
    <row r="1295" spans="1:5">
      <c r="A1295">
        <f>HYPERLINK("http://www.twitter.com/NYCHA/status/758668780880924672", "758668780880924672")</f>
        <v>0</v>
      </c>
      <c r="B1295" s="2">
        <v>42579.5984606482</v>
      </c>
      <c r="C1295">
        <v>0</v>
      </c>
      <c r="D1295">
        <v>5</v>
      </c>
      <c r="E1295" t="s">
        <v>1279</v>
      </c>
    </row>
    <row r="1296" spans="1:5">
      <c r="A1296">
        <f>HYPERLINK("http://www.twitter.com/NYCHA/status/758668759221542912", "758668759221542912")</f>
        <v>0</v>
      </c>
      <c r="B1296" s="2">
        <v>42579.5984027778</v>
      </c>
      <c r="C1296">
        <v>0</v>
      </c>
      <c r="D1296">
        <v>3</v>
      </c>
      <c r="E1296" t="s">
        <v>1280</v>
      </c>
    </row>
    <row r="1297" spans="1:5">
      <c r="A1297">
        <f>HYPERLINK("http://www.twitter.com/NYCHA/status/758668759175430144", "758668759175430144")</f>
        <v>0</v>
      </c>
      <c r="B1297" s="2">
        <v>42579.5984027778</v>
      </c>
      <c r="C1297">
        <v>0</v>
      </c>
      <c r="D1297">
        <v>4</v>
      </c>
      <c r="E1297" t="s">
        <v>1281</v>
      </c>
    </row>
    <row r="1298" spans="1:5">
      <c r="A1298">
        <f>HYPERLINK("http://www.twitter.com/NYCHA/status/758663922891227136", "758663922891227136")</f>
        <v>0</v>
      </c>
      <c r="B1298" s="2">
        <v>42579.5850578704</v>
      </c>
      <c r="C1298">
        <v>0</v>
      </c>
      <c r="D1298">
        <v>1</v>
      </c>
      <c r="E1298" t="s">
        <v>1282</v>
      </c>
    </row>
    <row r="1299" spans="1:5">
      <c r="A1299">
        <f>HYPERLINK("http://www.twitter.com/NYCHA/status/758663709912891392", "758663709912891392")</f>
        <v>0</v>
      </c>
      <c r="B1299" s="2">
        <v>42579.5844675926</v>
      </c>
      <c r="C1299">
        <v>0</v>
      </c>
      <c r="D1299">
        <v>1</v>
      </c>
      <c r="E1299" t="s">
        <v>1283</v>
      </c>
    </row>
    <row r="1300" spans="1:5">
      <c r="A1300">
        <f>HYPERLINK("http://www.twitter.com/NYCHA/status/758663674118668289", "758663674118668289")</f>
        <v>0</v>
      </c>
      <c r="B1300" s="2">
        <v>42579.5843634259</v>
      </c>
      <c r="C1300">
        <v>1</v>
      </c>
      <c r="D1300">
        <v>0</v>
      </c>
      <c r="E1300" t="s">
        <v>1284</v>
      </c>
    </row>
    <row r="1301" spans="1:5">
      <c r="A1301">
        <f>HYPERLINK("http://www.twitter.com/NYCHA/status/758649635636449280", "758649635636449280")</f>
        <v>0</v>
      </c>
      <c r="B1301" s="2">
        <v>42579.545625</v>
      </c>
      <c r="C1301">
        <v>0</v>
      </c>
      <c r="D1301">
        <v>3</v>
      </c>
      <c r="E1301" t="s">
        <v>1285</v>
      </c>
    </row>
    <row r="1302" spans="1:5">
      <c r="A1302">
        <f>HYPERLINK("http://www.twitter.com/NYCHA/status/758648934663421952", "758648934663421952")</f>
        <v>0</v>
      </c>
      <c r="B1302" s="2">
        <v>42579.5436921296</v>
      </c>
      <c r="C1302">
        <v>1</v>
      </c>
      <c r="D1302">
        <v>3</v>
      </c>
      <c r="E1302" t="s">
        <v>1286</v>
      </c>
    </row>
    <row r="1303" spans="1:5">
      <c r="A1303">
        <f>HYPERLINK("http://www.twitter.com/NYCHA/status/758633540779143168", "758633540779143168")</f>
        <v>0</v>
      </c>
      <c r="B1303" s="2">
        <v>42579.5012152778</v>
      </c>
      <c r="C1303">
        <v>4</v>
      </c>
      <c r="D1303">
        <v>1</v>
      </c>
      <c r="E1303" t="s">
        <v>1287</v>
      </c>
    </row>
    <row r="1304" spans="1:5">
      <c r="A1304">
        <f>HYPERLINK("http://www.twitter.com/NYCHA/status/758403311217287168", "758403311217287168")</f>
        <v>0</v>
      </c>
      <c r="B1304" s="2">
        <v>42578.8659027778</v>
      </c>
      <c r="C1304">
        <v>0</v>
      </c>
      <c r="D1304">
        <v>2</v>
      </c>
      <c r="E1304" t="s">
        <v>1288</v>
      </c>
    </row>
    <row r="1305" spans="1:5">
      <c r="A1305">
        <f>HYPERLINK("http://www.twitter.com/NYCHA/status/758361767424749568", "758361767424749568")</f>
        <v>0</v>
      </c>
      <c r="B1305" s="2">
        <v>42578.7512615741</v>
      </c>
      <c r="C1305">
        <v>0</v>
      </c>
      <c r="D1305">
        <v>0</v>
      </c>
      <c r="E1305" t="s">
        <v>1289</v>
      </c>
    </row>
    <row r="1306" spans="1:5">
      <c r="A1306">
        <f>HYPERLINK("http://www.twitter.com/NYCHA/status/758331927925579777", "758331927925579777")</f>
        <v>0</v>
      </c>
      <c r="B1306" s="2">
        <v>42578.6689236111</v>
      </c>
      <c r="C1306">
        <v>1</v>
      </c>
      <c r="D1306">
        <v>2</v>
      </c>
      <c r="E1306" t="s">
        <v>1290</v>
      </c>
    </row>
    <row r="1307" spans="1:5">
      <c r="A1307">
        <f>HYPERLINK("http://www.twitter.com/NYCHA/status/758324845134438400", "758324845134438400")</f>
        <v>0</v>
      </c>
      <c r="B1307" s="2">
        <v>42578.649375</v>
      </c>
      <c r="C1307">
        <v>0</v>
      </c>
      <c r="D1307">
        <v>0</v>
      </c>
      <c r="E1307" t="s">
        <v>1291</v>
      </c>
    </row>
    <row r="1308" spans="1:5">
      <c r="A1308">
        <f>HYPERLINK("http://www.twitter.com/NYCHA/status/758316389690204160", "758316389690204160")</f>
        <v>0</v>
      </c>
      <c r="B1308" s="2">
        <v>42578.6260416667</v>
      </c>
      <c r="C1308">
        <v>2</v>
      </c>
      <c r="D1308">
        <v>0</v>
      </c>
      <c r="E1308" t="s">
        <v>1292</v>
      </c>
    </row>
    <row r="1309" spans="1:5">
      <c r="A1309">
        <f>HYPERLINK("http://www.twitter.com/NYCHA/status/758316122815008769", "758316122815008769")</f>
        <v>0</v>
      </c>
      <c r="B1309" s="2">
        <v>42578.6253125</v>
      </c>
      <c r="C1309">
        <v>0</v>
      </c>
      <c r="D1309">
        <v>3</v>
      </c>
      <c r="E1309" t="s">
        <v>1293</v>
      </c>
    </row>
    <row r="1310" spans="1:5">
      <c r="A1310">
        <f>HYPERLINK("http://www.twitter.com/NYCHA/status/758316093979107329", "758316093979107329")</f>
        <v>0</v>
      </c>
      <c r="B1310" s="2">
        <v>42578.6252314815</v>
      </c>
      <c r="C1310">
        <v>0</v>
      </c>
      <c r="D1310">
        <v>3</v>
      </c>
      <c r="E1310" t="s">
        <v>1294</v>
      </c>
    </row>
    <row r="1311" spans="1:5">
      <c r="A1311">
        <f>HYPERLINK("http://www.twitter.com/NYCHA/status/758316036022210560", "758316036022210560")</f>
        <v>0</v>
      </c>
      <c r="B1311" s="2">
        <v>42578.6250694444</v>
      </c>
      <c r="C1311">
        <v>0</v>
      </c>
      <c r="D1311">
        <v>5</v>
      </c>
      <c r="E1311" t="s">
        <v>1295</v>
      </c>
    </row>
    <row r="1312" spans="1:5">
      <c r="A1312">
        <f>HYPERLINK("http://www.twitter.com/NYCHA/status/758310616415207425", "758310616415207425")</f>
        <v>0</v>
      </c>
      <c r="B1312" s="2">
        <v>42578.6101157407</v>
      </c>
      <c r="C1312">
        <v>0</v>
      </c>
      <c r="D1312">
        <v>3</v>
      </c>
      <c r="E1312" t="s">
        <v>1296</v>
      </c>
    </row>
    <row r="1313" spans="1:5">
      <c r="A1313">
        <f>HYPERLINK("http://www.twitter.com/NYCHA/status/758304701880360960", "758304701880360960")</f>
        <v>0</v>
      </c>
      <c r="B1313" s="2">
        <v>42578.5937962963</v>
      </c>
      <c r="C1313">
        <v>1</v>
      </c>
      <c r="D1313">
        <v>0</v>
      </c>
      <c r="E1313" t="s">
        <v>1297</v>
      </c>
    </row>
    <row r="1314" spans="1:5">
      <c r="A1314">
        <f>HYPERLINK("http://www.twitter.com/NYCHA/status/758304589317824512", "758304589317824512")</f>
        <v>0</v>
      </c>
      <c r="B1314" s="2">
        <v>42578.5934837963</v>
      </c>
      <c r="C1314">
        <v>0</v>
      </c>
      <c r="D1314">
        <v>3</v>
      </c>
      <c r="E1314" t="s">
        <v>1298</v>
      </c>
    </row>
    <row r="1315" spans="1:5">
      <c r="A1315">
        <f>HYPERLINK("http://www.twitter.com/NYCHA/status/758298096732409857", "758298096732409857")</f>
        <v>0</v>
      </c>
      <c r="B1315" s="2">
        <v>42578.5755671296</v>
      </c>
      <c r="C1315">
        <v>0</v>
      </c>
      <c r="D1315">
        <v>4</v>
      </c>
      <c r="E1315" t="s">
        <v>1299</v>
      </c>
    </row>
    <row r="1316" spans="1:5">
      <c r="A1316">
        <f>HYPERLINK("http://www.twitter.com/NYCHA/status/758297941438242816", "758297941438242816")</f>
        <v>0</v>
      </c>
      <c r="B1316" s="2">
        <v>42578.5751388889</v>
      </c>
      <c r="C1316">
        <v>1</v>
      </c>
      <c r="D1316">
        <v>2</v>
      </c>
      <c r="E1316" t="s">
        <v>1300</v>
      </c>
    </row>
    <row r="1317" spans="1:5">
      <c r="A1317">
        <f>HYPERLINK("http://www.twitter.com/NYCHA/status/758297566282936320", "758297566282936320")</f>
        <v>0</v>
      </c>
      <c r="B1317" s="2">
        <v>42578.5740972222</v>
      </c>
      <c r="C1317">
        <v>0</v>
      </c>
      <c r="D1317">
        <v>2</v>
      </c>
      <c r="E1317" t="s">
        <v>1301</v>
      </c>
    </row>
    <row r="1318" spans="1:5">
      <c r="A1318">
        <f>HYPERLINK("http://www.twitter.com/NYCHA/status/758295458527707136", "758295458527707136")</f>
        <v>0</v>
      </c>
      <c r="B1318" s="2">
        <v>42578.568287037</v>
      </c>
      <c r="C1318">
        <v>0</v>
      </c>
      <c r="D1318">
        <v>0</v>
      </c>
      <c r="E1318" t="s">
        <v>1302</v>
      </c>
    </row>
    <row r="1319" spans="1:5">
      <c r="A1319">
        <f>HYPERLINK("http://www.twitter.com/NYCHA/status/758286516712009728", "758286516712009728")</f>
        <v>0</v>
      </c>
      <c r="B1319" s="2">
        <v>42578.5436111111</v>
      </c>
      <c r="C1319">
        <v>0</v>
      </c>
      <c r="D1319">
        <v>0</v>
      </c>
      <c r="E1319" t="s">
        <v>1303</v>
      </c>
    </row>
    <row r="1320" spans="1:5">
      <c r="A1320">
        <f>HYPERLINK("http://www.twitter.com/NYCHA/status/758271108856553472", "758271108856553472")</f>
        <v>0</v>
      </c>
      <c r="B1320" s="2">
        <v>42578.501099537</v>
      </c>
      <c r="C1320">
        <v>9</v>
      </c>
      <c r="D1320">
        <v>3</v>
      </c>
      <c r="E1320" t="s">
        <v>1304</v>
      </c>
    </row>
    <row r="1321" spans="1:5">
      <c r="A1321">
        <f>HYPERLINK("http://www.twitter.com/NYCHA/status/758255965015859200", "758255965015859200")</f>
        <v>0</v>
      </c>
      <c r="B1321" s="2">
        <v>42578.4593055556</v>
      </c>
      <c r="C1321">
        <v>2</v>
      </c>
      <c r="D1321">
        <v>0</v>
      </c>
      <c r="E1321" t="s">
        <v>1305</v>
      </c>
    </row>
    <row r="1322" spans="1:5">
      <c r="A1322">
        <f>HYPERLINK("http://www.twitter.com/NYCHA/status/758082036167012352", "758082036167012352")</f>
        <v>0</v>
      </c>
      <c r="B1322" s="2">
        <v>42577.9793518518</v>
      </c>
      <c r="C1322">
        <v>1</v>
      </c>
      <c r="D1322">
        <v>0</v>
      </c>
      <c r="E1322" t="s">
        <v>1306</v>
      </c>
    </row>
    <row r="1323" spans="1:5">
      <c r="A1323">
        <f>HYPERLINK("http://www.twitter.com/NYCHA/status/758067043673468928", "758067043673468928")</f>
        <v>0</v>
      </c>
      <c r="B1323" s="2">
        <v>42577.9379861111</v>
      </c>
      <c r="C1323">
        <v>0</v>
      </c>
      <c r="D1323">
        <v>1</v>
      </c>
      <c r="E1323" t="s">
        <v>1307</v>
      </c>
    </row>
    <row r="1324" spans="1:5">
      <c r="A1324">
        <f>HYPERLINK("http://www.twitter.com/NYCHA/status/758053995705409536", "758053995705409536")</f>
        <v>0</v>
      </c>
      <c r="B1324" s="2">
        <v>42577.9019791667</v>
      </c>
      <c r="C1324">
        <v>1</v>
      </c>
      <c r="D1324">
        <v>2</v>
      </c>
      <c r="E1324" t="s">
        <v>1308</v>
      </c>
    </row>
    <row r="1325" spans="1:5">
      <c r="A1325">
        <f>HYPERLINK("http://www.twitter.com/NYCHA/status/758053238205800448", "758053238205800448")</f>
        <v>0</v>
      </c>
      <c r="B1325" s="2">
        <v>42577.8998842593</v>
      </c>
      <c r="C1325">
        <v>2</v>
      </c>
      <c r="D1325">
        <v>2</v>
      </c>
      <c r="E1325" t="s">
        <v>1309</v>
      </c>
    </row>
    <row r="1326" spans="1:5">
      <c r="A1326">
        <f>HYPERLINK("http://www.twitter.com/NYCHA/status/758051886272507904", "758051886272507904")</f>
        <v>0</v>
      </c>
      <c r="B1326" s="2">
        <v>42577.8961574074</v>
      </c>
      <c r="C1326">
        <v>0</v>
      </c>
      <c r="D1326">
        <v>3</v>
      </c>
      <c r="E1326" t="s">
        <v>1310</v>
      </c>
    </row>
    <row r="1327" spans="1:5">
      <c r="A1327">
        <f>HYPERLINK("http://www.twitter.com/NYCHA/status/758040874886529025", "758040874886529025")</f>
        <v>0</v>
      </c>
      <c r="B1327" s="2">
        <v>42577.8657638889</v>
      </c>
      <c r="C1327">
        <v>0</v>
      </c>
      <c r="D1327">
        <v>2</v>
      </c>
      <c r="E1327" t="s">
        <v>1311</v>
      </c>
    </row>
    <row r="1328" spans="1:5">
      <c r="A1328">
        <f>HYPERLINK("http://www.twitter.com/NYCHA/status/758023531548569600", "758023531548569600")</f>
        <v>0</v>
      </c>
      <c r="B1328" s="2">
        <v>42577.8179050926</v>
      </c>
      <c r="C1328">
        <v>0</v>
      </c>
      <c r="D1328">
        <v>2</v>
      </c>
      <c r="E1328" t="s">
        <v>1312</v>
      </c>
    </row>
    <row r="1329" spans="1:5">
      <c r="A1329">
        <f>HYPERLINK("http://www.twitter.com/NYCHA/status/758019705093390336", "758019705093390336")</f>
        <v>0</v>
      </c>
      <c r="B1329" s="2">
        <v>42577.807349537</v>
      </c>
      <c r="C1329">
        <v>1</v>
      </c>
      <c r="D1329">
        <v>3</v>
      </c>
      <c r="E1329" t="s">
        <v>1313</v>
      </c>
    </row>
    <row r="1330" spans="1:5">
      <c r="A1330">
        <f>HYPERLINK("http://www.twitter.com/NYCHA/status/758000261482905601", "758000261482905601")</f>
        <v>0</v>
      </c>
      <c r="B1330" s="2">
        <v>42577.7536921296</v>
      </c>
      <c r="C1330">
        <v>1</v>
      </c>
      <c r="D1330">
        <v>0</v>
      </c>
      <c r="E1330" t="s">
        <v>1314</v>
      </c>
    </row>
    <row r="1331" spans="1:5">
      <c r="A1331">
        <f>HYPERLINK("http://www.twitter.com/NYCHA/status/757999522559750145", "757999522559750145")</f>
        <v>0</v>
      </c>
      <c r="B1331" s="2">
        <v>42577.7516550926</v>
      </c>
      <c r="C1331">
        <v>0</v>
      </c>
      <c r="D1331">
        <v>3</v>
      </c>
      <c r="E1331" t="s">
        <v>1315</v>
      </c>
    </row>
    <row r="1332" spans="1:5">
      <c r="A1332">
        <f>HYPERLINK("http://www.twitter.com/NYCHA/status/757970397195304960", "757970397195304960")</f>
        <v>0</v>
      </c>
      <c r="B1332" s="2">
        <v>42577.6712847222</v>
      </c>
      <c r="C1332">
        <v>0</v>
      </c>
      <c r="D1332">
        <v>1</v>
      </c>
      <c r="E1332" t="s">
        <v>1316</v>
      </c>
    </row>
    <row r="1333" spans="1:5">
      <c r="A1333">
        <f>HYPERLINK("http://www.twitter.com/NYCHA/status/757969077776285697", "757969077776285697")</f>
        <v>0</v>
      </c>
      <c r="B1333" s="2">
        <v>42577.667650463</v>
      </c>
      <c r="C1333">
        <v>0</v>
      </c>
      <c r="D1333">
        <v>5</v>
      </c>
      <c r="E1333" t="s">
        <v>1317</v>
      </c>
    </row>
    <row r="1334" spans="1:5">
      <c r="A1334">
        <f>HYPERLINK("http://www.twitter.com/NYCHA/status/757966976450985984", "757966976450985984")</f>
        <v>0</v>
      </c>
      <c r="B1334" s="2">
        <v>42577.6618518519</v>
      </c>
      <c r="C1334">
        <v>0</v>
      </c>
      <c r="D1334">
        <v>1</v>
      </c>
      <c r="E1334" t="s">
        <v>1318</v>
      </c>
    </row>
    <row r="1335" spans="1:5">
      <c r="A1335">
        <f>HYPERLINK("http://www.twitter.com/NYCHA/status/757966911019835392", "757966911019835392")</f>
        <v>0</v>
      </c>
      <c r="B1335" s="2">
        <v>42577.6616666667</v>
      </c>
      <c r="C1335">
        <v>0</v>
      </c>
      <c r="D1335">
        <v>2</v>
      </c>
      <c r="E1335" t="s">
        <v>1319</v>
      </c>
    </row>
    <row r="1336" spans="1:5">
      <c r="A1336">
        <f>HYPERLINK("http://www.twitter.com/NYCHA/status/757965070202798080", "757965070202798080")</f>
        <v>0</v>
      </c>
      <c r="B1336" s="2">
        <v>42577.6565856481</v>
      </c>
      <c r="C1336">
        <v>0</v>
      </c>
      <c r="D1336">
        <v>1</v>
      </c>
      <c r="E1336" t="s">
        <v>1320</v>
      </c>
    </row>
    <row r="1337" spans="1:5">
      <c r="A1337">
        <f>HYPERLINK("http://www.twitter.com/NYCHA/status/757960849050984449", "757960849050984449")</f>
        <v>0</v>
      </c>
      <c r="B1337" s="2">
        <v>42577.6449421296</v>
      </c>
      <c r="C1337">
        <v>0</v>
      </c>
      <c r="D1337">
        <v>3</v>
      </c>
      <c r="E1337" t="s">
        <v>1321</v>
      </c>
    </row>
    <row r="1338" spans="1:5">
      <c r="A1338">
        <f>HYPERLINK("http://www.twitter.com/NYCHA/status/757936200204349440", "757936200204349440")</f>
        <v>0</v>
      </c>
      <c r="B1338" s="2">
        <v>42577.5769212963</v>
      </c>
      <c r="C1338">
        <v>0</v>
      </c>
      <c r="D1338">
        <v>3</v>
      </c>
      <c r="E1338" t="s">
        <v>1322</v>
      </c>
    </row>
    <row r="1339" spans="1:5">
      <c r="A1339">
        <f>HYPERLINK("http://www.twitter.com/NYCHA/status/757936160098361344", "757936160098361344")</f>
        <v>0</v>
      </c>
      <c r="B1339" s="2">
        <v>42577.5768055556</v>
      </c>
      <c r="C1339">
        <v>0</v>
      </c>
      <c r="D1339">
        <v>0</v>
      </c>
      <c r="E1339" t="s">
        <v>1323</v>
      </c>
    </row>
    <row r="1340" spans="1:5">
      <c r="A1340">
        <f>HYPERLINK("http://www.twitter.com/NYCHA/status/757934162993094656", "757934162993094656")</f>
        <v>0</v>
      </c>
      <c r="B1340" s="2">
        <v>42577.5712962963</v>
      </c>
      <c r="C1340">
        <v>0</v>
      </c>
      <c r="D1340">
        <v>1</v>
      </c>
      <c r="E1340" t="s">
        <v>1324</v>
      </c>
    </row>
    <row r="1341" spans="1:5">
      <c r="A1341">
        <f>HYPERLINK("http://www.twitter.com/NYCHA/status/757934158702411776", "757934158702411776")</f>
        <v>0</v>
      </c>
      <c r="B1341" s="2">
        <v>42577.5712847222</v>
      </c>
      <c r="C1341">
        <v>0</v>
      </c>
      <c r="D1341">
        <v>1</v>
      </c>
      <c r="E1341" t="s">
        <v>1325</v>
      </c>
    </row>
    <row r="1342" spans="1:5">
      <c r="A1342">
        <f>HYPERLINK("http://www.twitter.com/NYCHA/status/757924841261588480", "757924841261588480")</f>
        <v>0</v>
      </c>
      <c r="B1342" s="2">
        <v>42577.5455787037</v>
      </c>
      <c r="C1342">
        <v>0</v>
      </c>
      <c r="D1342">
        <v>0</v>
      </c>
      <c r="E1342" t="s">
        <v>1326</v>
      </c>
    </row>
    <row r="1343" spans="1:5">
      <c r="A1343">
        <f>HYPERLINK("http://www.twitter.com/NYCHA/status/757924125469995008", "757924125469995008")</f>
        <v>0</v>
      </c>
      <c r="B1343" s="2">
        <v>42577.543599537</v>
      </c>
      <c r="C1343">
        <v>0</v>
      </c>
      <c r="D1343">
        <v>0</v>
      </c>
      <c r="E1343" t="s">
        <v>1327</v>
      </c>
    </row>
    <row r="1344" spans="1:5">
      <c r="A1344">
        <f>HYPERLINK("http://www.twitter.com/NYCHA/status/757923157219172352", "757923157219172352")</f>
        <v>0</v>
      </c>
      <c r="B1344" s="2">
        <v>42577.5409259259</v>
      </c>
      <c r="C1344">
        <v>0</v>
      </c>
      <c r="D1344">
        <v>0</v>
      </c>
      <c r="E1344" t="s">
        <v>1328</v>
      </c>
    </row>
    <row r="1345" spans="1:5">
      <c r="A1345">
        <f>HYPERLINK("http://www.twitter.com/NYCHA/status/757668021943078912", "757668021943078912")</f>
        <v>0</v>
      </c>
      <c r="B1345" s="2">
        <v>42576.8368865741</v>
      </c>
      <c r="C1345">
        <v>0</v>
      </c>
      <c r="D1345">
        <v>0</v>
      </c>
      <c r="E1345" t="s">
        <v>1329</v>
      </c>
    </row>
    <row r="1346" spans="1:5">
      <c r="A1346">
        <f>HYPERLINK("http://www.twitter.com/NYCHA/status/757662389907128321", "757662389907128321")</f>
        <v>0</v>
      </c>
      <c r="B1346" s="2">
        <v>42576.8213541667</v>
      </c>
      <c r="C1346">
        <v>0</v>
      </c>
      <c r="D1346">
        <v>3</v>
      </c>
      <c r="E1346" t="s">
        <v>1330</v>
      </c>
    </row>
    <row r="1347" spans="1:5">
      <c r="A1347">
        <f>HYPERLINK("http://www.twitter.com/NYCHA/status/757658846420664322", "757658846420664322")</f>
        <v>0</v>
      </c>
      <c r="B1347" s="2">
        <v>42576.8115740741</v>
      </c>
      <c r="C1347">
        <v>2</v>
      </c>
      <c r="D1347">
        <v>0</v>
      </c>
      <c r="E1347" t="s">
        <v>1331</v>
      </c>
    </row>
    <row r="1348" spans="1:5">
      <c r="A1348">
        <f>HYPERLINK("http://www.twitter.com/NYCHA/status/757634118272356354", "757634118272356354")</f>
        <v>0</v>
      </c>
      <c r="B1348" s="2">
        <v>42576.7433333333</v>
      </c>
      <c r="C1348">
        <v>0</v>
      </c>
      <c r="D1348">
        <v>1</v>
      </c>
      <c r="E1348" t="s">
        <v>1332</v>
      </c>
    </row>
    <row r="1349" spans="1:5">
      <c r="A1349">
        <f>HYPERLINK("http://www.twitter.com/NYCHA/status/757629432169463808", "757629432169463808")</f>
        <v>0</v>
      </c>
      <c r="B1349" s="2">
        <v>42576.7304050926</v>
      </c>
      <c r="C1349">
        <v>0</v>
      </c>
      <c r="D1349">
        <v>10</v>
      </c>
      <c r="E1349" t="s">
        <v>1333</v>
      </c>
    </row>
    <row r="1350" spans="1:5">
      <c r="A1350">
        <f>HYPERLINK("http://www.twitter.com/NYCHA/status/757629336673550337", "757629336673550337")</f>
        <v>0</v>
      </c>
      <c r="B1350" s="2">
        <v>42576.7301388889</v>
      </c>
      <c r="C1350">
        <v>0</v>
      </c>
      <c r="D1350">
        <v>4</v>
      </c>
      <c r="E1350" t="s">
        <v>1334</v>
      </c>
    </row>
    <row r="1351" spans="1:5">
      <c r="A1351">
        <f>HYPERLINK("http://www.twitter.com/NYCHA/status/757620701176168448", "757620701176168448")</f>
        <v>0</v>
      </c>
      <c r="B1351" s="2">
        <v>42576.7063078704</v>
      </c>
      <c r="C1351">
        <v>0</v>
      </c>
      <c r="D1351">
        <v>32</v>
      </c>
      <c r="E1351" t="s">
        <v>1335</v>
      </c>
    </row>
    <row r="1352" spans="1:5">
      <c r="A1352">
        <f>HYPERLINK("http://www.twitter.com/NYCHA/status/757591846411444224", "757591846411444224")</f>
        <v>0</v>
      </c>
      <c r="B1352" s="2">
        <v>42576.6266898148</v>
      </c>
      <c r="C1352">
        <v>2</v>
      </c>
      <c r="D1352">
        <v>2</v>
      </c>
      <c r="E1352" t="s">
        <v>1336</v>
      </c>
    </row>
    <row r="1353" spans="1:5">
      <c r="A1353">
        <f>HYPERLINK("http://www.twitter.com/NYCHA/status/757587258979586048", "757587258979586048")</f>
        <v>0</v>
      </c>
      <c r="B1353" s="2">
        <v>42576.6140277778</v>
      </c>
      <c r="C1353">
        <v>0</v>
      </c>
      <c r="D1353">
        <v>1</v>
      </c>
      <c r="E1353" t="s">
        <v>1337</v>
      </c>
    </row>
    <row r="1354" spans="1:5">
      <c r="A1354">
        <f>HYPERLINK("http://www.twitter.com/NYCHA/status/757586555510857728", "757586555510857728")</f>
        <v>0</v>
      </c>
      <c r="B1354" s="2">
        <v>42576.6120833333</v>
      </c>
      <c r="C1354">
        <v>0</v>
      </c>
      <c r="D1354">
        <v>5</v>
      </c>
      <c r="E1354" t="s">
        <v>1338</v>
      </c>
    </row>
    <row r="1355" spans="1:5">
      <c r="A1355">
        <f>HYPERLINK("http://www.twitter.com/NYCHA/status/757574403093884928", "757574403093884928")</f>
        <v>0</v>
      </c>
      <c r="B1355" s="2">
        <v>42576.5785532407</v>
      </c>
      <c r="C1355">
        <v>0</v>
      </c>
      <c r="D1355">
        <v>23</v>
      </c>
      <c r="E1355" t="s">
        <v>1339</v>
      </c>
    </row>
    <row r="1356" spans="1:5">
      <c r="A1356">
        <f>HYPERLINK("http://www.twitter.com/NYCHA/status/757574392381632512", "757574392381632512")</f>
        <v>0</v>
      </c>
      <c r="B1356" s="2">
        <v>42576.5785185185</v>
      </c>
      <c r="C1356">
        <v>0</v>
      </c>
      <c r="D1356">
        <v>16</v>
      </c>
      <c r="E1356" t="s">
        <v>1340</v>
      </c>
    </row>
    <row r="1357" spans="1:5">
      <c r="A1357">
        <f>HYPERLINK("http://www.twitter.com/NYCHA/status/757562445355446272", "757562445355446272")</f>
        <v>0</v>
      </c>
      <c r="B1357" s="2">
        <v>42576.5455555556</v>
      </c>
      <c r="C1357">
        <v>1</v>
      </c>
      <c r="D1357">
        <v>2</v>
      </c>
      <c r="E1357" t="s">
        <v>1341</v>
      </c>
    </row>
    <row r="1358" spans="1:5">
      <c r="A1358">
        <f>HYPERLINK("http://www.twitter.com/NYCHA/status/757561706335891458", "757561706335891458")</f>
        <v>0</v>
      </c>
      <c r="B1358" s="2">
        <v>42576.5435185185</v>
      </c>
      <c r="C1358">
        <v>1</v>
      </c>
      <c r="D1358">
        <v>0</v>
      </c>
      <c r="E1358" t="s">
        <v>1342</v>
      </c>
    </row>
    <row r="1359" spans="1:5">
      <c r="A1359">
        <f>HYPERLINK("http://www.twitter.com/NYCHA/status/757546394026668032", "757546394026668032")</f>
        <v>0</v>
      </c>
      <c r="B1359" s="2">
        <v>42576.5012615741</v>
      </c>
      <c r="C1359">
        <v>1</v>
      </c>
      <c r="D1359">
        <v>1</v>
      </c>
      <c r="E1359" t="s">
        <v>1343</v>
      </c>
    </row>
    <row r="1360" spans="1:5">
      <c r="A1360">
        <f>HYPERLINK("http://www.twitter.com/NYCHA/status/757296974618095616", "757296974618095616")</f>
        <v>0</v>
      </c>
      <c r="B1360" s="2">
        <v>42575.8129976852</v>
      </c>
      <c r="C1360">
        <v>1</v>
      </c>
      <c r="D1360">
        <v>2</v>
      </c>
      <c r="E1360" t="s">
        <v>1344</v>
      </c>
    </row>
    <row r="1361" spans="1:5">
      <c r="A1361">
        <f>HYPERLINK("http://www.twitter.com/NYCHA/status/757293627127234561", "757293627127234561")</f>
        <v>0</v>
      </c>
      <c r="B1361" s="2">
        <v>42575.8037615741</v>
      </c>
      <c r="C1361">
        <v>0</v>
      </c>
      <c r="D1361">
        <v>0</v>
      </c>
      <c r="E1361" t="s">
        <v>1345</v>
      </c>
    </row>
    <row r="1362" spans="1:5">
      <c r="A1362">
        <f>HYPERLINK("http://www.twitter.com/NYCHA/status/757293051081584642", "757293051081584642")</f>
        <v>0</v>
      </c>
      <c r="B1362" s="2">
        <v>42575.8021643519</v>
      </c>
      <c r="C1362">
        <v>0</v>
      </c>
      <c r="D1362">
        <v>0</v>
      </c>
      <c r="E1362" t="s">
        <v>1346</v>
      </c>
    </row>
    <row r="1363" spans="1:5">
      <c r="A1363">
        <f>HYPERLINK("http://www.twitter.com/NYCHA/status/757253452842106880", "757253452842106880")</f>
        <v>0</v>
      </c>
      <c r="B1363" s="2">
        <v>42575.6928935185</v>
      </c>
      <c r="C1363">
        <v>3</v>
      </c>
      <c r="D1363">
        <v>0</v>
      </c>
      <c r="E1363" t="s">
        <v>1347</v>
      </c>
    </row>
    <row r="1364" spans="1:5">
      <c r="A1364">
        <f>HYPERLINK("http://www.twitter.com/NYCHA/status/757253320629157888", "757253320629157888")</f>
        <v>0</v>
      </c>
      <c r="B1364" s="2">
        <v>42575.6925347222</v>
      </c>
      <c r="C1364">
        <v>2</v>
      </c>
      <c r="D1364">
        <v>0</v>
      </c>
      <c r="E1364" t="s">
        <v>1348</v>
      </c>
    </row>
    <row r="1365" spans="1:5">
      <c r="A1365">
        <f>HYPERLINK("http://www.twitter.com/NYCHA/status/757253210939817985", "757253210939817985")</f>
        <v>0</v>
      </c>
      <c r="B1365" s="2">
        <v>42575.6922337963</v>
      </c>
      <c r="C1365">
        <v>3</v>
      </c>
      <c r="D1365">
        <v>1</v>
      </c>
      <c r="E1365" t="s">
        <v>1349</v>
      </c>
    </row>
    <row r="1366" spans="1:5">
      <c r="A1366">
        <f>HYPERLINK("http://www.twitter.com/NYCHA/status/757253158422839296", "757253158422839296")</f>
        <v>0</v>
      </c>
      <c r="B1366" s="2">
        <v>42575.6920833333</v>
      </c>
      <c r="C1366">
        <v>1</v>
      </c>
      <c r="D1366">
        <v>0</v>
      </c>
      <c r="E1366" t="s">
        <v>1350</v>
      </c>
    </row>
    <row r="1367" spans="1:5">
      <c r="A1367">
        <f>HYPERLINK("http://www.twitter.com/NYCHA/status/757233770202292224", "757233770202292224")</f>
        <v>0</v>
      </c>
      <c r="B1367" s="2">
        <v>42575.638587963</v>
      </c>
      <c r="C1367">
        <v>0</v>
      </c>
      <c r="D1367">
        <v>1</v>
      </c>
      <c r="E1367" t="s">
        <v>1351</v>
      </c>
    </row>
    <row r="1368" spans="1:5">
      <c r="A1368">
        <f>HYPERLINK("http://www.twitter.com/NYCHA/status/757233712165691392", "757233712165691392")</f>
        <v>0</v>
      </c>
      <c r="B1368" s="2">
        <v>42575.6384259259</v>
      </c>
      <c r="C1368">
        <v>0</v>
      </c>
      <c r="D1368">
        <v>1</v>
      </c>
      <c r="E1368" t="s">
        <v>1352</v>
      </c>
    </row>
    <row r="1369" spans="1:5">
      <c r="A1369">
        <f>HYPERLINK("http://www.twitter.com/NYCHA/status/757233600593100801", "757233600593100801")</f>
        <v>0</v>
      </c>
      <c r="B1369" s="2">
        <v>42575.6381134259</v>
      </c>
      <c r="C1369">
        <v>0</v>
      </c>
      <c r="D1369">
        <v>1</v>
      </c>
      <c r="E1369" t="s">
        <v>1353</v>
      </c>
    </row>
    <row r="1370" spans="1:5">
      <c r="A1370">
        <f>HYPERLINK("http://www.twitter.com/NYCHA/status/757233537028395008", "757233537028395008")</f>
        <v>0</v>
      </c>
      <c r="B1370" s="2">
        <v>42575.6379398148</v>
      </c>
      <c r="C1370">
        <v>0</v>
      </c>
      <c r="D1370">
        <v>1</v>
      </c>
      <c r="E1370" t="s">
        <v>1354</v>
      </c>
    </row>
    <row r="1371" spans="1:5">
      <c r="A1371">
        <f>HYPERLINK("http://www.twitter.com/NYCHA/status/757233420435070976", "757233420435070976")</f>
        <v>0</v>
      </c>
      <c r="B1371" s="2">
        <v>42575.6376157407</v>
      </c>
      <c r="C1371">
        <v>0</v>
      </c>
      <c r="D1371">
        <v>1</v>
      </c>
      <c r="E1371" t="s">
        <v>1355</v>
      </c>
    </row>
    <row r="1372" spans="1:5">
      <c r="A1372">
        <f>HYPERLINK("http://www.twitter.com/NYCHA/status/757214201660182528", "757214201660182528")</f>
        <v>0</v>
      </c>
      <c r="B1372" s="2">
        <v>42575.5845833333</v>
      </c>
      <c r="C1372">
        <v>1</v>
      </c>
      <c r="D1372">
        <v>1</v>
      </c>
      <c r="E1372" t="s">
        <v>1356</v>
      </c>
    </row>
    <row r="1373" spans="1:5">
      <c r="A1373">
        <f>HYPERLINK("http://www.twitter.com/NYCHA/status/757183841408839684", "757183841408839684")</f>
        <v>0</v>
      </c>
      <c r="B1373" s="2">
        <v>42575.5008101852</v>
      </c>
      <c r="C1373">
        <v>3</v>
      </c>
      <c r="D1373">
        <v>3</v>
      </c>
      <c r="E1373" t="s">
        <v>1357</v>
      </c>
    </row>
    <row r="1374" spans="1:5">
      <c r="A1374">
        <f>HYPERLINK("http://www.twitter.com/NYCHA/status/756912123729543168", "756912123729543168")</f>
        <v>0</v>
      </c>
      <c r="B1374" s="2">
        <v>42574.7510069444</v>
      </c>
      <c r="C1374">
        <v>3</v>
      </c>
      <c r="D1374">
        <v>2</v>
      </c>
      <c r="E1374" t="s">
        <v>1358</v>
      </c>
    </row>
    <row r="1375" spans="1:5">
      <c r="A1375">
        <f>HYPERLINK("http://www.twitter.com/NYCHA/status/756851877820633090", "756851877820633090")</f>
        <v>0</v>
      </c>
      <c r="B1375" s="2">
        <v>42574.5847569444</v>
      </c>
      <c r="C1375">
        <v>2</v>
      </c>
      <c r="D1375">
        <v>1</v>
      </c>
      <c r="E1375" t="s">
        <v>1359</v>
      </c>
    </row>
    <row r="1376" spans="1:5">
      <c r="A1376">
        <f>HYPERLINK("http://www.twitter.com/NYCHA/status/756821483020771328", "756821483020771328")</f>
        <v>0</v>
      </c>
      <c r="B1376" s="2">
        <v>42574.5008912037</v>
      </c>
      <c r="C1376">
        <v>6</v>
      </c>
      <c r="D1376">
        <v>1</v>
      </c>
      <c r="E1376" t="s">
        <v>1360</v>
      </c>
    </row>
    <row r="1377" spans="1:5">
      <c r="A1377">
        <f>HYPERLINK("http://www.twitter.com/NYCHA/status/756580027685273604", "756580027685273604")</f>
        <v>0</v>
      </c>
      <c r="B1377" s="2">
        <v>42573.8345949074</v>
      </c>
      <c r="C1377">
        <v>1</v>
      </c>
      <c r="D1377">
        <v>1</v>
      </c>
      <c r="E1377" t="s">
        <v>1361</v>
      </c>
    </row>
    <row r="1378" spans="1:5">
      <c r="A1378">
        <f>HYPERLINK("http://www.twitter.com/NYCHA/status/756565060932276224", "756565060932276224")</f>
        <v>0</v>
      </c>
      <c r="B1378" s="2">
        <v>42573.7932986111</v>
      </c>
      <c r="C1378">
        <v>0</v>
      </c>
      <c r="D1378">
        <v>2</v>
      </c>
      <c r="E1378" t="s">
        <v>1362</v>
      </c>
    </row>
    <row r="1379" spans="1:5">
      <c r="A1379">
        <f>HYPERLINK("http://www.twitter.com/NYCHA/status/756550004781834240", "756550004781834240")</f>
        <v>0</v>
      </c>
      <c r="B1379" s="2">
        <v>42573.7517476852</v>
      </c>
      <c r="C1379">
        <v>1</v>
      </c>
      <c r="D1379">
        <v>2</v>
      </c>
      <c r="E1379" t="s">
        <v>1363</v>
      </c>
    </row>
    <row r="1380" spans="1:5">
      <c r="A1380">
        <f>HYPERLINK("http://www.twitter.com/NYCHA/status/756534866058027008", "756534866058027008")</f>
        <v>0</v>
      </c>
      <c r="B1380" s="2">
        <v>42573.7099768519</v>
      </c>
      <c r="C1380">
        <v>2</v>
      </c>
      <c r="D1380">
        <v>0</v>
      </c>
      <c r="E1380" t="s">
        <v>1364</v>
      </c>
    </row>
    <row r="1381" spans="1:5">
      <c r="A1381">
        <f>HYPERLINK("http://www.twitter.com/NYCHA/status/756527052979830784", "756527052979830784")</f>
        <v>0</v>
      </c>
      <c r="B1381" s="2">
        <v>42573.6884143519</v>
      </c>
      <c r="C1381">
        <v>0</v>
      </c>
      <c r="D1381">
        <v>1</v>
      </c>
      <c r="E1381" t="s">
        <v>1365</v>
      </c>
    </row>
    <row r="1382" spans="1:5">
      <c r="A1382">
        <f>HYPERLINK("http://www.twitter.com/NYCHA/status/756496990301741057", "756496990301741057")</f>
        <v>0</v>
      </c>
      <c r="B1382" s="2">
        <v>42573.605462963</v>
      </c>
      <c r="C1382">
        <v>0</v>
      </c>
      <c r="D1382">
        <v>2</v>
      </c>
      <c r="E1382" t="s">
        <v>1366</v>
      </c>
    </row>
    <row r="1383" spans="1:5">
      <c r="A1383">
        <f>HYPERLINK("http://www.twitter.com/NYCHA/status/756484628261646336", "756484628261646336")</f>
        <v>0</v>
      </c>
      <c r="B1383" s="2">
        <v>42573.5713425926</v>
      </c>
      <c r="C1383">
        <v>0</v>
      </c>
      <c r="D1383">
        <v>42</v>
      </c>
      <c r="E1383" t="s">
        <v>1339</v>
      </c>
    </row>
    <row r="1384" spans="1:5">
      <c r="A1384">
        <f>HYPERLINK("http://www.twitter.com/NYCHA/status/756484615880183808", "756484615880183808")</f>
        <v>0</v>
      </c>
      <c r="B1384" s="2">
        <v>42573.5713078704</v>
      </c>
      <c r="C1384">
        <v>0</v>
      </c>
      <c r="D1384">
        <v>31</v>
      </c>
      <c r="E1384" t="s">
        <v>1367</v>
      </c>
    </row>
    <row r="1385" spans="1:5">
      <c r="A1385">
        <f>HYPERLINK("http://www.twitter.com/NYCHA/status/756475315698954240", "756475315698954240")</f>
        <v>0</v>
      </c>
      <c r="B1385" s="2">
        <v>42573.5456481481</v>
      </c>
      <c r="C1385">
        <v>1</v>
      </c>
      <c r="D1385">
        <v>0</v>
      </c>
      <c r="E1385" t="s">
        <v>1368</v>
      </c>
    </row>
    <row r="1386" spans="1:5">
      <c r="A1386">
        <f>HYPERLINK("http://www.twitter.com/NYCHA/status/756474623710097408", "756474623710097408")</f>
        <v>0</v>
      </c>
      <c r="B1386" s="2">
        <v>42573.5437384259</v>
      </c>
      <c r="C1386">
        <v>0</v>
      </c>
      <c r="D1386">
        <v>0</v>
      </c>
      <c r="E1386" t="s">
        <v>1369</v>
      </c>
    </row>
    <row r="1387" spans="1:5">
      <c r="A1387">
        <f>HYPERLINK("http://www.twitter.com/NYCHA/status/756459225530896384", "756459225530896384")</f>
        <v>0</v>
      </c>
      <c r="B1387" s="2">
        <v>42573.50125</v>
      </c>
      <c r="C1387">
        <v>6</v>
      </c>
      <c r="D1387">
        <v>7</v>
      </c>
      <c r="E1387" t="s">
        <v>1370</v>
      </c>
    </row>
    <row r="1388" spans="1:5">
      <c r="A1388">
        <f>HYPERLINK("http://www.twitter.com/NYCHA/status/756233302999171072", "756233302999171072")</f>
        <v>0</v>
      </c>
      <c r="B1388" s="2">
        <v>42572.8778240741</v>
      </c>
      <c r="C1388">
        <v>0</v>
      </c>
      <c r="D1388">
        <v>1</v>
      </c>
      <c r="E1388" t="s">
        <v>1371</v>
      </c>
    </row>
    <row r="1389" spans="1:5">
      <c r="A1389">
        <f>HYPERLINK("http://www.twitter.com/NYCHA/status/756202212116799489", "756202212116799489")</f>
        <v>0</v>
      </c>
      <c r="B1389" s="2">
        <v>42572.792025463</v>
      </c>
      <c r="C1389">
        <v>4</v>
      </c>
      <c r="D1389">
        <v>4</v>
      </c>
      <c r="E1389" t="s">
        <v>1372</v>
      </c>
    </row>
    <row r="1390" spans="1:5">
      <c r="A1390">
        <f>HYPERLINK("http://www.twitter.com/NYCHA/status/756175996181745668", "756175996181745668")</f>
        <v>0</v>
      </c>
      <c r="B1390" s="2">
        <v>42572.7196875</v>
      </c>
      <c r="C1390">
        <v>0</v>
      </c>
      <c r="D1390">
        <v>0</v>
      </c>
      <c r="E1390" t="s">
        <v>1373</v>
      </c>
    </row>
    <row r="1391" spans="1:5">
      <c r="A1391">
        <f>HYPERLINK("http://www.twitter.com/NYCHA/status/756172454515662848", "756172454515662848")</f>
        <v>0</v>
      </c>
      <c r="B1391" s="2">
        <v>42572.7099074074</v>
      </c>
      <c r="C1391">
        <v>0</v>
      </c>
      <c r="D1391">
        <v>0</v>
      </c>
      <c r="E1391" t="s">
        <v>1374</v>
      </c>
    </row>
    <row r="1392" spans="1:5">
      <c r="A1392">
        <f>HYPERLINK("http://www.twitter.com/NYCHA/status/756170071802777601", "756170071802777601")</f>
        <v>0</v>
      </c>
      <c r="B1392" s="2">
        <v>42572.7033333333</v>
      </c>
      <c r="C1392">
        <v>0</v>
      </c>
      <c r="D1392">
        <v>4</v>
      </c>
      <c r="E1392" t="s">
        <v>1375</v>
      </c>
    </row>
    <row r="1393" spans="1:5">
      <c r="A1393">
        <f>HYPERLINK("http://www.twitter.com/NYCHA/status/756170059614126080", "756170059614126080")</f>
        <v>0</v>
      </c>
      <c r="B1393" s="2">
        <v>42572.7032986111</v>
      </c>
      <c r="C1393">
        <v>0</v>
      </c>
      <c r="D1393">
        <v>2</v>
      </c>
      <c r="E1393" t="s">
        <v>1376</v>
      </c>
    </row>
    <row r="1394" spans="1:5">
      <c r="A1394">
        <f>HYPERLINK("http://www.twitter.com/NYCHA/status/756142059237543936", "756142059237543936")</f>
        <v>0</v>
      </c>
      <c r="B1394" s="2">
        <v>42572.6260416667</v>
      </c>
      <c r="C1394">
        <v>1</v>
      </c>
      <c r="D1394">
        <v>4</v>
      </c>
      <c r="E1394" t="s">
        <v>1377</v>
      </c>
    </row>
    <row r="1395" spans="1:5">
      <c r="A1395">
        <f>HYPERLINK("http://www.twitter.com/NYCHA/status/756126983185104896", "756126983185104896")</f>
        <v>0</v>
      </c>
      <c r="B1395" s="2">
        <v>42572.5844328704</v>
      </c>
      <c r="C1395">
        <v>4</v>
      </c>
      <c r="D1395">
        <v>0</v>
      </c>
      <c r="E1395" t="s">
        <v>1378</v>
      </c>
    </row>
    <row r="1396" spans="1:5">
      <c r="A1396">
        <f>HYPERLINK("http://www.twitter.com/NYCHA/status/756112908535357441", "756112908535357441")</f>
        <v>0</v>
      </c>
      <c r="B1396" s="2">
        <v>42572.5455902778</v>
      </c>
      <c r="C1396">
        <v>2</v>
      </c>
      <c r="D1396">
        <v>2</v>
      </c>
      <c r="E1396" t="s">
        <v>1379</v>
      </c>
    </row>
    <row r="1397" spans="1:5">
      <c r="A1397">
        <f>HYPERLINK("http://www.twitter.com/NYCHA/status/756112189564542976", "756112189564542976")</f>
        <v>0</v>
      </c>
      <c r="B1397" s="2">
        <v>42572.5436111111</v>
      </c>
      <c r="C1397">
        <v>0</v>
      </c>
      <c r="D1397">
        <v>2</v>
      </c>
      <c r="E1397" t="s">
        <v>1380</v>
      </c>
    </row>
    <row r="1398" spans="1:5">
      <c r="A1398">
        <f>HYPERLINK("http://www.twitter.com/NYCHA/status/755810069154041856", "755810069154041856")</f>
        <v>0</v>
      </c>
      <c r="B1398" s="2">
        <v>42571.7099189815</v>
      </c>
      <c r="C1398">
        <v>2</v>
      </c>
      <c r="D1398">
        <v>0</v>
      </c>
      <c r="E1398" t="s">
        <v>1381</v>
      </c>
    </row>
    <row r="1399" spans="1:5">
      <c r="A1399">
        <f>HYPERLINK("http://www.twitter.com/NYCHA/status/755779847708966912", "755779847708966912")</f>
        <v>0</v>
      </c>
      <c r="B1399" s="2">
        <v>42571.6265277778</v>
      </c>
      <c r="C1399">
        <v>3</v>
      </c>
      <c r="D1399">
        <v>2</v>
      </c>
      <c r="E1399" t="s">
        <v>1382</v>
      </c>
    </row>
    <row r="1400" spans="1:5">
      <c r="A1400">
        <f>HYPERLINK("http://www.twitter.com/NYCHA/status/755768597348311040", "755768597348311040")</f>
        <v>0</v>
      </c>
      <c r="B1400" s="2">
        <v>42571.595474537</v>
      </c>
      <c r="C1400">
        <v>0</v>
      </c>
      <c r="D1400">
        <v>4</v>
      </c>
      <c r="E1400" t="s">
        <v>1383</v>
      </c>
    </row>
    <row r="1401" spans="1:5">
      <c r="A1401">
        <f>HYPERLINK("http://www.twitter.com/NYCHA/status/755763723353124864", "755763723353124864")</f>
        <v>0</v>
      </c>
      <c r="B1401" s="2">
        <v>42571.582025463</v>
      </c>
      <c r="C1401">
        <v>4</v>
      </c>
      <c r="D1401">
        <v>4</v>
      </c>
      <c r="E1401" t="s">
        <v>1384</v>
      </c>
    </row>
    <row r="1402" spans="1:5">
      <c r="A1402">
        <f>HYPERLINK("http://www.twitter.com/NYCHA/status/755761356192813057", "755761356192813057")</f>
        <v>0</v>
      </c>
      <c r="B1402" s="2">
        <v>42571.5754976852</v>
      </c>
      <c r="C1402">
        <v>6</v>
      </c>
      <c r="D1402">
        <v>4</v>
      </c>
      <c r="E1402" t="s">
        <v>1385</v>
      </c>
    </row>
    <row r="1403" spans="1:5">
      <c r="A1403">
        <f>HYPERLINK("http://www.twitter.com/NYCHA/status/755759248202690560", "755759248202690560")</f>
        <v>0</v>
      </c>
      <c r="B1403" s="2">
        <v>42571.5696759259</v>
      </c>
      <c r="C1403">
        <v>0</v>
      </c>
      <c r="D1403">
        <v>0</v>
      </c>
      <c r="E1403" t="s">
        <v>1386</v>
      </c>
    </row>
    <row r="1404" spans="1:5">
      <c r="A1404">
        <f>HYPERLINK("http://www.twitter.com/NYCHA/status/755759025061523456", "755759025061523456")</f>
        <v>0</v>
      </c>
      <c r="B1404" s="2">
        <v>42571.5690625</v>
      </c>
      <c r="C1404">
        <v>0</v>
      </c>
      <c r="D1404">
        <v>2</v>
      </c>
      <c r="E1404" t="s">
        <v>1387</v>
      </c>
    </row>
    <row r="1405" spans="1:5">
      <c r="A1405">
        <f>HYPERLINK("http://www.twitter.com/NYCHA/status/755759000046665728", "755759000046665728")</f>
        <v>0</v>
      </c>
      <c r="B1405" s="2">
        <v>42571.5689930556</v>
      </c>
      <c r="C1405">
        <v>0</v>
      </c>
      <c r="D1405">
        <v>5</v>
      </c>
      <c r="E1405" t="s">
        <v>1388</v>
      </c>
    </row>
    <row r="1406" spans="1:5">
      <c r="A1406">
        <f>HYPERLINK("http://www.twitter.com/NYCHA/status/755758748090699776", "755758748090699776")</f>
        <v>0</v>
      </c>
      <c r="B1406" s="2">
        <v>42571.5682986111</v>
      </c>
      <c r="C1406">
        <v>6</v>
      </c>
      <c r="D1406">
        <v>8</v>
      </c>
      <c r="E1406" t="s">
        <v>1389</v>
      </c>
    </row>
    <row r="1407" spans="1:5">
      <c r="A1407">
        <f>HYPERLINK("http://www.twitter.com/NYCHA/status/755750536964628480", "755750536964628480")</f>
        <v>0</v>
      </c>
      <c r="B1407" s="2">
        <v>42571.5456365741</v>
      </c>
      <c r="C1407">
        <v>0</v>
      </c>
      <c r="D1407">
        <v>1</v>
      </c>
      <c r="E1407" t="s">
        <v>1390</v>
      </c>
    </row>
    <row r="1408" spans="1:5">
      <c r="A1408">
        <f>HYPERLINK("http://www.twitter.com/NYCHA/status/755749870141661184", "755749870141661184")</f>
        <v>0</v>
      </c>
      <c r="B1408" s="2">
        <v>42571.5437962963</v>
      </c>
      <c r="C1408">
        <v>0</v>
      </c>
      <c r="D1408">
        <v>0</v>
      </c>
      <c r="E1408" t="s">
        <v>1391</v>
      </c>
    </row>
    <row r="1409" spans="1:5">
      <c r="A1409">
        <f>HYPERLINK("http://www.twitter.com/NYCHA/status/755492914025889792", "755492914025889792")</f>
        <v>0</v>
      </c>
      <c r="B1409" s="2">
        <v>42570.8347337963</v>
      </c>
      <c r="C1409">
        <v>8</v>
      </c>
      <c r="D1409">
        <v>3</v>
      </c>
      <c r="E1409" t="s">
        <v>1392</v>
      </c>
    </row>
    <row r="1410" spans="1:5">
      <c r="A1410">
        <f>HYPERLINK("http://www.twitter.com/NYCHA/status/755484160387604487", "755484160387604487")</f>
        <v>0</v>
      </c>
      <c r="B1410" s="2">
        <v>42570.8105787037</v>
      </c>
      <c r="C1410">
        <v>0</v>
      </c>
      <c r="D1410">
        <v>3</v>
      </c>
      <c r="E1410" t="s">
        <v>1393</v>
      </c>
    </row>
    <row r="1411" spans="1:5">
      <c r="A1411">
        <f>HYPERLINK("http://www.twitter.com/NYCHA/status/755478357324759040", "755478357324759040")</f>
        <v>0</v>
      </c>
      <c r="B1411" s="2">
        <v>42570.7945717593</v>
      </c>
      <c r="C1411">
        <v>0</v>
      </c>
      <c r="D1411">
        <v>3</v>
      </c>
      <c r="E1411" t="s">
        <v>1394</v>
      </c>
    </row>
    <row r="1412" spans="1:5">
      <c r="A1412">
        <f>HYPERLINK("http://www.twitter.com/NYCHA/status/755478184456511488", "755478184456511488")</f>
        <v>0</v>
      </c>
      <c r="B1412" s="2">
        <v>42570.7940856482</v>
      </c>
      <c r="C1412">
        <v>0</v>
      </c>
      <c r="D1412">
        <v>3</v>
      </c>
      <c r="E1412" t="s">
        <v>1395</v>
      </c>
    </row>
    <row r="1413" spans="1:5">
      <c r="A1413">
        <f>HYPERLINK("http://www.twitter.com/NYCHA/status/755447539621560321", "755447539621560321")</f>
        <v>0</v>
      </c>
      <c r="B1413" s="2">
        <v>42570.709525463</v>
      </c>
      <c r="C1413">
        <v>3</v>
      </c>
      <c r="D1413">
        <v>0</v>
      </c>
      <c r="E1413" t="s">
        <v>1396</v>
      </c>
    </row>
    <row r="1414" spans="1:5">
      <c r="A1414">
        <f>HYPERLINK("http://www.twitter.com/NYCHA/status/755442094114803713", "755442094114803713")</f>
        <v>0</v>
      </c>
      <c r="B1414" s="2">
        <v>42570.6945023148</v>
      </c>
      <c r="C1414">
        <v>0</v>
      </c>
      <c r="D1414">
        <v>1</v>
      </c>
      <c r="E1414" t="s">
        <v>1397</v>
      </c>
    </row>
    <row r="1415" spans="1:5">
      <c r="A1415">
        <f>HYPERLINK("http://www.twitter.com/NYCHA/status/755433470722179072", "755433470722179072")</f>
        <v>0</v>
      </c>
      <c r="B1415" s="2">
        <v>42570.6707060185</v>
      </c>
      <c r="C1415">
        <v>0</v>
      </c>
      <c r="D1415">
        <v>0</v>
      </c>
      <c r="E1415" t="s">
        <v>1398</v>
      </c>
    </row>
    <row r="1416" spans="1:5">
      <c r="A1416">
        <f>HYPERLINK("http://www.twitter.com/NYCHA/status/755427151743156224", "755427151743156224")</f>
        <v>0</v>
      </c>
      <c r="B1416" s="2">
        <v>42570.6532638889</v>
      </c>
      <c r="C1416">
        <v>0</v>
      </c>
      <c r="D1416">
        <v>4</v>
      </c>
      <c r="E1416" t="s">
        <v>1399</v>
      </c>
    </row>
    <row r="1417" spans="1:5">
      <c r="A1417">
        <f>HYPERLINK("http://www.twitter.com/NYCHA/status/755415263957352448", "755415263957352448")</f>
        <v>0</v>
      </c>
      <c r="B1417" s="2">
        <v>42570.620462963</v>
      </c>
      <c r="C1417">
        <v>2</v>
      </c>
      <c r="D1417">
        <v>2</v>
      </c>
      <c r="E1417" t="s">
        <v>1400</v>
      </c>
    </row>
    <row r="1418" spans="1:5">
      <c r="A1418">
        <f>HYPERLINK("http://www.twitter.com/NYCHA/status/755409829175431168", "755409829175431168")</f>
        <v>0</v>
      </c>
      <c r="B1418" s="2">
        <v>42570.605462963</v>
      </c>
      <c r="C1418">
        <v>3</v>
      </c>
      <c r="D1418">
        <v>0</v>
      </c>
      <c r="E1418" t="s">
        <v>1401</v>
      </c>
    </row>
    <row r="1419" spans="1:5">
      <c r="A1419">
        <f>HYPERLINK("http://www.twitter.com/NYCHA/status/755409280442986496", "755409280442986496")</f>
        <v>0</v>
      </c>
      <c r="B1419" s="2">
        <v>42570.6039467593</v>
      </c>
      <c r="C1419">
        <v>0</v>
      </c>
      <c r="D1419">
        <v>2</v>
      </c>
      <c r="E1419" t="s">
        <v>1402</v>
      </c>
    </row>
    <row r="1420" spans="1:5">
      <c r="A1420">
        <f>HYPERLINK("http://www.twitter.com/NYCHA/status/755409077317017601", "755409077317017601")</f>
        <v>0</v>
      </c>
      <c r="B1420" s="2">
        <v>42570.6033912037</v>
      </c>
      <c r="C1420">
        <v>0</v>
      </c>
      <c r="D1420">
        <v>1</v>
      </c>
      <c r="E1420" t="s">
        <v>1403</v>
      </c>
    </row>
    <row r="1421" spans="1:5">
      <c r="A1421">
        <f>HYPERLINK("http://www.twitter.com/NYCHA/status/755408829601443840", "755408829601443840")</f>
        <v>0</v>
      </c>
      <c r="B1421" s="2">
        <v>42570.6027083333</v>
      </c>
      <c r="C1421">
        <v>0</v>
      </c>
      <c r="D1421">
        <v>2</v>
      </c>
      <c r="E1421" t="s">
        <v>1404</v>
      </c>
    </row>
    <row r="1422" spans="1:5">
      <c r="A1422">
        <f>HYPERLINK("http://www.twitter.com/NYCHA/status/755408775608139776", "755408775608139776")</f>
        <v>0</v>
      </c>
      <c r="B1422" s="2">
        <v>42570.6025578704</v>
      </c>
      <c r="C1422">
        <v>15</v>
      </c>
      <c r="D1422">
        <v>7</v>
      </c>
      <c r="E1422" t="s">
        <v>1405</v>
      </c>
    </row>
    <row r="1423" spans="1:5">
      <c r="A1423">
        <f>HYPERLINK("http://www.twitter.com/NYCHA/status/755406056478605312", "755406056478605312")</f>
        <v>0</v>
      </c>
      <c r="B1423" s="2">
        <v>42570.5950578704</v>
      </c>
      <c r="C1423">
        <v>3</v>
      </c>
      <c r="D1423">
        <v>3</v>
      </c>
      <c r="E1423" t="s">
        <v>1406</v>
      </c>
    </row>
    <row r="1424" spans="1:5">
      <c r="A1424">
        <f>HYPERLINK("http://www.twitter.com/NYCHA/status/755405522254299137", "755405522254299137")</f>
        <v>0</v>
      </c>
      <c r="B1424" s="2">
        <v>42570.5935763889</v>
      </c>
      <c r="C1424">
        <v>2</v>
      </c>
      <c r="D1424">
        <v>2</v>
      </c>
      <c r="E1424" t="s">
        <v>1407</v>
      </c>
    </row>
    <row r="1425" spans="1:5">
      <c r="A1425">
        <f>HYPERLINK("http://www.twitter.com/NYCHA/status/755404200264265728", "755404200264265728")</f>
        <v>0</v>
      </c>
      <c r="B1425" s="2">
        <v>42570.5899305556</v>
      </c>
      <c r="C1425">
        <v>0</v>
      </c>
      <c r="D1425">
        <v>2</v>
      </c>
      <c r="E1425" t="s">
        <v>1408</v>
      </c>
    </row>
    <row r="1426" spans="1:5">
      <c r="A1426">
        <f>HYPERLINK("http://www.twitter.com/NYCHA/status/755396275089117185", "755396275089117185")</f>
        <v>0</v>
      </c>
      <c r="B1426" s="2">
        <v>42570.5680671296</v>
      </c>
      <c r="C1426">
        <v>0</v>
      </c>
      <c r="D1426">
        <v>3</v>
      </c>
      <c r="E1426" t="s">
        <v>1409</v>
      </c>
    </row>
    <row r="1427" spans="1:5">
      <c r="A1427">
        <f>HYPERLINK("http://www.twitter.com/NYCHA/status/755396261554061313", "755396261554061313")</f>
        <v>0</v>
      </c>
      <c r="B1427" s="2">
        <v>42570.5680208333</v>
      </c>
      <c r="C1427">
        <v>0</v>
      </c>
      <c r="D1427">
        <v>3</v>
      </c>
      <c r="E1427" t="s">
        <v>1410</v>
      </c>
    </row>
    <row r="1428" spans="1:5">
      <c r="A1428">
        <f>HYPERLINK("http://www.twitter.com/NYCHA/status/755395423213391872", "755395423213391872")</f>
        <v>0</v>
      </c>
      <c r="B1428" s="2">
        <v>42570.5657175926</v>
      </c>
      <c r="C1428">
        <v>0</v>
      </c>
      <c r="D1428">
        <v>3</v>
      </c>
      <c r="E1428" t="s">
        <v>1411</v>
      </c>
    </row>
    <row r="1429" spans="1:5">
      <c r="A1429">
        <f>HYPERLINK("http://www.twitter.com/NYCHA/status/755394589851287553", "755394589851287553")</f>
        <v>0</v>
      </c>
      <c r="B1429" s="2">
        <v>42570.5634143519</v>
      </c>
      <c r="C1429">
        <v>0</v>
      </c>
      <c r="D1429">
        <v>3</v>
      </c>
      <c r="E1429" t="s">
        <v>1412</v>
      </c>
    </row>
    <row r="1430" spans="1:5">
      <c r="A1430">
        <f>HYPERLINK("http://www.twitter.com/NYCHA/status/755388125007020032", "755388125007020032")</f>
        <v>0</v>
      </c>
      <c r="B1430" s="2">
        <v>42570.5455787037</v>
      </c>
      <c r="C1430">
        <v>0</v>
      </c>
      <c r="D1430">
        <v>0</v>
      </c>
      <c r="E1430" t="s">
        <v>1413</v>
      </c>
    </row>
    <row r="1431" spans="1:5">
      <c r="A1431">
        <f>HYPERLINK("http://www.twitter.com/NYCHA/status/755207799861379072", "755207799861379072")</f>
        <v>0</v>
      </c>
      <c r="B1431" s="2">
        <v>42570.047974537</v>
      </c>
      <c r="C1431">
        <v>0</v>
      </c>
      <c r="D1431">
        <v>4</v>
      </c>
      <c r="E1431" t="s">
        <v>1414</v>
      </c>
    </row>
    <row r="1432" spans="1:5">
      <c r="A1432">
        <f>HYPERLINK("http://www.twitter.com/NYCHA/status/755207750645321728", "755207750645321728")</f>
        <v>0</v>
      </c>
      <c r="B1432" s="2">
        <v>42570.0478356481</v>
      </c>
      <c r="C1432">
        <v>0</v>
      </c>
      <c r="D1432">
        <v>6</v>
      </c>
      <c r="E1432" t="s">
        <v>1415</v>
      </c>
    </row>
    <row r="1433" spans="1:5">
      <c r="A1433">
        <f>HYPERLINK("http://www.twitter.com/NYCHA/status/755159165337829376", "755159165337829376")</f>
        <v>0</v>
      </c>
      <c r="B1433" s="2">
        <v>42569.9137615741</v>
      </c>
      <c r="C1433">
        <v>0</v>
      </c>
      <c r="D1433">
        <v>15</v>
      </c>
      <c r="E1433" t="s">
        <v>1416</v>
      </c>
    </row>
    <row r="1434" spans="1:5">
      <c r="A1434">
        <f>HYPERLINK("http://www.twitter.com/NYCHA/status/755159156118749184", "755159156118749184")</f>
        <v>0</v>
      </c>
      <c r="B1434" s="2">
        <v>42569.9137384259</v>
      </c>
      <c r="C1434">
        <v>0</v>
      </c>
      <c r="D1434">
        <v>16</v>
      </c>
      <c r="E1434" t="s">
        <v>1417</v>
      </c>
    </row>
    <row r="1435" spans="1:5">
      <c r="A1435">
        <f>HYPERLINK("http://www.twitter.com/NYCHA/status/755145599331209216", "755145599331209216")</f>
        <v>0</v>
      </c>
      <c r="B1435" s="2">
        <v>42569.8763310185</v>
      </c>
      <c r="C1435">
        <v>2</v>
      </c>
      <c r="D1435">
        <v>2</v>
      </c>
      <c r="E1435" t="s">
        <v>1418</v>
      </c>
    </row>
    <row r="1436" spans="1:5">
      <c r="A1436">
        <f>HYPERLINK("http://www.twitter.com/NYCHA/status/755114024027693056", "755114024027693056")</f>
        <v>0</v>
      </c>
      <c r="B1436" s="2">
        <v>42569.7892013889</v>
      </c>
      <c r="C1436">
        <v>0</v>
      </c>
      <c r="D1436">
        <v>4</v>
      </c>
      <c r="E1436" t="s">
        <v>623</v>
      </c>
    </row>
    <row r="1437" spans="1:5">
      <c r="A1437">
        <f>HYPERLINK("http://www.twitter.com/NYCHA/status/755113982134984704", "755113982134984704")</f>
        <v>0</v>
      </c>
      <c r="B1437" s="2">
        <v>42569.7890856481</v>
      </c>
      <c r="C1437">
        <v>0</v>
      </c>
      <c r="D1437">
        <v>0</v>
      </c>
      <c r="E1437" t="s">
        <v>1419</v>
      </c>
    </row>
    <row r="1438" spans="1:5">
      <c r="A1438">
        <f>HYPERLINK("http://www.twitter.com/NYCHA/status/755100381013807105", "755100381013807105")</f>
        <v>0</v>
      </c>
      <c r="B1438" s="2">
        <v>42569.7515509259</v>
      </c>
      <c r="C1438">
        <v>0</v>
      </c>
      <c r="D1438">
        <v>2</v>
      </c>
      <c r="E1438" t="s">
        <v>1420</v>
      </c>
    </row>
    <row r="1439" spans="1:5">
      <c r="A1439">
        <f>HYPERLINK("http://www.twitter.com/NYCHA/status/755070390419030016", "755070390419030016")</f>
        <v>0</v>
      </c>
      <c r="B1439" s="2">
        <v>42569.6687962963</v>
      </c>
      <c r="C1439">
        <v>0</v>
      </c>
      <c r="D1439">
        <v>0</v>
      </c>
      <c r="E1439" t="s">
        <v>1421</v>
      </c>
    </row>
    <row r="1440" spans="1:5">
      <c r="A1440">
        <f>HYPERLINK("http://www.twitter.com/NYCHA/status/755053953000300544", "755053953000300544")</f>
        <v>0</v>
      </c>
      <c r="B1440" s="2">
        <v>42569.6234375</v>
      </c>
      <c r="C1440">
        <v>0</v>
      </c>
      <c r="D1440">
        <v>1</v>
      </c>
      <c r="E1440" t="s">
        <v>1422</v>
      </c>
    </row>
    <row r="1441" spans="1:5">
      <c r="A1441">
        <f>HYPERLINK("http://www.twitter.com/NYCHA/status/755042509789753344", "755042509789753344")</f>
        <v>0</v>
      </c>
      <c r="B1441" s="2">
        <v>42569.5918634259</v>
      </c>
      <c r="C1441">
        <v>0</v>
      </c>
      <c r="D1441">
        <v>0</v>
      </c>
      <c r="E1441" t="s">
        <v>1423</v>
      </c>
    </row>
    <row r="1442" spans="1:5">
      <c r="A1442">
        <f>HYPERLINK("http://www.twitter.com/NYCHA/status/755041485943431168", "755041485943431168")</f>
        <v>0</v>
      </c>
      <c r="B1442" s="2">
        <v>42569.5890277778</v>
      </c>
      <c r="C1442">
        <v>0</v>
      </c>
      <c r="D1442">
        <v>13</v>
      </c>
      <c r="E1442" t="s">
        <v>1424</v>
      </c>
    </row>
    <row r="1443" spans="1:5">
      <c r="A1443">
        <f>HYPERLINK("http://www.twitter.com/NYCHA/status/755032350061461504", "755032350061461504")</f>
        <v>0</v>
      </c>
      <c r="B1443" s="2">
        <v>42569.5638194444</v>
      </c>
      <c r="C1443">
        <v>1</v>
      </c>
      <c r="D1443">
        <v>2</v>
      </c>
      <c r="E1443" t="s">
        <v>1425</v>
      </c>
    </row>
    <row r="1444" spans="1:5">
      <c r="A1444">
        <f>HYPERLINK("http://www.twitter.com/NYCHA/status/755025742044467200", "755025742044467200")</f>
        <v>0</v>
      </c>
      <c r="B1444" s="2">
        <v>42569.5455902778</v>
      </c>
      <c r="C1444">
        <v>0</v>
      </c>
      <c r="D1444">
        <v>1</v>
      </c>
      <c r="E1444" t="s">
        <v>1426</v>
      </c>
    </row>
    <row r="1445" spans="1:5">
      <c r="A1445">
        <f>HYPERLINK("http://www.twitter.com/NYCHA/status/754708585154768896", "754708585154768896")</f>
        <v>0</v>
      </c>
      <c r="B1445" s="2">
        <v>42568.6704050926</v>
      </c>
      <c r="C1445">
        <v>3</v>
      </c>
      <c r="D1445">
        <v>1</v>
      </c>
      <c r="E1445" t="s">
        <v>1427</v>
      </c>
    </row>
    <row r="1446" spans="1:5">
      <c r="A1446">
        <f>HYPERLINK("http://www.twitter.com/NYCHA/status/754054283604156418", "754054283604156418")</f>
        <v>0</v>
      </c>
      <c r="B1446" s="2">
        <v>42566.8648726852</v>
      </c>
      <c r="C1446">
        <v>0</v>
      </c>
      <c r="D1446">
        <v>0</v>
      </c>
      <c r="E1446" t="s">
        <v>1428</v>
      </c>
    </row>
    <row r="1447" spans="1:5">
      <c r="A1447">
        <f>HYPERLINK("http://www.twitter.com/NYCHA/status/754042242067726336", "754042242067726336")</f>
        <v>0</v>
      </c>
      <c r="B1447" s="2">
        <v>42566.8316435185</v>
      </c>
      <c r="C1447">
        <v>0</v>
      </c>
      <c r="D1447">
        <v>4</v>
      </c>
      <c r="E1447" t="s">
        <v>1429</v>
      </c>
    </row>
    <row r="1448" spans="1:5">
      <c r="A1448">
        <f>HYPERLINK("http://www.twitter.com/NYCHA/status/754016220320567296", "754016220320567296")</f>
        <v>0</v>
      </c>
      <c r="B1448" s="2">
        <v>42566.759837963</v>
      </c>
      <c r="C1448">
        <v>0</v>
      </c>
      <c r="D1448">
        <v>1</v>
      </c>
      <c r="E1448" t="s">
        <v>1430</v>
      </c>
    </row>
    <row r="1449" spans="1:5">
      <c r="A1449">
        <f>HYPERLINK("http://www.twitter.com/NYCHA/status/754013007395586048", "754013007395586048")</f>
        <v>0</v>
      </c>
      <c r="B1449" s="2">
        <v>42566.7509722222</v>
      </c>
      <c r="C1449">
        <v>2</v>
      </c>
      <c r="D1449">
        <v>0</v>
      </c>
      <c r="E1449" t="s">
        <v>1431</v>
      </c>
    </row>
    <row r="1450" spans="1:5">
      <c r="A1450">
        <f>HYPERLINK("http://www.twitter.com/NYCHA/status/753983138674663429", "753983138674663429")</f>
        <v>0</v>
      </c>
      <c r="B1450" s="2">
        <v>42566.6685532407</v>
      </c>
      <c r="C1450">
        <v>2</v>
      </c>
      <c r="D1450">
        <v>0</v>
      </c>
      <c r="E1450" t="s">
        <v>1432</v>
      </c>
    </row>
    <row r="1451" spans="1:5">
      <c r="A1451">
        <f>HYPERLINK("http://www.twitter.com/NYCHA/status/753968688861241344", "753968688861241344")</f>
        <v>0</v>
      </c>
      <c r="B1451" s="2">
        <v>42566.6286805556</v>
      </c>
      <c r="C1451">
        <v>2</v>
      </c>
      <c r="D1451">
        <v>1</v>
      </c>
      <c r="E1451" t="s">
        <v>1433</v>
      </c>
    </row>
    <row r="1452" spans="1:5">
      <c r="A1452">
        <f>HYPERLINK("http://www.twitter.com/NYCHA/status/753956163432087552", "753956163432087552")</f>
        <v>0</v>
      </c>
      <c r="B1452" s="2">
        <v>42566.5941087963</v>
      </c>
      <c r="C1452">
        <v>2</v>
      </c>
      <c r="D1452">
        <v>3</v>
      </c>
      <c r="E1452" t="s">
        <v>1434</v>
      </c>
    </row>
    <row r="1453" spans="1:5">
      <c r="A1453">
        <f>HYPERLINK("http://www.twitter.com/NYCHA/status/753950372188815360", "753950372188815360")</f>
        <v>0</v>
      </c>
      <c r="B1453" s="2">
        <v>42566.5781365741</v>
      </c>
      <c r="C1453">
        <v>0</v>
      </c>
      <c r="D1453">
        <v>5</v>
      </c>
      <c r="E1453" t="s">
        <v>1435</v>
      </c>
    </row>
    <row r="1454" spans="1:5">
      <c r="A1454">
        <f>HYPERLINK("http://www.twitter.com/NYCHA/status/753947972480688128", "753947972480688128")</f>
        <v>0</v>
      </c>
      <c r="B1454" s="2">
        <v>42566.5715046296</v>
      </c>
      <c r="C1454">
        <v>0</v>
      </c>
      <c r="D1454">
        <v>4</v>
      </c>
      <c r="E1454" t="s">
        <v>623</v>
      </c>
    </row>
    <row r="1455" spans="1:5">
      <c r="A1455">
        <f>HYPERLINK("http://www.twitter.com/NYCHA/status/753947889941024768", "753947889941024768")</f>
        <v>0</v>
      </c>
      <c r="B1455" s="2">
        <v>42566.5712847222</v>
      </c>
      <c r="C1455">
        <v>0</v>
      </c>
      <c r="D1455">
        <v>2</v>
      </c>
      <c r="E1455" t="s">
        <v>1436</v>
      </c>
    </row>
    <row r="1456" spans="1:5">
      <c r="A1456">
        <f>HYPERLINK("http://www.twitter.com/NYCHA/status/753947854348046336", "753947854348046336")</f>
        <v>0</v>
      </c>
      <c r="B1456" s="2">
        <v>42566.5711805556</v>
      </c>
      <c r="C1456">
        <v>0</v>
      </c>
      <c r="D1456">
        <v>2</v>
      </c>
      <c r="E1456" t="s">
        <v>1437</v>
      </c>
    </row>
    <row r="1457" spans="1:5">
      <c r="A1457">
        <f>HYPERLINK("http://www.twitter.com/NYCHA/status/753947841505009666", "753947841505009666")</f>
        <v>0</v>
      </c>
      <c r="B1457" s="2">
        <v>42566.5711458333</v>
      </c>
      <c r="C1457">
        <v>0</v>
      </c>
      <c r="D1457">
        <v>1</v>
      </c>
      <c r="E1457" t="s">
        <v>1438</v>
      </c>
    </row>
    <row r="1458" spans="1:5">
      <c r="A1458">
        <f>HYPERLINK("http://www.twitter.com/NYCHA/status/753946970260180992", "753946970260180992")</f>
        <v>0</v>
      </c>
      <c r="B1458" s="2">
        <v>42566.56875</v>
      </c>
      <c r="C1458">
        <v>0</v>
      </c>
      <c r="D1458">
        <v>4</v>
      </c>
      <c r="E1458" t="s">
        <v>1439</v>
      </c>
    </row>
    <row r="1459" spans="1:5">
      <c r="A1459">
        <f>HYPERLINK("http://www.twitter.com/NYCHA/status/753944901704945665", "753944901704945665")</f>
        <v>0</v>
      </c>
      <c r="B1459" s="2">
        <v>42566.5630324074</v>
      </c>
      <c r="C1459">
        <v>2</v>
      </c>
      <c r="D1459">
        <v>4</v>
      </c>
      <c r="E1459" t="s">
        <v>1440</v>
      </c>
    </row>
    <row r="1460" spans="1:5">
      <c r="A1460">
        <f>HYPERLINK("http://www.twitter.com/NYCHA/status/753938573292896256", "753938573292896256")</f>
        <v>0</v>
      </c>
      <c r="B1460" s="2">
        <v>42566.5455787037</v>
      </c>
      <c r="C1460">
        <v>1</v>
      </c>
      <c r="D1460">
        <v>1</v>
      </c>
      <c r="E1460" t="s">
        <v>1441</v>
      </c>
    </row>
    <row r="1461" spans="1:5">
      <c r="A1461">
        <f>HYPERLINK("http://www.twitter.com/NYCHA/status/753922325830139904", "753922325830139904")</f>
        <v>0</v>
      </c>
      <c r="B1461" s="2">
        <v>42566.5007407407</v>
      </c>
      <c r="C1461">
        <v>2</v>
      </c>
      <c r="D1461">
        <v>1</v>
      </c>
      <c r="E1461" t="s">
        <v>1442</v>
      </c>
    </row>
    <row r="1462" spans="1:5">
      <c r="A1462">
        <f>HYPERLINK("http://www.twitter.com/NYCHA/status/753694504964788224", "753694504964788224")</f>
        <v>0</v>
      </c>
      <c r="B1462" s="2">
        <v>42565.8720717593</v>
      </c>
      <c r="C1462">
        <v>0</v>
      </c>
      <c r="D1462">
        <v>23</v>
      </c>
      <c r="E1462" t="s">
        <v>1443</v>
      </c>
    </row>
    <row r="1463" spans="1:5">
      <c r="A1463">
        <f>HYPERLINK("http://www.twitter.com/NYCHA/status/753694436102639616", "753694436102639616")</f>
        <v>0</v>
      </c>
      <c r="B1463" s="2">
        <v>42565.8718865741</v>
      </c>
      <c r="C1463">
        <v>0</v>
      </c>
      <c r="D1463">
        <v>6</v>
      </c>
      <c r="E1463" t="s">
        <v>1444</v>
      </c>
    </row>
    <row r="1464" spans="1:5">
      <c r="A1464">
        <f>HYPERLINK("http://www.twitter.com/NYCHA/status/753694364166197248", "753694364166197248")</f>
        <v>0</v>
      </c>
      <c r="B1464" s="2">
        <v>42565.8716898148</v>
      </c>
      <c r="C1464">
        <v>0</v>
      </c>
      <c r="D1464">
        <v>7</v>
      </c>
      <c r="E1464" t="s">
        <v>1445</v>
      </c>
    </row>
    <row r="1465" spans="1:5">
      <c r="A1465">
        <f>HYPERLINK("http://www.twitter.com/NYCHA/status/753691846971449344", "753691846971449344")</f>
        <v>0</v>
      </c>
      <c r="B1465" s="2">
        <v>42565.8647337963</v>
      </c>
      <c r="C1465">
        <v>0</v>
      </c>
      <c r="D1465">
        <v>1</v>
      </c>
      <c r="E1465" t="s">
        <v>1446</v>
      </c>
    </row>
    <row r="1466" spans="1:5">
      <c r="A1466">
        <f>HYPERLINK("http://www.twitter.com/NYCHA/status/753680906007838721", "753680906007838721")</f>
        <v>0</v>
      </c>
      <c r="B1466" s="2">
        <v>42565.8345486111</v>
      </c>
      <c r="C1466">
        <v>1</v>
      </c>
      <c r="D1466">
        <v>0</v>
      </c>
      <c r="E1466" t="s">
        <v>1447</v>
      </c>
    </row>
    <row r="1467" spans="1:5">
      <c r="A1467">
        <f>HYPERLINK("http://www.twitter.com/NYCHA/status/753676690967191552", "753676690967191552")</f>
        <v>0</v>
      </c>
      <c r="B1467" s="2">
        <v>42565.8229166667</v>
      </c>
      <c r="C1467">
        <v>0</v>
      </c>
      <c r="D1467">
        <v>8</v>
      </c>
      <c r="E1467" t="s">
        <v>1448</v>
      </c>
    </row>
    <row r="1468" spans="1:5">
      <c r="A1468">
        <f>HYPERLINK("http://www.twitter.com/NYCHA/status/753676507881541632", "753676507881541632")</f>
        <v>0</v>
      </c>
      <c r="B1468" s="2">
        <v>42565.8224074074</v>
      </c>
      <c r="C1468">
        <v>7</v>
      </c>
      <c r="D1468">
        <v>6</v>
      </c>
      <c r="E1468" t="s">
        <v>1449</v>
      </c>
    </row>
    <row r="1469" spans="1:5">
      <c r="A1469">
        <f>HYPERLINK("http://www.twitter.com/NYCHA/status/753675388010790912", "753675388010790912")</f>
        <v>0</v>
      </c>
      <c r="B1469" s="2">
        <v>42565.8193171296</v>
      </c>
      <c r="C1469">
        <v>0</v>
      </c>
      <c r="D1469">
        <v>2</v>
      </c>
      <c r="E1469" t="s">
        <v>1450</v>
      </c>
    </row>
    <row r="1470" spans="1:5">
      <c r="A1470">
        <f>HYPERLINK("http://www.twitter.com/NYCHA/status/753668283551850497", "753668283551850497")</f>
        <v>0</v>
      </c>
      <c r="B1470" s="2">
        <v>42565.7997106481</v>
      </c>
      <c r="C1470">
        <v>0</v>
      </c>
      <c r="D1470">
        <v>5</v>
      </c>
      <c r="E1470" t="s">
        <v>1451</v>
      </c>
    </row>
    <row r="1471" spans="1:5">
      <c r="A1471">
        <f>HYPERLINK("http://www.twitter.com/NYCHA/status/753659767197995008", "753659767197995008")</f>
        <v>0</v>
      </c>
      <c r="B1471" s="2">
        <v>42565.7762152778</v>
      </c>
      <c r="C1471">
        <v>0</v>
      </c>
      <c r="D1471">
        <v>5</v>
      </c>
      <c r="E1471" t="s">
        <v>1452</v>
      </c>
    </row>
    <row r="1472" spans="1:5">
      <c r="A1472">
        <f>HYPERLINK("http://www.twitter.com/NYCHA/status/753659753876844544", "753659753876844544")</f>
        <v>0</v>
      </c>
      <c r="B1472" s="2">
        <v>42565.7761805556</v>
      </c>
      <c r="C1472">
        <v>0</v>
      </c>
      <c r="D1472">
        <v>4</v>
      </c>
      <c r="E1472" t="s">
        <v>1453</v>
      </c>
    </row>
    <row r="1473" spans="1:5">
      <c r="A1473">
        <f>HYPERLINK("http://www.twitter.com/NYCHA/status/753659723342311424", "753659723342311424")</f>
        <v>0</v>
      </c>
      <c r="B1473" s="2">
        <v>42565.776099537</v>
      </c>
      <c r="C1473">
        <v>0</v>
      </c>
      <c r="D1473">
        <v>3</v>
      </c>
      <c r="E1473" t="s">
        <v>1454</v>
      </c>
    </row>
    <row r="1474" spans="1:5">
      <c r="A1474">
        <f>HYPERLINK("http://www.twitter.com/NYCHA/status/753651633276481536", "753651633276481536")</f>
        <v>0</v>
      </c>
      <c r="B1474" s="2">
        <v>42565.7537731481</v>
      </c>
      <c r="C1474">
        <v>1</v>
      </c>
      <c r="D1474">
        <v>1</v>
      </c>
      <c r="E1474" t="s">
        <v>1427</v>
      </c>
    </row>
    <row r="1475" spans="1:5">
      <c r="A1475">
        <f>HYPERLINK("http://www.twitter.com/NYCHA/status/753616405338198017", "753616405338198017")</f>
        <v>0</v>
      </c>
      <c r="B1475" s="2">
        <v>42565.6565625</v>
      </c>
      <c r="C1475">
        <v>4</v>
      </c>
      <c r="D1475">
        <v>1</v>
      </c>
      <c r="E1475" t="s">
        <v>1455</v>
      </c>
    </row>
    <row r="1476" spans="1:5">
      <c r="A1476">
        <f>HYPERLINK("http://www.twitter.com/NYCHA/status/753603693639966720", "753603693639966720")</f>
        <v>0</v>
      </c>
      <c r="B1476" s="2">
        <v>42565.6214814815</v>
      </c>
      <c r="C1476">
        <v>0</v>
      </c>
      <c r="D1476">
        <v>2</v>
      </c>
      <c r="E1476" t="s">
        <v>1456</v>
      </c>
    </row>
    <row r="1477" spans="1:5">
      <c r="A1477">
        <f>HYPERLINK("http://www.twitter.com/NYCHA/status/753601225208303616", "753601225208303616")</f>
        <v>0</v>
      </c>
      <c r="B1477" s="2">
        <v>42565.6146643519</v>
      </c>
      <c r="C1477">
        <v>0</v>
      </c>
      <c r="D1477">
        <v>1</v>
      </c>
      <c r="E1477" t="s">
        <v>1457</v>
      </c>
    </row>
    <row r="1478" spans="1:5">
      <c r="A1478">
        <f>HYPERLINK("http://www.twitter.com/NYCHA/status/753576173410611200", "753576173410611200")</f>
        <v>0</v>
      </c>
      <c r="B1478" s="2">
        <v>42565.5455439815</v>
      </c>
      <c r="C1478">
        <v>1</v>
      </c>
      <c r="D1478">
        <v>1</v>
      </c>
      <c r="E1478" t="s">
        <v>1458</v>
      </c>
    </row>
    <row r="1479" spans="1:5">
      <c r="A1479">
        <f>HYPERLINK("http://www.twitter.com/NYCHA/status/753303437614383105", "753303437614383105")</f>
        <v>0</v>
      </c>
      <c r="B1479" s="2">
        <v>42564.7929282407</v>
      </c>
      <c r="C1479">
        <v>4</v>
      </c>
      <c r="D1479">
        <v>1</v>
      </c>
      <c r="E1479" t="s">
        <v>1459</v>
      </c>
    </row>
    <row r="1480" spans="1:5">
      <c r="A1480">
        <f>HYPERLINK("http://www.twitter.com/NYCHA/status/753296574009270272", "753296574009270272")</f>
        <v>0</v>
      </c>
      <c r="B1480" s="2">
        <v>42564.7739930556</v>
      </c>
      <c r="C1480">
        <v>4</v>
      </c>
      <c r="D1480">
        <v>2</v>
      </c>
      <c r="E1480" t="s">
        <v>1460</v>
      </c>
    </row>
    <row r="1481" spans="1:5">
      <c r="A1481">
        <f>HYPERLINK("http://www.twitter.com/NYCHA/status/753288403060490240", "753288403060490240")</f>
        <v>0</v>
      </c>
      <c r="B1481" s="2">
        <v>42564.7514467593</v>
      </c>
      <c r="C1481">
        <v>2</v>
      </c>
      <c r="D1481">
        <v>1</v>
      </c>
      <c r="E1481" t="s">
        <v>1461</v>
      </c>
    </row>
    <row r="1482" spans="1:5">
      <c r="A1482">
        <f>HYPERLINK("http://www.twitter.com/NYCHA/status/753271532214951937", "753271532214951937")</f>
        <v>0</v>
      </c>
      <c r="B1482" s="2">
        <v>42564.7048958333</v>
      </c>
      <c r="C1482">
        <v>0</v>
      </c>
      <c r="D1482">
        <v>1</v>
      </c>
      <c r="E1482" t="s">
        <v>1462</v>
      </c>
    </row>
    <row r="1483" spans="1:5">
      <c r="A1483">
        <f>HYPERLINK("http://www.twitter.com/NYCHA/status/753262851146547200", "753262851146547200")</f>
        <v>0</v>
      </c>
      <c r="B1483" s="2">
        <v>42564.6809375</v>
      </c>
      <c r="C1483">
        <v>0</v>
      </c>
      <c r="D1483">
        <v>1</v>
      </c>
      <c r="E1483" t="s">
        <v>870</v>
      </c>
    </row>
    <row r="1484" spans="1:5">
      <c r="A1484">
        <f>HYPERLINK("http://www.twitter.com/NYCHA/status/753259114063618048", "753259114063618048")</f>
        <v>0</v>
      </c>
      <c r="B1484" s="2">
        <v>42564.670625</v>
      </c>
      <c r="C1484">
        <v>3</v>
      </c>
      <c r="D1484">
        <v>2</v>
      </c>
      <c r="E1484" t="s">
        <v>1463</v>
      </c>
    </row>
    <row r="1485" spans="1:5">
      <c r="A1485">
        <f>HYPERLINK("http://www.twitter.com/NYCHA/status/753237648173563904", "753237648173563904")</f>
        <v>0</v>
      </c>
      <c r="B1485" s="2">
        <v>42564.6113888889</v>
      </c>
      <c r="C1485">
        <v>0</v>
      </c>
      <c r="D1485">
        <v>1</v>
      </c>
      <c r="E1485" t="s">
        <v>1464</v>
      </c>
    </row>
    <row r="1486" spans="1:5">
      <c r="A1486">
        <f>HYPERLINK("http://www.twitter.com/NYCHA/status/753229774286385152", "753229774286385152")</f>
        <v>0</v>
      </c>
      <c r="B1486" s="2">
        <v>42564.5896643518</v>
      </c>
      <c r="C1486">
        <v>0</v>
      </c>
      <c r="D1486">
        <v>1</v>
      </c>
      <c r="E1486" t="s">
        <v>1465</v>
      </c>
    </row>
    <row r="1487" spans="1:5">
      <c r="A1487">
        <f>HYPERLINK("http://www.twitter.com/NYCHA/status/753229682926034944", "753229682926034944")</f>
        <v>0</v>
      </c>
      <c r="B1487" s="2">
        <v>42564.5894097222</v>
      </c>
      <c r="C1487">
        <v>2</v>
      </c>
      <c r="D1487">
        <v>1</v>
      </c>
      <c r="E1487" t="s">
        <v>1466</v>
      </c>
    </row>
    <row r="1488" spans="1:5">
      <c r="A1488">
        <f>HYPERLINK("http://www.twitter.com/NYCHA/status/753213013306531840", "753213013306531840")</f>
        <v>0</v>
      </c>
      <c r="B1488" s="2">
        <v>42564.5434143519</v>
      </c>
      <c r="C1488">
        <v>2</v>
      </c>
      <c r="D1488">
        <v>1</v>
      </c>
      <c r="E1488" t="s">
        <v>1467</v>
      </c>
    </row>
    <row r="1489" spans="1:5">
      <c r="A1489">
        <f>HYPERLINK("http://www.twitter.com/NYCHA/status/752968117765148672", "752968117765148672")</f>
        <v>0</v>
      </c>
      <c r="B1489" s="2">
        <v>42563.8676273148</v>
      </c>
      <c r="C1489">
        <v>0</v>
      </c>
      <c r="D1489">
        <v>5</v>
      </c>
      <c r="E1489" t="s">
        <v>1468</v>
      </c>
    </row>
    <row r="1490" spans="1:5">
      <c r="A1490">
        <f>HYPERLINK("http://www.twitter.com/NYCHA/status/752967119214706689", "752967119214706689")</f>
        <v>0</v>
      </c>
      <c r="B1490" s="2">
        <v>42563.8648726852</v>
      </c>
      <c r="C1490">
        <v>2</v>
      </c>
      <c r="D1490">
        <v>0</v>
      </c>
      <c r="E1490" t="s">
        <v>1469</v>
      </c>
    </row>
    <row r="1491" spans="1:5">
      <c r="A1491">
        <f>HYPERLINK("http://www.twitter.com/NYCHA/status/752943752487002112", "752943752487002112")</f>
        <v>0</v>
      </c>
      <c r="B1491" s="2">
        <v>42563.8003935185</v>
      </c>
      <c r="C1491">
        <v>0</v>
      </c>
      <c r="D1491">
        <v>4</v>
      </c>
      <c r="E1491" t="s">
        <v>1470</v>
      </c>
    </row>
    <row r="1492" spans="1:5">
      <c r="A1492">
        <f>HYPERLINK("http://www.twitter.com/NYCHA/status/752933293197258752", "752933293197258752")</f>
        <v>0</v>
      </c>
      <c r="B1492" s="2">
        <v>42563.7715277778</v>
      </c>
      <c r="C1492">
        <v>0</v>
      </c>
      <c r="D1492">
        <v>0</v>
      </c>
      <c r="E1492" t="s">
        <v>1471</v>
      </c>
    </row>
    <row r="1493" spans="1:5">
      <c r="A1493">
        <f>HYPERLINK("http://www.twitter.com/NYCHA/status/752929363042177025", "752929363042177025")</f>
        <v>0</v>
      </c>
      <c r="B1493" s="2">
        <v>42563.7606828704</v>
      </c>
      <c r="C1493">
        <v>0</v>
      </c>
      <c r="D1493">
        <v>0</v>
      </c>
      <c r="E1493" t="s">
        <v>1472</v>
      </c>
    </row>
    <row r="1494" spans="1:5">
      <c r="A1494">
        <f>HYPERLINK("http://www.twitter.com/NYCHA/status/752903597613015040", "752903597613015040")</f>
        <v>0</v>
      </c>
      <c r="B1494" s="2">
        <v>42563.6895833333</v>
      </c>
      <c r="C1494">
        <v>0</v>
      </c>
      <c r="D1494">
        <v>1</v>
      </c>
      <c r="E1494" t="s">
        <v>1473</v>
      </c>
    </row>
    <row r="1495" spans="1:5">
      <c r="A1495">
        <f>HYPERLINK("http://www.twitter.com/NYCHA/status/752898176366026757", "752898176366026757")</f>
        <v>0</v>
      </c>
      <c r="B1495" s="2">
        <v>42563.6746296296</v>
      </c>
      <c r="C1495">
        <v>0</v>
      </c>
      <c r="D1495">
        <v>16</v>
      </c>
      <c r="E1495" t="s">
        <v>1474</v>
      </c>
    </row>
    <row r="1496" spans="1:5">
      <c r="A1496">
        <f>HYPERLINK("http://www.twitter.com/NYCHA/status/752894377035522048", "752894377035522048")</f>
        <v>0</v>
      </c>
      <c r="B1496" s="2">
        <v>42563.6641435185</v>
      </c>
      <c r="C1496">
        <v>0</v>
      </c>
      <c r="D1496">
        <v>3</v>
      </c>
      <c r="E1496" t="s">
        <v>1475</v>
      </c>
    </row>
    <row r="1497" spans="1:5">
      <c r="A1497">
        <f>HYPERLINK("http://www.twitter.com/NYCHA/status/752892335483154432", "752892335483154432")</f>
        <v>0</v>
      </c>
      <c r="B1497" s="2">
        <v>42563.6585069444</v>
      </c>
      <c r="C1497">
        <v>0</v>
      </c>
      <c r="D1497">
        <v>2</v>
      </c>
      <c r="E1497" t="s">
        <v>1476</v>
      </c>
    </row>
    <row r="1498" spans="1:5">
      <c r="A1498">
        <f>HYPERLINK("http://www.twitter.com/NYCHA/status/752887981204209664", "752887981204209664")</f>
        <v>0</v>
      </c>
      <c r="B1498" s="2">
        <v>42563.6464930556</v>
      </c>
      <c r="C1498">
        <v>0</v>
      </c>
      <c r="D1498">
        <v>0</v>
      </c>
      <c r="E1498" t="s">
        <v>1477</v>
      </c>
    </row>
    <row r="1499" spans="1:5">
      <c r="A1499">
        <f>HYPERLINK("http://www.twitter.com/NYCHA/status/752874550535356416", "752874550535356416")</f>
        <v>0</v>
      </c>
      <c r="B1499" s="2">
        <v>42563.6094328704</v>
      </c>
      <c r="C1499">
        <v>0</v>
      </c>
      <c r="D1499">
        <v>1</v>
      </c>
      <c r="E1499" t="s">
        <v>1478</v>
      </c>
    </row>
    <row r="1500" spans="1:5">
      <c r="A1500">
        <f>HYPERLINK("http://www.twitter.com/NYCHA/status/752874032765235200", "752874032765235200")</f>
        <v>0</v>
      </c>
      <c r="B1500" s="2">
        <v>42563.6079976852</v>
      </c>
      <c r="C1500">
        <v>0</v>
      </c>
      <c r="D1500">
        <v>1</v>
      </c>
      <c r="E1500" t="s">
        <v>1479</v>
      </c>
    </row>
    <row r="1501" spans="1:5">
      <c r="A1501">
        <f>HYPERLINK("http://www.twitter.com/NYCHA/status/752873828217487360", "752873828217487360")</f>
        <v>0</v>
      </c>
      <c r="B1501" s="2">
        <v>42563.6074421296</v>
      </c>
      <c r="C1501">
        <v>2</v>
      </c>
      <c r="D1501">
        <v>2</v>
      </c>
      <c r="E1501" t="s">
        <v>1480</v>
      </c>
    </row>
    <row r="1502" spans="1:5">
      <c r="A1502">
        <f>HYPERLINK("http://www.twitter.com/NYCHA/status/752873290407022592", "752873290407022592")</f>
        <v>0</v>
      </c>
      <c r="B1502" s="2">
        <v>42563.6059490741</v>
      </c>
      <c r="C1502">
        <v>0</v>
      </c>
      <c r="D1502">
        <v>3</v>
      </c>
      <c r="E1502" t="s">
        <v>1481</v>
      </c>
    </row>
    <row r="1503" spans="1:5">
      <c r="A1503">
        <f>HYPERLINK("http://www.twitter.com/NYCHA/status/752864172514373632", "752864172514373632")</f>
        <v>0</v>
      </c>
      <c r="B1503" s="2">
        <v>42563.580787037</v>
      </c>
      <c r="C1503">
        <v>0</v>
      </c>
      <c r="D1503">
        <v>1</v>
      </c>
      <c r="E1503" t="s">
        <v>1482</v>
      </c>
    </row>
    <row r="1504" spans="1:5">
      <c r="A1504">
        <f>HYPERLINK("http://www.twitter.com/NYCHA/status/752851386765901824", "752851386765901824")</f>
        <v>0</v>
      </c>
      <c r="B1504" s="2">
        <v>42563.5455092593</v>
      </c>
      <c r="C1504">
        <v>0</v>
      </c>
      <c r="D1504">
        <v>0</v>
      </c>
      <c r="E1504" t="s">
        <v>1483</v>
      </c>
    </row>
    <row r="1505" spans="1:5">
      <c r="A1505">
        <f>HYPERLINK("http://www.twitter.com/NYCHA/status/752850624216195072", "752850624216195072")</f>
        <v>0</v>
      </c>
      <c r="B1505" s="2">
        <v>42563.5434027778</v>
      </c>
      <c r="C1505">
        <v>0</v>
      </c>
      <c r="D1505">
        <v>0</v>
      </c>
      <c r="E1505" t="s">
        <v>1484</v>
      </c>
    </row>
    <row r="1506" spans="1:5">
      <c r="A1506">
        <f>HYPERLINK("http://www.twitter.com/NYCHA/status/752613697701474304", "752613697701474304")</f>
        <v>0</v>
      </c>
      <c r="B1506" s="2">
        <v>42562.8896180556</v>
      </c>
      <c r="C1506">
        <v>0</v>
      </c>
      <c r="D1506">
        <v>0</v>
      </c>
      <c r="E1506" t="s">
        <v>1485</v>
      </c>
    </row>
    <row r="1507" spans="1:5">
      <c r="A1507">
        <f>HYPERLINK("http://www.twitter.com/NYCHA/status/752604654752718850", "752604654752718850")</f>
        <v>0</v>
      </c>
      <c r="B1507" s="2">
        <v>42562.8646643519</v>
      </c>
      <c r="C1507">
        <v>0</v>
      </c>
      <c r="D1507">
        <v>0</v>
      </c>
      <c r="E1507" t="s">
        <v>1486</v>
      </c>
    </row>
    <row r="1508" spans="1:5">
      <c r="A1508">
        <f>HYPERLINK("http://www.twitter.com/NYCHA/status/752596747789172736", "752596747789172736")</f>
        <v>0</v>
      </c>
      <c r="B1508" s="2">
        <v>42562.8428356481</v>
      </c>
      <c r="C1508">
        <v>9</v>
      </c>
      <c r="D1508">
        <v>18</v>
      </c>
      <c r="E1508" t="s">
        <v>1487</v>
      </c>
    </row>
    <row r="1509" spans="1:5">
      <c r="A1509">
        <f>HYPERLINK("http://www.twitter.com/NYCHA/status/752593514425360384", "752593514425360384")</f>
        <v>0</v>
      </c>
      <c r="B1509" s="2">
        <v>42562.8339236111</v>
      </c>
      <c r="C1509">
        <v>0</v>
      </c>
      <c r="D1509">
        <v>1</v>
      </c>
      <c r="E1509" t="s">
        <v>1488</v>
      </c>
    </row>
    <row r="1510" spans="1:5">
      <c r="A1510">
        <f>HYPERLINK("http://www.twitter.com/NYCHA/status/752579268455047168", "752579268455047168")</f>
        <v>0</v>
      </c>
      <c r="B1510" s="2">
        <v>42562.7946064815</v>
      </c>
      <c r="C1510">
        <v>3</v>
      </c>
      <c r="D1510">
        <v>2</v>
      </c>
      <c r="E1510" t="s">
        <v>1489</v>
      </c>
    </row>
    <row r="1511" spans="1:5">
      <c r="A1511">
        <f>HYPERLINK("http://www.twitter.com/NYCHA/status/752566946584027137", "752566946584027137")</f>
        <v>0</v>
      </c>
      <c r="B1511" s="2">
        <v>42562.7606018518</v>
      </c>
      <c r="C1511">
        <v>0</v>
      </c>
      <c r="D1511">
        <v>1</v>
      </c>
      <c r="E1511" t="s">
        <v>1490</v>
      </c>
    </row>
    <row r="1512" spans="1:5">
      <c r="A1512">
        <f>HYPERLINK("http://www.twitter.com/NYCHA/status/752563297451438080", "752563297451438080")</f>
        <v>0</v>
      </c>
      <c r="B1512" s="2">
        <v>42562.7505324074</v>
      </c>
      <c r="C1512">
        <v>1</v>
      </c>
      <c r="D1512">
        <v>0</v>
      </c>
      <c r="E1512" t="s">
        <v>1491</v>
      </c>
    </row>
    <row r="1513" spans="1:5">
      <c r="A1513">
        <f>HYPERLINK("http://www.twitter.com/NYCHA/status/752543218089267200", "752543218089267200")</f>
        <v>0</v>
      </c>
      <c r="B1513" s="2">
        <v>42562.6951273148</v>
      </c>
      <c r="C1513">
        <v>14</v>
      </c>
      <c r="D1513">
        <v>5</v>
      </c>
      <c r="E1513" t="s">
        <v>1492</v>
      </c>
    </row>
    <row r="1514" spans="1:5">
      <c r="A1514">
        <f>HYPERLINK("http://www.twitter.com/NYCHA/status/752533474943393792", "752533474943393792")</f>
        <v>0</v>
      </c>
      <c r="B1514" s="2">
        <v>42562.6682407407</v>
      </c>
      <c r="C1514">
        <v>1</v>
      </c>
      <c r="D1514">
        <v>1</v>
      </c>
      <c r="E1514" t="s">
        <v>1493</v>
      </c>
    </row>
    <row r="1515" spans="1:5">
      <c r="A1515">
        <f>HYPERLINK("http://www.twitter.com/NYCHA/status/752518528985628672", "752518528985628672")</f>
        <v>0</v>
      </c>
      <c r="B1515" s="2">
        <v>42562.6270023148</v>
      </c>
      <c r="C1515">
        <v>0</v>
      </c>
      <c r="D1515">
        <v>2</v>
      </c>
      <c r="E1515" t="s">
        <v>1494</v>
      </c>
    </row>
    <row r="1516" spans="1:5">
      <c r="A1516">
        <f>HYPERLINK("http://www.twitter.com/NYCHA/status/752513393534337024", "752513393534337024")</f>
        <v>0</v>
      </c>
      <c r="B1516" s="2">
        <v>42562.6128240741</v>
      </c>
      <c r="C1516">
        <v>0</v>
      </c>
      <c r="D1516">
        <v>0</v>
      </c>
      <c r="E1516" t="s">
        <v>1495</v>
      </c>
    </row>
    <row r="1517" spans="1:5">
      <c r="A1517">
        <f>HYPERLINK("http://www.twitter.com/NYCHA/status/752509273721176064", "752509273721176064")</f>
        <v>0</v>
      </c>
      <c r="B1517" s="2">
        <v>42562.6014583333</v>
      </c>
      <c r="C1517">
        <v>0</v>
      </c>
      <c r="D1517">
        <v>0</v>
      </c>
      <c r="E1517" t="s">
        <v>1496</v>
      </c>
    </row>
    <row r="1518" spans="1:5">
      <c r="A1518">
        <f>HYPERLINK("http://www.twitter.com/NYCHA/status/752501774699945984", "752501774699945984")</f>
        <v>0</v>
      </c>
      <c r="B1518" s="2">
        <v>42562.5807638889</v>
      </c>
      <c r="C1518">
        <v>0</v>
      </c>
      <c r="D1518">
        <v>8</v>
      </c>
      <c r="E1518" t="s">
        <v>1497</v>
      </c>
    </row>
    <row r="1519" spans="1:5">
      <c r="A1519">
        <f>HYPERLINK("http://www.twitter.com/NYCHA/status/752489003656568832", "752489003656568832")</f>
        <v>0</v>
      </c>
      <c r="B1519" s="2">
        <v>42562.5455208333</v>
      </c>
      <c r="C1519">
        <v>2</v>
      </c>
      <c r="D1519">
        <v>1</v>
      </c>
      <c r="E1519" t="s">
        <v>1498</v>
      </c>
    </row>
    <row r="1520" spans="1:5">
      <c r="A1520">
        <f>HYPERLINK("http://www.twitter.com/NYCHA/status/752488173134020609", "752488173134020609")</f>
        <v>0</v>
      </c>
      <c r="B1520" s="2">
        <v>42562.5432291667</v>
      </c>
      <c r="C1520">
        <v>1</v>
      </c>
      <c r="D1520">
        <v>0</v>
      </c>
      <c r="E1520" t="s">
        <v>1499</v>
      </c>
    </row>
    <row r="1521" spans="1:5">
      <c r="A1521">
        <f>HYPERLINK("http://www.twitter.com/NYCHA/status/752170901513314304", "752170901513314304")</f>
        <v>0</v>
      </c>
      <c r="B1521" s="2">
        <v>42561.6677314815</v>
      </c>
      <c r="C1521">
        <v>1</v>
      </c>
      <c r="D1521">
        <v>3</v>
      </c>
      <c r="E1521" t="s">
        <v>1500</v>
      </c>
    </row>
    <row r="1522" spans="1:5">
      <c r="A1522">
        <f>HYPERLINK("http://www.twitter.com/NYCHA/status/752163418086502400", "752163418086502400")</f>
        <v>0</v>
      </c>
      <c r="B1522" s="2">
        <v>42561.6470833333</v>
      </c>
      <c r="C1522">
        <v>1</v>
      </c>
      <c r="D1522">
        <v>0</v>
      </c>
      <c r="E1522" t="s">
        <v>1501</v>
      </c>
    </row>
    <row r="1523" spans="1:5">
      <c r="A1523">
        <f>HYPERLINK("http://www.twitter.com/NYCHA/status/752163166465949696", "752163166465949696")</f>
        <v>0</v>
      </c>
      <c r="B1523" s="2">
        <v>42561.6463888889</v>
      </c>
      <c r="C1523">
        <v>1</v>
      </c>
      <c r="D1523">
        <v>1</v>
      </c>
      <c r="E1523" t="s">
        <v>1502</v>
      </c>
    </row>
    <row r="1524" spans="1:5">
      <c r="A1524">
        <f>HYPERLINK("http://www.twitter.com/NYCHA/status/752162629414686721", "752162629414686721")</f>
        <v>0</v>
      </c>
      <c r="B1524" s="2">
        <v>42561.6449074074</v>
      </c>
      <c r="C1524">
        <v>1</v>
      </c>
      <c r="D1524">
        <v>1</v>
      </c>
      <c r="E1524" t="s">
        <v>1503</v>
      </c>
    </row>
    <row r="1525" spans="1:5">
      <c r="A1525">
        <f>HYPERLINK("http://www.twitter.com/NYCHA/status/752110305401008128", "752110305401008128")</f>
        <v>0</v>
      </c>
      <c r="B1525" s="2">
        <v>42561.5005092593</v>
      </c>
      <c r="C1525">
        <v>8</v>
      </c>
      <c r="D1525">
        <v>7</v>
      </c>
      <c r="E1525" t="s">
        <v>1504</v>
      </c>
    </row>
    <row r="1526" spans="1:5">
      <c r="A1526">
        <f>HYPERLINK("http://www.twitter.com/NYCHA/status/751861106306641920", "751861106306641920")</f>
        <v>0</v>
      </c>
      <c r="B1526" s="2">
        <v>42560.8128587963</v>
      </c>
      <c r="C1526">
        <v>1</v>
      </c>
      <c r="D1526">
        <v>0</v>
      </c>
      <c r="E1526" t="s">
        <v>1505</v>
      </c>
    </row>
    <row r="1527" spans="1:5">
      <c r="A1527">
        <f>HYPERLINK("http://www.twitter.com/NYCHA/status/751778440832020481", "751778440832020481")</f>
        <v>0</v>
      </c>
      <c r="B1527" s="2">
        <v>42560.5847453704</v>
      </c>
      <c r="C1527">
        <v>3</v>
      </c>
      <c r="D1527">
        <v>3</v>
      </c>
      <c r="E1527" t="s">
        <v>1506</v>
      </c>
    </row>
    <row r="1528" spans="1:5">
      <c r="A1528">
        <f>HYPERLINK("http://www.twitter.com/NYCHA/status/751747888229847040", "751747888229847040")</f>
        <v>0</v>
      </c>
      <c r="B1528" s="2">
        <v>42560.5004398148</v>
      </c>
      <c r="C1528">
        <v>2</v>
      </c>
      <c r="D1528">
        <v>3</v>
      </c>
      <c r="E1528" t="s">
        <v>1507</v>
      </c>
    </row>
    <row r="1529" spans="1:5">
      <c r="A1529">
        <f>HYPERLINK("http://www.twitter.com/NYCHA/status/751551554289864704", "751551554289864704")</f>
        <v>0</v>
      </c>
      <c r="B1529" s="2">
        <v>42559.9586574074</v>
      </c>
      <c r="C1529">
        <v>2</v>
      </c>
      <c r="D1529">
        <v>1</v>
      </c>
      <c r="E1529" t="s">
        <v>1508</v>
      </c>
    </row>
    <row r="1530" spans="1:5">
      <c r="A1530">
        <f>HYPERLINK("http://www.twitter.com/NYCHA/status/751521577439784962", "751521577439784962")</f>
        <v>0</v>
      </c>
      <c r="B1530" s="2">
        <v>42559.8759375</v>
      </c>
      <c r="C1530">
        <v>1</v>
      </c>
      <c r="D1530">
        <v>2</v>
      </c>
      <c r="E1530" t="s">
        <v>1509</v>
      </c>
    </row>
    <row r="1531" spans="1:5">
      <c r="A1531">
        <f>HYPERLINK("http://www.twitter.com/NYCHA/status/751509492458741760", "751509492458741760")</f>
        <v>0</v>
      </c>
      <c r="B1531" s="2">
        <v>42559.8425925926</v>
      </c>
      <c r="C1531">
        <v>0</v>
      </c>
      <c r="D1531">
        <v>3</v>
      </c>
      <c r="E1531" t="s">
        <v>1510</v>
      </c>
    </row>
    <row r="1532" spans="1:5">
      <c r="A1532">
        <f>HYPERLINK("http://www.twitter.com/NYCHA/status/751491702507106304", "751491702507106304")</f>
        <v>0</v>
      </c>
      <c r="B1532" s="2">
        <v>42559.7934953704</v>
      </c>
      <c r="C1532">
        <v>1</v>
      </c>
      <c r="D1532">
        <v>0</v>
      </c>
      <c r="E1532" t="s">
        <v>1398</v>
      </c>
    </row>
    <row r="1533" spans="1:5">
      <c r="A1533">
        <f>HYPERLINK("http://www.twitter.com/NYCHA/status/751489283899392001", "751489283899392001")</f>
        <v>0</v>
      </c>
      <c r="B1533" s="2">
        <v>42559.7868171296</v>
      </c>
      <c r="C1533">
        <v>0</v>
      </c>
      <c r="D1533">
        <v>0</v>
      </c>
      <c r="E1533" t="s">
        <v>1511</v>
      </c>
    </row>
    <row r="1534" spans="1:5">
      <c r="A1534">
        <f>HYPERLINK("http://www.twitter.com/NYCHA/status/751488277971165185", "751488277971165185")</f>
        <v>0</v>
      </c>
      <c r="B1534" s="2">
        <v>42559.7840509259</v>
      </c>
      <c r="C1534">
        <v>0</v>
      </c>
      <c r="D1534">
        <v>1</v>
      </c>
      <c r="E1534" t="s">
        <v>1512</v>
      </c>
    </row>
    <row r="1535" spans="1:5">
      <c r="A1535">
        <f>HYPERLINK("http://www.twitter.com/NYCHA/status/751476330865299456", "751476330865299456")</f>
        <v>0</v>
      </c>
      <c r="B1535" s="2">
        <v>42559.7510763889</v>
      </c>
      <c r="C1535">
        <v>1</v>
      </c>
      <c r="D1535">
        <v>0</v>
      </c>
      <c r="E1535" t="s">
        <v>1513</v>
      </c>
    </row>
    <row r="1536" spans="1:5">
      <c r="A1536">
        <f>HYPERLINK("http://www.twitter.com/NYCHA/status/751451647415619584", "751451647415619584")</f>
        <v>0</v>
      </c>
      <c r="B1536" s="2">
        <v>42559.682962963</v>
      </c>
      <c r="C1536">
        <v>0</v>
      </c>
      <c r="D1536">
        <v>6</v>
      </c>
      <c r="E1536" t="s">
        <v>1514</v>
      </c>
    </row>
    <row r="1537" spans="1:5">
      <c r="A1537">
        <f>HYPERLINK("http://www.twitter.com/NYCHA/status/751446245269499904", "751446245269499904")</f>
        <v>0</v>
      </c>
      <c r="B1537" s="2">
        <v>42559.6680555556</v>
      </c>
      <c r="C1537">
        <v>1</v>
      </c>
      <c r="D1537">
        <v>1</v>
      </c>
      <c r="E1537" t="s">
        <v>1515</v>
      </c>
    </row>
    <row r="1538" spans="1:5">
      <c r="A1538">
        <f>HYPERLINK("http://www.twitter.com/NYCHA/status/751435765989642240", "751435765989642240")</f>
        <v>0</v>
      </c>
      <c r="B1538" s="2">
        <v>42559.6391435185</v>
      </c>
      <c r="C1538">
        <v>3</v>
      </c>
      <c r="D1538">
        <v>2</v>
      </c>
      <c r="E1538" t="s">
        <v>1516</v>
      </c>
    </row>
    <row r="1539" spans="1:5">
      <c r="A1539">
        <f>HYPERLINK("http://www.twitter.com/NYCHA/status/751428941840281600", "751428941840281600")</f>
        <v>0</v>
      </c>
      <c r="B1539" s="2">
        <v>42559.6203125</v>
      </c>
      <c r="C1539">
        <v>0</v>
      </c>
      <c r="D1539">
        <v>0</v>
      </c>
      <c r="E1539" t="s">
        <v>1517</v>
      </c>
    </row>
    <row r="1540" spans="1:5">
      <c r="A1540">
        <f>HYPERLINK("http://www.twitter.com/NYCHA/status/751413143973355520", "751413143973355520")</f>
        <v>0</v>
      </c>
      <c r="B1540" s="2">
        <v>42559.576712963</v>
      </c>
      <c r="C1540">
        <v>0</v>
      </c>
      <c r="D1540">
        <v>0</v>
      </c>
      <c r="E1540" t="s">
        <v>1518</v>
      </c>
    </row>
    <row r="1541" spans="1:5">
      <c r="A1541">
        <f>HYPERLINK("http://www.twitter.com/NYCHA/status/751401845223030784", "751401845223030784")</f>
        <v>0</v>
      </c>
      <c r="B1541" s="2">
        <v>42559.5455324074</v>
      </c>
      <c r="C1541">
        <v>1</v>
      </c>
      <c r="D1541">
        <v>2</v>
      </c>
      <c r="E1541" t="s">
        <v>1519</v>
      </c>
    </row>
    <row r="1542" spans="1:5">
      <c r="A1542">
        <f>HYPERLINK("http://www.twitter.com/NYCHA/status/751401042538037248", "751401042538037248")</f>
        <v>0</v>
      </c>
      <c r="B1542" s="2">
        <v>42559.5433217593</v>
      </c>
      <c r="C1542">
        <v>0</v>
      </c>
      <c r="D1542">
        <v>0</v>
      </c>
      <c r="E1542" t="s">
        <v>1520</v>
      </c>
    </row>
    <row r="1543" spans="1:5">
      <c r="A1543">
        <f>HYPERLINK("http://www.twitter.com/NYCHA/status/751385675031871488", "751385675031871488")</f>
        <v>0</v>
      </c>
      <c r="B1543" s="2">
        <v>42559.5009143519</v>
      </c>
      <c r="C1543">
        <v>2</v>
      </c>
      <c r="D1543">
        <v>0</v>
      </c>
      <c r="E1543" t="s">
        <v>1360</v>
      </c>
    </row>
    <row r="1544" spans="1:5">
      <c r="A1544">
        <f>HYPERLINK("http://www.twitter.com/NYCHA/status/751159143239716865", "751159143239716865")</f>
        <v>0</v>
      </c>
      <c r="B1544" s="2">
        <v>42558.8758101852</v>
      </c>
      <c r="C1544">
        <v>2</v>
      </c>
      <c r="D1544">
        <v>0</v>
      </c>
      <c r="E1544" t="s">
        <v>1521</v>
      </c>
    </row>
    <row r="1545" spans="1:5">
      <c r="A1545">
        <f>HYPERLINK("http://www.twitter.com/NYCHA/status/751135420633714688", "751135420633714688")</f>
        <v>0</v>
      </c>
      <c r="B1545" s="2">
        <v>42558.8103472222</v>
      </c>
      <c r="C1545">
        <v>0</v>
      </c>
      <c r="D1545">
        <v>0</v>
      </c>
      <c r="E1545" t="s">
        <v>1522</v>
      </c>
    </row>
    <row r="1546" spans="1:5">
      <c r="A1546">
        <f>HYPERLINK("http://www.twitter.com/NYCHA/status/751127096076931072", "751127096076931072")</f>
        <v>0</v>
      </c>
      <c r="B1546" s="2">
        <v>42558.7873726852</v>
      </c>
      <c r="C1546">
        <v>1</v>
      </c>
      <c r="D1546">
        <v>3</v>
      </c>
      <c r="E1546" t="s">
        <v>1523</v>
      </c>
    </row>
    <row r="1547" spans="1:5">
      <c r="A1547">
        <f>HYPERLINK("http://www.twitter.com/NYCHA/status/751125641601384452", "751125641601384452")</f>
        <v>0</v>
      </c>
      <c r="B1547" s="2">
        <v>42558.7833564815</v>
      </c>
      <c r="C1547">
        <v>0</v>
      </c>
      <c r="D1547">
        <v>54</v>
      </c>
      <c r="E1547" t="s">
        <v>1524</v>
      </c>
    </row>
    <row r="1548" spans="1:5">
      <c r="A1548">
        <f>HYPERLINK("http://www.twitter.com/NYCHA/status/751125543974793216", "751125543974793216")</f>
        <v>0</v>
      </c>
      <c r="B1548" s="2">
        <v>42558.7830902778</v>
      </c>
      <c r="C1548">
        <v>0</v>
      </c>
      <c r="D1548">
        <v>7</v>
      </c>
      <c r="E1548" t="s">
        <v>1525</v>
      </c>
    </row>
    <row r="1549" spans="1:5">
      <c r="A1549">
        <f>HYPERLINK("http://www.twitter.com/NYCHA/status/751113921751318528", "751113921751318528")</f>
        <v>0</v>
      </c>
      <c r="B1549" s="2">
        <v>42558.7510185185</v>
      </c>
      <c r="C1549">
        <v>1</v>
      </c>
      <c r="D1549">
        <v>1</v>
      </c>
      <c r="E1549" t="s">
        <v>1446</v>
      </c>
    </row>
    <row r="1550" spans="1:5">
      <c r="A1550">
        <f>HYPERLINK("http://www.twitter.com/NYCHA/status/751091002618814464", "751091002618814464")</f>
        <v>0</v>
      </c>
      <c r="B1550" s="2">
        <v>42558.6877777778</v>
      </c>
      <c r="C1550">
        <v>2</v>
      </c>
      <c r="D1550">
        <v>1</v>
      </c>
      <c r="E1550" t="s">
        <v>1526</v>
      </c>
    </row>
    <row r="1551" spans="1:5">
      <c r="A1551">
        <f>HYPERLINK("http://www.twitter.com/NYCHA/status/751090167298023424", "751090167298023424")</f>
        <v>0</v>
      </c>
      <c r="B1551" s="2">
        <v>42558.685474537</v>
      </c>
      <c r="C1551">
        <v>0</v>
      </c>
      <c r="D1551">
        <v>13</v>
      </c>
      <c r="E1551" t="s">
        <v>1527</v>
      </c>
    </row>
    <row r="1552" spans="1:5">
      <c r="A1552">
        <f>HYPERLINK("http://www.twitter.com/NYCHA/status/751079294630293504", "751079294630293504")</f>
        <v>0</v>
      </c>
      <c r="B1552" s="2">
        <v>42558.655462963</v>
      </c>
      <c r="C1552">
        <v>0</v>
      </c>
      <c r="D1552">
        <v>15</v>
      </c>
      <c r="E1552" t="s">
        <v>1528</v>
      </c>
    </row>
    <row r="1553" spans="1:5">
      <c r="A1553">
        <f>HYPERLINK("http://www.twitter.com/NYCHA/status/751071603031760896", "751071603031760896")</f>
        <v>0</v>
      </c>
      <c r="B1553" s="2">
        <v>42558.6342476852</v>
      </c>
      <c r="C1553">
        <v>0</v>
      </c>
      <c r="D1553">
        <v>50</v>
      </c>
      <c r="E1553" t="s">
        <v>1529</v>
      </c>
    </row>
    <row r="1554" spans="1:5">
      <c r="A1554">
        <f>HYPERLINK("http://www.twitter.com/NYCHA/status/751071232292978688", "751071232292978688")</f>
        <v>0</v>
      </c>
      <c r="B1554" s="2">
        <v>42558.6332175926</v>
      </c>
      <c r="C1554">
        <v>1</v>
      </c>
      <c r="D1554">
        <v>2</v>
      </c>
      <c r="E1554" t="s">
        <v>1530</v>
      </c>
    </row>
    <row r="1555" spans="1:5">
      <c r="A1555">
        <f>HYPERLINK("http://www.twitter.com/NYCHA/status/751053513560645632", "751053513560645632")</f>
        <v>0</v>
      </c>
      <c r="B1555" s="2">
        <v>42558.5843287037</v>
      </c>
      <c r="C1555">
        <v>2</v>
      </c>
      <c r="D1555">
        <v>0</v>
      </c>
      <c r="E1555" t="s">
        <v>1531</v>
      </c>
    </row>
    <row r="1556" spans="1:5">
      <c r="A1556">
        <f>HYPERLINK("http://www.twitter.com/NYCHA/status/751050384416866304", "751050384416866304")</f>
        <v>0</v>
      </c>
      <c r="B1556" s="2">
        <v>42558.5756944444</v>
      </c>
      <c r="C1556">
        <v>0</v>
      </c>
      <c r="D1556">
        <v>1</v>
      </c>
      <c r="E1556" t="s">
        <v>1532</v>
      </c>
    </row>
    <row r="1557" spans="1:5">
      <c r="A1557">
        <f>HYPERLINK("http://www.twitter.com/NYCHA/status/751039463241940992", "751039463241940992")</f>
        <v>0</v>
      </c>
      <c r="B1557" s="2">
        <v>42558.5455555556</v>
      </c>
      <c r="C1557">
        <v>0</v>
      </c>
      <c r="D1557">
        <v>1</v>
      </c>
      <c r="E1557" t="s">
        <v>1533</v>
      </c>
    </row>
    <row r="1558" spans="1:5">
      <c r="A1558">
        <f>HYPERLINK("http://www.twitter.com/NYCHA/status/751038660645097472", "751038660645097472")</f>
        <v>0</v>
      </c>
      <c r="B1558" s="2">
        <v>42558.5433333333</v>
      </c>
      <c r="C1558">
        <v>0</v>
      </c>
      <c r="D1558">
        <v>0</v>
      </c>
      <c r="E1558" t="s">
        <v>1534</v>
      </c>
    </row>
    <row r="1559" spans="1:5">
      <c r="A1559">
        <f>HYPERLINK("http://www.twitter.com/NYCHA/status/750859992262144001", "750859992262144001")</f>
        <v>0</v>
      </c>
      <c r="B1559" s="2">
        <v>42558.0503125</v>
      </c>
      <c r="C1559">
        <v>0</v>
      </c>
      <c r="D1559">
        <v>2</v>
      </c>
      <c r="E1559" t="s">
        <v>1535</v>
      </c>
    </row>
    <row r="1560" spans="1:5">
      <c r="A1560">
        <f>HYPERLINK("http://www.twitter.com/NYCHA/status/750808794553282560", "750808794553282560")</f>
        <v>0</v>
      </c>
      <c r="B1560" s="2">
        <v>42557.9090277778</v>
      </c>
      <c r="C1560">
        <v>0</v>
      </c>
      <c r="D1560">
        <v>1</v>
      </c>
      <c r="E1560" t="s">
        <v>1536</v>
      </c>
    </row>
    <row r="1561" spans="1:5">
      <c r="A1561">
        <f>HYPERLINK("http://www.twitter.com/NYCHA/status/750781968128806916", "750781968128806916")</f>
        <v>0</v>
      </c>
      <c r="B1561" s="2">
        <v>42557.835</v>
      </c>
      <c r="C1561">
        <v>0</v>
      </c>
      <c r="D1561">
        <v>1</v>
      </c>
      <c r="E1561" t="s">
        <v>1537</v>
      </c>
    </row>
    <row r="1562" spans="1:5">
      <c r="A1562">
        <f>HYPERLINK("http://www.twitter.com/NYCHA/status/750756639846854656", "750756639846854656")</f>
        <v>0</v>
      </c>
      <c r="B1562" s="2">
        <v>42557.7651041667</v>
      </c>
      <c r="C1562">
        <v>2</v>
      </c>
      <c r="D1562">
        <v>4</v>
      </c>
      <c r="E1562" t="s">
        <v>1538</v>
      </c>
    </row>
    <row r="1563" spans="1:5">
      <c r="A1563">
        <f>HYPERLINK("http://www.twitter.com/NYCHA/status/750751785695019010", "750751785695019010")</f>
        <v>0</v>
      </c>
      <c r="B1563" s="2">
        <v>42557.751712963</v>
      </c>
      <c r="C1563">
        <v>0</v>
      </c>
      <c r="D1563">
        <v>0</v>
      </c>
      <c r="E1563" t="s">
        <v>1539</v>
      </c>
    </row>
    <row r="1564" spans="1:5">
      <c r="A1564">
        <f>HYPERLINK("http://www.twitter.com/NYCHA/status/750729225418772480", "750729225418772480")</f>
        <v>0</v>
      </c>
      <c r="B1564" s="2">
        <v>42557.6894560185</v>
      </c>
      <c r="C1564">
        <v>0</v>
      </c>
      <c r="D1564">
        <v>1</v>
      </c>
      <c r="E1564" t="s">
        <v>1540</v>
      </c>
    </row>
    <row r="1565" spans="1:5">
      <c r="A1565">
        <f>HYPERLINK("http://www.twitter.com/NYCHA/status/750729196469616640", "750729196469616640")</f>
        <v>0</v>
      </c>
      <c r="B1565" s="2">
        <v>42557.689375</v>
      </c>
      <c r="C1565">
        <v>0</v>
      </c>
      <c r="D1565">
        <v>4</v>
      </c>
      <c r="E1565" t="s">
        <v>1541</v>
      </c>
    </row>
    <row r="1566" spans="1:5">
      <c r="A1566">
        <f>HYPERLINK("http://www.twitter.com/NYCHA/status/750708363319734272", "750708363319734272")</f>
        <v>0</v>
      </c>
      <c r="B1566" s="2">
        <v>42557.6318865741</v>
      </c>
      <c r="C1566">
        <v>0</v>
      </c>
      <c r="D1566">
        <v>3</v>
      </c>
      <c r="E1566" t="s">
        <v>1542</v>
      </c>
    </row>
    <row r="1567" spans="1:5">
      <c r="A1567">
        <f>HYPERLINK("http://www.twitter.com/NYCHA/status/750708323465437184", "750708323465437184")</f>
        <v>0</v>
      </c>
      <c r="B1567" s="2">
        <v>42557.6317824074</v>
      </c>
      <c r="C1567">
        <v>0</v>
      </c>
      <c r="D1567">
        <v>1</v>
      </c>
      <c r="E1567" t="s">
        <v>1543</v>
      </c>
    </row>
    <row r="1568" spans="1:5">
      <c r="A1568">
        <f>HYPERLINK("http://www.twitter.com/NYCHA/status/750687769014439936", "750687769014439936")</f>
        <v>0</v>
      </c>
      <c r="B1568" s="2">
        <v>42557.5750578704</v>
      </c>
      <c r="C1568">
        <v>0</v>
      </c>
      <c r="D1568">
        <v>1</v>
      </c>
      <c r="E1568" t="s">
        <v>1544</v>
      </c>
    </row>
    <row r="1569" spans="1:5">
      <c r="A1569">
        <f>HYPERLINK("http://www.twitter.com/NYCHA/status/750687609337282560", "750687609337282560")</f>
        <v>0</v>
      </c>
      <c r="B1569" s="2">
        <v>42557.5746180556</v>
      </c>
      <c r="C1569">
        <v>4</v>
      </c>
      <c r="D1569">
        <v>2</v>
      </c>
      <c r="E1569" t="s">
        <v>1545</v>
      </c>
    </row>
    <row r="1570" spans="1:5">
      <c r="A1570">
        <f>HYPERLINK("http://www.twitter.com/NYCHA/status/750684734590681089", "750684734590681089")</f>
        <v>0</v>
      </c>
      <c r="B1570" s="2">
        <v>42557.5666898148</v>
      </c>
      <c r="C1570">
        <v>0</v>
      </c>
      <c r="D1570">
        <v>1</v>
      </c>
      <c r="E1570" t="s">
        <v>1546</v>
      </c>
    </row>
    <row r="1571" spans="1:5">
      <c r="A1571">
        <f>HYPERLINK("http://www.twitter.com/NYCHA/status/750684729976971265", "750684729976971265")</f>
        <v>0</v>
      </c>
      <c r="B1571" s="2">
        <v>42557.5666782407</v>
      </c>
      <c r="C1571">
        <v>0</v>
      </c>
      <c r="D1571">
        <v>1</v>
      </c>
      <c r="E1571" t="s">
        <v>1547</v>
      </c>
    </row>
    <row r="1572" spans="1:5">
      <c r="A1572">
        <f>HYPERLINK("http://www.twitter.com/NYCHA/status/750677091528638464", "750677091528638464")</f>
        <v>0</v>
      </c>
      <c r="B1572" s="2">
        <v>42557.5456018519</v>
      </c>
      <c r="C1572">
        <v>0</v>
      </c>
      <c r="D1572">
        <v>0</v>
      </c>
      <c r="E1572" t="s">
        <v>1548</v>
      </c>
    </row>
    <row r="1573" spans="1:5">
      <c r="A1573">
        <f>HYPERLINK("http://www.twitter.com/NYCHA/status/750436665156599812", "750436665156599812")</f>
        <v>0</v>
      </c>
      <c r="B1573" s="2">
        <v>42556.8821527778</v>
      </c>
      <c r="C1573">
        <v>0</v>
      </c>
      <c r="D1573">
        <v>1</v>
      </c>
      <c r="E1573" t="s">
        <v>1549</v>
      </c>
    </row>
    <row r="1574" spans="1:5">
      <c r="A1574">
        <f>HYPERLINK("http://www.twitter.com/NYCHA/status/750419440181837824", "750419440181837824")</f>
        <v>0</v>
      </c>
      <c r="B1574" s="2">
        <v>42556.8346180556</v>
      </c>
      <c r="C1574">
        <v>0</v>
      </c>
      <c r="D1574">
        <v>0</v>
      </c>
      <c r="E1574" t="s">
        <v>1550</v>
      </c>
    </row>
    <row r="1575" spans="1:5">
      <c r="A1575">
        <f>HYPERLINK("http://www.twitter.com/NYCHA/status/750418498279575552", "750418498279575552")</f>
        <v>0</v>
      </c>
      <c r="B1575" s="2">
        <v>42556.8320138889</v>
      </c>
      <c r="C1575">
        <v>0</v>
      </c>
      <c r="D1575">
        <v>11</v>
      </c>
      <c r="E1575" t="s">
        <v>1551</v>
      </c>
    </row>
    <row r="1576" spans="1:5">
      <c r="A1576">
        <f>HYPERLINK("http://www.twitter.com/NYCHA/status/750395978969210881", "750395978969210881")</f>
        <v>0</v>
      </c>
      <c r="B1576" s="2">
        <v>42556.7698726852</v>
      </c>
      <c r="C1576">
        <v>0</v>
      </c>
      <c r="D1576">
        <v>0</v>
      </c>
      <c r="E1576" t="s">
        <v>1552</v>
      </c>
    </row>
    <row r="1577" spans="1:5">
      <c r="A1577">
        <f>HYPERLINK("http://www.twitter.com/NYCHA/status/750395558267916288", "750395558267916288")</f>
        <v>0</v>
      </c>
      <c r="B1577" s="2">
        <v>42556.7687152778</v>
      </c>
      <c r="C1577">
        <v>0</v>
      </c>
      <c r="D1577">
        <v>0</v>
      </c>
      <c r="E1577" t="s">
        <v>1553</v>
      </c>
    </row>
    <row r="1578" spans="1:5">
      <c r="A1578">
        <f>HYPERLINK("http://www.twitter.com/NYCHA/status/750395139093331968", "750395139093331968")</f>
        <v>0</v>
      </c>
      <c r="B1578" s="2">
        <v>42556.7675578704</v>
      </c>
      <c r="C1578">
        <v>1</v>
      </c>
      <c r="D1578">
        <v>0</v>
      </c>
      <c r="E1578" t="s">
        <v>1554</v>
      </c>
    </row>
    <row r="1579" spans="1:5">
      <c r="A1579">
        <f>HYPERLINK("http://www.twitter.com/NYCHA/status/750389375385600000", "750389375385600000")</f>
        <v>0</v>
      </c>
      <c r="B1579" s="2">
        <v>42556.7516550926</v>
      </c>
      <c r="C1579">
        <v>0</v>
      </c>
      <c r="D1579">
        <v>2</v>
      </c>
      <c r="E1579" t="s">
        <v>1555</v>
      </c>
    </row>
    <row r="1580" spans="1:5">
      <c r="A1580">
        <f>HYPERLINK("http://www.twitter.com/NYCHA/status/750380140564209664", "750380140564209664")</f>
        <v>0</v>
      </c>
      <c r="B1580" s="2">
        <v>42556.7261689815</v>
      </c>
      <c r="C1580">
        <v>0</v>
      </c>
      <c r="D1580">
        <v>2</v>
      </c>
      <c r="E1580" t="s">
        <v>1556</v>
      </c>
    </row>
    <row r="1581" spans="1:5">
      <c r="A1581">
        <f>HYPERLINK("http://www.twitter.com/NYCHA/status/750371715730071552", "750371715730071552")</f>
        <v>0</v>
      </c>
      <c r="B1581" s="2">
        <v>42556.7029166667</v>
      </c>
      <c r="C1581">
        <v>4</v>
      </c>
      <c r="D1581">
        <v>2</v>
      </c>
      <c r="E1581" t="s">
        <v>1557</v>
      </c>
    </row>
    <row r="1582" spans="1:5">
      <c r="A1582">
        <f>HYPERLINK("http://www.twitter.com/NYCHA/status/750359290788081664", "750359290788081664")</f>
        <v>0</v>
      </c>
      <c r="B1582" s="2">
        <v>42556.6686342593</v>
      </c>
      <c r="C1582">
        <v>0</v>
      </c>
      <c r="D1582">
        <v>0</v>
      </c>
      <c r="E1582" t="s">
        <v>1421</v>
      </c>
    </row>
    <row r="1583" spans="1:5">
      <c r="A1583">
        <f>HYPERLINK("http://www.twitter.com/NYCHA/status/750346697671401472", "750346697671401472")</f>
        <v>0</v>
      </c>
      <c r="B1583" s="2">
        <v>42556.6338888889</v>
      </c>
      <c r="C1583">
        <v>0</v>
      </c>
      <c r="D1583">
        <v>1</v>
      </c>
      <c r="E1583" t="s">
        <v>1558</v>
      </c>
    </row>
    <row r="1584" spans="1:5">
      <c r="A1584">
        <f>HYPERLINK("http://www.twitter.com/NYCHA/status/750343971931578368", "750343971931578368")</f>
        <v>0</v>
      </c>
      <c r="B1584" s="2">
        <v>42556.6263657407</v>
      </c>
      <c r="C1584">
        <v>0</v>
      </c>
      <c r="D1584">
        <v>0</v>
      </c>
      <c r="E1584" t="s">
        <v>1559</v>
      </c>
    </row>
    <row r="1585" spans="1:5">
      <c r="A1585">
        <f>HYPERLINK("http://www.twitter.com/NYCHA/status/750330543536046080", "750330543536046080")</f>
        <v>0</v>
      </c>
      <c r="B1585" s="2">
        <v>42556.5893055556</v>
      </c>
      <c r="C1585">
        <v>0</v>
      </c>
      <c r="D1585">
        <v>3</v>
      </c>
      <c r="E1585" t="s">
        <v>1560</v>
      </c>
    </row>
    <row r="1586" spans="1:5">
      <c r="A1586">
        <f>HYPERLINK("http://www.twitter.com/NYCHA/status/750326745266544640", "750326745266544640")</f>
        <v>0</v>
      </c>
      <c r="B1586" s="2">
        <v>42556.5788310185</v>
      </c>
      <c r="C1586">
        <v>0</v>
      </c>
      <c r="D1586">
        <v>2</v>
      </c>
      <c r="E1586" t="s">
        <v>1561</v>
      </c>
    </row>
    <row r="1587" spans="1:5">
      <c r="A1587">
        <f>HYPERLINK("http://www.twitter.com/NYCHA/status/750314665058701312", "750314665058701312")</f>
        <v>0</v>
      </c>
      <c r="B1587" s="2">
        <v>42556.5454861111</v>
      </c>
      <c r="C1587">
        <v>2</v>
      </c>
      <c r="D1587">
        <v>1</v>
      </c>
      <c r="E1587" t="s">
        <v>1562</v>
      </c>
    </row>
    <row r="1588" spans="1:5">
      <c r="A1588">
        <f>HYPERLINK("http://www.twitter.com/NYCHA/status/750291645296410626", "750291645296410626")</f>
        <v>0</v>
      </c>
      <c r="B1588" s="2">
        <v>42556.4819675926</v>
      </c>
      <c r="C1588">
        <v>10</v>
      </c>
      <c r="D1588">
        <v>4</v>
      </c>
      <c r="E1588" t="s">
        <v>1563</v>
      </c>
    </row>
    <row r="1589" spans="1:5">
      <c r="A1589">
        <f>HYPERLINK("http://www.twitter.com/NYCHA/status/750290028664918017", "750290028664918017")</f>
        <v>0</v>
      </c>
      <c r="B1589" s="2">
        <v>42556.4775115741</v>
      </c>
      <c r="C1589">
        <v>0</v>
      </c>
      <c r="D1589">
        <v>2</v>
      </c>
      <c r="E1589" t="s">
        <v>1564</v>
      </c>
    </row>
    <row r="1590" spans="1:5">
      <c r="A1590">
        <f>HYPERLINK("http://www.twitter.com/NYCHA/status/750289936784453632", "750289936784453632")</f>
        <v>0</v>
      </c>
      <c r="B1590" s="2">
        <v>42556.4772569444</v>
      </c>
      <c r="C1590">
        <v>0</v>
      </c>
      <c r="D1590">
        <v>2</v>
      </c>
      <c r="E1590" t="s">
        <v>1565</v>
      </c>
    </row>
    <row r="1591" spans="1:5">
      <c r="A1591">
        <f>HYPERLINK("http://www.twitter.com/NYCHA/status/750276054275600384", "750276054275600384")</f>
        <v>0</v>
      </c>
      <c r="B1591" s="2">
        <v>42556.4389467593</v>
      </c>
      <c r="C1591">
        <v>1</v>
      </c>
      <c r="D1591">
        <v>1</v>
      </c>
      <c r="E1591" t="s">
        <v>1566</v>
      </c>
    </row>
    <row r="1592" spans="1:5">
      <c r="A1592">
        <f>HYPERLINK("http://www.twitter.com/NYCHA/status/750275044786393091", "750275044786393091")</f>
        <v>0</v>
      </c>
      <c r="B1592" s="2">
        <v>42556.4361574074</v>
      </c>
      <c r="C1592">
        <v>2</v>
      </c>
      <c r="D1592">
        <v>1</v>
      </c>
      <c r="E1592" t="s">
        <v>1567</v>
      </c>
    </row>
    <row r="1593" spans="1:5">
      <c r="A1593">
        <f>HYPERLINK("http://www.twitter.com/NYCHA/status/750273527173963776", "750273527173963776")</f>
        <v>0</v>
      </c>
      <c r="B1593" s="2">
        <v>42556.4319675926</v>
      </c>
      <c r="C1593">
        <v>4</v>
      </c>
      <c r="D1593">
        <v>4</v>
      </c>
      <c r="E1593" t="s">
        <v>1568</v>
      </c>
    </row>
    <row r="1594" spans="1:5">
      <c r="A1594">
        <f>HYPERLINK("http://www.twitter.com/NYCHA/status/750273037363056641", "750273037363056641")</f>
        <v>0</v>
      </c>
      <c r="B1594" s="2">
        <v>42556.430625</v>
      </c>
      <c r="C1594">
        <v>0</v>
      </c>
      <c r="D1594">
        <v>0</v>
      </c>
      <c r="E1594" t="s">
        <v>1569</v>
      </c>
    </row>
    <row r="1595" spans="1:5">
      <c r="A1595">
        <f>HYPERLINK("http://www.twitter.com/NYCHA/status/750272060971245568", "750272060971245568")</f>
        <v>0</v>
      </c>
      <c r="B1595" s="2">
        <v>42556.4279282407</v>
      </c>
      <c r="C1595">
        <v>1</v>
      </c>
      <c r="D1595">
        <v>0</v>
      </c>
      <c r="E1595" t="s">
        <v>1570</v>
      </c>
    </row>
    <row r="1596" spans="1:5">
      <c r="A1596">
        <f>HYPERLINK("http://www.twitter.com/NYCHA/status/750271963080384512", "750271963080384512")</f>
        <v>0</v>
      </c>
      <c r="B1596" s="2">
        <v>42556.427662037</v>
      </c>
      <c r="C1596">
        <v>1</v>
      </c>
      <c r="D1596">
        <v>0</v>
      </c>
      <c r="E1596" t="s">
        <v>1571</v>
      </c>
    </row>
    <row r="1597" spans="1:5">
      <c r="A1597">
        <f>HYPERLINK("http://www.twitter.com/NYCHA/status/750271558145409024", "750271558145409024")</f>
        <v>0</v>
      </c>
      <c r="B1597" s="2">
        <v>42556.4265393519</v>
      </c>
      <c r="C1597">
        <v>3</v>
      </c>
      <c r="D1597">
        <v>1</v>
      </c>
      <c r="E1597" t="s">
        <v>1572</v>
      </c>
    </row>
    <row r="1598" spans="1:5">
      <c r="A1598">
        <f>HYPERLINK("http://www.twitter.com/NYCHA/status/750270553819348992", "750270553819348992")</f>
        <v>0</v>
      </c>
      <c r="B1598" s="2">
        <v>42556.4237731481</v>
      </c>
      <c r="C1598">
        <v>0</v>
      </c>
      <c r="D1598">
        <v>3</v>
      </c>
      <c r="E1598" t="s">
        <v>1573</v>
      </c>
    </row>
    <row r="1599" spans="1:5">
      <c r="A1599">
        <f>HYPERLINK("http://www.twitter.com/NYCHA/status/750068002310201344", "750068002310201344")</f>
        <v>0</v>
      </c>
      <c r="B1599" s="2">
        <v>42555.8648263889</v>
      </c>
      <c r="C1599">
        <v>1</v>
      </c>
      <c r="D1599">
        <v>1</v>
      </c>
      <c r="E1599" t="s">
        <v>320</v>
      </c>
    </row>
    <row r="1600" spans="1:5">
      <c r="A1600">
        <f>HYPERLINK("http://www.twitter.com/NYCHA/status/750021445837791236", "750021445837791236")</f>
        <v>0</v>
      </c>
      <c r="B1600" s="2">
        <v>42555.7363657407</v>
      </c>
      <c r="C1600">
        <v>0</v>
      </c>
      <c r="D1600">
        <v>2</v>
      </c>
      <c r="E1600" t="s">
        <v>1574</v>
      </c>
    </row>
    <row r="1601" spans="1:5">
      <c r="A1601">
        <f>HYPERLINK("http://www.twitter.com/NYCHA/status/749996803844702208", "749996803844702208")</f>
        <v>0</v>
      </c>
      <c r="B1601" s="2">
        <v>42555.6683564815</v>
      </c>
      <c r="C1601">
        <v>1</v>
      </c>
      <c r="D1601">
        <v>0</v>
      </c>
      <c r="E1601" t="s">
        <v>1575</v>
      </c>
    </row>
    <row r="1602" spans="1:5">
      <c r="A1602">
        <f>HYPERLINK("http://www.twitter.com/NYCHA/status/749951655572082692", "749951655572082692")</f>
        <v>0</v>
      </c>
      <c r="B1602" s="2">
        <v>42555.5437731482</v>
      </c>
      <c r="C1602">
        <v>11</v>
      </c>
      <c r="D1602">
        <v>0</v>
      </c>
      <c r="E1602" t="s">
        <v>1576</v>
      </c>
    </row>
    <row r="1603" spans="1:5">
      <c r="A1603">
        <f>HYPERLINK("http://www.twitter.com/NYCHA/status/749664288697114624", "749664288697114624")</f>
        <v>0</v>
      </c>
      <c r="B1603" s="2">
        <v>42554.7507986111</v>
      </c>
      <c r="C1603">
        <v>1</v>
      </c>
      <c r="D1603">
        <v>0</v>
      </c>
      <c r="E1603" t="s">
        <v>1577</v>
      </c>
    </row>
    <row r="1604" spans="1:5">
      <c r="A1604">
        <f>HYPERLINK("http://www.twitter.com/NYCHA/status/749634101947330560", "749634101947330560")</f>
        <v>0</v>
      </c>
      <c r="B1604" s="2">
        <v>42554.6675</v>
      </c>
      <c r="C1604">
        <v>2</v>
      </c>
      <c r="D1604">
        <v>0</v>
      </c>
      <c r="E1604" t="s">
        <v>1578</v>
      </c>
    </row>
    <row r="1605" spans="1:5">
      <c r="A1605">
        <f>HYPERLINK("http://www.twitter.com/NYCHA/status/749301872591265792", "749301872591265792")</f>
        <v>0</v>
      </c>
      <c r="B1605" s="2">
        <v>42553.7507175926</v>
      </c>
      <c r="C1605">
        <v>1</v>
      </c>
      <c r="D1605">
        <v>1</v>
      </c>
      <c r="E1605" t="s">
        <v>1579</v>
      </c>
    </row>
    <row r="1606" spans="1:5">
      <c r="A1606">
        <f>HYPERLINK("http://www.twitter.com/NYCHA/status/749286973270003712", "749286973270003712")</f>
        <v>0</v>
      </c>
      <c r="B1606" s="2">
        <v>42553.7096064815</v>
      </c>
      <c r="C1606">
        <v>1</v>
      </c>
      <c r="D1606">
        <v>0</v>
      </c>
      <c r="E1606" t="s">
        <v>1463</v>
      </c>
    </row>
    <row r="1607" spans="1:5">
      <c r="A1607">
        <f>HYPERLINK("http://www.twitter.com/NYCHA/status/749271753642405888", "749271753642405888")</f>
        <v>0</v>
      </c>
      <c r="B1607" s="2">
        <v>42553.6676041667</v>
      </c>
      <c r="C1607">
        <v>1</v>
      </c>
      <c r="D1607">
        <v>0</v>
      </c>
      <c r="E1607" t="s">
        <v>1580</v>
      </c>
    </row>
    <row r="1608" spans="1:5">
      <c r="A1608">
        <f>HYPERLINK("http://www.twitter.com/NYCHA/status/749231223491493888", "749231223491493888")</f>
        <v>0</v>
      </c>
      <c r="B1608" s="2">
        <v>42553.5557638889</v>
      </c>
      <c r="C1608">
        <v>1</v>
      </c>
      <c r="D1608">
        <v>0</v>
      </c>
      <c r="E1608" t="s">
        <v>1581</v>
      </c>
    </row>
    <row r="1609" spans="1:5">
      <c r="A1609">
        <f>HYPERLINK("http://www.twitter.com/NYCHA/status/749211798927269888", "749211798927269888")</f>
        <v>0</v>
      </c>
      <c r="B1609" s="2">
        <v>42553.5021643518</v>
      </c>
      <c r="C1609">
        <v>0</v>
      </c>
      <c r="D1609">
        <v>2</v>
      </c>
      <c r="E1609" t="s">
        <v>1582</v>
      </c>
    </row>
    <row r="1610" spans="1:5">
      <c r="A1610">
        <f>HYPERLINK("http://www.twitter.com/NYCHA/status/748963699730317312", "748963699730317312")</f>
        <v>0</v>
      </c>
      <c r="B1610" s="2">
        <v>42552.8175347222</v>
      </c>
      <c r="C1610">
        <v>0</v>
      </c>
      <c r="D1610">
        <v>1</v>
      </c>
      <c r="E1610" t="s">
        <v>1583</v>
      </c>
    </row>
    <row r="1611" spans="1:5">
      <c r="A1611">
        <f>HYPERLINK("http://www.twitter.com/NYCHA/status/748954983064801280", "748954983064801280")</f>
        <v>0</v>
      </c>
      <c r="B1611" s="2">
        <v>42552.7934837963</v>
      </c>
      <c r="C1611">
        <v>1</v>
      </c>
      <c r="D1611">
        <v>1</v>
      </c>
      <c r="E1611" t="s">
        <v>1584</v>
      </c>
    </row>
    <row r="1612" spans="1:5">
      <c r="A1612">
        <f>HYPERLINK("http://www.twitter.com/NYCHA/status/748939395424804864", "748939395424804864")</f>
        <v>0</v>
      </c>
      <c r="B1612" s="2">
        <v>42552.750474537</v>
      </c>
      <c r="C1612">
        <v>0</v>
      </c>
      <c r="D1612">
        <v>1</v>
      </c>
      <c r="E1612" t="s">
        <v>1585</v>
      </c>
    </row>
    <row r="1613" spans="1:5">
      <c r="A1613">
        <f>HYPERLINK("http://www.twitter.com/NYCHA/status/748925430103695360", "748925430103695360")</f>
        <v>0</v>
      </c>
      <c r="B1613" s="2">
        <v>42552.7119328704</v>
      </c>
      <c r="C1613">
        <v>0</v>
      </c>
      <c r="D1613">
        <v>0</v>
      </c>
      <c r="E1613" t="s">
        <v>1586</v>
      </c>
    </row>
    <row r="1614" spans="1:5">
      <c r="A1614">
        <f>HYPERLINK("http://www.twitter.com/NYCHA/status/748909211451551748", "748909211451551748")</f>
        <v>0</v>
      </c>
      <c r="B1614" s="2">
        <v>42552.6671759259</v>
      </c>
      <c r="C1614">
        <v>0</v>
      </c>
      <c r="D1614">
        <v>0</v>
      </c>
      <c r="E1614" t="s">
        <v>1587</v>
      </c>
    </row>
    <row r="1615" spans="1:5">
      <c r="A1615">
        <f>HYPERLINK("http://www.twitter.com/NYCHA/status/748903028774887424", "748903028774887424")</f>
        <v>0</v>
      </c>
      <c r="B1615" s="2">
        <v>42552.6501157407</v>
      </c>
      <c r="C1615">
        <v>7</v>
      </c>
      <c r="D1615">
        <v>1</v>
      </c>
      <c r="E1615" t="s">
        <v>1588</v>
      </c>
    </row>
    <row r="1616" spans="1:5">
      <c r="A1616">
        <f>HYPERLINK("http://www.twitter.com/NYCHA/status/748892502363672576", "748892502363672576")</f>
        <v>0</v>
      </c>
      <c r="B1616" s="2">
        <v>42552.6210648148</v>
      </c>
      <c r="C1616">
        <v>0</v>
      </c>
      <c r="D1616">
        <v>3</v>
      </c>
      <c r="E1616" t="s">
        <v>1589</v>
      </c>
    </row>
    <row r="1617" spans="1:5">
      <c r="A1617">
        <f>HYPERLINK("http://www.twitter.com/NYCHA/status/748879187226816512", "748879187226816512")</f>
        <v>0</v>
      </c>
      <c r="B1617" s="2">
        <v>42552.5843287037</v>
      </c>
      <c r="C1617">
        <v>1</v>
      </c>
      <c r="D1617">
        <v>3</v>
      </c>
      <c r="E1617" t="s">
        <v>1590</v>
      </c>
    </row>
    <row r="1618" spans="1:5">
      <c r="A1618">
        <f>HYPERLINK("http://www.twitter.com/NYCHA/status/748864273665892355", "748864273665892355")</f>
        <v>0</v>
      </c>
      <c r="B1618" s="2">
        <v>42552.5431712963</v>
      </c>
      <c r="C1618">
        <v>1</v>
      </c>
      <c r="D1618">
        <v>0</v>
      </c>
      <c r="E1618" t="s">
        <v>1591</v>
      </c>
    </row>
    <row r="1619" spans="1:5">
      <c r="A1619">
        <f>HYPERLINK("http://www.twitter.com/NYCHA/status/748614995987013632", "748614995987013632")</f>
        <v>0</v>
      </c>
      <c r="B1619" s="2">
        <v>42551.8553009259</v>
      </c>
      <c r="C1619">
        <v>0</v>
      </c>
      <c r="D1619">
        <v>0</v>
      </c>
      <c r="E1619" t="s">
        <v>1592</v>
      </c>
    </row>
    <row r="1620" spans="1:5">
      <c r="A1620">
        <f>HYPERLINK("http://www.twitter.com/NYCHA/status/748614832346308608", "748614832346308608")</f>
        <v>0</v>
      </c>
      <c r="B1620" s="2">
        <v>42551.854849537</v>
      </c>
      <c r="C1620">
        <v>0</v>
      </c>
      <c r="D1620">
        <v>0</v>
      </c>
      <c r="E1620" t="s">
        <v>1593</v>
      </c>
    </row>
    <row r="1621" spans="1:5">
      <c r="A1621">
        <f>HYPERLINK("http://www.twitter.com/NYCHA/status/748614600980037632", "748614600980037632")</f>
        <v>0</v>
      </c>
      <c r="B1621" s="2">
        <v>42551.854212963</v>
      </c>
      <c r="C1621">
        <v>0</v>
      </c>
      <c r="D1621">
        <v>0</v>
      </c>
      <c r="E1621" t="s">
        <v>1594</v>
      </c>
    </row>
    <row r="1622" spans="1:5">
      <c r="A1622">
        <f>HYPERLINK("http://www.twitter.com/NYCHA/status/748599572977573888", "748599572977573888")</f>
        <v>0</v>
      </c>
      <c r="B1622" s="2">
        <v>42551.8127430556</v>
      </c>
      <c r="C1622">
        <v>1</v>
      </c>
      <c r="D1622">
        <v>0</v>
      </c>
      <c r="E1622" t="s">
        <v>1595</v>
      </c>
    </row>
    <row r="1623" spans="1:5">
      <c r="A1623">
        <f>HYPERLINK("http://www.twitter.com/NYCHA/status/748582660293926912", "748582660293926912")</f>
        <v>0</v>
      </c>
      <c r="B1623" s="2">
        <v>42551.7660648148</v>
      </c>
      <c r="C1623">
        <v>4</v>
      </c>
      <c r="D1623">
        <v>3</v>
      </c>
      <c r="E1623" t="s">
        <v>1596</v>
      </c>
    </row>
    <row r="1624" spans="1:5">
      <c r="A1624">
        <f>HYPERLINK("http://www.twitter.com/NYCHA/status/748581130392211456", "748581130392211456")</f>
        <v>0</v>
      </c>
      <c r="B1624" s="2">
        <v>42551.7618518519</v>
      </c>
      <c r="C1624">
        <v>6</v>
      </c>
      <c r="D1624">
        <v>1</v>
      </c>
      <c r="E1624" t="s">
        <v>1597</v>
      </c>
    </row>
    <row r="1625" spans="1:5">
      <c r="A1625">
        <f>HYPERLINK("http://www.twitter.com/NYCHA/status/748575613569634304", "748575613569634304")</f>
        <v>0</v>
      </c>
      <c r="B1625" s="2">
        <v>42551.7466203704</v>
      </c>
      <c r="C1625">
        <v>9</v>
      </c>
      <c r="D1625">
        <v>5</v>
      </c>
      <c r="E1625" t="s">
        <v>1598</v>
      </c>
    </row>
    <row r="1626" spans="1:5">
      <c r="A1626">
        <f>HYPERLINK("http://www.twitter.com/NYCHA/status/748574348882157568", "748574348882157568")</f>
        <v>0</v>
      </c>
      <c r="B1626" s="2">
        <v>42551.7431365741</v>
      </c>
      <c r="C1626">
        <v>0</v>
      </c>
      <c r="D1626">
        <v>0</v>
      </c>
      <c r="E1626" t="s">
        <v>1599</v>
      </c>
    </row>
    <row r="1627" spans="1:5">
      <c r="A1627">
        <f>HYPERLINK("http://www.twitter.com/NYCHA/status/748573116289384451", "748573116289384451")</f>
        <v>0</v>
      </c>
      <c r="B1627" s="2">
        <v>42551.7397337963</v>
      </c>
      <c r="C1627">
        <v>0</v>
      </c>
      <c r="D1627">
        <v>0</v>
      </c>
      <c r="E1627" t="s">
        <v>1600</v>
      </c>
    </row>
    <row r="1628" spans="1:5">
      <c r="A1628">
        <f>HYPERLINK("http://www.twitter.com/NYCHA/status/748571836976345088", "748571836976345088")</f>
        <v>0</v>
      </c>
      <c r="B1628" s="2">
        <v>42551.7362037037</v>
      </c>
      <c r="C1628">
        <v>0</v>
      </c>
      <c r="D1628">
        <v>1</v>
      </c>
      <c r="E1628" t="s">
        <v>1601</v>
      </c>
    </row>
    <row r="1629" spans="1:5">
      <c r="A1629">
        <f>HYPERLINK("http://www.twitter.com/NYCHA/status/748570568664977408", "748570568664977408")</f>
        <v>0</v>
      </c>
      <c r="B1629" s="2">
        <v>42551.7326967593</v>
      </c>
      <c r="C1629">
        <v>3</v>
      </c>
      <c r="D1629">
        <v>2</v>
      </c>
      <c r="E1629" t="s">
        <v>1602</v>
      </c>
    </row>
    <row r="1630" spans="1:5">
      <c r="A1630">
        <f>HYPERLINK("http://www.twitter.com/NYCHA/status/748569999028199424", "748569999028199424")</f>
        <v>0</v>
      </c>
      <c r="B1630" s="2">
        <v>42551.7311342593</v>
      </c>
      <c r="C1630">
        <v>2</v>
      </c>
      <c r="D1630">
        <v>2</v>
      </c>
      <c r="E1630" t="s">
        <v>1603</v>
      </c>
    </row>
    <row r="1631" spans="1:5">
      <c r="A1631">
        <f>HYPERLINK("http://www.twitter.com/NYCHA/status/748563524343959553", "748563524343959553")</f>
        <v>0</v>
      </c>
      <c r="B1631" s="2">
        <v>42551.7132638889</v>
      </c>
      <c r="C1631">
        <v>0</v>
      </c>
      <c r="D1631">
        <v>5</v>
      </c>
      <c r="E1631" t="s">
        <v>1604</v>
      </c>
    </row>
    <row r="1632" spans="1:5">
      <c r="A1632">
        <f>HYPERLINK("http://www.twitter.com/NYCHA/status/748563097707745281", "748563097707745281")</f>
        <v>0</v>
      </c>
      <c r="B1632" s="2">
        <v>42551.7120833333</v>
      </c>
      <c r="C1632">
        <v>0</v>
      </c>
      <c r="D1632">
        <v>0</v>
      </c>
      <c r="E1632" t="s">
        <v>1605</v>
      </c>
    </row>
    <row r="1633" spans="1:5">
      <c r="A1633">
        <f>HYPERLINK("http://www.twitter.com/NYCHA/status/748562211883352064", "748562211883352064")</f>
        <v>0</v>
      </c>
      <c r="B1633" s="2">
        <v>42551.7096412037</v>
      </c>
      <c r="C1633">
        <v>0</v>
      </c>
      <c r="D1633">
        <v>1</v>
      </c>
      <c r="E1633" t="s">
        <v>1606</v>
      </c>
    </row>
    <row r="1634" spans="1:5">
      <c r="A1634">
        <f>HYPERLINK("http://www.twitter.com/NYCHA/status/748560984072134656", "748560984072134656")</f>
        <v>0</v>
      </c>
      <c r="B1634" s="2">
        <v>42551.70625</v>
      </c>
      <c r="C1634">
        <v>0</v>
      </c>
      <c r="D1634">
        <v>3</v>
      </c>
      <c r="E1634" t="s">
        <v>1607</v>
      </c>
    </row>
    <row r="1635" spans="1:5">
      <c r="A1635">
        <f>HYPERLINK("http://www.twitter.com/NYCHA/status/748556479997829120", "748556479997829120")</f>
        <v>0</v>
      </c>
      <c r="B1635" s="2">
        <v>42551.6938194444</v>
      </c>
      <c r="C1635">
        <v>2</v>
      </c>
      <c r="D1635">
        <v>1</v>
      </c>
      <c r="E1635" t="s">
        <v>1608</v>
      </c>
    </row>
    <row r="1636" spans="1:5">
      <c r="A1636">
        <f>HYPERLINK("http://www.twitter.com/NYCHA/status/748546867743559680", "748546867743559680")</f>
        <v>0</v>
      </c>
      <c r="B1636" s="2">
        <v>42551.6673032407</v>
      </c>
      <c r="C1636">
        <v>9</v>
      </c>
      <c r="D1636">
        <v>2</v>
      </c>
      <c r="E1636" t="s">
        <v>1609</v>
      </c>
    </row>
    <row r="1637" spans="1:5">
      <c r="A1637">
        <f>HYPERLINK("http://www.twitter.com/NYCHA/status/748530318471200768", "748530318471200768")</f>
        <v>0</v>
      </c>
      <c r="B1637" s="2">
        <v>42551.6216319444</v>
      </c>
      <c r="C1637">
        <v>1</v>
      </c>
      <c r="D1637">
        <v>0</v>
      </c>
      <c r="E1637" t="s">
        <v>1610</v>
      </c>
    </row>
    <row r="1638" spans="1:5">
      <c r="A1638">
        <f>HYPERLINK("http://www.twitter.com/NYCHA/status/748530275773198336", "748530275773198336")</f>
        <v>0</v>
      </c>
      <c r="B1638" s="2">
        <v>42551.6215162037</v>
      </c>
      <c r="C1638">
        <v>0</v>
      </c>
      <c r="D1638">
        <v>1</v>
      </c>
      <c r="E1638" t="s">
        <v>1611</v>
      </c>
    </row>
    <row r="1639" spans="1:5">
      <c r="A1639">
        <f>HYPERLINK("http://www.twitter.com/NYCHA/status/748516801294835712", "748516801294835712")</f>
        <v>0</v>
      </c>
      <c r="B1639" s="2">
        <v>42551.5843287037</v>
      </c>
      <c r="C1639">
        <v>5</v>
      </c>
      <c r="D1639">
        <v>3</v>
      </c>
      <c r="E1639" t="s">
        <v>1612</v>
      </c>
    </row>
    <row r="1640" spans="1:5">
      <c r="A1640">
        <f>HYPERLINK("http://www.twitter.com/NYCHA/status/748514285861601285", "748514285861601285")</f>
        <v>0</v>
      </c>
      <c r="B1640" s="2">
        <v>42551.5773958333</v>
      </c>
      <c r="C1640">
        <v>0</v>
      </c>
      <c r="D1640">
        <v>1</v>
      </c>
      <c r="E1640" t="s">
        <v>1613</v>
      </c>
    </row>
    <row r="1641" spans="1:5">
      <c r="A1641">
        <f>HYPERLINK("http://www.twitter.com/NYCHA/status/748504341833781249", "748504341833781249")</f>
        <v>0</v>
      </c>
      <c r="B1641" s="2">
        <v>42551.5499537037</v>
      </c>
      <c r="C1641">
        <v>0</v>
      </c>
      <c r="D1641">
        <v>11</v>
      </c>
      <c r="E1641" t="s">
        <v>1614</v>
      </c>
    </row>
    <row r="1642" spans="1:5">
      <c r="A1642">
        <f>HYPERLINK("http://www.twitter.com/NYCHA/status/748502710610165760", "748502710610165760")</f>
        <v>0</v>
      </c>
      <c r="B1642" s="2">
        <v>42551.5454513889</v>
      </c>
      <c r="C1642">
        <v>0</v>
      </c>
      <c r="D1642">
        <v>0</v>
      </c>
      <c r="E1642" t="s">
        <v>1615</v>
      </c>
    </row>
    <row r="1643" spans="1:5">
      <c r="A1643">
        <f>HYPERLINK("http://www.twitter.com/NYCHA/status/748244331794927617", "748244331794927617")</f>
        <v>0</v>
      </c>
      <c r="B1643" s="2">
        <v>42550.8324652778</v>
      </c>
      <c r="C1643">
        <v>1</v>
      </c>
      <c r="D1643">
        <v>0</v>
      </c>
      <c r="E1643" t="s">
        <v>1616</v>
      </c>
    </row>
    <row r="1644" spans="1:5">
      <c r="A1644">
        <f>HYPERLINK("http://www.twitter.com/NYCHA/status/748235670674616321", "748235670674616321")</f>
        <v>0</v>
      </c>
      <c r="B1644" s="2">
        <v>42550.8085648148</v>
      </c>
      <c r="C1644">
        <v>0</v>
      </c>
      <c r="D1644">
        <v>4</v>
      </c>
      <c r="E1644" t="s">
        <v>1617</v>
      </c>
    </row>
    <row r="1645" spans="1:5">
      <c r="A1645">
        <f>HYPERLINK("http://www.twitter.com/NYCHA/status/748208248738713600", "748208248738713600")</f>
        <v>0</v>
      </c>
      <c r="B1645" s="2">
        <v>42550.7328935185</v>
      </c>
      <c r="C1645">
        <v>1</v>
      </c>
      <c r="D1645">
        <v>0</v>
      </c>
      <c r="E1645" t="s">
        <v>1595</v>
      </c>
    </row>
    <row r="1646" spans="1:5">
      <c r="A1646">
        <f>HYPERLINK("http://www.twitter.com/NYCHA/status/748205578997141504", "748205578997141504")</f>
        <v>0</v>
      </c>
      <c r="B1646" s="2">
        <v>42550.7255208333</v>
      </c>
      <c r="C1646">
        <v>0</v>
      </c>
      <c r="D1646">
        <v>1</v>
      </c>
      <c r="E1646" t="s">
        <v>1618</v>
      </c>
    </row>
    <row r="1647" spans="1:5">
      <c r="A1647">
        <f>HYPERLINK("http://www.twitter.com/NYCHA/status/748205574228185093", "748205574228185093")</f>
        <v>0</v>
      </c>
      <c r="B1647" s="2">
        <v>42550.7255092593</v>
      </c>
      <c r="C1647">
        <v>0</v>
      </c>
      <c r="D1647">
        <v>2</v>
      </c>
      <c r="E1647" t="s">
        <v>1619</v>
      </c>
    </row>
    <row r="1648" spans="1:5">
      <c r="A1648">
        <f>HYPERLINK("http://www.twitter.com/NYCHA/status/748200073205407744", "748200073205407744")</f>
        <v>0</v>
      </c>
      <c r="B1648" s="2">
        <v>42550.7103240741</v>
      </c>
      <c r="C1648">
        <v>2</v>
      </c>
      <c r="D1648">
        <v>1</v>
      </c>
      <c r="E1648" t="s">
        <v>1620</v>
      </c>
    </row>
    <row r="1649" spans="1:5">
      <c r="A1649">
        <f>HYPERLINK("http://www.twitter.com/NYCHA/status/748189547293474816", "748189547293474816")</f>
        <v>0</v>
      </c>
      <c r="B1649" s="2">
        <v>42550.6812847222</v>
      </c>
      <c r="C1649">
        <v>0</v>
      </c>
      <c r="D1649">
        <v>3</v>
      </c>
      <c r="E1649" t="s">
        <v>1621</v>
      </c>
    </row>
    <row r="1650" spans="1:5">
      <c r="A1650">
        <f>HYPERLINK("http://www.twitter.com/NYCHA/status/748185105357807616", "748185105357807616")</f>
        <v>0</v>
      </c>
      <c r="B1650" s="2">
        <v>42550.6690277778</v>
      </c>
      <c r="C1650">
        <v>0</v>
      </c>
      <c r="D1650">
        <v>6</v>
      </c>
      <c r="E1650" t="s">
        <v>1622</v>
      </c>
    </row>
    <row r="1651" spans="1:5">
      <c r="A1651">
        <f>HYPERLINK("http://www.twitter.com/NYCHA/status/748161687337971712", "748161687337971712")</f>
        <v>0</v>
      </c>
      <c r="B1651" s="2">
        <v>42550.6044097222</v>
      </c>
      <c r="C1651">
        <v>0</v>
      </c>
      <c r="D1651">
        <v>1</v>
      </c>
      <c r="E1651" t="s">
        <v>1623</v>
      </c>
    </row>
    <row r="1652" spans="1:5">
      <c r="A1652">
        <f>HYPERLINK("http://www.twitter.com/NYCHA/status/748159677251358720", "748159677251358720")</f>
        <v>0</v>
      </c>
      <c r="B1652" s="2">
        <v>42550.5988541667</v>
      </c>
      <c r="C1652">
        <v>0</v>
      </c>
      <c r="D1652">
        <v>6</v>
      </c>
      <c r="E1652" t="s">
        <v>1624</v>
      </c>
    </row>
    <row r="1653" spans="1:5">
      <c r="A1653">
        <f>HYPERLINK("http://www.twitter.com/NYCHA/status/748159665318559744", "748159665318559744")</f>
        <v>0</v>
      </c>
      <c r="B1653" s="2">
        <v>42550.5988310185</v>
      </c>
      <c r="C1653">
        <v>0</v>
      </c>
      <c r="D1653">
        <v>1</v>
      </c>
      <c r="E1653" t="s">
        <v>891</v>
      </c>
    </row>
    <row r="1654" spans="1:5">
      <c r="A1654">
        <f>HYPERLINK("http://www.twitter.com/NYCHA/status/748154183577182209", "748154183577182209")</f>
        <v>0</v>
      </c>
      <c r="B1654" s="2">
        <v>42550.5837037037</v>
      </c>
      <c r="C1654">
        <v>0</v>
      </c>
      <c r="D1654">
        <v>1</v>
      </c>
      <c r="E1654" t="s">
        <v>1625</v>
      </c>
    </row>
    <row r="1655" spans="1:5">
      <c r="A1655">
        <f>HYPERLINK("http://www.twitter.com/NYCHA/status/748151546538496001", "748151546538496001")</f>
        <v>0</v>
      </c>
      <c r="B1655" s="2">
        <v>42550.5764236111</v>
      </c>
      <c r="C1655">
        <v>0</v>
      </c>
      <c r="D1655">
        <v>3</v>
      </c>
      <c r="E1655" t="s">
        <v>1626</v>
      </c>
    </row>
    <row r="1656" spans="1:5">
      <c r="A1656">
        <f>HYPERLINK("http://www.twitter.com/NYCHA/status/748151482617237504", "748151482617237504")</f>
        <v>0</v>
      </c>
      <c r="B1656" s="2">
        <v>42550.57625</v>
      </c>
      <c r="C1656">
        <v>0</v>
      </c>
      <c r="D1656">
        <v>1</v>
      </c>
      <c r="E1656" t="s">
        <v>1627</v>
      </c>
    </row>
    <row r="1657" spans="1:5">
      <c r="A1657">
        <f>HYPERLINK("http://www.twitter.com/NYCHA/status/748150991539822593", "748150991539822593")</f>
        <v>0</v>
      </c>
      <c r="B1657" s="2">
        <v>42550.5748958333</v>
      </c>
      <c r="C1657">
        <v>0</v>
      </c>
      <c r="D1657">
        <v>0</v>
      </c>
      <c r="E1657" t="s">
        <v>1628</v>
      </c>
    </row>
    <row r="1658" spans="1:5">
      <c r="A1658">
        <f>HYPERLINK("http://www.twitter.com/NYCHA/status/748139320163307520", "748139320163307520")</f>
        <v>0</v>
      </c>
      <c r="B1658" s="2">
        <v>42550.5426851852</v>
      </c>
      <c r="C1658">
        <v>0</v>
      </c>
      <c r="D1658">
        <v>0</v>
      </c>
      <c r="E1658" t="s">
        <v>1629</v>
      </c>
    </row>
    <row r="1659" spans="1:5">
      <c r="A1659">
        <f>HYPERLINK("http://www.twitter.com/NYCHA/status/747901944996466688", "747901944996466688")</f>
        <v>0</v>
      </c>
      <c r="B1659" s="2">
        <v>42549.887650463</v>
      </c>
      <c r="C1659">
        <v>0</v>
      </c>
      <c r="D1659">
        <v>2</v>
      </c>
      <c r="E1659" t="s">
        <v>1630</v>
      </c>
    </row>
    <row r="1660" spans="1:5">
      <c r="A1660">
        <f>HYPERLINK("http://www.twitter.com/NYCHA/status/747884044784967684", "747884044784967684")</f>
        <v>0</v>
      </c>
      <c r="B1660" s="2">
        <v>42549.8382523148</v>
      </c>
      <c r="C1660">
        <v>0</v>
      </c>
      <c r="D1660">
        <v>1</v>
      </c>
      <c r="E1660" t="s">
        <v>1631</v>
      </c>
    </row>
    <row r="1661" spans="1:5">
      <c r="A1661">
        <f>HYPERLINK("http://www.twitter.com/NYCHA/status/747867913785348096", "747867913785348096")</f>
        <v>0</v>
      </c>
      <c r="B1661" s="2">
        <v>42549.79375</v>
      </c>
      <c r="C1661">
        <v>0</v>
      </c>
      <c r="D1661">
        <v>2</v>
      </c>
      <c r="E1661" t="s">
        <v>1632</v>
      </c>
    </row>
    <row r="1662" spans="1:5">
      <c r="A1662">
        <f>HYPERLINK("http://www.twitter.com/NYCHA/status/747867832130613248", "747867832130613248")</f>
        <v>0</v>
      </c>
      <c r="B1662" s="2">
        <v>42549.7935185185</v>
      </c>
      <c r="C1662">
        <v>2</v>
      </c>
      <c r="D1662">
        <v>2</v>
      </c>
      <c r="E1662" t="s">
        <v>1633</v>
      </c>
    </row>
    <row r="1663" spans="1:5">
      <c r="A1663">
        <f>HYPERLINK("http://www.twitter.com/NYCHA/status/747867639125544960", "747867639125544960")</f>
        <v>0</v>
      </c>
      <c r="B1663" s="2">
        <v>42549.7929861111</v>
      </c>
      <c r="C1663">
        <v>3</v>
      </c>
      <c r="D1663">
        <v>4</v>
      </c>
      <c r="E1663" t="s">
        <v>1634</v>
      </c>
    </row>
    <row r="1664" spans="1:5">
      <c r="A1664">
        <f>HYPERLINK("http://www.twitter.com/NYCHA/status/747859923686539264", "747859923686539264")</f>
        <v>0</v>
      </c>
      <c r="B1664" s="2">
        <v>42549.7717013889</v>
      </c>
      <c r="C1664">
        <v>0</v>
      </c>
      <c r="D1664">
        <v>0</v>
      </c>
      <c r="E1664" t="s">
        <v>1635</v>
      </c>
    </row>
    <row r="1665" spans="1:5">
      <c r="A1665">
        <f>HYPERLINK("http://www.twitter.com/NYCHA/status/747845915889762304", "747845915889762304")</f>
        <v>0</v>
      </c>
      <c r="B1665" s="2">
        <v>42549.7330439815</v>
      </c>
      <c r="C1665">
        <v>2</v>
      </c>
      <c r="D1665">
        <v>5</v>
      </c>
      <c r="E1665" t="s">
        <v>1636</v>
      </c>
    </row>
    <row r="1666" spans="1:5">
      <c r="A1666">
        <f>HYPERLINK("http://www.twitter.com/NYCHA/status/747842917193113600", "747842917193113600")</f>
        <v>0</v>
      </c>
      <c r="B1666" s="2">
        <v>42549.7247685185</v>
      </c>
      <c r="C1666">
        <v>0</v>
      </c>
      <c r="D1666">
        <v>0</v>
      </c>
      <c r="E1666" t="s">
        <v>1637</v>
      </c>
    </row>
    <row r="1667" spans="1:5">
      <c r="A1667">
        <f>HYPERLINK("http://www.twitter.com/NYCHA/status/747823296591314944", "747823296591314944")</f>
        <v>0</v>
      </c>
      <c r="B1667" s="2">
        <v>42549.670625</v>
      </c>
      <c r="C1667">
        <v>3</v>
      </c>
      <c r="D1667">
        <v>3</v>
      </c>
      <c r="E1667" t="s">
        <v>1463</v>
      </c>
    </row>
    <row r="1668" spans="1:5">
      <c r="A1668">
        <f>HYPERLINK("http://www.twitter.com/NYCHA/status/747815126514995200", "747815126514995200")</f>
        <v>0</v>
      </c>
      <c r="B1668" s="2">
        <v>42549.6480787037</v>
      </c>
      <c r="C1668">
        <v>0</v>
      </c>
      <c r="D1668">
        <v>1</v>
      </c>
      <c r="E1668" t="s">
        <v>1638</v>
      </c>
    </row>
    <row r="1669" spans="1:5">
      <c r="A1669">
        <f>HYPERLINK("http://www.twitter.com/NYCHA/status/747814689309077504", "747814689309077504")</f>
        <v>0</v>
      </c>
      <c r="B1669" s="2">
        <v>42549.646875</v>
      </c>
      <c r="C1669">
        <v>0</v>
      </c>
      <c r="D1669">
        <v>0</v>
      </c>
      <c r="E1669" t="s">
        <v>1639</v>
      </c>
    </row>
    <row r="1670" spans="1:5">
      <c r="A1670">
        <f>HYPERLINK("http://www.twitter.com/NYCHA/status/747793996345389057", "747793996345389057")</f>
        <v>0</v>
      </c>
      <c r="B1670" s="2">
        <v>42549.5897685185</v>
      </c>
      <c r="C1670">
        <v>0</v>
      </c>
      <c r="D1670">
        <v>1</v>
      </c>
      <c r="E1670" t="s">
        <v>1640</v>
      </c>
    </row>
    <row r="1671" spans="1:5">
      <c r="A1671">
        <f>HYPERLINK("http://www.twitter.com/NYCHA/status/747793748168433664", "747793748168433664")</f>
        <v>0</v>
      </c>
      <c r="B1671" s="2">
        <v>42549.5890856481</v>
      </c>
      <c r="C1671">
        <v>0</v>
      </c>
      <c r="D1671">
        <v>1</v>
      </c>
      <c r="E1671" t="s">
        <v>1641</v>
      </c>
    </row>
    <row r="1672" spans="1:5">
      <c r="A1672">
        <f>HYPERLINK("http://www.twitter.com/NYCHA/status/747777992798146560", "747777992798146560")</f>
        <v>0</v>
      </c>
      <c r="B1672" s="2">
        <v>42549.5456134259</v>
      </c>
      <c r="C1672">
        <v>1</v>
      </c>
      <c r="D1672">
        <v>0</v>
      </c>
      <c r="E1672" t="s">
        <v>1642</v>
      </c>
    </row>
    <row r="1673" spans="1:5">
      <c r="A1673">
        <f>HYPERLINK("http://www.twitter.com/NYCHA/status/747777927102738432", "747777927102738432")</f>
        <v>0</v>
      </c>
      <c r="B1673" s="2">
        <v>42549.5454282407</v>
      </c>
      <c r="C1673">
        <v>0</v>
      </c>
      <c r="D1673">
        <v>1</v>
      </c>
      <c r="E1673" t="s">
        <v>1643</v>
      </c>
    </row>
    <row r="1674" spans="1:5">
      <c r="A1674">
        <f>HYPERLINK("http://www.twitter.com/NYCHA/status/747580462705565696", "747580462705565696")</f>
        <v>0</v>
      </c>
      <c r="B1674" s="2">
        <v>42549.0005324074</v>
      </c>
      <c r="C1674">
        <v>5</v>
      </c>
      <c r="D1674">
        <v>4</v>
      </c>
      <c r="E1674" t="s">
        <v>1644</v>
      </c>
    </row>
    <row r="1675" spans="1:5">
      <c r="A1675">
        <f>HYPERLINK("http://www.twitter.com/NYCHA/status/747557717989072897", "747557717989072897")</f>
        <v>0</v>
      </c>
      <c r="B1675" s="2">
        <v>42548.9377662037</v>
      </c>
      <c r="C1675">
        <v>0</v>
      </c>
      <c r="D1675">
        <v>0</v>
      </c>
      <c r="E1675" t="s">
        <v>1645</v>
      </c>
    </row>
    <row r="1676" spans="1:5">
      <c r="A1676">
        <f>HYPERLINK("http://www.twitter.com/NYCHA/status/747496963055230976", "747496963055230976")</f>
        <v>0</v>
      </c>
      <c r="B1676" s="2">
        <v>42548.7701157407</v>
      </c>
      <c r="C1676">
        <v>5</v>
      </c>
      <c r="D1676">
        <v>0</v>
      </c>
      <c r="E1676" t="s">
        <v>1646</v>
      </c>
    </row>
    <row r="1677" spans="1:5">
      <c r="A1677">
        <f>HYPERLINK("http://www.twitter.com/NYCHA/status/747484845773815808", "747484845773815808")</f>
        <v>0</v>
      </c>
      <c r="B1677" s="2">
        <v>42548.7366782407</v>
      </c>
      <c r="C1677">
        <v>0</v>
      </c>
      <c r="D1677">
        <v>1</v>
      </c>
      <c r="E1677" t="s">
        <v>1647</v>
      </c>
    </row>
    <row r="1678" spans="1:5">
      <c r="A1678">
        <f>HYPERLINK("http://www.twitter.com/NYCHA/status/747475826099298304", "747475826099298304")</f>
        <v>0</v>
      </c>
      <c r="B1678" s="2">
        <v>42548.7117939815</v>
      </c>
      <c r="C1678">
        <v>0</v>
      </c>
      <c r="D1678">
        <v>2</v>
      </c>
      <c r="E1678" t="s">
        <v>1648</v>
      </c>
    </row>
    <row r="1679" spans="1:5">
      <c r="A1679">
        <f>HYPERLINK("http://www.twitter.com/NYCHA/status/747475628442673152", "747475628442673152")</f>
        <v>0</v>
      </c>
      <c r="B1679" s="2">
        <v>42548.7112384259</v>
      </c>
      <c r="C1679">
        <v>0</v>
      </c>
      <c r="D1679">
        <v>1</v>
      </c>
      <c r="E1679" t="s">
        <v>1649</v>
      </c>
    </row>
    <row r="1680" spans="1:5">
      <c r="A1680">
        <f>HYPERLINK("http://www.twitter.com/NYCHA/status/747467713921040384", "747467713921040384")</f>
        <v>0</v>
      </c>
      <c r="B1680" s="2">
        <v>42548.6893981481</v>
      </c>
      <c r="C1680">
        <v>7</v>
      </c>
      <c r="D1680">
        <v>6</v>
      </c>
      <c r="E1680" t="s">
        <v>1650</v>
      </c>
    </row>
    <row r="1681" spans="1:5">
      <c r="A1681">
        <f>HYPERLINK("http://www.twitter.com/NYCHA/status/747460134780141568", "747460134780141568")</f>
        <v>0</v>
      </c>
      <c r="B1681" s="2">
        <v>42548.6684837963</v>
      </c>
      <c r="C1681">
        <v>0</v>
      </c>
      <c r="D1681">
        <v>1</v>
      </c>
      <c r="E1681" t="s">
        <v>1651</v>
      </c>
    </row>
    <row r="1682" spans="1:5">
      <c r="A1682">
        <f>HYPERLINK("http://www.twitter.com/NYCHA/status/747428781070098432", "747428781070098432")</f>
        <v>0</v>
      </c>
      <c r="B1682" s="2">
        <v>42548.5819675926</v>
      </c>
      <c r="C1682">
        <v>0</v>
      </c>
      <c r="D1682">
        <v>1</v>
      </c>
      <c r="E1682" t="s">
        <v>1652</v>
      </c>
    </row>
    <row r="1683" spans="1:5">
      <c r="A1683">
        <f>HYPERLINK("http://www.twitter.com/NYCHA/status/747428505042952194", "747428505042952194")</f>
        <v>0</v>
      </c>
      <c r="B1683" s="2">
        <v>42548.5812037037</v>
      </c>
      <c r="C1683">
        <v>0</v>
      </c>
      <c r="D1683">
        <v>1</v>
      </c>
      <c r="E1683" t="s">
        <v>1653</v>
      </c>
    </row>
    <row r="1684" spans="1:5">
      <c r="A1684">
        <f>HYPERLINK("http://www.twitter.com/NYCHA/status/747428403654103040", "747428403654103040")</f>
        <v>0</v>
      </c>
      <c r="B1684" s="2">
        <v>42548.5809259259</v>
      </c>
      <c r="C1684">
        <v>0</v>
      </c>
      <c r="D1684">
        <v>2</v>
      </c>
      <c r="E1684" t="s">
        <v>1654</v>
      </c>
    </row>
    <row r="1685" spans="1:5">
      <c r="A1685">
        <f>HYPERLINK("http://www.twitter.com/NYCHA/status/747415594815856640", "747415594815856640")</f>
        <v>0</v>
      </c>
      <c r="B1685" s="2">
        <v>42548.5455787037</v>
      </c>
      <c r="C1685">
        <v>0</v>
      </c>
      <c r="D1685">
        <v>1</v>
      </c>
      <c r="E1685" t="s">
        <v>1655</v>
      </c>
    </row>
    <row r="1686" spans="1:5">
      <c r="A1686">
        <f>HYPERLINK("http://www.twitter.com/NYCHA/status/747414866567245824", "747414866567245824")</f>
        <v>0</v>
      </c>
      <c r="B1686" s="2">
        <v>42548.5435763889</v>
      </c>
      <c r="C1686">
        <v>0</v>
      </c>
      <c r="D1686">
        <v>0</v>
      </c>
      <c r="E1686" t="s">
        <v>1656</v>
      </c>
    </row>
    <row r="1687" spans="1:5">
      <c r="A1687">
        <f>HYPERLINK("http://www.twitter.com/NYCHA/status/747190382782455809", "747190382782455809")</f>
        <v>0</v>
      </c>
      <c r="B1687" s="2">
        <v>42547.9241203704</v>
      </c>
      <c r="C1687">
        <v>0</v>
      </c>
      <c r="D1687">
        <v>0</v>
      </c>
      <c r="E1687" t="s">
        <v>1657</v>
      </c>
    </row>
    <row r="1688" spans="1:5">
      <c r="A1688">
        <f>HYPERLINK("http://www.twitter.com/NYCHA/status/747189781327675392", "747189781327675392")</f>
        <v>0</v>
      </c>
      <c r="B1688" s="2">
        <v>42547.9224537037</v>
      </c>
      <c r="C1688">
        <v>5</v>
      </c>
      <c r="D1688">
        <v>3</v>
      </c>
      <c r="E1688" t="s">
        <v>1658</v>
      </c>
    </row>
    <row r="1689" spans="1:5">
      <c r="A1689">
        <f>HYPERLINK("http://www.twitter.com/NYCHA/status/747119942835834880", "747119942835834880")</f>
        <v>0</v>
      </c>
      <c r="B1689" s="2">
        <v>42547.7297337963</v>
      </c>
      <c r="C1689">
        <v>3</v>
      </c>
      <c r="D1689">
        <v>2</v>
      </c>
      <c r="E1689" t="s">
        <v>1659</v>
      </c>
    </row>
    <row r="1690" spans="1:5">
      <c r="A1690">
        <f>HYPERLINK("http://www.twitter.com/NYCHA/status/747082313360674821", "747082313360674821")</f>
        <v>0</v>
      </c>
      <c r="B1690" s="2">
        <v>42547.6259027778</v>
      </c>
      <c r="C1690">
        <v>2</v>
      </c>
      <c r="D1690">
        <v>1</v>
      </c>
      <c r="E1690" t="s">
        <v>1660</v>
      </c>
    </row>
    <row r="1691" spans="1:5">
      <c r="A1691">
        <f>HYPERLINK("http://www.twitter.com/NYCHA/status/747077680093343744", "747077680093343744")</f>
        <v>0</v>
      </c>
      <c r="B1691" s="2">
        <v>42547.6131134259</v>
      </c>
      <c r="C1691">
        <v>0</v>
      </c>
      <c r="D1691">
        <v>5</v>
      </c>
      <c r="E1691" t="s">
        <v>1661</v>
      </c>
    </row>
    <row r="1692" spans="1:5">
      <c r="A1692">
        <f>HYPERLINK("http://www.twitter.com/NYCHA/status/746821683487604736", "746821683487604736")</f>
        <v>0</v>
      </c>
      <c r="B1692" s="2">
        <v>42546.9067013889</v>
      </c>
      <c r="C1692">
        <v>0</v>
      </c>
      <c r="D1692">
        <v>10</v>
      </c>
      <c r="E1692" t="s">
        <v>1662</v>
      </c>
    </row>
    <row r="1693" spans="1:5">
      <c r="A1693">
        <f>HYPERLINK("http://www.twitter.com/NYCHA/status/746765225165230080", "746765225165230080")</f>
        <v>0</v>
      </c>
      <c r="B1693" s="2">
        <v>42546.7509027778</v>
      </c>
      <c r="C1693">
        <v>3</v>
      </c>
      <c r="D1693">
        <v>0</v>
      </c>
      <c r="E1693" t="s">
        <v>1663</v>
      </c>
    </row>
    <row r="1694" spans="1:5">
      <c r="A1694">
        <f>HYPERLINK("http://www.twitter.com/NYCHA/status/746757590760169472", "746757590760169472")</f>
        <v>0</v>
      </c>
      <c r="B1694" s="2">
        <v>42546.729837963</v>
      </c>
      <c r="C1694">
        <v>0</v>
      </c>
      <c r="D1694">
        <v>0</v>
      </c>
      <c r="E1694" t="s">
        <v>1664</v>
      </c>
    </row>
    <row r="1695" spans="1:5">
      <c r="A1695">
        <f>HYPERLINK("http://www.twitter.com/NYCHA/status/746753029278470144", "746753029278470144")</f>
        <v>0</v>
      </c>
      <c r="B1695" s="2">
        <v>42546.7172453704</v>
      </c>
      <c r="C1695">
        <v>0</v>
      </c>
      <c r="D1695">
        <v>4</v>
      </c>
      <c r="E1695" t="s">
        <v>1665</v>
      </c>
    </row>
    <row r="1696" spans="1:5">
      <c r="A1696">
        <f>HYPERLINK("http://www.twitter.com/NYCHA/status/746719892477480960", "746719892477480960")</f>
        <v>0</v>
      </c>
      <c r="B1696" s="2">
        <v>42546.6258101852</v>
      </c>
      <c r="C1696">
        <v>2</v>
      </c>
      <c r="D1696">
        <v>2</v>
      </c>
      <c r="E1696" t="s">
        <v>1666</v>
      </c>
    </row>
    <row r="1697" spans="1:5">
      <c r="A1697">
        <f>HYPERLINK("http://www.twitter.com/NYCHA/status/746704885949792256", "746704885949792256")</f>
        <v>0</v>
      </c>
      <c r="B1697" s="2">
        <v>42546.5843981481</v>
      </c>
      <c r="C1697">
        <v>0</v>
      </c>
      <c r="D1697">
        <v>11</v>
      </c>
      <c r="E1697" t="s">
        <v>1667</v>
      </c>
    </row>
    <row r="1698" spans="1:5">
      <c r="A1698">
        <f>HYPERLINK("http://www.twitter.com/NYCHA/status/746689635036856320", "746689635036856320")</f>
        <v>0</v>
      </c>
      <c r="B1698" s="2">
        <v>42546.5423148148</v>
      </c>
      <c r="C1698">
        <v>2</v>
      </c>
      <c r="D1698">
        <v>0</v>
      </c>
      <c r="E1698" t="s">
        <v>1668</v>
      </c>
    </row>
    <row r="1699" spans="1:5">
      <c r="A1699">
        <f>HYPERLINK("http://www.twitter.com/NYCHA/status/746502022573199360", "746502022573199360")</f>
        <v>0</v>
      </c>
      <c r="B1699" s="2">
        <v>42546.0246064815</v>
      </c>
      <c r="C1699">
        <v>0</v>
      </c>
      <c r="D1699">
        <v>6</v>
      </c>
      <c r="E1699" t="s">
        <v>1669</v>
      </c>
    </row>
    <row r="1700" spans="1:5">
      <c r="A1700">
        <f>HYPERLINK("http://www.twitter.com/NYCHA/status/746484685824491520", "746484685824491520")</f>
        <v>0</v>
      </c>
      <c r="B1700" s="2">
        <v>42545.9767592593</v>
      </c>
      <c r="C1700">
        <v>0</v>
      </c>
      <c r="D1700">
        <v>6</v>
      </c>
      <c r="E1700" t="s">
        <v>1670</v>
      </c>
    </row>
    <row r="1701" spans="1:5">
      <c r="A1701">
        <f>HYPERLINK("http://www.twitter.com/NYCHA/status/746463244651499520", "746463244651499520")</f>
        <v>0</v>
      </c>
      <c r="B1701" s="2">
        <v>42545.9175925926</v>
      </c>
      <c r="C1701">
        <v>0</v>
      </c>
      <c r="D1701">
        <v>10</v>
      </c>
      <c r="E1701" t="s">
        <v>1671</v>
      </c>
    </row>
    <row r="1702" spans="1:5">
      <c r="A1702">
        <f>HYPERLINK("http://www.twitter.com/NYCHA/status/746452992589705217", "746452992589705217")</f>
        <v>0</v>
      </c>
      <c r="B1702" s="2">
        <v>42545.8893055556</v>
      </c>
      <c r="C1702">
        <v>0</v>
      </c>
      <c r="D1702">
        <v>18</v>
      </c>
      <c r="E1702" t="s">
        <v>1672</v>
      </c>
    </row>
    <row r="1703" spans="1:5">
      <c r="A1703">
        <f>HYPERLINK("http://www.twitter.com/NYCHA/status/746437161390604290", "746437161390604290")</f>
        <v>0</v>
      </c>
      <c r="B1703" s="2">
        <v>42545.845625</v>
      </c>
      <c r="C1703">
        <v>0</v>
      </c>
      <c r="D1703">
        <v>7</v>
      </c>
      <c r="E1703" t="s">
        <v>1673</v>
      </c>
    </row>
    <row r="1704" spans="1:5">
      <c r="A1704">
        <f>HYPERLINK("http://www.twitter.com/NYCHA/status/746436344440819712", "746436344440819712")</f>
        <v>0</v>
      </c>
      <c r="B1704" s="2">
        <v>42545.8433680556</v>
      </c>
      <c r="C1704">
        <v>0</v>
      </c>
      <c r="D1704">
        <v>4</v>
      </c>
      <c r="E1704" t="s">
        <v>1674</v>
      </c>
    </row>
    <row r="1705" spans="1:5">
      <c r="A1705">
        <f>HYPERLINK("http://www.twitter.com/NYCHA/status/746431035374714881", "746431035374714881")</f>
        <v>0</v>
      </c>
      <c r="B1705" s="2">
        <v>42545.8287152778</v>
      </c>
      <c r="C1705">
        <v>6</v>
      </c>
      <c r="D1705">
        <v>5</v>
      </c>
      <c r="E1705" t="s">
        <v>1675</v>
      </c>
    </row>
    <row r="1706" spans="1:5">
      <c r="A1706">
        <f>HYPERLINK("http://www.twitter.com/NYCHA/status/746428344959401984", "746428344959401984")</f>
        <v>0</v>
      </c>
      <c r="B1706" s="2">
        <v>42545.8212962963</v>
      </c>
      <c r="C1706">
        <v>0</v>
      </c>
      <c r="D1706">
        <v>7</v>
      </c>
      <c r="E1706" t="s">
        <v>1676</v>
      </c>
    </row>
    <row r="1707" spans="1:5">
      <c r="A1707">
        <f>HYPERLINK("http://www.twitter.com/NYCHA/status/746427438356377600", "746427438356377600")</f>
        <v>0</v>
      </c>
      <c r="B1707" s="2">
        <v>42545.8187847222</v>
      </c>
      <c r="C1707">
        <v>0</v>
      </c>
      <c r="D1707">
        <v>3</v>
      </c>
      <c r="E1707" t="s">
        <v>1677</v>
      </c>
    </row>
    <row r="1708" spans="1:5">
      <c r="A1708">
        <f>HYPERLINK("http://www.twitter.com/NYCHA/status/746426642847899649", "746426642847899649")</f>
        <v>0</v>
      </c>
      <c r="B1708" s="2">
        <v>42545.8165972222</v>
      </c>
      <c r="C1708">
        <v>1</v>
      </c>
      <c r="D1708">
        <v>0</v>
      </c>
      <c r="E1708" t="s">
        <v>1678</v>
      </c>
    </row>
    <row r="1709" spans="1:5">
      <c r="A1709">
        <f>HYPERLINK("http://www.twitter.com/NYCHA/status/746424874860707840", "746424874860707840")</f>
        <v>0</v>
      </c>
      <c r="B1709" s="2">
        <v>42545.811712963</v>
      </c>
      <c r="C1709">
        <v>0</v>
      </c>
      <c r="D1709">
        <v>6</v>
      </c>
      <c r="E1709" t="s">
        <v>1679</v>
      </c>
    </row>
    <row r="1710" spans="1:5">
      <c r="A1710">
        <f>HYPERLINK("http://www.twitter.com/NYCHA/status/746422668660973568", "746422668660973568")</f>
        <v>0</v>
      </c>
      <c r="B1710" s="2">
        <v>42545.805625</v>
      </c>
      <c r="C1710">
        <v>1</v>
      </c>
      <c r="D1710">
        <v>2</v>
      </c>
      <c r="E1710" t="s">
        <v>1680</v>
      </c>
    </row>
    <row r="1711" spans="1:5">
      <c r="A1711">
        <f>HYPERLINK("http://www.twitter.com/NYCHA/status/746422630874505216", "746422630874505216")</f>
        <v>0</v>
      </c>
      <c r="B1711" s="2">
        <v>42545.8055208333</v>
      </c>
      <c r="C1711">
        <v>0</v>
      </c>
      <c r="D1711">
        <v>3</v>
      </c>
      <c r="E1711" t="s">
        <v>1681</v>
      </c>
    </row>
    <row r="1712" spans="1:5">
      <c r="A1712">
        <f>HYPERLINK("http://www.twitter.com/NYCHA/status/746420638001283072", "746420638001283072")</f>
        <v>0</v>
      </c>
      <c r="B1712" s="2">
        <v>42545.8000231481</v>
      </c>
      <c r="C1712">
        <v>1</v>
      </c>
      <c r="D1712">
        <v>1</v>
      </c>
      <c r="E1712" t="s">
        <v>1682</v>
      </c>
    </row>
    <row r="1713" spans="1:5">
      <c r="A1713">
        <f>HYPERLINK("http://www.twitter.com/NYCHA/status/746420411571679232", "746420411571679232")</f>
        <v>0</v>
      </c>
      <c r="B1713" s="2">
        <v>42545.7993981481</v>
      </c>
      <c r="C1713">
        <v>0</v>
      </c>
      <c r="D1713">
        <v>10</v>
      </c>
      <c r="E1713" t="s">
        <v>1683</v>
      </c>
    </row>
    <row r="1714" spans="1:5">
      <c r="A1714">
        <f>HYPERLINK("http://www.twitter.com/NYCHA/status/746419911828832261", "746419911828832261")</f>
        <v>0</v>
      </c>
      <c r="B1714" s="2">
        <v>42545.7980208333</v>
      </c>
      <c r="C1714">
        <v>0</v>
      </c>
      <c r="D1714">
        <v>2</v>
      </c>
      <c r="E1714" t="s">
        <v>1684</v>
      </c>
    </row>
    <row r="1715" spans="1:5">
      <c r="A1715">
        <f>HYPERLINK("http://www.twitter.com/NYCHA/status/746419773697826816", "746419773697826816")</f>
        <v>0</v>
      </c>
      <c r="B1715" s="2">
        <v>42545.7976388889</v>
      </c>
      <c r="C1715">
        <v>0</v>
      </c>
      <c r="D1715">
        <v>0</v>
      </c>
      <c r="E1715" t="s">
        <v>1685</v>
      </c>
    </row>
    <row r="1716" spans="1:5">
      <c r="A1716">
        <f>HYPERLINK("http://www.twitter.com/NYCHA/status/746419175502020608", "746419175502020608")</f>
        <v>0</v>
      </c>
      <c r="B1716" s="2">
        <v>42545.7959837963</v>
      </c>
      <c r="C1716">
        <v>1</v>
      </c>
      <c r="D1716">
        <v>1</v>
      </c>
      <c r="E1716" t="s">
        <v>1686</v>
      </c>
    </row>
    <row r="1717" spans="1:5">
      <c r="A1717">
        <f>HYPERLINK("http://www.twitter.com/NYCHA/status/746418707170213888", "746418707170213888")</f>
        <v>0</v>
      </c>
      <c r="B1717" s="2">
        <v>42545.7946990741</v>
      </c>
      <c r="C1717">
        <v>2</v>
      </c>
      <c r="D1717">
        <v>0</v>
      </c>
      <c r="E1717" t="s">
        <v>1687</v>
      </c>
    </row>
    <row r="1718" spans="1:5">
      <c r="A1718">
        <f>HYPERLINK("http://www.twitter.com/NYCHA/status/746418368526299136", "746418368526299136")</f>
        <v>0</v>
      </c>
      <c r="B1718" s="2">
        <v>42545.7937615741</v>
      </c>
      <c r="C1718">
        <v>2</v>
      </c>
      <c r="D1718">
        <v>0</v>
      </c>
      <c r="E1718" t="s">
        <v>1688</v>
      </c>
    </row>
    <row r="1719" spans="1:5">
      <c r="A1719">
        <f>HYPERLINK("http://www.twitter.com/NYCHA/status/746418184333438976", "746418184333438976")</f>
        <v>0</v>
      </c>
      <c r="B1719" s="2">
        <v>42545.7932523148</v>
      </c>
      <c r="C1719">
        <v>1</v>
      </c>
      <c r="D1719">
        <v>0</v>
      </c>
      <c r="E1719" t="s">
        <v>1689</v>
      </c>
    </row>
    <row r="1720" spans="1:5">
      <c r="A1720">
        <f>HYPERLINK("http://www.twitter.com/NYCHA/status/746418033254600704", "746418033254600704")</f>
        <v>0</v>
      </c>
      <c r="B1720" s="2">
        <v>42545.7928356481</v>
      </c>
      <c r="C1720">
        <v>2</v>
      </c>
      <c r="D1720">
        <v>2</v>
      </c>
      <c r="E1720" t="s">
        <v>1690</v>
      </c>
    </row>
    <row r="1721" spans="1:5">
      <c r="A1721">
        <f>HYPERLINK("http://www.twitter.com/NYCHA/status/746417859778195456", "746417859778195456")</f>
        <v>0</v>
      </c>
      <c r="B1721" s="2">
        <v>42545.7923611111</v>
      </c>
      <c r="C1721">
        <v>1</v>
      </c>
      <c r="D1721">
        <v>0</v>
      </c>
      <c r="E1721" t="s">
        <v>1691</v>
      </c>
    </row>
    <row r="1722" spans="1:5">
      <c r="A1722">
        <f>HYPERLINK("http://www.twitter.com/NYCHA/status/746417605330804736", "746417605330804736")</f>
        <v>0</v>
      </c>
      <c r="B1722" s="2">
        <v>42545.7916550926</v>
      </c>
      <c r="C1722">
        <v>3</v>
      </c>
      <c r="D1722">
        <v>2</v>
      </c>
      <c r="E1722" t="s">
        <v>1692</v>
      </c>
    </row>
    <row r="1723" spans="1:5">
      <c r="A1723">
        <f>HYPERLINK("http://www.twitter.com/NYCHA/status/746417512980439040", "746417512980439040")</f>
        <v>0</v>
      </c>
      <c r="B1723" s="2">
        <v>42545.791400463</v>
      </c>
      <c r="C1723">
        <v>0</v>
      </c>
      <c r="D1723">
        <v>2</v>
      </c>
      <c r="E1723" t="s">
        <v>1693</v>
      </c>
    </row>
    <row r="1724" spans="1:5">
      <c r="A1724">
        <f>HYPERLINK("http://www.twitter.com/NYCHA/status/746417453975093248", "746417453975093248")</f>
        <v>0</v>
      </c>
      <c r="B1724" s="2">
        <v>42545.7912384259</v>
      </c>
      <c r="C1724">
        <v>2</v>
      </c>
      <c r="D1724">
        <v>0</v>
      </c>
      <c r="E1724" t="s">
        <v>1694</v>
      </c>
    </row>
    <row r="1725" spans="1:5">
      <c r="A1725">
        <f>HYPERLINK("http://www.twitter.com/NYCHA/status/746417440150654977", "746417440150654977")</f>
        <v>0</v>
      </c>
      <c r="B1725" s="2">
        <v>42545.7912037037</v>
      </c>
      <c r="C1725">
        <v>0</v>
      </c>
      <c r="D1725">
        <v>4</v>
      </c>
      <c r="E1725" t="s">
        <v>1695</v>
      </c>
    </row>
    <row r="1726" spans="1:5">
      <c r="A1726">
        <f>HYPERLINK("http://www.twitter.com/NYCHA/status/746417410895286272", "746417410895286272")</f>
        <v>0</v>
      </c>
      <c r="B1726" s="2">
        <v>42545.7911226852</v>
      </c>
      <c r="C1726">
        <v>6</v>
      </c>
      <c r="D1726">
        <v>3</v>
      </c>
      <c r="E1726" t="s">
        <v>1696</v>
      </c>
    </row>
    <row r="1727" spans="1:5">
      <c r="A1727">
        <f>HYPERLINK("http://www.twitter.com/NYCHA/status/746417217982578692", "746417217982578692")</f>
        <v>0</v>
      </c>
      <c r="B1727" s="2">
        <v>42545.7905902778</v>
      </c>
      <c r="C1727">
        <v>3</v>
      </c>
      <c r="D1727">
        <v>2</v>
      </c>
      <c r="E1727" t="s">
        <v>1697</v>
      </c>
    </row>
    <row r="1728" spans="1:5">
      <c r="A1728">
        <f>HYPERLINK("http://www.twitter.com/NYCHA/status/746417075057397760", "746417075057397760")</f>
        <v>0</v>
      </c>
      <c r="B1728" s="2">
        <v>42545.7901967593</v>
      </c>
      <c r="C1728">
        <v>1</v>
      </c>
      <c r="D1728">
        <v>0</v>
      </c>
      <c r="E1728" t="s">
        <v>1698</v>
      </c>
    </row>
    <row r="1729" spans="1:5">
      <c r="A1729">
        <f>HYPERLINK("http://www.twitter.com/NYCHA/status/746416910112329728", "746416910112329728")</f>
        <v>0</v>
      </c>
      <c r="B1729" s="2">
        <v>42545.7897337963</v>
      </c>
      <c r="C1729">
        <v>3</v>
      </c>
      <c r="D1729">
        <v>1</v>
      </c>
      <c r="E1729" t="s">
        <v>1699</v>
      </c>
    </row>
    <row r="1730" spans="1:5">
      <c r="A1730">
        <f>HYPERLINK("http://www.twitter.com/NYCHA/status/746416647511154688", "746416647511154688")</f>
        <v>0</v>
      </c>
      <c r="B1730" s="2">
        <v>42545.7890162037</v>
      </c>
      <c r="C1730">
        <v>1</v>
      </c>
      <c r="D1730">
        <v>1</v>
      </c>
      <c r="E1730" t="s">
        <v>1700</v>
      </c>
    </row>
    <row r="1731" spans="1:5">
      <c r="A1731">
        <f>HYPERLINK("http://www.twitter.com/NYCHA/status/746416526333468673", "746416526333468673")</f>
        <v>0</v>
      </c>
      <c r="B1731" s="2">
        <v>42545.7886805556</v>
      </c>
      <c r="C1731">
        <v>3</v>
      </c>
      <c r="D1731">
        <v>2</v>
      </c>
      <c r="E1731" t="s">
        <v>1701</v>
      </c>
    </row>
    <row r="1732" spans="1:5">
      <c r="A1732">
        <f>HYPERLINK("http://www.twitter.com/NYCHA/status/746395301028716544", "746395301028716544")</f>
        <v>0</v>
      </c>
      <c r="B1732" s="2">
        <v>42545.7301041667</v>
      </c>
      <c r="C1732">
        <v>1</v>
      </c>
      <c r="D1732">
        <v>0</v>
      </c>
      <c r="E1732" t="s">
        <v>1595</v>
      </c>
    </row>
    <row r="1733" spans="1:5">
      <c r="A1733">
        <f>HYPERLINK("http://www.twitter.com/NYCHA/status/746390030466355200", "746390030466355200")</f>
        <v>0</v>
      </c>
      <c r="B1733" s="2">
        <v>42545.7155671296</v>
      </c>
      <c r="C1733">
        <v>4</v>
      </c>
      <c r="D1733">
        <v>1</v>
      </c>
      <c r="E1733" t="s">
        <v>1702</v>
      </c>
    </row>
    <row r="1734" spans="1:5">
      <c r="A1734">
        <f>HYPERLINK("http://www.twitter.com/NYCHA/status/746366879556575233", "746366879556575233")</f>
        <v>0</v>
      </c>
      <c r="B1734" s="2">
        <v>42545.6516782407</v>
      </c>
      <c r="C1734">
        <v>4</v>
      </c>
      <c r="D1734">
        <v>3</v>
      </c>
      <c r="E1734" t="s">
        <v>1703</v>
      </c>
    </row>
    <row r="1735" spans="1:5">
      <c r="A1735">
        <f>HYPERLINK("http://www.twitter.com/NYCHA/status/746365121165926400", "746365121165926400")</f>
        <v>0</v>
      </c>
      <c r="B1735" s="2">
        <v>42545.6468287037</v>
      </c>
      <c r="C1735">
        <v>0</v>
      </c>
      <c r="D1735">
        <v>0</v>
      </c>
      <c r="E1735" t="s">
        <v>1704</v>
      </c>
    </row>
    <row r="1736" spans="1:5">
      <c r="A1736">
        <f>HYPERLINK("http://www.twitter.com/NYCHA/status/746358782918275072", "746358782918275072")</f>
        <v>0</v>
      </c>
      <c r="B1736" s="2">
        <v>42545.6293402778</v>
      </c>
      <c r="C1736">
        <v>0</v>
      </c>
      <c r="D1736">
        <v>2</v>
      </c>
      <c r="E1736" t="s">
        <v>1705</v>
      </c>
    </row>
    <row r="1737" spans="1:5">
      <c r="A1737">
        <f>HYPERLINK("http://www.twitter.com/NYCHA/status/746352670802382848", "746352670802382848")</f>
        <v>0</v>
      </c>
      <c r="B1737" s="2">
        <v>42545.6124652778</v>
      </c>
      <c r="C1737">
        <v>4</v>
      </c>
      <c r="D1737">
        <v>3</v>
      </c>
      <c r="E1737" t="s">
        <v>1706</v>
      </c>
    </row>
    <row r="1738" spans="1:5">
      <c r="A1738">
        <f>HYPERLINK("http://www.twitter.com/NYCHA/status/746348332948295680", "746348332948295680")</f>
        <v>0</v>
      </c>
      <c r="B1738" s="2">
        <v>42545.6004976852</v>
      </c>
      <c r="C1738">
        <v>0</v>
      </c>
      <c r="D1738">
        <v>2</v>
      </c>
      <c r="E1738" t="s">
        <v>1707</v>
      </c>
    </row>
    <row r="1739" spans="1:5">
      <c r="A1739">
        <f>HYPERLINK("http://www.twitter.com/NYCHA/status/746348327835410432", "746348327835410432")</f>
        <v>0</v>
      </c>
      <c r="B1739" s="2">
        <v>42545.6004861111</v>
      </c>
      <c r="C1739">
        <v>0</v>
      </c>
      <c r="D1739">
        <v>4</v>
      </c>
      <c r="E1739" t="s">
        <v>1708</v>
      </c>
    </row>
    <row r="1740" spans="1:5">
      <c r="A1740">
        <f>HYPERLINK("http://www.twitter.com/NYCHA/status/746347863773425664", "746347863773425664")</f>
        <v>0</v>
      </c>
      <c r="B1740" s="2">
        <v>42545.5992013889</v>
      </c>
      <c r="C1740">
        <v>1</v>
      </c>
      <c r="D1740">
        <v>1</v>
      </c>
      <c r="E1740" t="s">
        <v>1709</v>
      </c>
    </row>
    <row r="1741" spans="1:5">
      <c r="A1741">
        <f>HYPERLINK("http://www.twitter.com/NYCHA/status/746327710356615168", "746327710356615168")</f>
        <v>0</v>
      </c>
      <c r="B1741" s="2">
        <v>42545.543587963</v>
      </c>
      <c r="C1741">
        <v>1</v>
      </c>
      <c r="D1741">
        <v>1</v>
      </c>
      <c r="E1741" t="s">
        <v>1710</v>
      </c>
    </row>
    <row r="1742" spans="1:5">
      <c r="A1742">
        <f>HYPERLINK("http://www.twitter.com/NYCHA/status/746102763227070464", "746102763227070464")</f>
        <v>0</v>
      </c>
      <c r="B1742" s="2">
        <v>42544.9228587963</v>
      </c>
      <c r="C1742">
        <v>0</v>
      </c>
      <c r="D1742">
        <v>17</v>
      </c>
      <c r="E1742" t="s">
        <v>1711</v>
      </c>
    </row>
    <row r="1743" spans="1:5">
      <c r="A1743">
        <f>HYPERLINK("http://www.twitter.com/NYCHA/status/746099685606170624", "746099685606170624")</f>
        <v>0</v>
      </c>
      <c r="B1743" s="2">
        <v>42544.9143634259</v>
      </c>
      <c r="C1743">
        <v>0</v>
      </c>
      <c r="D1743">
        <v>6</v>
      </c>
      <c r="E1743" t="s">
        <v>1712</v>
      </c>
    </row>
    <row r="1744" spans="1:5">
      <c r="A1744">
        <f>HYPERLINK("http://www.twitter.com/NYCHA/status/746074199505121280", "746074199505121280")</f>
        <v>0</v>
      </c>
      <c r="B1744" s="2">
        <v>42544.8440393519</v>
      </c>
      <c r="C1744">
        <v>1</v>
      </c>
      <c r="D1744">
        <v>10</v>
      </c>
      <c r="E1744" t="s">
        <v>1713</v>
      </c>
    </row>
    <row r="1745" spans="1:5">
      <c r="A1745">
        <f>HYPERLINK("http://www.twitter.com/NYCHA/status/746044907488428032", "746044907488428032")</f>
        <v>0</v>
      </c>
      <c r="B1745" s="2">
        <v>42544.7632060185</v>
      </c>
      <c r="C1745">
        <v>0</v>
      </c>
      <c r="D1745">
        <v>5</v>
      </c>
      <c r="E1745" t="s">
        <v>1714</v>
      </c>
    </row>
    <row r="1746" spans="1:5">
      <c r="A1746">
        <f>HYPERLINK("http://www.twitter.com/NYCHA/status/746011312468168705", "746011312468168705")</f>
        <v>0</v>
      </c>
      <c r="B1746" s="2">
        <v>42544.6704976852</v>
      </c>
      <c r="C1746">
        <v>1</v>
      </c>
      <c r="D1746">
        <v>2</v>
      </c>
      <c r="E1746" t="s">
        <v>1398</v>
      </c>
    </row>
    <row r="1747" spans="1:5">
      <c r="A1747">
        <f>HYPERLINK("http://www.twitter.com/NYCHA/status/746003062662250496", "746003062662250496")</f>
        <v>0</v>
      </c>
      <c r="B1747" s="2">
        <v>42544.6477314815</v>
      </c>
      <c r="C1747">
        <v>0</v>
      </c>
      <c r="D1747">
        <v>1</v>
      </c>
      <c r="E1747" t="s">
        <v>1715</v>
      </c>
    </row>
    <row r="1748" spans="1:5">
      <c r="A1748">
        <f>HYPERLINK("http://www.twitter.com/NYCHA/status/746000737407221760", "746000737407221760")</f>
        <v>0</v>
      </c>
      <c r="B1748" s="2">
        <v>42544.6413194444</v>
      </c>
      <c r="C1748">
        <v>0</v>
      </c>
      <c r="D1748">
        <v>0</v>
      </c>
      <c r="E1748" t="s">
        <v>1716</v>
      </c>
    </row>
    <row r="1749" spans="1:5">
      <c r="A1749">
        <f>HYPERLINK("http://www.twitter.com/NYCHA/status/745998564241842176", "745998564241842176")</f>
        <v>0</v>
      </c>
      <c r="B1749" s="2">
        <v>42544.6353240741</v>
      </c>
      <c r="C1749">
        <v>0</v>
      </c>
      <c r="D1749">
        <v>4</v>
      </c>
      <c r="E1749" t="s">
        <v>1717</v>
      </c>
    </row>
    <row r="1750" spans="1:5">
      <c r="A1750">
        <f>HYPERLINK("http://www.twitter.com/NYCHA/status/745994296831115264", "745994296831115264")</f>
        <v>0</v>
      </c>
      <c r="B1750" s="2">
        <v>42544.6235416667</v>
      </c>
      <c r="C1750">
        <v>1</v>
      </c>
      <c r="D1750">
        <v>0</v>
      </c>
      <c r="E1750" t="s">
        <v>1718</v>
      </c>
    </row>
    <row r="1751" spans="1:5">
      <c r="A1751">
        <f>HYPERLINK("http://www.twitter.com/NYCHA/status/745994175808684032", "745994175808684032")</f>
        <v>0</v>
      </c>
      <c r="B1751" s="2">
        <v>42544.6232175926</v>
      </c>
      <c r="C1751">
        <v>1</v>
      </c>
      <c r="D1751">
        <v>1</v>
      </c>
      <c r="E1751" t="s">
        <v>1719</v>
      </c>
    </row>
    <row r="1752" spans="1:5">
      <c r="A1752">
        <f>HYPERLINK("http://www.twitter.com/NYCHA/status/745994130870931456", "745994130870931456")</f>
        <v>0</v>
      </c>
      <c r="B1752" s="2">
        <v>42544.6230902778</v>
      </c>
      <c r="C1752">
        <v>4</v>
      </c>
      <c r="D1752">
        <v>3</v>
      </c>
      <c r="E1752" t="s">
        <v>1720</v>
      </c>
    </row>
    <row r="1753" spans="1:5">
      <c r="A1753">
        <f>HYPERLINK("http://www.twitter.com/NYCHA/status/745993340634685442", "745993340634685442")</f>
        <v>0</v>
      </c>
      <c r="B1753" s="2">
        <v>42544.6209027778</v>
      </c>
      <c r="C1753">
        <v>5</v>
      </c>
      <c r="D1753">
        <v>1</v>
      </c>
      <c r="E1753" t="s">
        <v>1721</v>
      </c>
    </row>
    <row r="1754" spans="1:5">
      <c r="A1754">
        <f>HYPERLINK("http://www.twitter.com/NYCHA/status/745989647139020800", "745989647139020800")</f>
        <v>0</v>
      </c>
      <c r="B1754" s="2">
        <v>42544.6107175926</v>
      </c>
      <c r="C1754">
        <v>0</v>
      </c>
      <c r="D1754">
        <v>0</v>
      </c>
      <c r="E1754" t="s">
        <v>1722</v>
      </c>
    </row>
    <row r="1755" spans="1:5">
      <c r="A1755">
        <f>HYPERLINK("http://www.twitter.com/NYCHA/status/745989002113785857", "745989002113785857")</f>
        <v>0</v>
      </c>
      <c r="B1755" s="2">
        <v>42544.6089351852</v>
      </c>
      <c r="C1755">
        <v>0</v>
      </c>
      <c r="D1755">
        <v>2</v>
      </c>
      <c r="E1755" t="s">
        <v>623</v>
      </c>
    </row>
    <row r="1756" spans="1:5">
      <c r="A1756">
        <f>HYPERLINK("http://www.twitter.com/NYCHA/status/745987604710031360", "745987604710031360")</f>
        <v>0</v>
      </c>
      <c r="B1756" s="2">
        <v>42544.6050810185</v>
      </c>
      <c r="C1756">
        <v>1</v>
      </c>
      <c r="D1756">
        <v>0</v>
      </c>
      <c r="E1756" t="s">
        <v>1723</v>
      </c>
    </row>
    <row r="1757" spans="1:5">
      <c r="A1757">
        <f>HYPERLINK("http://www.twitter.com/NYCHA/status/745985992927100928", "745985992927100928")</f>
        <v>0</v>
      </c>
      <c r="B1757" s="2">
        <v>42544.6006365741</v>
      </c>
      <c r="C1757">
        <v>0</v>
      </c>
      <c r="D1757">
        <v>3</v>
      </c>
      <c r="E1757" t="s">
        <v>1724</v>
      </c>
    </row>
    <row r="1758" spans="1:5">
      <c r="A1758">
        <f>HYPERLINK("http://www.twitter.com/NYCHA/status/745980284835926016", "745980284835926016")</f>
        <v>0</v>
      </c>
      <c r="B1758" s="2">
        <v>42544.5848842593</v>
      </c>
      <c r="C1758">
        <v>1</v>
      </c>
      <c r="D1758">
        <v>2</v>
      </c>
      <c r="E1758" t="s">
        <v>1725</v>
      </c>
    </row>
    <row r="1759" spans="1:5">
      <c r="A1759">
        <f>HYPERLINK("http://www.twitter.com/NYCHA/status/745976296140869632", "745976296140869632")</f>
        <v>0</v>
      </c>
      <c r="B1759" s="2">
        <v>42544.5738773148</v>
      </c>
      <c r="C1759">
        <v>0</v>
      </c>
      <c r="D1759">
        <v>5</v>
      </c>
      <c r="E1759" t="s">
        <v>1726</v>
      </c>
    </row>
    <row r="1760" spans="1:5">
      <c r="A1760">
        <f>HYPERLINK("http://www.twitter.com/NYCHA/status/745976288188432385", "745976288188432385")</f>
        <v>0</v>
      </c>
      <c r="B1760" s="2">
        <v>42544.5738541667</v>
      </c>
      <c r="C1760">
        <v>0</v>
      </c>
      <c r="D1760">
        <v>1</v>
      </c>
      <c r="E1760" t="s">
        <v>1727</v>
      </c>
    </row>
    <row r="1761" spans="1:5">
      <c r="A1761">
        <f>HYPERLINK("http://www.twitter.com/NYCHA/status/745966048793468928", "745966048793468928")</f>
        <v>0</v>
      </c>
      <c r="B1761" s="2">
        <v>42544.5456018519</v>
      </c>
      <c r="C1761">
        <v>0</v>
      </c>
      <c r="D1761">
        <v>0</v>
      </c>
      <c r="E1761" t="s">
        <v>1728</v>
      </c>
    </row>
    <row r="1762" spans="1:5">
      <c r="A1762">
        <f>HYPERLINK("http://www.twitter.com/NYCHA/status/745965367504281600", "745965367504281600")</f>
        <v>0</v>
      </c>
      <c r="B1762" s="2">
        <v>42544.5437152778</v>
      </c>
      <c r="C1762">
        <v>0</v>
      </c>
      <c r="D1762">
        <v>0</v>
      </c>
      <c r="E1762" t="s">
        <v>1729</v>
      </c>
    </row>
    <row r="1763" spans="1:5">
      <c r="A1763">
        <f>HYPERLINK("http://www.twitter.com/NYCHA/status/745723473595633670", "745723473595633670")</f>
        <v>0</v>
      </c>
      <c r="B1763" s="2">
        <v>42543.8762152778</v>
      </c>
      <c r="C1763">
        <v>3</v>
      </c>
      <c r="D1763">
        <v>1</v>
      </c>
      <c r="E1763" t="s">
        <v>1659</v>
      </c>
    </row>
    <row r="1764" spans="1:5">
      <c r="A1764">
        <f>HYPERLINK("http://www.twitter.com/NYCHA/status/745718062389796864", "745718062389796864")</f>
        <v>0</v>
      </c>
      <c r="B1764" s="2">
        <v>42543.8612847222</v>
      </c>
      <c r="C1764">
        <v>0</v>
      </c>
      <c r="D1764">
        <v>3</v>
      </c>
      <c r="E1764" t="s">
        <v>1730</v>
      </c>
    </row>
    <row r="1765" spans="1:5">
      <c r="A1765">
        <f>HYPERLINK("http://www.twitter.com/NYCHA/status/745708889522454528", "745708889522454528")</f>
        <v>0</v>
      </c>
      <c r="B1765" s="2">
        <v>42543.8359722222</v>
      </c>
      <c r="C1765">
        <v>2</v>
      </c>
      <c r="D1765">
        <v>15</v>
      </c>
      <c r="E1765" t="s">
        <v>1731</v>
      </c>
    </row>
    <row r="1766" spans="1:5">
      <c r="A1766">
        <f>HYPERLINK("http://www.twitter.com/NYCHA/status/745707025640861697", "745707025640861697")</f>
        <v>0</v>
      </c>
      <c r="B1766" s="2">
        <v>42543.8308333333</v>
      </c>
      <c r="C1766">
        <v>0</v>
      </c>
      <c r="D1766">
        <v>5</v>
      </c>
      <c r="E1766" t="s">
        <v>1732</v>
      </c>
    </row>
    <row r="1767" spans="1:5">
      <c r="A1767">
        <f>HYPERLINK("http://www.twitter.com/NYCHA/status/745663938763821056", "745663938763821056")</f>
        <v>0</v>
      </c>
      <c r="B1767" s="2">
        <v>42543.7119328704</v>
      </c>
      <c r="C1767">
        <v>0</v>
      </c>
      <c r="D1767">
        <v>0</v>
      </c>
      <c r="E1767" t="s">
        <v>1733</v>
      </c>
    </row>
    <row r="1768" spans="1:5">
      <c r="A1768">
        <f>HYPERLINK("http://www.twitter.com/NYCHA/status/745649802692689920", "745649802692689920")</f>
        <v>0</v>
      </c>
      <c r="B1768" s="2">
        <v>42543.6729282407</v>
      </c>
      <c r="C1768">
        <v>2</v>
      </c>
      <c r="D1768">
        <v>0</v>
      </c>
      <c r="E1768" t="s">
        <v>1734</v>
      </c>
    </row>
    <row r="1769" spans="1:5">
      <c r="A1769">
        <f>HYPERLINK("http://www.twitter.com/NYCHA/status/745640310995357696", "745640310995357696")</f>
        <v>0</v>
      </c>
      <c r="B1769" s="2">
        <v>42543.6467361111</v>
      </c>
      <c r="C1769">
        <v>0</v>
      </c>
      <c r="D1769">
        <v>0</v>
      </c>
      <c r="E1769" t="s">
        <v>1735</v>
      </c>
    </row>
    <row r="1770" spans="1:5">
      <c r="A1770">
        <f>HYPERLINK("http://www.twitter.com/NYCHA/status/745640107957436416", "745640107957436416")</f>
        <v>0</v>
      </c>
      <c r="B1770" s="2">
        <v>42543.6461689815</v>
      </c>
      <c r="C1770">
        <v>2</v>
      </c>
      <c r="D1770">
        <v>0</v>
      </c>
      <c r="E1770" t="s">
        <v>1736</v>
      </c>
    </row>
    <row r="1771" spans="1:5">
      <c r="A1771">
        <f>HYPERLINK("http://www.twitter.com/NYCHA/status/745637138318888961", "745637138318888961")</f>
        <v>0</v>
      </c>
      <c r="B1771" s="2">
        <v>42543.637974537</v>
      </c>
      <c r="C1771">
        <v>0</v>
      </c>
      <c r="D1771">
        <v>1</v>
      </c>
      <c r="E1771" t="s">
        <v>1737</v>
      </c>
    </row>
    <row r="1772" spans="1:5">
      <c r="A1772">
        <f>HYPERLINK("http://www.twitter.com/NYCHA/status/745621346575585284", "745621346575585284")</f>
        <v>0</v>
      </c>
      <c r="B1772" s="2">
        <v>42543.5943981481</v>
      </c>
      <c r="C1772">
        <v>0</v>
      </c>
      <c r="D1772">
        <v>1</v>
      </c>
      <c r="E1772" t="s">
        <v>1738</v>
      </c>
    </row>
    <row r="1773" spans="1:5">
      <c r="A1773">
        <f>HYPERLINK("http://www.twitter.com/NYCHA/status/745620821129986048", "745620821129986048")</f>
        <v>0</v>
      </c>
      <c r="B1773" s="2">
        <v>42543.5929513889</v>
      </c>
      <c r="C1773">
        <v>0</v>
      </c>
      <c r="D1773">
        <v>2</v>
      </c>
      <c r="E1773" t="s">
        <v>1739</v>
      </c>
    </row>
    <row r="1774" spans="1:5">
      <c r="A1774">
        <f>HYPERLINK("http://www.twitter.com/NYCHA/status/745618835504513024", "745618835504513024")</f>
        <v>0</v>
      </c>
      <c r="B1774" s="2">
        <v>42543.5874652778</v>
      </c>
      <c r="C1774">
        <v>0</v>
      </c>
      <c r="D1774">
        <v>1</v>
      </c>
      <c r="E1774" t="s">
        <v>1740</v>
      </c>
    </row>
    <row r="1775" spans="1:5">
      <c r="A1775">
        <f>HYPERLINK("http://www.twitter.com/NYCHA/status/745618730235858944", "745618730235858944")</f>
        <v>0</v>
      </c>
      <c r="B1775" s="2">
        <v>42543.5871759259</v>
      </c>
      <c r="C1775">
        <v>0</v>
      </c>
      <c r="D1775">
        <v>1</v>
      </c>
      <c r="E1775" t="s">
        <v>1741</v>
      </c>
    </row>
    <row r="1776" spans="1:5">
      <c r="A1776">
        <f>HYPERLINK("http://www.twitter.com/NYCHA/status/745618689945382912", "745618689945382912")</f>
        <v>0</v>
      </c>
      <c r="B1776" s="2">
        <v>42543.5870717593</v>
      </c>
      <c r="C1776">
        <v>0</v>
      </c>
      <c r="D1776">
        <v>1</v>
      </c>
      <c r="E1776" t="s">
        <v>1742</v>
      </c>
    </row>
    <row r="1777" spans="1:5">
      <c r="A1777">
        <f>HYPERLINK("http://www.twitter.com/NYCHA/status/745603662890819584", "745603662890819584")</f>
        <v>0</v>
      </c>
      <c r="B1777" s="2">
        <v>42543.5456018519</v>
      </c>
      <c r="C1777">
        <v>0</v>
      </c>
      <c r="D1777">
        <v>0</v>
      </c>
      <c r="E1777" t="s">
        <v>1743</v>
      </c>
    </row>
    <row r="1778" spans="1:5">
      <c r="A1778">
        <f>HYPERLINK("http://www.twitter.com/NYCHA/status/745602943878111232", "745602943878111232")</f>
        <v>0</v>
      </c>
      <c r="B1778" s="2">
        <v>42543.5436226852</v>
      </c>
      <c r="C1778">
        <v>0</v>
      </c>
      <c r="D1778">
        <v>0</v>
      </c>
      <c r="E1778" t="s">
        <v>1744</v>
      </c>
    </row>
    <row r="1779" spans="1:5">
      <c r="A1779">
        <f>HYPERLINK("http://www.twitter.com/NYCHA/status/745358204503228416", "745358204503228416")</f>
        <v>0</v>
      </c>
      <c r="B1779" s="2">
        <v>42542.8682638889</v>
      </c>
      <c r="C1779">
        <v>0</v>
      </c>
      <c r="D1779">
        <v>1</v>
      </c>
      <c r="E1779" t="s">
        <v>1745</v>
      </c>
    </row>
    <row r="1780" spans="1:5">
      <c r="A1780">
        <f>HYPERLINK("http://www.twitter.com/NYCHA/status/745354807804825604", "745354807804825604")</f>
        <v>0</v>
      </c>
      <c r="B1780" s="2">
        <v>42542.8588888889</v>
      </c>
      <c r="C1780">
        <v>0</v>
      </c>
      <c r="D1780">
        <v>11</v>
      </c>
      <c r="E1780" t="s">
        <v>1746</v>
      </c>
    </row>
    <row r="1781" spans="1:5">
      <c r="A1781">
        <f>HYPERLINK("http://www.twitter.com/NYCHA/status/745347115837231104", "745347115837231104")</f>
        <v>0</v>
      </c>
      <c r="B1781" s="2">
        <v>42542.837662037</v>
      </c>
      <c r="C1781">
        <v>0</v>
      </c>
      <c r="D1781">
        <v>4</v>
      </c>
      <c r="E1781" t="s">
        <v>1747</v>
      </c>
    </row>
    <row r="1782" spans="1:5">
      <c r="A1782">
        <f>HYPERLINK("http://www.twitter.com/NYCHA/status/745336412996837376", "745336412996837376")</f>
        <v>0</v>
      </c>
      <c r="B1782" s="2">
        <v>42542.8081365741</v>
      </c>
      <c r="C1782">
        <v>0</v>
      </c>
      <c r="D1782">
        <v>2</v>
      </c>
      <c r="E1782" t="s">
        <v>1748</v>
      </c>
    </row>
    <row r="1783" spans="1:5">
      <c r="A1783">
        <f>HYPERLINK("http://www.twitter.com/NYCHA/status/745330150506643456", "745330150506643456")</f>
        <v>0</v>
      </c>
      <c r="B1783" s="2">
        <v>42542.7908564815</v>
      </c>
      <c r="C1783">
        <v>0</v>
      </c>
      <c r="D1783">
        <v>3</v>
      </c>
      <c r="E1783" t="s">
        <v>1749</v>
      </c>
    </row>
    <row r="1784" spans="1:5">
      <c r="A1784">
        <f>HYPERLINK("http://www.twitter.com/NYCHA/status/745315975046651905", "745315975046651905")</f>
        <v>0</v>
      </c>
      <c r="B1784" s="2">
        <v>42542.7517361111</v>
      </c>
      <c r="C1784">
        <v>2</v>
      </c>
      <c r="D1784">
        <v>1</v>
      </c>
      <c r="E1784" t="s">
        <v>1750</v>
      </c>
    </row>
    <row r="1785" spans="1:5">
      <c r="A1785">
        <f>HYPERLINK("http://www.twitter.com/NYCHA/status/745309990055985152", "745309990055985152")</f>
        <v>0</v>
      </c>
      <c r="B1785" s="2">
        <v>42542.7352199074</v>
      </c>
      <c r="C1785">
        <v>0</v>
      </c>
      <c r="D1785">
        <v>1</v>
      </c>
      <c r="E1785" t="s">
        <v>1751</v>
      </c>
    </row>
    <row r="1786" spans="1:5">
      <c r="A1786">
        <f>HYPERLINK("http://www.twitter.com/NYCHA/status/745300461280952320", "745300461280952320")</f>
        <v>0</v>
      </c>
      <c r="B1786" s="2">
        <v>42542.7089236111</v>
      </c>
      <c r="C1786">
        <v>0</v>
      </c>
      <c r="D1786">
        <v>2</v>
      </c>
      <c r="E1786" t="s">
        <v>1752</v>
      </c>
    </row>
    <row r="1787" spans="1:5">
      <c r="A1787">
        <f>HYPERLINK("http://www.twitter.com/NYCHA/status/745281115531976704", "745281115531976704")</f>
        <v>0</v>
      </c>
      <c r="B1787" s="2">
        <v>42542.6555439815</v>
      </c>
      <c r="C1787">
        <v>4</v>
      </c>
      <c r="D1787">
        <v>2</v>
      </c>
      <c r="E1787" t="s">
        <v>1753</v>
      </c>
    </row>
    <row r="1788" spans="1:5">
      <c r="A1788">
        <f>HYPERLINK("http://www.twitter.com/NYCHA/status/745277959444004864", "745277959444004864")</f>
        <v>0</v>
      </c>
      <c r="B1788" s="2">
        <v>42542.6468287037</v>
      </c>
      <c r="C1788">
        <v>1</v>
      </c>
      <c r="D1788">
        <v>1</v>
      </c>
      <c r="E1788" t="s">
        <v>1754</v>
      </c>
    </row>
    <row r="1789" spans="1:5">
      <c r="A1789">
        <f>HYPERLINK("http://www.twitter.com/NYCHA/status/745264978765176832", "745264978765176832")</f>
        <v>0</v>
      </c>
      <c r="B1789" s="2">
        <v>42542.6110069444</v>
      </c>
      <c r="C1789">
        <v>0</v>
      </c>
      <c r="D1789">
        <v>1</v>
      </c>
      <c r="E1789" t="s">
        <v>1755</v>
      </c>
    </row>
    <row r="1790" spans="1:5">
      <c r="A1790">
        <f>HYPERLINK("http://www.twitter.com/NYCHA/status/745263811947560960", "745263811947560960")</f>
        <v>0</v>
      </c>
      <c r="B1790" s="2">
        <v>42542.6077893519</v>
      </c>
      <c r="C1790">
        <v>1</v>
      </c>
      <c r="D1790">
        <v>1</v>
      </c>
      <c r="E1790" t="s">
        <v>1756</v>
      </c>
    </row>
    <row r="1791" spans="1:5">
      <c r="A1791">
        <f>HYPERLINK("http://www.twitter.com/NYCHA/status/745262521838362625", "745262521838362625")</f>
        <v>0</v>
      </c>
      <c r="B1791" s="2">
        <v>42542.6042361111</v>
      </c>
      <c r="C1791">
        <v>0</v>
      </c>
      <c r="D1791">
        <v>3</v>
      </c>
      <c r="E1791" t="s">
        <v>1757</v>
      </c>
    </row>
    <row r="1792" spans="1:5">
      <c r="A1792">
        <f>HYPERLINK("http://www.twitter.com/NYCHA/status/745256810194567168", "745256810194567168")</f>
        <v>0</v>
      </c>
      <c r="B1792" s="2">
        <v>42542.5884722222</v>
      </c>
      <c r="C1792">
        <v>1</v>
      </c>
      <c r="D1792">
        <v>1</v>
      </c>
      <c r="E1792" t="s">
        <v>1758</v>
      </c>
    </row>
    <row r="1793" spans="1:5">
      <c r="A1793">
        <f>HYPERLINK("http://www.twitter.com/NYCHA/status/745241276619038720", "745241276619038720")</f>
        <v>0</v>
      </c>
      <c r="B1793" s="2">
        <v>42542.5456018519</v>
      </c>
      <c r="C1793">
        <v>0</v>
      </c>
      <c r="D1793">
        <v>0</v>
      </c>
      <c r="E1793" t="s">
        <v>1759</v>
      </c>
    </row>
    <row r="1794" spans="1:5">
      <c r="A1794">
        <f>HYPERLINK("http://www.twitter.com/NYCHA/status/745240538572554240", "745240538572554240")</f>
        <v>0</v>
      </c>
      <c r="B1794" s="2">
        <v>42542.5435648148</v>
      </c>
      <c r="C1794">
        <v>0</v>
      </c>
      <c r="D1794">
        <v>0</v>
      </c>
      <c r="E1794" t="s">
        <v>1760</v>
      </c>
    </row>
    <row r="1795" spans="1:5">
      <c r="A1795">
        <f>HYPERLINK("http://www.twitter.com/NYCHA/status/744984606705860608", "744984606705860608")</f>
        <v>0</v>
      </c>
      <c r="B1795" s="2">
        <v>42541.837337963</v>
      </c>
      <c r="C1795">
        <v>0</v>
      </c>
      <c r="D1795">
        <v>4</v>
      </c>
      <c r="E1795" t="s">
        <v>1761</v>
      </c>
    </row>
    <row r="1796" spans="1:5">
      <c r="A1796">
        <f>HYPERLINK("http://www.twitter.com/NYCHA/status/744965359803969536", "744965359803969536")</f>
        <v>0</v>
      </c>
      <c r="B1796" s="2">
        <v>42541.784224537</v>
      </c>
      <c r="C1796">
        <v>0</v>
      </c>
      <c r="D1796">
        <v>44</v>
      </c>
      <c r="E1796" t="s">
        <v>1762</v>
      </c>
    </row>
    <row r="1797" spans="1:5">
      <c r="A1797">
        <f>HYPERLINK("http://www.twitter.com/NYCHA/status/744964382271102976", "744964382271102976")</f>
        <v>0</v>
      </c>
      <c r="B1797" s="2">
        <v>42541.7815277778</v>
      </c>
      <c r="C1797">
        <v>0</v>
      </c>
      <c r="D1797">
        <v>1</v>
      </c>
      <c r="E1797" t="s">
        <v>1763</v>
      </c>
    </row>
    <row r="1798" spans="1:5">
      <c r="A1798">
        <f>HYPERLINK("http://www.twitter.com/NYCHA/status/744961008003735554", "744961008003735554")</f>
        <v>0</v>
      </c>
      <c r="B1798" s="2">
        <v>42541.7722106481</v>
      </c>
      <c r="C1798">
        <v>0</v>
      </c>
      <c r="D1798">
        <v>4</v>
      </c>
      <c r="E1798" t="s">
        <v>891</v>
      </c>
    </row>
    <row r="1799" spans="1:5">
      <c r="A1799">
        <f>HYPERLINK("http://www.twitter.com/NYCHA/status/744960803120549892", "744960803120549892")</f>
        <v>0</v>
      </c>
      <c r="B1799" s="2">
        <v>42541.7716435185</v>
      </c>
      <c r="C1799">
        <v>0</v>
      </c>
      <c r="D1799">
        <v>1</v>
      </c>
      <c r="E1799" t="s">
        <v>1636</v>
      </c>
    </row>
    <row r="1800" spans="1:5">
      <c r="A1800">
        <f>HYPERLINK("http://www.twitter.com/NYCHA/status/744953619682836481", "744953619682836481")</f>
        <v>0</v>
      </c>
      <c r="B1800" s="2">
        <v>42541.7518287037</v>
      </c>
      <c r="C1800">
        <v>2</v>
      </c>
      <c r="D1800">
        <v>4</v>
      </c>
      <c r="E1800" t="s">
        <v>1764</v>
      </c>
    </row>
    <row r="1801" spans="1:5">
      <c r="A1801">
        <f>HYPERLINK("http://www.twitter.com/NYCHA/status/744897149796749312", "744897149796749312")</f>
        <v>0</v>
      </c>
      <c r="B1801" s="2">
        <v>42541.5959953704</v>
      </c>
      <c r="C1801">
        <v>0</v>
      </c>
      <c r="D1801">
        <v>0</v>
      </c>
      <c r="E1801" t="s">
        <v>1765</v>
      </c>
    </row>
    <row r="1802" spans="1:5">
      <c r="A1802">
        <f>HYPERLINK("http://www.twitter.com/NYCHA/status/744887711228624896", "744887711228624896")</f>
        <v>0</v>
      </c>
      <c r="B1802" s="2">
        <v>42541.5699537037</v>
      </c>
      <c r="C1802">
        <v>0</v>
      </c>
      <c r="D1802">
        <v>18</v>
      </c>
      <c r="E1802" t="s">
        <v>1766</v>
      </c>
    </row>
    <row r="1803" spans="1:5">
      <c r="A1803">
        <f>HYPERLINK("http://www.twitter.com/NYCHA/status/744887507167252480", "744887507167252480")</f>
        <v>0</v>
      </c>
      <c r="B1803" s="2">
        <v>42541.5693865741</v>
      </c>
      <c r="C1803">
        <v>0</v>
      </c>
      <c r="D1803">
        <v>1</v>
      </c>
      <c r="E1803" t="s">
        <v>1767</v>
      </c>
    </row>
    <row r="1804" spans="1:5">
      <c r="A1804">
        <f>HYPERLINK("http://www.twitter.com/NYCHA/status/744887291823423488", "744887291823423488")</f>
        <v>0</v>
      </c>
      <c r="B1804" s="2">
        <v>42541.5687962963</v>
      </c>
      <c r="C1804">
        <v>0</v>
      </c>
      <c r="D1804">
        <v>2</v>
      </c>
      <c r="E1804" t="s">
        <v>1768</v>
      </c>
    </row>
    <row r="1805" spans="1:5">
      <c r="A1805">
        <f>HYPERLINK("http://www.twitter.com/NYCHA/status/744530601001295872", "744530601001295872")</f>
        <v>0</v>
      </c>
      <c r="B1805" s="2">
        <v>42540.5845138889</v>
      </c>
      <c r="C1805">
        <v>0</v>
      </c>
      <c r="D1805">
        <v>2</v>
      </c>
      <c r="E1805" t="s">
        <v>1769</v>
      </c>
    </row>
    <row r="1806" spans="1:5">
      <c r="A1806">
        <f>HYPERLINK("http://www.twitter.com/NYCHA/status/744168164758593536", "744168164758593536")</f>
        <v>0</v>
      </c>
      <c r="B1806" s="2">
        <v>42539.5843865741</v>
      </c>
      <c r="C1806">
        <v>3</v>
      </c>
      <c r="D1806">
        <v>3</v>
      </c>
      <c r="E1806" t="s">
        <v>1770</v>
      </c>
    </row>
    <row r="1807" spans="1:5">
      <c r="A1807">
        <f>HYPERLINK("http://www.twitter.com/NYCHA/status/743945439137914880", "743945439137914880")</f>
        <v>0</v>
      </c>
      <c r="B1807" s="2">
        <v>42538.9697800926</v>
      </c>
      <c r="C1807">
        <v>0</v>
      </c>
      <c r="D1807">
        <v>0</v>
      </c>
      <c r="E1807" t="s">
        <v>1771</v>
      </c>
    </row>
    <row r="1808" spans="1:5">
      <c r="A1808">
        <f>HYPERLINK("http://www.twitter.com/NYCHA/status/743915822435926016", "743915822435926016")</f>
        <v>0</v>
      </c>
      <c r="B1808" s="2">
        <v>42538.8880555556</v>
      </c>
      <c r="C1808">
        <v>0</v>
      </c>
      <c r="D1808">
        <v>8</v>
      </c>
      <c r="E1808" t="s">
        <v>1772</v>
      </c>
    </row>
    <row r="1809" spans="1:5">
      <c r="A1809">
        <f>HYPERLINK("http://www.twitter.com/NYCHA/status/743897861964861441", "743897861964861441")</f>
        <v>0</v>
      </c>
      <c r="B1809" s="2">
        <v>42538.8384837963</v>
      </c>
      <c r="C1809">
        <v>0</v>
      </c>
      <c r="D1809">
        <v>3</v>
      </c>
      <c r="E1809" t="s">
        <v>1773</v>
      </c>
    </row>
    <row r="1810" spans="1:5">
      <c r="A1810">
        <f>HYPERLINK("http://www.twitter.com/NYCHA/status/743894301210451968", "743894301210451968")</f>
        <v>0</v>
      </c>
      <c r="B1810" s="2">
        <v>42538.8286574074</v>
      </c>
      <c r="C1810">
        <v>0</v>
      </c>
      <c r="D1810">
        <v>1</v>
      </c>
      <c r="E1810" t="s">
        <v>1768</v>
      </c>
    </row>
    <row r="1811" spans="1:5">
      <c r="A1811">
        <f>HYPERLINK("http://www.twitter.com/NYCHA/status/743869678192312320", "743869678192312320")</f>
        <v>0</v>
      </c>
      <c r="B1811" s="2">
        <v>42538.7607175926</v>
      </c>
      <c r="C1811">
        <v>2</v>
      </c>
      <c r="D1811">
        <v>2</v>
      </c>
      <c r="E1811" t="s">
        <v>1595</v>
      </c>
    </row>
    <row r="1812" spans="1:5">
      <c r="A1812">
        <f>HYPERLINK("http://www.twitter.com/NYCHA/status/743832079557869568", "743832079557869568")</f>
        <v>0</v>
      </c>
      <c r="B1812" s="2">
        <v>42538.6569675926</v>
      </c>
      <c r="C1812">
        <v>0</v>
      </c>
      <c r="D1812">
        <v>2</v>
      </c>
      <c r="E1812" t="s">
        <v>1774</v>
      </c>
    </row>
    <row r="1813" spans="1:5">
      <c r="A1813">
        <f>HYPERLINK("http://www.twitter.com/NYCHA/status/743830694632230914", "743830694632230914")</f>
        <v>0</v>
      </c>
      <c r="B1813" s="2">
        <v>42538.6531365741</v>
      </c>
      <c r="C1813">
        <v>1</v>
      </c>
      <c r="D1813">
        <v>0</v>
      </c>
      <c r="E1813" t="s">
        <v>1775</v>
      </c>
    </row>
    <row r="1814" spans="1:5">
      <c r="A1814">
        <f>HYPERLINK("http://www.twitter.com/NYCHA/status/743827861136629760", "743827861136629760")</f>
        <v>0</v>
      </c>
      <c r="B1814" s="2">
        <v>42538.6453240741</v>
      </c>
      <c r="C1814">
        <v>0</v>
      </c>
      <c r="D1814">
        <v>1</v>
      </c>
      <c r="E1814" t="s">
        <v>1776</v>
      </c>
    </row>
    <row r="1815" spans="1:5">
      <c r="A1815">
        <f>HYPERLINK("http://www.twitter.com/NYCHA/status/743827820581896192", "743827820581896192")</f>
        <v>0</v>
      </c>
      <c r="B1815" s="2">
        <v>42538.6452083333</v>
      </c>
      <c r="C1815">
        <v>0</v>
      </c>
      <c r="D1815">
        <v>3</v>
      </c>
      <c r="E1815" t="s">
        <v>1777</v>
      </c>
    </row>
    <row r="1816" spans="1:5">
      <c r="A1816">
        <f>HYPERLINK("http://www.twitter.com/NYCHA/status/743827739732475904", "743827739732475904")</f>
        <v>0</v>
      </c>
      <c r="B1816" s="2">
        <v>42538.6449884259</v>
      </c>
      <c r="C1816">
        <v>0</v>
      </c>
      <c r="D1816">
        <v>2</v>
      </c>
      <c r="E1816" t="s">
        <v>1778</v>
      </c>
    </row>
    <row r="1817" spans="1:5">
      <c r="A1817">
        <f>HYPERLINK("http://www.twitter.com/NYCHA/status/743820625228210177", "743820625228210177")</f>
        <v>0</v>
      </c>
      <c r="B1817" s="2">
        <v>42538.6253587963</v>
      </c>
      <c r="C1817">
        <v>0</v>
      </c>
      <c r="D1817">
        <v>0</v>
      </c>
      <c r="E1817" t="s">
        <v>1779</v>
      </c>
    </row>
    <row r="1818" spans="1:5">
      <c r="A1818">
        <f>HYPERLINK("http://www.twitter.com/NYCHA/status/743817701697667072", "743817701697667072")</f>
        <v>0</v>
      </c>
      <c r="B1818" s="2">
        <v>42538.6172916667</v>
      </c>
      <c r="C1818">
        <v>0</v>
      </c>
      <c r="D1818">
        <v>1</v>
      </c>
      <c r="E1818" t="s">
        <v>1780</v>
      </c>
    </row>
    <row r="1819" spans="1:5">
      <c r="A1819">
        <f>HYPERLINK("http://www.twitter.com/NYCHA/status/743556266631512064", "743556266631512064")</f>
        <v>0</v>
      </c>
      <c r="B1819" s="2">
        <v>42537.8958680556</v>
      </c>
      <c r="C1819">
        <v>0</v>
      </c>
      <c r="D1819">
        <v>3</v>
      </c>
      <c r="E1819" t="s">
        <v>1781</v>
      </c>
    </row>
    <row r="1820" spans="1:5">
      <c r="A1820">
        <f>HYPERLINK("http://www.twitter.com/NYCHA/status/743551788356374528", "743551788356374528")</f>
        <v>0</v>
      </c>
      <c r="B1820" s="2">
        <v>42537.8835069444</v>
      </c>
      <c r="C1820">
        <v>1</v>
      </c>
      <c r="D1820">
        <v>0</v>
      </c>
      <c r="E1820" t="s">
        <v>1782</v>
      </c>
    </row>
    <row r="1821" spans="1:5">
      <c r="A1821">
        <f>HYPERLINK("http://www.twitter.com/NYCHA/status/743551239359696896", "743551239359696896")</f>
        <v>0</v>
      </c>
      <c r="B1821" s="2">
        <v>42537.8819907407</v>
      </c>
      <c r="C1821">
        <v>0</v>
      </c>
      <c r="D1821">
        <v>1</v>
      </c>
      <c r="E1821" t="s">
        <v>1783</v>
      </c>
    </row>
    <row r="1822" spans="1:5">
      <c r="A1822">
        <f>HYPERLINK("http://www.twitter.com/NYCHA/status/743520008744075264", "743520008744075264")</f>
        <v>0</v>
      </c>
      <c r="B1822" s="2">
        <v>42537.7958101852</v>
      </c>
      <c r="C1822">
        <v>0</v>
      </c>
      <c r="D1822">
        <v>1</v>
      </c>
      <c r="E1822" t="s">
        <v>1784</v>
      </c>
    </row>
    <row r="1823" spans="1:5">
      <c r="A1823">
        <f>HYPERLINK("http://www.twitter.com/NYCHA/status/743508486860976132", "743508486860976132")</f>
        <v>0</v>
      </c>
      <c r="B1823" s="2">
        <v>42537.7640162037</v>
      </c>
      <c r="C1823">
        <v>4</v>
      </c>
      <c r="D1823">
        <v>1</v>
      </c>
      <c r="E1823" t="s">
        <v>1664</v>
      </c>
    </row>
    <row r="1824" spans="1:5">
      <c r="A1824">
        <f>HYPERLINK("http://www.twitter.com/NYCHA/status/743489188226555904", "743489188226555904")</f>
        <v>0</v>
      </c>
      <c r="B1824" s="2">
        <v>42537.7107638889</v>
      </c>
      <c r="C1824">
        <v>0</v>
      </c>
      <c r="D1824">
        <v>7</v>
      </c>
      <c r="E1824" t="s">
        <v>1785</v>
      </c>
    </row>
    <row r="1825" spans="1:5">
      <c r="A1825">
        <f>HYPERLINK("http://www.twitter.com/NYCHA/status/743480870917513216", "743480870917513216")</f>
        <v>0</v>
      </c>
      <c r="B1825" s="2">
        <v>42537.6878125</v>
      </c>
      <c r="C1825">
        <v>0</v>
      </c>
      <c r="D1825">
        <v>4</v>
      </c>
      <c r="E1825" t="s">
        <v>1786</v>
      </c>
    </row>
    <row r="1826" spans="1:5">
      <c r="A1826">
        <f>HYPERLINK("http://www.twitter.com/NYCHA/status/743473388371460097", "743473388371460097")</f>
        <v>0</v>
      </c>
      <c r="B1826" s="2">
        <v>42537.6671643518</v>
      </c>
      <c r="C1826">
        <v>2</v>
      </c>
      <c r="D1826">
        <v>1</v>
      </c>
      <c r="E1826" t="s">
        <v>1787</v>
      </c>
    </row>
    <row r="1827" spans="1:5">
      <c r="A1827">
        <f>HYPERLINK("http://www.twitter.com/NYCHA/status/743465418954780674", "743465418954780674")</f>
        <v>0</v>
      </c>
      <c r="B1827" s="2">
        <v>42537.6451736111</v>
      </c>
      <c r="C1827">
        <v>0</v>
      </c>
      <c r="D1827">
        <v>3</v>
      </c>
      <c r="E1827" t="s">
        <v>1788</v>
      </c>
    </row>
    <row r="1828" spans="1:5">
      <c r="A1828">
        <f>HYPERLINK("http://www.twitter.com/NYCHA/status/743445221766270976", "743445221766270976")</f>
        <v>0</v>
      </c>
      <c r="B1828" s="2">
        <v>42537.5894444444</v>
      </c>
      <c r="C1828">
        <v>6</v>
      </c>
      <c r="D1828">
        <v>0</v>
      </c>
      <c r="E1828" t="s">
        <v>1789</v>
      </c>
    </row>
    <row r="1829" spans="1:5">
      <c r="A1829">
        <f>HYPERLINK("http://www.twitter.com/NYCHA/status/743172923104628736", "743172923104628736")</f>
        <v>0</v>
      </c>
      <c r="B1829" s="2">
        <v>42536.8380439815</v>
      </c>
      <c r="C1829">
        <v>0</v>
      </c>
      <c r="D1829">
        <v>13</v>
      </c>
      <c r="E1829" t="s">
        <v>1790</v>
      </c>
    </row>
    <row r="1830" spans="1:5">
      <c r="A1830">
        <f>HYPERLINK("http://www.twitter.com/NYCHA/status/743172782578597888", "743172782578597888")</f>
        <v>0</v>
      </c>
      <c r="B1830" s="2">
        <v>42536.837650463</v>
      </c>
      <c r="C1830">
        <v>0</v>
      </c>
      <c r="D1830">
        <v>4</v>
      </c>
      <c r="E1830" t="s">
        <v>1791</v>
      </c>
    </row>
    <row r="1831" spans="1:5">
      <c r="A1831">
        <f>HYPERLINK("http://www.twitter.com/NYCHA/status/743166910322348032", "743166910322348032")</f>
        <v>0</v>
      </c>
      <c r="B1831" s="2">
        <v>42536.8214467593</v>
      </c>
      <c r="C1831">
        <v>4</v>
      </c>
      <c r="D1831">
        <v>2</v>
      </c>
      <c r="E1831" t="s">
        <v>1792</v>
      </c>
    </row>
    <row r="1832" spans="1:5">
      <c r="A1832">
        <f>HYPERLINK("http://www.twitter.com/NYCHA/status/743142229838073856", "743142229838073856")</f>
        <v>0</v>
      </c>
      <c r="B1832" s="2">
        <v>42536.7533449074</v>
      </c>
      <c r="C1832">
        <v>0</v>
      </c>
      <c r="D1832">
        <v>3</v>
      </c>
      <c r="E1832" t="s">
        <v>1793</v>
      </c>
    </row>
    <row r="1833" spans="1:5">
      <c r="A1833">
        <f>HYPERLINK("http://www.twitter.com/NYCHA/status/743142129208279040", "743142129208279040")</f>
        <v>0</v>
      </c>
      <c r="B1833" s="2">
        <v>42536.7530671296</v>
      </c>
      <c r="C1833">
        <v>0</v>
      </c>
      <c r="D1833">
        <v>6</v>
      </c>
      <c r="E1833" t="s">
        <v>1794</v>
      </c>
    </row>
    <row r="1834" spans="1:5">
      <c r="A1834">
        <f>HYPERLINK("http://www.twitter.com/NYCHA/status/743132041466765313", "743132041466765313")</f>
        <v>0</v>
      </c>
      <c r="B1834" s="2">
        <v>42536.7252314815</v>
      </c>
      <c r="C1834">
        <v>0</v>
      </c>
      <c r="D1834">
        <v>2</v>
      </c>
      <c r="E1834" t="s">
        <v>1795</v>
      </c>
    </row>
    <row r="1835" spans="1:5">
      <c r="A1835">
        <f>HYPERLINK("http://www.twitter.com/NYCHA/status/743117502432063488", "743117502432063488")</f>
        <v>0</v>
      </c>
      <c r="B1835" s="2">
        <v>42536.6851041667</v>
      </c>
      <c r="C1835">
        <v>0</v>
      </c>
      <c r="D1835">
        <v>5</v>
      </c>
      <c r="E1835" t="s">
        <v>1796</v>
      </c>
    </row>
    <row r="1836" spans="1:5">
      <c r="A1836">
        <f>HYPERLINK("http://www.twitter.com/NYCHA/status/743117399143161856", "743117399143161856")</f>
        <v>0</v>
      </c>
      <c r="B1836" s="2">
        <v>42536.6848263889</v>
      </c>
      <c r="C1836">
        <v>0</v>
      </c>
      <c r="D1836">
        <v>3</v>
      </c>
      <c r="E1836" t="s">
        <v>1797</v>
      </c>
    </row>
    <row r="1837" spans="1:5">
      <c r="A1837">
        <f>HYPERLINK("http://www.twitter.com/NYCHA/status/743115718150004736", "743115718150004736")</f>
        <v>0</v>
      </c>
      <c r="B1837" s="2">
        <v>42536.6801851852</v>
      </c>
      <c r="C1837">
        <v>0</v>
      </c>
      <c r="D1837">
        <v>3</v>
      </c>
      <c r="E1837" t="s">
        <v>1798</v>
      </c>
    </row>
    <row r="1838" spans="1:5">
      <c r="A1838">
        <f>HYPERLINK("http://www.twitter.com/NYCHA/status/743115676987101184", "743115676987101184")</f>
        <v>0</v>
      </c>
      <c r="B1838" s="2">
        <v>42536.6800694444</v>
      </c>
      <c r="C1838">
        <v>0</v>
      </c>
      <c r="D1838">
        <v>5</v>
      </c>
      <c r="E1838" t="s">
        <v>1799</v>
      </c>
    </row>
    <row r="1839" spans="1:5">
      <c r="A1839">
        <f>HYPERLINK("http://www.twitter.com/NYCHA/status/743115333284835328", "743115333284835328")</f>
        <v>0</v>
      </c>
      <c r="B1839" s="2">
        <v>42536.6791203704</v>
      </c>
      <c r="C1839">
        <v>0</v>
      </c>
      <c r="D1839">
        <v>3</v>
      </c>
      <c r="E1839" t="s">
        <v>1800</v>
      </c>
    </row>
    <row r="1840" spans="1:5">
      <c r="A1840">
        <f>HYPERLINK("http://www.twitter.com/NYCHA/status/743111939765702656", "743111939765702656")</f>
        <v>0</v>
      </c>
      <c r="B1840" s="2">
        <v>42536.6697569444</v>
      </c>
      <c r="C1840">
        <v>0</v>
      </c>
      <c r="D1840">
        <v>12</v>
      </c>
      <c r="E1840" t="s">
        <v>1801</v>
      </c>
    </row>
    <row r="1841" spans="1:5">
      <c r="A1841">
        <f>HYPERLINK("http://www.twitter.com/NYCHA/status/743111675293880320", "743111675293880320")</f>
        <v>0</v>
      </c>
      <c r="B1841" s="2">
        <v>42536.6690277778</v>
      </c>
      <c r="C1841">
        <v>0</v>
      </c>
      <c r="D1841">
        <v>0</v>
      </c>
      <c r="E1841" t="s">
        <v>874</v>
      </c>
    </row>
    <row r="1842" spans="1:5">
      <c r="A1842">
        <f>HYPERLINK("http://www.twitter.com/NYCHA/status/743103643885424641", "743103643885424641")</f>
        <v>0</v>
      </c>
      <c r="B1842" s="2">
        <v>42536.6468634259</v>
      </c>
      <c r="C1842">
        <v>2</v>
      </c>
      <c r="D1842">
        <v>1</v>
      </c>
      <c r="E1842" t="s">
        <v>1802</v>
      </c>
    </row>
    <row r="1843" spans="1:5">
      <c r="A1843">
        <f>HYPERLINK("http://www.twitter.com/NYCHA/status/743098674427875328", "743098674427875328")</f>
        <v>0</v>
      </c>
      <c r="B1843" s="2">
        <v>42536.6331481481</v>
      </c>
      <c r="C1843">
        <v>0</v>
      </c>
      <c r="D1843">
        <v>2</v>
      </c>
      <c r="E1843" t="s">
        <v>1803</v>
      </c>
    </row>
    <row r="1844" spans="1:5">
      <c r="A1844">
        <f>HYPERLINK("http://www.twitter.com/NYCHA/status/743096481297641472", "743096481297641472")</f>
        <v>0</v>
      </c>
      <c r="B1844" s="2">
        <v>42536.6270949074</v>
      </c>
      <c r="C1844">
        <v>2</v>
      </c>
      <c r="D1844">
        <v>1</v>
      </c>
      <c r="E1844" t="s">
        <v>1804</v>
      </c>
    </row>
    <row r="1845" spans="1:5">
      <c r="A1845">
        <f>HYPERLINK("http://www.twitter.com/NYCHA/status/743076171697508352", "743076171697508352")</f>
        <v>0</v>
      </c>
      <c r="B1845" s="2">
        <v>42536.5710532407</v>
      </c>
      <c r="C1845">
        <v>0</v>
      </c>
      <c r="D1845">
        <v>2</v>
      </c>
      <c r="E1845" t="s">
        <v>1805</v>
      </c>
    </row>
    <row r="1846" spans="1:5">
      <c r="A1846">
        <f>HYPERLINK("http://www.twitter.com/NYCHA/status/743075800434520064", "743075800434520064")</f>
        <v>0</v>
      </c>
      <c r="B1846" s="2">
        <v>42536.5700347222</v>
      </c>
      <c r="C1846">
        <v>0</v>
      </c>
      <c r="D1846">
        <v>5</v>
      </c>
      <c r="E1846" t="s">
        <v>1806</v>
      </c>
    </row>
    <row r="1847" spans="1:5">
      <c r="A1847">
        <f>HYPERLINK("http://www.twitter.com/NYCHA/status/743075788543692805", "743075788543692805")</f>
        <v>0</v>
      </c>
      <c r="B1847" s="2">
        <v>42536.57</v>
      </c>
      <c r="C1847">
        <v>0</v>
      </c>
      <c r="D1847">
        <v>2</v>
      </c>
      <c r="E1847" t="s">
        <v>1807</v>
      </c>
    </row>
    <row r="1848" spans="1:5">
      <c r="A1848">
        <f>HYPERLINK("http://www.twitter.com/NYCHA/status/743066261979041792", "743066261979041792")</f>
        <v>0</v>
      </c>
      <c r="B1848" s="2">
        <v>42536.5437152778</v>
      </c>
      <c r="C1848">
        <v>0</v>
      </c>
      <c r="D1848">
        <v>0</v>
      </c>
      <c r="E1848" t="s">
        <v>1808</v>
      </c>
    </row>
    <row r="1849" spans="1:5">
      <c r="A1849">
        <f>HYPERLINK("http://www.twitter.com/NYCHA/status/742830944407703552", "742830944407703552")</f>
        <v>0</v>
      </c>
      <c r="B1849" s="2">
        <v>42535.8943518518</v>
      </c>
      <c r="C1849">
        <v>15</v>
      </c>
      <c r="D1849">
        <v>15</v>
      </c>
      <c r="E1849" t="s">
        <v>1809</v>
      </c>
    </row>
    <row r="1850" spans="1:5">
      <c r="A1850">
        <f>HYPERLINK("http://www.twitter.com/NYCHA/status/742825205568012289", "742825205568012289")</f>
        <v>0</v>
      </c>
      <c r="B1850" s="2">
        <v>42535.8785185185</v>
      </c>
      <c r="C1850">
        <v>0</v>
      </c>
      <c r="D1850">
        <v>9</v>
      </c>
      <c r="E1850" t="s">
        <v>1810</v>
      </c>
    </row>
    <row r="1851" spans="1:5">
      <c r="A1851">
        <f>HYPERLINK("http://www.twitter.com/NYCHA/status/742825070645628928", "742825070645628928")</f>
        <v>0</v>
      </c>
      <c r="B1851" s="2">
        <v>42535.8781481481</v>
      </c>
      <c r="C1851">
        <v>0</v>
      </c>
      <c r="D1851">
        <v>1</v>
      </c>
      <c r="E1851" t="s">
        <v>1811</v>
      </c>
    </row>
    <row r="1852" spans="1:5">
      <c r="A1852">
        <f>HYPERLINK("http://www.twitter.com/NYCHA/status/742825062361882624", "742825062361882624")</f>
        <v>0</v>
      </c>
      <c r="B1852" s="2">
        <v>42535.878125</v>
      </c>
      <c r="C1852">
        <v>0</v>
      </c>
      <c r="D1852">
        <v>1</v>
      </c>
      <c r="E1852" t="s">
        <v>1812</v>
      </c>
    </row>
    <row r="1853" spans="1:5">
      <c r="A1853">
        <f>HYPERLINK("http://www.twitter.com/NYCHA/status/742752979049140224", "742752979049140224")</f>
        <v>0</v>
      </c>
      <c r="B1853" s="2">
        <v>42535.679212963</v>
      </c>
      <c r="C1853">
        <v>0</v>
      </c>
      <c r="D1853">
        <v>66</v>
      </c>
      <c r="E1853" t="s">
        <v>1813</v>
      </c>
    </row>
    <row r="1854" spans="1:5">
      <c r="A1854">
        <f>HYPERLINK("http://www.twitter.com/NYCHA/status/742741262856540161", "742741262856540161")</f>
        <v>0</v>
      </c>
      <c r="B1854" s="2">
        <v>42535.6468865741</v>
      </c>
      <c r="C1854">
        <v>0</v>
      </c>
      <c r="D1854">
        <v>0</v>
      </c>
      <c r="E1854" t="s">
        <v>1814</v>
      </c>
    </row>
    <row r="1855" spans="1:5">
      <c r="A1855">
        <f>HYPERLINK("http://www.twitter.com/NYCHA/status/742732204766310400", "742732204766310400")</f>
        <v>0</v>
      </c>
      <c r="B1855" s="2">
        <v>42535.6218865741</v>
      </c>
      <c r="C1855">
        <v>0</v>
      </c>
      <c r="D1855">
        <v>3</v>
      </c>
      <c r="E1855" t="s">
        <v>1815</v>
      </c>
    </row>
    <row r="1856" spans="1:5">
      <c r="A1856">
        <f>HYPERLINK("http://www.twitter.com/NYCHA/status/742722376476004352", "742722376476004352")</f>
        <v>0</v>
      </c>
      <c r="B1856" s="2">
        <v>42535.5947685185</v>
      </c>
      <c r="C1856">
        <v>0</v>
      </c>
      <c r="D1856">
        <v>3</v>
      </c>
      <c r="E1856" t="s">
        <v>1816</v>
      </c>
    </row>
    <row r="1857" spans="1:5">
      <c r="A1857">
        <f>HYPERLINK("http://www.twitter.com/NYCHA/status/742721065168863233", "742721065168863233")</f>
        <v>0</v>
      </c>
      <c r="B1857" s="2">
        <v>42535.5911458333</v>
      </c>
      <c r="C1857">
        <v>1</v>
      </c>
      <c r="D1857">
        <v>1</v>
      </c>
      <c r="E1857" t="s">
        <v>1817</v>
      </c>
    </row>
    <row r="1858" spans="1:5">
      <c r="A1858">
        <f>HYPERLINK("http://www.twitter.com/NYCHA/status/742719723373273088", "742719723373273088")</f>
        <v>0</v>
      </c>
      <c r="B1858" s="2">
        <v>42535.5874421296</v>
      </c>
      <c r="C1858">
        <v>1</v>
      </c>
      <c r="D1858">
        <v>1</v>
      </c>
      <c r="E1858" t="s">
        <v>1818</v>
      </c>
    </row>
    <row r="1859" spans="1:5">
      <c r="A1859">
        <f>HYPERLINK("http://www.twitter.com/NYCHA/status/742704557097111553", "742704557097111553")</f>
        <v>0</v>
      </c>
      <c r="B1859" s="2">
        <v>42535.5455902778</v>
      </c>
      <c r="C1859">
        <v>1</v>
      </c>
      <c r="D1859">
        <v>2</v>
      </c>
      <c r="E1859" t="s">
        <v>101</v>
      </c>
    </row>
    <row r="1860" spans="1:5">
      <c r="A1860">
        <f>HYPERLINK("http://www.twitter.com/NYCHA/status/742703834720555008", "742703834720555008")</f>
        <v>0</v>
      </c>
      <c r="B1860" s="2">
        <v>42535.543599537</v>
      </c>
      <c r="C1860">
        <v>2</v>
      </c>
      <c r="D1860">
        <v>1</v>
      </c>
      <c r="E1860" t="s">
        <v>1819</v>
      </c>
    </row>
    <row r="1861" spans="1:5">
      <c r="A1861">
        <f>HYPERLINK("http://www.twitter.com/NYCHA/status/742416747140157441", "742416747140157441")</f>
        <v>0</v>
      </c>
      <c r="B1861" s="2">
        <v>42534.7513888889</v>
      </c>
      <c r="C1861">
        <v>0</v>
      </c>
      <c r="D1861">
        <v>1</v>
      </c>
      <c r="E1861" t="s">
        <v>1820</v>
      </c>
    </row>
    <row r="1862" spans="1:5">
      <c r="A1862">
        <f>HYPERLINK("http://www.twitter.com/NYCHA/status/742416743763709952", "742416743763709952")</f>
        <v>0</v>
      </c>
      <c r="B1862" s="2">
        <v>42534.7513773148</v>
      </c>
      <c r="C1862">
        <v>0</v>
      </c>
      <c r="D1862">
        <v>0</v>
      </c>
      <c r="E1862" t="s">
        <v>1821</v>
      </c>
    </row>
    <row r="1863" spans="1:5">
      <c r="A1863">
        <f>HYPERLINK("http://www.twitter.com/NYCHA/status/742416743071617024", "742416743071617024")</f>
        <v>0</v>
      </c>
      <c r="B1863" s="2">
        <v>42534.7513773148</v>
      </c>
      <c r="C1863">
        <v>0</v>
      </c>
      <c r="D1863">
        <v>0</v>
      </c>
      <c r="E1863" t="s">
        <v>1822</v>
      </c>
    </row>
    <row r="1864" spans="1:5">
      <c r="A1864">
        <f>HYPERLINK("http://www.twitter.com/NYCHA/status/742401386705489920", "742401386705489920")</f>
        <v>0</v>
      </c>
      <c r="B1864" s="2">
        <v>42534.7090046296</v>
      </c>
      <c r="C1864">
        <v>4</v>
      </c>
      <c r="D1864">
        <v>4</v>
      </c>
      <c r="E1864" t="s">
        <v>1823</v>
      </c>
    </row>
    <row r="1865" spans="1:5">
      <c r="A1865">
        <f>HYPERLINK("http://www.twitter.com/NYCHA/status/742394957743423489", "742394957743423489")</f>
        <v>0</v>
      </c>
      <c r="B1865" s="2">
        <v>42534.6912615741</v>
      </c>
      <c r="C1865">
        <v>1</v>
      </c>
      <c r="D1865">
        <v>0</v>
      </c>
      <c r="E1865" t="s">
        <v>1824</v>
      </c>
    </row>
    <row r="1866" spans="1:5">
      <c r="A1866">
        <f>HYPERLINK("http://www.twitter.com/NYCHA/status/742374757912477702", "742374757912477702")</f>
        <v>0</v>
      </c>
      <c r="B1866" s="2">
        <v>42534.6355208333</v>
      </c>
      <c r="C1866">
        <v>4</v>
      </c>
      <c r="D1866">
        <v>5</v>
      </c>
      <c r="E1866" t="s">
        <v>1825</v>
      </c>
    </row>
    <row r="1867" spans="1:5">
      <c r="A1867">
        <f>HYPERLINK("http://www.twitter.com/NYCHA/status/742342174231138305", "742342174231138305")</f>
        <v>0</v>
      </c>
      <c r="B1867" s="2">
        <v>42534.5456134259</v>
      </c>
      <c r="C1867">
        <v>0</v>
      </c>
      <c r="D1867">
        <v>0</v>
      </c>
      <c r="E1867" t="s">
        <v>1826</v>
      </c>
    </row>
    <row r="1868" spans="1:5">
      <c r="A1868">
        <f>HYPERLINK("http://www.twitter.com/NYCHA/status/742341431621234688", "742341431621234688")</f>
        <v>0</v>
      </c>
      <c r="B1868" s="2">
        <v>42534.5435532407</v>
      </c>
      <c r="C1868">
        <v>0</v>
      </c>
      <c r="D1868">
        <v>0</v>
      </c>
      <c r="E1868" t="s">
        <v>1827</v>
      </c>
    </row>
    <row r="1869" spans="1:5">
      <c r="A1869">
        <f>HYPERLINK("http://www.twitter.com/NYCHA/status/742008919191629824", "742008919191629824")</f>
        <v>0</v>
      </c>
      <c r="B1869" s="2">
        <v>42533.6259953704</v>
      </c>
      <c r="C1869">
        <v>6</v>
      </c>
      <c r="D1869">
        <v>2</v>
      </c>
      <c r="E1869" t="s">
        <v>1828</v>
      </c>
    </row>
    <row r="1870" spans="1:5">
      <c r="A1870">
        <f>HYPERLINK("http://www.twitter.com/NYCHA/status/741691789258723328", "741691789258723328")</f>
        <v>0</v>
      </c>
      <c r="B1870" s="2">
        <v>42532.7508912037</v>
      </c>
      <c r="C1870">
        <v>0</v>
      </c>
      <c r="D1870">
        <v>0</v>
      </c>
      <c r="E1870" t="s">
        <v>1821</v>
      </c>
    </row>
    <row r="1871" spans="1:5">
      <c r="A1871">
        <f>HYPERLINK("http://www.twitter.com/NYCHA/status/741646578642001921", "741646578642001921")</f>
        <v>0</v>
      </c>
      <c r="B1871" s="2">
        <v>42532.6261342593</v>
      </c>
      <c r="C1871">
        <v>0</v>
      </c>
      <c r="D1871">
        <v>1</v>
      </c>
      <c r="E1871" t="s">
        <v>1829</v>
      </c>
    </row>
    <row r="1872" spans="1:5">
      <c r="A1872">
        <f>HYPERLINK("http://www.twitter.com/NYCHA/status/741632406160089090", "741632406160089090")</f>
        <v>0</v>
      </c>
      <c r="B1872" s="2">
        <v>42532.587025463</v>
      </c>
      <c r="C1872">
        <v>3</v>
      </c>
      <c r="D1872">
        <v>3</v>
      </c>
      <c r="E1872" t="s">
        <v>1830</v>
      </c>
    </row>
    <row r="1873" spans="1:5">
      <c r="A1873">
        <f>HYPERLINK("http://www.twitter.com/NYCHA/status/741362539431362560", "741362539431362560")</f>
        <v>0</v>
      </c>
      <c r="B1873" s="2">
        <v>42531.8423263889</v>
      </c>
      <c r="C1873">
        <v>0</v>
      </c>
      <c r="D1873">
        <v>1</v>
      </c>
      <c r="E1873" t="s">
        <v>1831</v>
      </c>
    </row>
    <row r="1874" spans="1:5">
      <c r="A1874">
        <f>HYPERLINK("http://www.twitter.com/NYCHA/status/741361653506248704", "741361653506248704")</f>
        <v>0</v>
      </c>
      <c r="B1874" s="2">
        <v>42531.8398842593</v>
      </c>
      <c r="C1874">
        <v>0</v>
      </c>
      <c r="D1874">
        <v>1</v>
      </c>
      <c r="E1874" t="s">
        <v>1832</v>
      </c>
    </row>
    <row r="1875" spans="1:5">
      <c r="A1875">
        <f>HYPERLINK("http://www.twitter.com/NYCHA/status/741329545576472577", "741329545576472577")</f>
        <v>0</v>
      </c>
      <c r="B1875" s="2">
        <v>42531.7512847222</v>
      </c>
      <c r="C1875">
        <v>4</v>
      </c>
      <c r="D1875">
        <v>2</v>
      </c>
      <c r="E1875" t="s">
        <v>1833</v>
      </c>
    </row>
    <row r="1876" spans="1:5">
      <c r="A1876">
        <f>HYPERLINK("http://www.twitter.com/NYCHA/status/741322854596247552", "741322854596247552")</f>
        <v>0</v>
      </c>
      <c r="B1876" s="2">
        <v>42531.7328240741</v>
      </c>
      <c r="C1876">
        <v>1</v>
      </c>
      <c r="D1876">
        <v>0</v>
      </c>
      <c r="E1876" t="s">
        <v>1834</v>
      </c>
    </row>
    <row r="1877" spans="1:5">
      <c r="A1877">
        <f>HYPERLINK("http://www.twitter.com/NYCHA/status/741305248501878784", "741305248501878784")</f>
        <v>0</v>
      </c>
      <c r="B1877" s="2">
        <v>42531.6842361111</v>
      </c>
      <c r="C1877">
        <v>0</v>
      </c>
      <c r="D1877">
        <v>0</v>
      </c>
      <c r="E1877" t="s">
        <v>1835</v>
      </c>
    </row>
    <row r="1878" spans="1:5">
      <c r="A1878">
        <f>HYPERLINK("http://www.twitter.com/NYCHA/status/741288939043065857", "741288939043065857")</f>
        <v>0</v>
      </c>
      <c r="B1878" s="2">
        <v>42531.6392361111</v>
      </c>
      <c r="C1878">
        <v>1</v>
      </c>
      <c r="D1878">
        <v>0</v>
      </c>
      <c r="E1878" t="s">
        <v>1836</v>
      </c>
    </row>
    <row r="1879" spans="1:5">
      <c r="A1879">
        <f>HYPERLINK("http://www.twitter.com/NYCHA/status/741282304585261056", "741282304585261056")</f>
        <v>0</v>
      </c>
      <c r="B1879" s="2">
        <v>42531.6209259259</v>
      </c>
      <c r="C1879">
        <v>7</v>
      </c>
      <c r="D1879">
        <v>5</v>
      </c>
      <c r="E1879" t="s">
        <v>1837</v>
      </c>
    </row>
    <row r="1880" spans="1:5">
      <c r="A1880">
        <f>HYPERLINK("http://www.twitter.com/NYCHA/status/741277546495545344", "741277546495545344")</f>
        <v>0</v>
      </c>
      <c r="B1880" s="2">
        <v>42531.6078009259</v>
      </c>
      <c r="C1880">
        <v>5</v>
      </c>
      <c r="D1880">
        <v>6</v>
      </c>
      <c r="E1880" t="s">
        <v>1838</v>
      </c>
    </row>
    <row r="1881" spans="1:5">
      <c r="A1881">
        <f>HYPERLINK("http://www.twitter.com/NYCHA/status/741255011091533824", "741255011091533824")</f>
        <v>0</v>
      </c>
      <c r="B1881" s="2">
        <v>42531.5456134259</v>
      </c>
      <c r="C1881">
        <v>0</v>
      </c>
      <c r="D1881">
        <v>0</v>
      </c>
      <c r="E1881" t="s">
        <v>87</v>
      </c>
    </row>
    <row r="1882" spans="1:5">
      <c r="A1882">
        <f>HYPERLINK("http://www.twitter.com/NYCHA/status/741254294020759552", "741254294020759552")</f>
        <v>0</v>
      </c>
      <c r="B1882" s="2">
        <v>42531.5436342593</v>
      </c>
      <c r="C1882">
        <v>1</v>
      </c>
      <c r="D1882">
        <v>0</v>
      </c>
      <c r="E1882" t="s">
        <v>1839</v>
      </c>
    </row>
    <row r="1883" spans="1:5">
      <c r="A1883">
        <f>HYPERLINK("http://www.twitter.com/NYCHA/status/740995092694073344", "740995092694073344")</f>
        <v>0</v>
      </c>
      <c r="B1883" s="2">
        <v>42530.8283680556</v>
      </c>
      <c r="C1883">
        <v>0</v>
      </c>
      <c r="D1883">
        <v>2</v>
      </c>
      <c r="E1883" t="s">
        <v>1840</v>
      </c>
    </row>
    <row r="1884" spans="1:5">
      <c r="A1884">
        <f>HYPERLINK("http://www.twitter.com/NYCHA/status/740967066195333121", "740967066195333121")</f>
        <v>0</v>
      </c>
      <c r="B1884" s="2">
        <v>42530.7510300926</v>
      </c>
      <c r="C1884">
        <v>7</v>
      </c>
      <c r="D1884">
        <v>0</v>
      </c>
      <c r="E1884" t="s">
        <v>1841</v>
      </c>
    </row>
    <row r="1885" spans="1:5">
      <c r="A1885">
        <f>HYPERLINK("http://www.twitter.com/NYCHA/status/740909059004588032", "740909059004588032")</f>
        <v>0</v>
      </c>
      <c r="B1885" s="2">
        <v>42530.5909606482</v>
      </c>
      <c r="C1885">
        <v>1</v>
      </c>
      <c r="D1885">
        <v>2</v>
      </c>
      <c r="E1885" t="s">
        <v>1842</v>
      </c>
    </row>
    <row r="1886" spans="1:5">
      <c r="A1886">
        <f>HYPERLINK("http://www.twitter.com/NYCHA/status/740906644196995072", "740906644196995072")</f>
        <v>0</v>
      </c>
      <c r="B1886" s="2">
        <v>42530.5843055556</v>
      </c>
      <c r="C1886">
        <v>3</v>
      </c>
      <c r="D1886">
        <v>1</v>
      </c>
      <c r="E1886" t="s">
        <v>1843</v>
      </c>
    </row>
    <row r="1887" spans="1:5">
      <c r="A1887">
        <f>HYPERLINK("http://www.twitter.com/NYCHA/status/740906360662073344", "740906360662073344")</f>
        <v>0</v>
      </c>
      <c r="B1887" s="2">
        <v>42530.5835185185</v>
      </c>
      <c r="C1887">
        <v>0</v>
      </c>
      <c r="D1887">
        <v>0</v>
      </c>
      <c r="E1887" t="s">
        <v>1844</v>
      </c>
    </row>
    <row r="1888" spans="1:5">
      <c r="A1888">
        <f>HYPERLINK("http://www.twitter.com/NYCHA/status/740897117053538304", "740897117053538304")</f>
        <v>0</v>
      </c>
      <c r="B1888" s="2">
        <v>42530.5580092593</v>
      </c>
      <c r="C1888">
        <v>0</v>
      </c>
      <c r="D1888">
        <v>4</v>
      </c>
      <c r="E1888" t="s">
        <v>1845</v>
      </c>
    </row>
    <row r="1889" spans="1:5">
      <c r="A1889">
        <f>HYPERLINK("http://www.twitter.com/NYCHA/status/740892608856248321", "740892608856248321")</f>
        <v>0</v>
      </c>
      <c r="B1889" s="2">
        <v>42530.5455671296</v>
      </c>
      <c r="C1889">
        <v>0</v>
      </c>
      <c r="D1889">
        <v>0</v>
      </c>
      <c r="E1889" t="s">
        <v>1846</v>
      </c>
    </row>
    <row r="1890" spans="1:5">
      <c r="A1890">
        <f>HYPERLINK("http://www.twitter.com/NYCHA/status/740891878808297473", "740891878808297473")</f>
        <v>0</v>
      </c>
      <c r="B1890" s="2">
        <v>42530.5435532407</v>
      </c>
      <c r="C1890">
        <v>0</v>
      </c>
      <c r="D1890">
        <v>0</v>
      </c>
      <c r="E1890" t="s">
        <v>101</v>
      </c>
    </row>
    <row r="1891" spans="1:5">
      <c r="A1891">
        <f>HYPERLINK("http://www.twitter.com/NYCHA/status/740610124939722756", "740610124939722756")</f>
        <v>0</v>
      </c>
      <c r="B1891" s="2">
        <v>42529.7660648148</v>
      </c>
      <c r="C1891">
        <v>8</v>
      </c>
      <c r="D1891">
        <v>2</v>
      </c>
      <c r="E1891" t="s">
        <v>1847</v>
      </c>
    </row>
    <row r="1892" spans="1:5">
      <c r="A1892">
        <f>HYPERLINK("http://www.twitter.com/NYCHA/status/740601803801268224", "740601803801268224")</f>
        <v>0</v>
      </c>
      <c r="B1892" s="2">
        <v>42529.7431018519</v>
      </c>
      <c r="C1892">
        <v>0</v>
      </c>
      <c r="D1892">
        <v>5</v>
      </c>
      <c r="E1892" t="s">
        <v>1848</v>
      </c>
    </row>
    <row r="1893" spans="1:5">
      <c r="A1893">
        <f>HYPERLINK("http://www.twitter.com/NYCHA/status/740592106511667200", "740592106511667200")</f>
        <v>0</v>
      </c>
      <c r="B1893" s="2">
        <v>42529.7163425926</v>
      </c>
      <c r="C1893">
        <v>1</v>
      </c>
      <c r="D1893">
        <v>1</v>
      </c>
      <c r="E1893" t="s">
        <v>1849</v>
      </c>
    </row>
    <row r="1894" spans="1:5">
      <c r="A1894">
        <f>HYPERLINK("http://www.twitter.com/NYCHA/status/740591509112770560", "740591509112770560")</f>
        <v>0</v>
      </c>
      <c r="B1894" s="2">
        <v>42529.7146875</v>
      </c>
      <c r="C1894">
        <v>0</v>
      </c>
      <c r="D1894">
        <v>3</v>
      </c>
      <c r="E1894" t="s">
        <v>1850</v>
      </c>
    </row>
    <row r="1895" spans="1:5">
      <c r="A1895">
        <f>HYPERLINK("http://www.twitter.com/NYCHA/status/740591495418351618", "740591495418351618")</f>
        <v>0</v>
      </c>
      <c r="B1895" s="2">
        <v>42529.7146527778</v>
      </c>
      <c r="C1895">
        <v>0</v>
      </c>
      <c r="D1895">
        <v>6</v>
      </c>
      <c r="E1895" t="s">
        <v>1851</v>
      </c>
    </row>
    <row r="1896" spans="1:5">
      <c r="A1896">
        <f>HYPERLINK("http://www.twitter.com/NYCHA/status/740591488179044352", "740591488179044352")</f>
        <v>0</v>
      </c>
      <c r="B1896" s="2">
        <v>42529.7146296296</v>
      </c>
      <c r="C1896">
        <v>0</v>
      </c>
      <c r="D1896">
        <v>3</v>
      </c>
      <c r="E1896" t="s">
        <v>1852</v>
      </c>
    </row>
    <row r="1897" spans="1:5">
      <c r="A1897">
        <f>HYPERLINK("http://www.twitter.com/NYCHA/status/740591407472201733", "740591407472201733")</f>
        <v>0</v>
      </c>
      <c r="B1897" s="2">
        <v>42529.7144097222</v>
      </c>
      <c r="C1897">
        <v>0</v>
      </c>
      <c r="D1897">
        <v>3</v>
      </c>
      <c r="E1897" t="s">
        <v>1853</v>
      </c>
    </row>
    <row r="1898" spans="1:5">
      <c r="A1898">
        <f>HYPERLINK("http://www.twitter.com/NYCHA/status/740580496523075584", "740580496523075584")</f>
        <v>0</v>
      </c>
      <c r="B1898" s="2">
        <v>42529.6843055556</v>
      </c>
      <c r="C1898">
        <v>0</v>
      </c>
      <c r="D1898">
        <v>50</v>
      </c>
      <c r="E1898" t="s">
        <v>1854</v>
      </c>
    </row>
    <row r="1899" spans="1:5">
      <c r="A1899">
        <f>HYPERLINK("http://www.twitter.com/NYCHA/status/740569200297693184", "740569200297693184")</f>
        <v>0</v>
      </c>
      <c r="B1899" s="2">
        <v>42529.6531365741</v>
      </c>
      <c r="C1899">
        <v>1</v>
      </c>
      <c r="D1899">
        <v>0</v>
      </c>
      <c r="E1899" t="s">
        <v>1855</v>
      </c>
    </row>
    <row r="1900" spans="1:5">
      <c r="A1900">
        <f>HYPERLINK("http://www.twitter.com/NYCHA/status/740547546397966337", "740547546397966337")</f>
        <v>0</v>
      </c>
      <c r="B1900" s="2">
        <v>42529.5933796296</v>
      </c>
      <c r="C1900">
        <v>0</v>
      </c>
      <c r="D1900">
        <v>2</v>
      </c>
      <c r="E1900" t="s">
        <v>1856</v>
      </c>
    </row>
    <row r="1901" spans="1:5">
      <c r="A1901">
        <f>HYPERLINK("http://www.twitter.com/NYCHA/status/740530242784264192", "740530242784264192")</f>
        <v>0</v>
      </c>
      <c r="B1901" s="2">
        <v>42529.545625</v>
      </c>
      <c r="C1901">
        <v>0</v>
      </c>
      <c r="D1901">
        <v>0</v>
      </c>
      <c r="E1901" t="s">
        <v>48</v>
      </c>
    </row>
    <row r="1902" spans="1:5">
      <c r="A1902">
        <f>HYPERLINK("http://www.twitter.com/NYCHA/status/740529499213864962", "740529499213864962")</f>
        <v>0</v>
      </c>
      <c r="B1902" s="2">
        <v>42529.5435763889</v>
      </c>
      <c r="C1902">
        <v>1</v>
      </c>
      <c r="D1902">
        <v>0</v>
      </c>
      <c r="E1902" t="s">
        <v>1857</v>
      </c>
    </row>
    <row r="1903" spans="1:5">
      <c r="A1903">
        <f>HYPERLINK("http://www.twitter.com/NYCHA/status/740514034592681984", "740514034592681984")</f>
        <v>0</v>
      </c>
      <c r="B1903" s="2">
        <v>42529.5009027778</v>
      </c>
      <c r="C1903">
        <v>1</v>
      </c>
      <c r="D1903">
        <v>2</v>
      </c>
      <c r="E1903" t="s">
        <v>1858</v>
      </c>
    </row>
    <row r="1904" spans="1:5">
      <c r="A1904">
        <f>HYPERLINK("http://www.twitter.com/NYCHA/status/740322498991030272", "740322498991030272")</f>
        <v>0</v>
      </c>
      <c r="B1904" s="2">
        <v>42528.9723611111</v>
      </c>
      <c r="C1904">
        <v>2</v>
      </c>
      <c r="D1904">
        <v>4</v>
      </c>
      <c r="E1904" t="s">
        <v>1859</v>
      </c>
    </row>
    <row r="1905" spans="1:5">
      <c r="A1905">
        <f>HYPERLINK("http://www.twitter.com/NYCHA/status/740317565226909696", "740317565226909696")</f>
        <v>0</v>
      </c>
      <c r="B1905" s="2">
        <v>42528.95875</v>
      </c>
      <c r="C1905">
        <v>0</v>
      </c>
      <c r="D1905">
        <v>0</v>
      </c>
      <c r="E1905" t="s">
        <v>1860</v>
      </c>
    </row>
    <row r="1906" spans="1:5">
      <c r="A1906">
        <f>HYPERLINK("http://www.twitter.com/NYCHA/status/740290426108805120", "740290426108805120")</f>
        <v>0</v>
      </c>
      <c r="B1906" s="2">
        <v>42528.8838657407</v>
      </c>
      <c r="C1906">
        <v>0</v>
      </c>
      <c r="D1906">
        <v>2</v>
      </c>
      <c r="E1906" t="s">
        <v>1861</v>
      </c>
    </row>
    <row r="1907" spans="1:5">
      <c r="A1907">
        <f>HYPERLINK("http://www.twitter.com/NYCHA/status/740284896250335232", "740284896250335232")</f>
        <v>0</v>
      </c>
      <c r="B1907" s="2">
        <v>42528.868599537</v>
      </c>
      <c r="C1907">
        <v>0</v>
      </c>
      <c r="D1907">
        <v>2</v>
      </c>
      <c r="E1907" t="s">
        <v>1862</v>
      </c>
    </row>
    <row r="1908" spans="1:5">
      <c r="A1908">
        <f>HYPERLINK("http://www.twitter.com/NYCHA/status/740284857306238977", "740284857306238977")</f>
        <v>0</v>
      </c>
      <c r="B1908" s="2">
        <v>42528.8684953704</v>
      </c>
      <c r="C1908">
        <v>0</v>
      </c>
      <c r="D1908">
        <v>2</v>
      </c>
      <c r="E1908" t="s">
        <v>1863</v>
      </c>
    </row>
    <row r="1909" spans="1:5">
      <c r="A1909">
        <f>HYPERLINK("http://www.twitter.com/NYCHA/status/740273413936295936", "740273413936295936")</f>
        <v>0</v>
      </c>
      <c r="B1909" s="2">
        <v>42528.8369212963</v>
      </c>
      <c r="C1909">
        <v>1</v>
      </c>
      <c r="D1909">
        <v>2</v>
      </c>
      <c r="E1909" t="s">
        <v>1864</v>
      </c>
    </row>
    <row r="1910" spans="1:5">
      <c r="A1910">
        <f>HYPERLINK("http://www.twitter.com/NYCHA/status/740256693653757952", "740256693653757952")</f>
        <v>0</v>
      </c>
      <c r="B1910" s="2">
        <v>42528.790775463</v>
      </c>
      <c r="C1910">
        <v>3</v>
      </c>
      <c r="D1910">
        <v>2</v>
      </c>
      <c r="E1910" t="s">
        <v>1865</v>
      </c>
    </row>
    <row r="1911" spans="1:5">
      <c r="A1911">
        <f>HYPERLINK("http://www.twitter.com/NYCHA/status/740251691690364929", "740251691690364929")</f>
        <v>0</v>
      </c>
      <c r="B1911" s="2">
        <v>42528.7769791667</v>
      </c>
      <c r="C1911">
        <v>0</v>
      </c>
      <c r="D1911">
        <v>1</v>
      </c>
      <c r="E1911" t="s">
        <v>1866</v>
      </c>
    </row>
    <row r="1912" spans="1:5">
      <c r="A1912">
        <f>HYPERLINK("http://www.twitter.com/NYCHA/status/740249845617831936", "740249845617831936")</f>
        <v>0</v>
      </c>
      <c r="B1912" s="2">
        <v>42528.7718865741</v>
      </c>
      <c r="C1912">
        <v>1</v>
      </c>
      <c r="D1912">
        <v>0</v>
      </c>
      <c r="E1912" t="s">
        <v>1867</v>
      </c>
    </row>
    <row r="1913" spans="1:5">
      <c r="A1913">
        <f>HYPERLINK("http://www.twitter.com/NYCHA/status/740214943451123712", "740214943451123712")</f>
        <v>0</v>
      </c>
      <c r="B1913" s="2">
        <v>42528.6755671296</v>
      </c>
      <c r="C1913">
        <v>1</v>
      </c>
      <c r="D1913">
        <v>1</v>
      </c>
      <c r="E1913" t="s">
        <v>1868</v>
      </c>
    </row>
    <row r="1914" spans="1:5">
      <c r="A1914">
        <f>HYPERLINK("http://www.twitter.com/NYCHA/status/740212200816709632", "740212200816709632")</f>
        <v>0</v>
      </c>
      <c r="B1914" s="2">
        <v>42528.6679976852</v>
      </c>
      <c r="C1914">
        <v>8</v>
      </c>
      <c r="D1914">
        <v>11</v>
      </c>
      <c r="E1914" t="s">
        <v>1869</v>
      </c>
    </row>
    <row r="1915" spans="1:5">
      <c r="A1915">
        <f>HYPERLINK("http://www.twitter.com/NYCHA/status/740198802339008512", "740198802339008512")</f>
        <v>0</v>
      </c>
      <c r="B1915" s="2">
        <v>42528.6310300926</v>
      </c>
      <c r="C1915">
        <v>2</v>
      </c>
      <c r="D1915">
        <v>2</v>
      </c>
      <c r="E1915" t="s">
        <v>1870</v>
      </c>
    </row>
    <row r="1916" spans="1:5">
      <c r="A1916">
        <f>HYPERLINK("http://www.twitter.com/NYCHA/status/740183700059639809", "740183700059639809")</f>
        <v>0</v>
      </c>
      <c r="B1916" s="2">
        <v>42528.5893518518</v>
      </c>
      <c r="C1916">
        <v>0</v>
      </c>
      <c r="D1916">
        <v>0</v>
      </c>
      <c r="E1916" t="s">
        <v>1871</v>
      </c>
    </row>
    <row r="1917" spans="1:5">
      <c r="A1917">
        <f>HYPERLINK("http://www.twitter.com/NYCHA/status/740183038542422016", "740183038542422016")</f>
        <v>0</v>
      </c>
      <c r="B1917" s="2">
        <v>42528.5875231481</v>
      </c>
      <c r="C1917">
        <v>1</v>
      </c>
      <c r="D1917">
        <v>1</v>
      </c>
      <c r="E1917" t="s">
        <v>1872</v>
      </c>
    </row>
    <row r="1918" spans="1:5">
      <c r="A1918">
        <f>HYPERLINK("http://www.twitter.com/NYCHA/status/740180384307138560", "740180384307138560")</f>
        <v>0</v>
      </c>
      <c r="B1918" s="2">
        <v>42528.5802083333</v>
      </c>
      <c r="C1918">
        <v>3</v>
      </c>
      <c r="D1918">
        <v>2</v>
      </c>
      <c r="E1918" t="s">
        <v>1873</v>
      </c>
    </row>
    <row r="1919" spans="1:5">
      <c r="A1919">
        <f>HYPERLINK("http://www.twitter.com/NYCHA/status/740167846139924480", "740167846139924480")</f>
        <v>0</v>
      </c>
      <c r="B1919" s="2">
        <v>42528.5456018519</v>
      </c>
      <c r="C1919">
        <v>0</v>
      </c>
      <c r="D1919">
        <v>2</v>
      </c>
      <c r="E1919" t="s">
        <v>1874</v>
      </c>
    </row>
    <row r="1920" spans="1:5">
      <c r="A1920">
        <f>HYPERLINK("http://www.twitter.com/NYCHA/status/740167059879919616", "740167059879919616")</f>
        <v>0</v>
      </c>
      <c r="B1920" s="2">
        <v>42528.5434375</v>
      </c>
      <c r="C1920">
        <v>0</v>
      </c>
      <c r="D1920">
        <v>1</v>
      </c>
      <c r="E1920" t="s">
        <v>1875</v>
      </c>
    </row>
    <row r="1921" spans="1:5">
      <c r="A1921">
        <f>HYPERLINK("http://www.twitter.com/NYCHA/status/739931388573536256", "739931388573536256")</f>
        <v>0</v>
      </c>
      <c r="B1921" s="2">
        <v>42527.8931018518</v>
      </c>
      <c r="C1921">
        <v>0</v>
      </c>
      <c r="D1921">
        <v>0</v>
      </c>
      <c r="E1921" t="s">
        <v>1876</v>
      </c>
    </row>
    <row r="1922" spans="1:5">
      <c r="A1922">
        <f>HYPERLINK("http://www.twitter.com/NYCHA/status/739915464441225218", "739915464441225218")</f>
        <v>0</v>
      </c>
      <c r="B1922" s="2">
        <v>42527.8491666667</v>
      </c>
      <c r="C1922">
        <v>22</v>
      </c>
      <c r="D1922">
        <v>12</v>
      </c>
      <c r="E1922" t="s">
        <v>1877</v>
      </c>
    </row>
    <row r="1923" spans="1:5">
      <c r="A1923">
        <f>HYPERLINK("http://www.twitter.com/NYCHA/status/739908098509447169", "739908098509447169")</f>
        <v>0</v>
      </c>
      <c r="B1923" s="2">
        <v>42527.8288425926</v>
      </c>
      <c r="C1923">
        <v>0</v>
      </c>
      <c r="D1923">
        <v>0</v>
      </c>
      <c r="E1923" t="s">
        <v>1878</v>
      </c>
    </row>
    <row r="1924" spans="1:5">
      <c r="A1924">
        <f>HYPERLINK("http://www.twitter.com/NYCHA/status/739907562141798405", "739907562141798405")</f>
        <v>0</v>
      </c>
      <c r="B1924" s="2">
        <v>42527.8273611111</v>
      </c>
      <c r="C1924">
        <v>0</v>
      </c>
      <c r="D1924">
        <v>1</v>
      </c>
      <c r="E1924" t="s">
        <v>1879</v>
      </c>
    </row>
    <row r="1925" spans="1:5">
      <c r="A1925">
        <f>HYPERLINK("http://www.twitter.com/NYCHA/status/739873281310904320", "739873281310904320")</f>
        <v>0</v>
      </c>
      <c r="B1925" s="2">
        <v>42527.7327662037</v>
      </c>
      <c r="C1925">
        <v>5</v>
      </c>
      <c r="D1925">
        <v>3</v>
      </c>
      <c r="E1925" t="s">
        <v>1880</v>
      </c>
    </row>
    <row r="1926" spans="1:5">
      <c r="A1926">
        <f>HYPERLINK("http://www.twitter.com/NYCHA/status/739859447808446464", "739859447808446464")</f>
        <v>0</v>
      </c>
      <c r="B1926" s="2">
        <v>42527.6945833333</v>
      </c>
      <c r="C1926">
        <v>1</v>
      </c>
      <c r="D1926">
        <v>1</v>
      </c>
      <c r="E1926" t="s">
        <v>1881</v>
      </c>
    </row>
    <row r="1927" spans="1:5">
      <c r="A1927">
        <f>HYPERLINK("http://www.twitter.com/NYCHA/status/739844188599144448", "739844188599144448")</f>
        <v>0</v>
      </c>
      <c r="B1927" s="2">
        <v>42527.6524768519</v>
      </c>
      <c r="C1927">
        <v>2</v>
      </c>
      <c r="D1927">
        <v>1</v>
      </c>
      <c r="E1927" t="s">
        <v>1882</v>
      </c>
    </row>
    <row r="1928" spans="1:5">
      <c r="A1928">
        <f>HYPERLINK("http://www.twitter.com/NYCHA/status/739824366205206528", "739824366205206528")</f>
        <v>0</v>
      </c>
      <c r="B1928" s="2">
        <v>42527.5977777778</v>
      </c>
      <c r="C1928">
        <v>0</v>
      </c>
      <c r="D1928">
        <v>2</v>
      </c>
      <c r="E1928" t="s">
        <v>1883</v>
      </c>
    </row>
    <row r="1929" spans="1:5">
      <c r="A1929">
        <f>HYPERLINK("http://www.twitter.com/NYCHA/status/739805440146558976", "739805440146558976")</f>
        <v>0</v>
      </c>
      <c r="B1929" s="2">
        <v>42527.5455555556</v>
      </c>
      <c r="C1929">
        <v>0</v>
      </c>
      <c r="D1929">
        <v>0</v>
      </c>
      <c r="E1929" t="s">
        <v>1884</v>
      </c>
    </row>
    <row r="1930" spans="1:5">
      <c r="A1930">
        <f>HYPERLINK("http://www.twitter.com/NYCHA/status/739804638493446144", "739804638493446144")</f>
        <v>0</v>
      </c>
      <c r="B1930" s="2">
        <v>42527.5433449074</v>
      </c>
      <c r="C1930">
        <v>1</v>
      </c>
      <c r="D1930">
        <v>1</v>
      </c>
      <c r="E1930" t="s">
        <v>1885</v>
      </c>
    </row>
    <row r="1931" spans="1:5">
      <c r="A1931">
        <f>HYPERLINK("http://www.twitter.com/NYCHA/status/738830916076867584", "738830916076867584")</f>
        <v>0</v>
      </c>
      <c r="B1931" s="2">
        <v>42524.8563773148</v>
      </c>
      <c r="C1931">
        <v>0</v>
      </c>
      <c r="D1931">
        <v>6</v>
      </c>
      <c r="E1931" t="s">
        <v>1886</v>
      </c>
    </row>
    <row r="1932" spans="1:5">
      <c r="A1932">
        <f>HYPERLINK("http://www.twitter.com/NYCHA/status/738802033260679168", "738802033260679168")</f>
        <v>0</v>
      </c>
      <c r="B1932" s="2">
        <v>42524.7766782407</v>
      </c>
      <c r="C1932">
        <v>0</v>
      </c>
      <c r="D1932">
        <v>4</v>
      </c>
      <c r="E1932" t="s">
        <v>1887</v>
      </c>
    </row>
    <row r="1933" spans="1:5">
      <c r="A1933">
        <f>HYPERLINK("http://www.twitter.com/NYCHA/status/738795031440592897", "738795031440592897")</f>
        <v>0</v>
      </c>
      <c r="B1933" s="2">
        <v>42524.7573611111</v>
      </c>
      <c r="C1933">
        <v>2</v>
      </c>
      <c r="D1933">
        <v>1</v>
      </c>
      <c r="E1933" t="s">
        <v>1888</v>
      </c>
    </row>
    <row r="1934" spans="1:5">
      <c r="A1934">
        <f>HYPERLINK("http://www.twitter.com/NYCHA/status/738792448076447744", "738792448076447744")</f>
        <v>0</v>
      </c>
      <c r="B1934" s="2">
        <v>42524.7502314815</v>
      </c>
      <c r="C1934">
        <v>0</v>
      </c>
      <c r="D1934">
        <v>3</v>
      </c>
      <c r="E1934" t="s">
        <v>1889</v>
      </c>
    </row>
    <row r="1935" spans="1:5">
      <c r="A1935">
        <f>HYPERLINK("http://www.twitter.com/NYCHA/status/738758365409599489", "738758365409599489")</f>
        <v>0</v>
      </c>
      <c r="B1935" s="2">
        <v>42524.6561805556</v>
      </c>
      <c r="C1935">
        <v>0</v>
      </c>
      <c r="D1935">
        <v>3</v>
      </c>
      <c r="E1935" t="s">
        <v>1890</v>
      </c>
    </row>
    <row r="1936" spans="1:5">
      <c r="A1936">
        <f>HYPERLINK("http://www.twitter.com/NYCHA/status/738742383886635008", "738742383886635008")</f>
        <v>0</v>
      </c>
      <c r="B1936" s="2">
        <v>42524.6120833333</v>
      </c>
      <c r="C1936">
        <v>0</v>
      </c>
      <c r="D1936">
        <v>5</v>
      </c>
      <c r="E1936" t="s">
        <v>1891</v>
      </c>
    </row>
    <row r="1937" spans="1:5">
      <c r="A1937">
        <f>HYPERLINK("http://www.twitter.com/NYCHA/status/738738180116119552", "738738180116119552")</f>
        <v>0</v>
      </c>
      <c r="B1937" s="2">
        <v>42524.600474537</v>
      </c>
      <c r="C1937">
        <v>0</v>
      </c>
      <c r="D1937">
        <v>2</v>
      </c>
      <c r="E1937" t="s">
        <v>1892</v>
      </c>
    </row>
    <row r="1938" spans="1:5">
      <c r="A1938">
        <f>HYPERLINK("http://www.twitter.com/NYCHA/status/738718273500499972", "738718273500499972")</f>
        <v>0</v>
      </c>
      <c r="B1938" s="2">
        <v>42524.5455439815</v>
      </c>
      <c r="C1938">
        <v>0</v>
      </c>
      <c r="D1938">
        <v>0</v>
      </c>
      <c r="E1938" t="s">
        <v>1893</v>
      </c>
    </row>
    <row r="1939" spans="1:5">
      <c r="A1939">
        <f>HYPERLINK("http://www.twitter.com/NYCHA/status/738717508077772800", "738717508077772800")</f>
        <v>0</v>
      </c>
      <c r="B1939" s="2">
        <v>42524.5434375</v>
      </c>
      <c r="C1939">
        <v>1</v>
      </c>
      <c r="D1939">
        <v>1</v>
      </c>
      <c r="E1939" t="s">
        <v>10</v>
      </c>
    </row>
    <row r="1940" spans="1:5">
      <c r="A1940">
        <f>HYPERLINK("http://www.twitter.com/NYCHA/status/738490565789134849", "738490565789134849")</f>
        <v>0</v>
      </c>
      <c r="B1940" s="2">
        <v>42523.9171990741</v>
      </c>
      <c r="C1940">
        <v>0</v>
      </c>
      <c r="D1940">
        <v>0</v>
      </c>
      <c r="E1940" t="s">
        <v>1894</v>
      </c>
    </row>
    <row r="1941" spans="1:5">
      <c r="A1941">
        <f>HYPERLINK("http://www.twitter.com/NYCHA/status/738445285140090880", "738445285140090880")</f>
        <v>0</v>
      </c>
      <c r="B1941" s="2">
        <v>42523.7922453704</v>
      </c>
      <c r="C1941">
        <v>0</v>
      </c>
      <c r="D1941">
        <v>0</v>
      </c>
      <c r="E1941" t="s">
        <v>1895</v>
      </c>
    </row>
    <row r="1942" spans="1:5">
      <c r="A1942">
        <f>HYPERLINK("http://www.twitter.com/NYCHA/status/738431327591108609", "738431327591108609")</f>
        <v>0</v>
      </c>
      <c r="B1942" s="2">
        <v>42523.7537268518</v>
      </c>
      <c r="C1942">
        <v>0</v>
      </c>
      <c r="D1942">
        <v>0</v>
      </c>
      <c r="E1942" t="s">
        <v>1896</v>
      </c>
    </row>
    <row r="1943" spans="1:5">
      <c r="A1943">
        <f>HYPERLINK("http://www.twitter.com/NYCHA/status/738424974231363584", "738424974231363584")</f>
        <v>0</v>
      </c>
      <c r="B1943" s="2">
        <v>42523.7361921296</v>
      </c>
      <c r="C1943">
        <v>0</v>
      </c>
      <c r="D1943">
        <v>0</v>
      </c>
      <c r="E1943" t="s">
        <v>1897</v>
      </c>
    </row>
    <row r="1944" spans="1:5">
      <c r="A1944">
        <f>HYPERLINK("http://www.twitter.com/NYCHA/status/738408701984395264", "738408701984395264")</f>
        <v>0</v>
      </c>
      <c r="B1944" s="2">
        <v>42523.6912962963</v>
      </c>
      <c r="C1944">
        <v>2</v>
      </c>
      <c r="D1944">
        <v>1</v>
      </c>
      <c r="E1944" t="s">
        <v>1898</v>
      </c>
    </row>
    <row r="1945" spans="1:5">
      <c r="A1945">
        <f>HYPERLINK("http://www.twitter.com/NYCHA/status/738402304982941696", "738402304982941696")</f>
        <v>0</v>
      </c>
      <c r="B1945" s="2">
        <v>42523.6736458333</v>
      </c>
      <c r="C1945">
        <v>0</v>
      </c>
      <c r="D1945">
        <v>0</v>
      </c>
      <c r="E1945" t="s">
        <v>1899</v>
      </c>
    </row>
    <row r="1946" spans="1:5">
      <c r="A1946">
        <f>HYPERLINK("http://www.twitter.com/NYCHA/status/738394099439534081", "738394099439534081")</f>
        <v>0</v>
      </c>
      <c r="B1946" s="2">
        <v>42523.6509953704</v>
      </c>
      <c r="C1946">
        <v>6</v>
      </c>
      <c r="D1946">
        <v>1</v>
      </c>
      <c r="E1946" t="s">
        <v>1900</v>
      </c>
    </row>
    <row r="1947" spans="1:5">
      <c r="A1947">
        <f>HYPERLINK("http://www.twitter.com/NYCHA/status/738389566651011072", "738389566651011072")</f>
        <v>0</v>
      </c>
      <c r="B1947" s="2">
        <v>42523.6384837963</v>
      </c>
      <c r="C1947">
        <v>0</v>
      </c>
      <c r="D1947">
        <v>2</v>
      </c>
      <c r="E1947" t="s">
        <v>1901</v>
      </c>
    </row>
    <row r="1948" spans="1:5">
      <c r="A1948">
        <f>HYPERLINK("http://www.twitter.com/NYCHA/status/738355887753068545", "738355887753068545")</f>
        <v>0</v>
      </c>
      <c r="B1948" s="2">
        <v>42523.5455555556</v>
      </c>
      <c r="C1948">
        <v>0</v>
      </c>
      <c r="D1948">
        <v>0</v>
      </c>
      <c r="E1948" t="s">
        <v>1902</v>
      </c>
    </row>
    <row r="1949" spans="1:5">
      <c r="A1949">
        <f>HYPERLINK("http://www.twitter.com/NYCHA/status/738355105368543232", "738355105368543232")</f>
        <v>0</v>
      </c>
      <c r="B1949" s="2">
        <v>42523.5433912037</v>
      </c>
      <c r="C1949">
        <v>0</v>
      </c>
      <c r="D1949">
        <v>1</v>
      </c>
      <c r="E1949" t="s">
        <v>1903</v>
      </c>
    </row>
    <row r="1950" spans="1:5">
      <c r="A1950">
        <f>HYPERLINK("http://www.twitter.com/NYCHA/status/738178487194812416", "738178487194812416")</f>
        <v>0</v>
      </c>
      <c r="B1950" s="2">
        <v>42523.0560185185</v>
      </c>
      <c r="C1950">
        <v>0</v>
      </c>
      <c r="D1950">
        <v>5</v>
      </c>
      <c r="E1950" t="s">
        <v>1904</v>
      </c>
    </row>
    <row r="1951" spans="1:5">
      <c r="A1951">
        <f>HYPERLINK("http://www.twitter.com/NYCHA/status/738158278937444352", "738158278937444352")</f>
        <v>0</v>
      </c>
      <c r="B1951" s="2">
        <v>42523.0002546296</v>
      </c>
      <c r="C1951">
        <v>3</v>
      </c>
      <c r="D1951">
        <v>4</v>
      </c>
      <c r="E1951" t="s">
        <v>1905</v>
      </c>
    </row>
    <row r="1952" spans="1:5">
      <c r="A1952">
        <f>HYPERLINK("http://www.twitter.com/NYCHA/status/738149395539992576", "738149395539992576")</f>
        <v>0</v>
      </c>
      <c r="B1952" s="2">
        <v>42522.9757407407</v>
      </c>
      <c r="C1952">
        <v>2</v>
      </c>
      <c r="D1952">
        <v>0</v>
      </c>
      <c r="E1952" t="s">
        <v>1906</v>
      </c>
    </row>
    <row r="1953" spans="1:5">
      <c r="A1953">
        <f>HYPERLINK("http://www.twitter.com/NYCHA/status/738148147893932034", "738148147893932034")</f>
        <v>0</v>
      </c>
      <c r="B1953" s="2">
        <v>42522.9723032407</v>
      </c>
      <c r="C1953">
        <v>2</v>
      </c>
      <c r="D1953">
        <v>0</v>
      </c>
      <c r="E1953" t="s">
        <v>1907</v>
      </c>
    </row>
    <row r="1954" spans="1:5">
      <c r="A1954">
        <f>HYPERLINK("http://www.twitter.com/NYCHA/status/738146895101460480", "738146895101460480")</f>
        <v>0</v>
      </c>
      <c r="B1954" s="2">
        <v>42522.9688425926</v>
      </c>
      <c r="C1954">
        <v>5</v>
      </c>
      <c r="D1954">
        <v>2</v>
      </c>
      <c r="E1954" t="s">
        <v>1908</v>
      </c>
    </row>
    <row r="1955" spans="1:5">
      <c r="A1955">
        <f>HYPERLINK("http://www.twitter.com/NYCHA/status/738141850637197313", "738141850637197313")</f>
        <v>0</v>
      </c>
      <c r="B1955" s="2">
        <v>42522.9549189815</v>
      </c>
      <c r="C1955">
        <v>0</v>
      </c>
      <c r="D1955">
        <v>1</v>
      </c>
      <c r="E1955" t="s">
        <v>1909</v>
      </c>
    </row>
    <row r="1956" spans="1:5">
      <c r="A1956">
        <f>HYPERLINK("http://www.twitter.com/NYCHA/status/738128062869602304", "738128062869602304")</f>
        <v>0</v>
      </c>
      <c r="B1956" s="2">
        <v>42522.916875</v>
      </c>
      <c r="C1956">
        <v>4</v>
      </c>
      <c r="D1956">
        <v>2</v>
      </c>
      <c r="E1956" t="s">
        <v>1910</v>
      </c>
    </row>
    <row r="1957" spans="1:5">
      <c r="A1957">
        <f>HYPERLINK("http://www.twitter.com/NYCHA/status/738115511020625924", "738115511020625924")</f>
        <v>0</v>
      </c>
      <c r="B1957" s="2">
        <v>42522.8822453704</v>
      </c>
      <c r="C1957">
        <v>0</v>
      </c>
      <c r="D1957">
        <v>3</v>
      </c>
      <c r="E1957" t="s">
        <v>1911</v>
      </c>
    </row>
    <row r="1958" spans="1:5">
      <c r="A1958">
        <f>HYPERLINK("http://www.twitter.com/NYCHA/status/738111403425464320", "738111403425464320")</f>
        <v>0</v>
      </c>
      <c r="B1958" s="2">
        <v>42522.8709027778</v>
      </c>
      <c r="C1958">
        <v>0</v>
      </c>
      <c r="D1958">
        <v>2</v>
      </c>
      <c r="E1958" t="s">
        <v>1912</v>
      </c>
    </row>
    <row r="1959" spans="1:5">
      <c r="A1959">
        <f>HYPERLINK("http://www.twitter.com/NYCHA/status/738090772998815745", "738090772998815745")</f>
        <v>0</v>
      </c>
      <c r="B1959" s="2">
        <v>42522.8139814815</v>
      </c>
      <c r="C1959">
        <v>0</v>
      </c>
      <c r="D1959">
        <v>2</v>
      </c>
      <c r="E1959" t="s">
        <v>1913</v>
      </c>
    </row>
    <row r="1960" spans="1:5">
      <c r="A1960">
        <f>HYPERLINK("http://www.twitter.com/NYCHA/status/738066811170770944", "738066811170770944")</f>
        <v>0</v>
      </c>
      <c r="B1960" s="2">
        <v>42522.7478587963</v>
      </c>
      <c r="C1960">
        <v>0</v>
      </c>
      <c r="D1960">
        <v>7</v>
      </c>
      <c r="E1960" t="s">
        <v>1914</v>
      </c>
    </row>
    <row r="1961" spans="1:5">
      <c r="A1961">
        <f>HYPERLINK("http://www.twitter.com/NYCHA/status/738050395025641472", "738050395025641472")</f>
        <v>0</v>
      </c>
      <c r="B1961" s="2">
        <v>42522.7025578704</v>
      </c>
      <c r="C1961">
        <v>0</v>
      </c>
      <c r="D1961">
        <v>5</v>
      </c>
      <c r="E1961" t="s">
        <v>1915</v>
      </c>
    </row>
    <row r="1962" spans="1:5">
      <c r="A1962">
        <f>HYPERLINK("http://www.twitter.com/NYCHA/status/738049589434023936", "738049589434023936")</f>
        <v>0</v>
      </c>
      <c r="B1962" s="2">
        <v>42522.7003356482</v>
      </c>
      <c r="C1962">
        <v>0</v>
      </c>
      <c r="D1962">
        <v>32</v>
      </c>
      <c r="E1962" t="s">
        <v>1916</v>
      </c>
    </row>
    <row r="1963" spans="1:5">
      <c r="A1963">
        <f>HYPERLINK("http://www.twitter.com/NYCHA/status/738033543339724800", "738033543339724800")</f>
        <v>0</v>
      </c>
      <c r="B1963" s="2">
        <v>42522.6560532407</v>
      </c>
      <c r="C1963">
        <v>3</v>
      </c>
      <c r="D1963">
        <v>1</v>
      </c>
      <c r="E1963" t="s">
        <v>1917</v>
      </c>
    </row>
    <row r="1964" spans="1:5">
      <c r="A1964">
        <f>HYPERLINK("http://www.twitter.com/NYCHA/status/738033220424466436", "738033220424466436")</f>
        <v>0</v>
      </c>
      <c r="B1964" s="2">
        <v>42522.655162037</v>
      </c>
      <c r="C1964">
        <v>1</v>
      </c>
      <c r="D1964">
        <v>0</v>
      </c>
      <c r="E1964" t="s">
        <v>1918</v>
      </c>
    </row>
    <row r="1965" spans="1:5">
      <c r="A1965">
        <f>HYPERLINK("http://www.twitter.com/NYCHA/status/738032454368382976", "738032454368382976")</f>
        <v>0</v>
      </c>
      <c r="B1965" s="2">
        <v>42522.6530439815</v>
      </c>
      <c r="C1965">
        <v>1</v>
      </c>
      <c r="D1965">
        <v>2</v>
      </c>
      <c r="E1965" t="s">
        <v>1919</v>
      </c>
    </row>
    <row r="1966" spans="1:5">
      <c r="A1966">
        <f>HYPERLINK("http://www.twitter.com/NYCHA/status/738031405796610048", "738031405796610048")</f>
        <v>0</v>
      </c>
      <c r="B1966" s="2">
        <v>42522.650150463</v>
      </c>
      <c r="C1966">
        <v>1</v>
      </c>
      <c r="D1966">
        <v>2</v>
      </c>
      <c r="E1966" t="s">
        <v>1920</v>
      </c>
    </row>
    <row r="1967" spans="1:5">
      <c r="A1967">
        <f>HYPERLINK("http://www.twitter.com/NYCHA/status/738020195491557377", "738020195491557377")</f>
        <v>0</v>
      </c>
      <c r="B1967" s="2">
        <v>42522.619224537</v>
      </c>
      <c r="C1967">
        <v>0</v>
      </c>
      <c r="D1967">
        <v>1</v>
      </c>
      <c r="E1967" t="s">
        <v>623</v>
      </c>
    </row>
    <row r="1968" spans="1:5">
      <c r="A1968">
        <f>HYPERLINK("http://www.twitter.com/NYCHA/status/738007904272285698", "738007904272285698")</f>
        <v>0</v>
      </c>
      <c r="B1968" s="2">
        <v>42522.5853009259</v>
      </c>
      <c r="C1968">
        <v>3</v>
      </c>
      <c r="D1968">
        <v>0</v>
      </c>
      <c r="E1968" t="s">
        <v>889</v>
      </c>
    </row>
    <row r="1969" spans="1:5">
      <c r="A1969">
        <f>HYPERLINK("http://www.twitter.com/NYCHA/status/737993492476112897", "737993492476112897")</f>
        <v>0</v>
      </c>
      <c r="B1969" s="2">
        <v>42522.5455324074</v>
      </c>
      <c r="C1969">
        <v>0</v>
      </c>
      <c r="D1969">
        <v>0</v>
      </c>
      <c r="E1969" t="s">
        <v>1921</v>
      </c>
    </row>
    <row r="1970" spans="1:5">
      <c r="A1970">
        <f>HYPERLINK("http://www.twitter.com/NYCHA/status/737992711266013184", "737992711266013184")</f>
        <v>0</v>
      </c>
      <c r="B1970" s="2">
        <v>42522.5433796296</v>
      </c>
      <c r="C1970">
        <v>2</v>
      </c>
      <c r="D1970">
        <v>0</v>
      </c>
      <c r="E1970" t="s">
        <v>1922</v>
      </c>
    </row>
    <row r="1971" spans="1:5">
      <c r="A1971">
        <f>HYPERLINK("http://www.twitter.com/NYCHA/status/737735949040398336", "737735949040398336")</f>
        <v>0</v>
      </c>
      <c r="B1971" s="2">
        <v>42521.834849537</v>
      </c>
      <c r="C1971">
        <v>4</v>
      </c>
      <c r="D1971">
        <v>1</v>
      </c>
      <c r="E1971" t="s">
        <v>1923</v>
      </c>
    </row>
    <row r="1972" spans="1:5">
      <c r="A1972">
        <f>HYPERLINK("http://www.twitter.com/NYCHA/status/737705802811723777", "737705802811723777")</f>
        <v>0</v>
      </c>
      <c r="B1972" s="2">
        <v>42521.7516550926</v>
      </c>
      <c r="C1972">
        <v>0</v>
      </c>
      <c r="D1972">
        <v>0</v>
      </c>
      <c r="E1972" t="s">
        <v>1924</v>
      </c>
    </row>
    <row r="1973" spans="1:5">
      <c r="A1973">
        <f>HYPERLINK("http://www.twitter.com/NYCHA/status/737675607811719168", "737675607811719168")</f>
        <v>0</v>
      </c>
      <c r="B1973" s="2">
        <v>42521.6683333333</v>
      </c>
      <c r="C1973">
        <v>3</v>
      </c>
      <c r="D1973">
        <v>1</v>
      </c>
      <c r="E1973" t="s">
        <v>1925</v>
      </c>
    </row>
    <row r="1974" spans="1:5">
      <c r="A1974">
        <f>HYPERLINK("http://www.twitter.com/NYCHA/status/737642179347222528", "737642179347222528")</f>
        <v>0</v>
      </c>
      <c r="B1974" s="2">
        <v>42521.576087963</v>
      </c>
      <c r="C1974">
        <v>0</v>
      </c>
      <c r="D1974">
        <v>1</v>
      </c>
      <c r="E1974" t="s">
        <v>1926</v>
      </c>
    </row>
    <row r="1975" spans="1:5">
      <c r="A1975">
        <f>HYPERLINK("http://www.twitter.com/NYCHA/status/737642132375281664", "737642132375281664")</f>
        <v>0</v>
      </c>
      <c r="B1975" s="2">
        <v>42521.5759606482</v>
      </c>
      <c r="C1975">
        <v>0</v>
      </c>
      <c r="D1975">
        <v>2</v>
      </c>
      <c r="E1975" t="s">
        <v>1927</v>
      </c>
    </row>
    <row r="1976" spans="1:5">
      <c r="A1976">
        <f>HYPERLINK("http://www.twitter.com/NYCHA/status/737642123659489280", "737642123659489280")</f>
        <v>0</v>
      </c>
      <c r="B1976" s="2">
        <v>42521.5759375</v>
      </c>
      <c r="C1976">
        <v>0</v>
      </c>
      <c r="D1976">
        <v>2</v>
      </c>
      <c r="E1976" t="s">
        <v>1928</v>
      </c>
    </row>
    <row r="1977" spans="1:5">
      <c r="A1977">
        <f>HYPERLINK("http://www.twitter.com/NYCHA/status/737642002838355968", "737642002838355968")</f>
        <v>0</v>
      </c>
      <c r="B1977" s="2">
        <v>42521.5756018519</v>
      </c>
      <c r="C1977">
        <v>0</v>
      </c>
      <c r="D1977">
        <v>8</v>
      </c>
      <c r="E1977" t="s">
        <v>1929</v>
      </c>
    </row>
    <row r="1978" spans="1:5">
      <c r="A1978">
        <f>HYPERLINK("http://www.twitter.com/NYCHA/status/737631120423063552", "737631120423063552")</f>
        <v>0</v>
      </c>
      <c r="B1978" s="2">
        <v>42521.5455787037</v>
      </c>
      <c r="C1978">
        <v>0</v>
      </c>
      <c r="D1978">
        <v>0</v>
      </c>
      <c r="E1978" t="s">
        <v>1930</v>
      </c>
    </row>
    <row r="1979" spans="1:5">
      <c r="A1979">
        <f>HYPERLINK("http://www.twitter.com/NYCHA/status/737630336671223808", "737630336671223808")</f>
        <v>0</v>
      </c>
      <c r="B1979" s="2">
        <v>42521.5434143519</v>
      </c>
      <c r="C1979">
        <v>0</v>
      </c>
      <c r="D1979">
        <v>0</v>
      </c>
      <c r="E1979" t="s">
        <v>1931</v>
      </c>
    </row>
    <row r="1980" spans="1:5">
      <c r="A1980">
        <f>HYPERLINK("http://www.twitter.com/NYCHA/status/737283979330588673", "737283979330588673")</f>
        <v>0</v>
      </c>
      <c r="B1980" s="2">
        <v>42520.587650463</v>
      </c>
      <c r="C1980">
        <v>0</v>
      </c>
      <c r="D1980">
        <v>1</v>
      </c>
      <c r="E1980" t="s">
        <v>1932</v>
      </c>
    </row>
    <row r="1981" spans="1:5">
      <c r="A1981">
        <f>HYPERLINK("http://www.twitter.com/NYCHA/status/737282943354310656", "737282943354310656")</f>
        <v>0</v>
      </c>
      <c r="B1981" s="2">
        <v>42520.5847916667</v>
      </c>
      <c r="C1981">
        <v>4</v>
      </c>
      <c r="D1981">
        <v>0</v>
      </c>
      <c r="E1981" t="s">
        <v>1933</v>
      </c>
    </row>
    <row r="1982" spans="1:5">
      <c r="A1982">
        <f>HYPERLINK("http://www.twitter.com/NYCHA/status/736264565558808577", "736264565558808577")</f>
        <v>0</v>
      </c>
      <c r="B1982" s="2">
        <v>42517.7746064815</v>
      </c>
      <c r="C1982">
        <v>0</v>
      </c>
      <c r="D1982">
        <v>1</v>
      </c>
      <c r="E1982" t="s">
        <v>1934</v>
      </c>
    </row>
    <row r="1983" spans="1:5">
      <c r="A1983">
        <f>HYPERLINK("http://www.twitter.com/NYCHA/status/736262301754482688", "736262301754482688")</f>
        <v>0</v>
      </c>
      <c r="B1983" s="2">
        <v>42517.7683564815</v>
      </c>
      <c r="C1983">
        <v>0</v>
      </c>
      <c r="D1983">
        <v>2</v>
      </c>
      <c r="E1983" t="s">
        <v>1935</v>
      </c>
    </row>
    <row r="1984" spans="1:5">
      <c r="A1984">
        <f>HYPERLINK("http://www.twitter.com/NYCHA/status/736262070975500293", "736262070975500293")</f>
        <v>0</v>
      </c>
      <c r="B1984" s="2">
        <v>42517.7677199074</v>
      </c>
      <c r="C1984">
        <v>0</v>
      </c>
      <c r="D1984">
        <v>3</v>
      </c>
      <c r="E1984" t="s">
        <v>1936</v>
      </c>
    </row>
    <row r="1985" spans="1:5">
      <c r="A1985">
        <f>HYPERLINK("http://www.twitter.com/NYCHA/status/736260328594542592", "736260328594542592")</f>
        <v>0</v>
      </c>
      <c r="B1985" s="2">
        <v>42517.7629166667</v>
      </c>
      <c r="C1985">
        <v>0</v>
      </c>
      <c r="D1985">
        <v>1</v>
      </c>
      <c r="E1985" t="s">
        <v>1937</v>
      </c>
    </row>
    <row r="1986" spans="1:5">
      <c r="A1986">
        <f>HYPERLINK("http://www.twitter.com/NYCHA/status/736260320465915905", "736260320465915905")</f>
        <v>0</v>
      </c>
      <c r="B1986" s="2">
        <v>42517.7628935185</v>
      </c>
      <c r="C1986">
        <v>0</v>
      </c>
      <c r="D1986">
        <v>1</v>
      </c>
      <c r="E1986" t="s">
        <v>1938</v>
      </c>
    </row>
    <row r="1987" spans="1:5">
      <c r="A1987">
        <f>HYPERLINK("http://www.twitter.com/NYCHA/status/736259637293514758", "736259637293514758")</f>
        <v>0</v>
      </c>
      <c r="B1987" s="2">
        <v>42517.7610069444</v>
      </c>
      <c r="C1987">
        <v>0</v>
      </c>
      <c r="D1987">
        <v>1</v>
      </c>
      <c r="E1987" t="s">
        <v>1939</v>
      </c>
    </row>
    <row r="1988" spans="1:5">
      <c r="A1988">
        <f>HYPERLINK("http://www.twitter.com/NYCHA/status/736226841011314688", "736226841011314688")</f>
        <v>0</v>
      </c>
      <c r="B1988" s="2">
        <v>42517.6704976852</v>
      </c>
      <c r="C1988">
        <v>0</v>
      </c>
      <c r="D1988">
        <v>1</v>
      </c>
      <c r="E1988" t="s">
        <v>1940</v>
      </c>
    </row>
    <row r="1989" spans="1:5">
      <c r="A1989">
        <f>HYPERLINK("http://www.twitter.com/NYCHA/status/736213210928447488", "736213210928447488")</f>
        <v>0</v>
      </c>
      <c r="B1989" s="2">
        <v>42517.6328935185</v>
      </c>
      <c r="C1989">
        <v>0</v>
      </c>
      <c r="D1989">
        <v>3</v>
      </c>
      <c r="E1989" t="s">
        <v>1941</v>
      </c>
    </row>
    <row r="1990" spans="1:5">
      <c r="A1990">
        <f>HYPERLINK("http://www.twitter.com/NYCHA/status/736209079937454080", "736209079937454080")</f>
        <v>0</v>
      </c>
      <c r="B1990" s="2">
        <v>42517.6214930556</v>
      </c>
      <c r="C1990">
        <v>2</v>
      </c>
      <c r="D1990">
        <v>1</v>
      </c>
      <c r="E1990" t="s">
        <v>1942</v>
      </c>
    </row>
    <row r="1991" spans="1:5">
      <c r="A1991">
        <f>HYPERLINK("http://www.twitter.com/NYCHA/status/736193703933444096", "736193703933444096")</f>
        <v>0</v>
      </c>
      <c r="B1991" s="2">
        <v>42517.5790625</v>
      </c>
      <c r="C1991">
        <v>0</v>
      </c>
      <c r="D1991">
        <v>1</v>
      </c>
      <c r="E1991" t="s">
        <v>1943</v>
      </c>
    </row>
    <row r="1992" spans="1:5">
      <c r="A1992">
        <f>HYPERLINK("http://www.twitter.com/NYCHA/status/736189266980667392", "736189266980667392")</f>
        <v>0</v>
      </c>
      <c r="B1992" s="2">
        <v>42517.5668171296</v>
      </c>
      <c r="C1992">
        <v>0</v>
      </c>
      <c r="D1992">
        <v>1</v>
      </c>
      <c r="E1992" t="s">
        <v>1944</v>
      </c>
    </row>
    <row r="1993" spans="1:5">
      <c r="A1993">
        <f>HYPERLINK("http://www.twitter.com/NYCHA/status/736189052316209152", "736189052316209152")</f>
        <v>0</v>
      </c>
      <c r="B1993" s="2">
        <v>42517.5662268518</v>
      </c>
      <c r="C1993">
        <v>0</v>
      </c>
      <c r="D1993">
        <v>3</v>
      </c>
      <c r="E1993" t="s">
        <v>1945</v>
      </c>
    </row>
    <row r="1994" spans="1:5">
      <c r="A1994">
        <f>HYPERLINK("http://www.twitter.com/NYCHA/status/736181580251734016", "736181580251734016")</f>
        <v>0</v>
      </c>
      <c r="B1994" s="2">
        <v>42517.5456018519</v>
      </c>
      <c r="C1994">
        <v>1</v>
      </c>
      <c r="D1994">
        <v>0</v>
      </c>
      <c r="E1994" t="s">
        <v>1946</v>
      </c>
    </row>
    <row r="1995" spans="1:5">
      <c r="A1995">
        <f>HYPERLINK("http://www.twitter.com/NYCHA/status/736180882906701824", "736180882906701824")</f>
        <v>0</v>
      </c>
      <c r="B1995" s="2">
        <v>42517.5436805556</v>
      </c>
      <c r="C1995">
        <v>0</v>
      </c>
      <c r="D1995">
        <v>0</v>
      </c>
      <c r="E1995" t="s">
        <v>1947</v>
      </c>
    </row>
    <row r="1996" spans="1:5">
      <c r="A1996">
        <f>HYPERLINK("http://www.twitter.com/NYCHA/status/735950240835063809", "735950240835063809")</f>
        <v>0</v>
      </c>
      <c r="B1996" s="2">
        <v>42516.9072337963</v>
      </c>
      <c r="C1996">
        <v>1</v>
      </c>
      <c r="D1996">
        <v>0</v>
      </c>
      <c r="E1996" t="s">
        <v>1948</v>
      </c>
    </row>
    <row r="1997" spans="1:5">
      <c r="A1997">
        <f>HYPERLINK("http://www.twitter.com/NYCHA/status/735945006398210048", "735945006398210048")</f>
        <v>0</v>
      </c>
      <c r="B1997" s="2">
        <v>42516.8927893518</v>
      </c>
      <c r="C1997">
        <v>4</v>
      </c>
      <c r="D1997">
        <v>4</v>
      </c>
      <c r="E1997" t="s">
        <v>1949</v>
      </c>
    </row>
    <row r="1998" spans="1:5">
      <c r="A1998">
        <f>HYPERLINK("http://www.twitter.com/NYCHA/status/735921357255548929", "735921357255548929")</f>
        <v>0</v>
      </c>
      <c r="B1998" s="2">
        <v>42516.8275231481</v>
      </c>
      <c r="C1998">
        <v>7</v>
      </c>
      <c r="D1998">
        <v>2</v>
      </c>
      <c r="E1998" t="s">
        <v>1950</v>
      </c>
    </row>
    <row r="1999" spans="1:5">
      <c r="A1999">
        <f>HYPERLINK("http://www.twitter.com/NYCHA/status/735918757168701440", "735918757168701440")</f>
        <v>0</v>
      </c>
      <c r="B1999" s="2">
        <v>42516.8203587963</v>
      </c>
      <c r="C1999">
        <v>0</v>
      </c>
      <c r="D1999">
        <v>5</v>
      </c>
      <c r="E1999" t="s">
        <v>1951</v>
      </c>
    </row>
    <row r="2000" spans="1:5">
      <c r="A2000">
        <f>HYPERLINK("http://www.twitter.com/NYCHA/status/735915982439485440", "735915982439485440")</f>
        <v>0</v>
      </c>
      <c r="B2000" s="2">
        <v>42516.8126967593</v>
      </c>
      <c r="C2000">
        <v>0</v>
      </c>
      <c r="D2000">
        <v>0</v>
      </c>
      <c r="E2000" t="s">
        <v>1952</v>
      </c>
    </row>
    <row r="2001" spans="1:5">
      <c r="A2001">
        <f>HYPERLINK("http://www.twitter.com/NYCHA/status/735913357220384768", "735913357220384768")</f>
        <v>0</v>
      </c>
      <c r="B2001" s="2">
        <v>42516.8054513889</v>
      </c>
      <c r="C2001">
        <v>0</v>
      </c>
      <c r="D2001">
        <v>3</v>
      </c>
      <c r="E2001" t="s">
        <v>1953</v>
      </c>
    </row>
    <row r="2002" spans="1:5">
      <c r="A2002">
        <f>HYPERLINK("http://www.twitter.com/NYCHA/status/735912833385402368", "735912833385402368")</f>
        <v>0</v>
      </c>
      <c r="B2002" s="2">
        <v>42516.8040046296</v>
      </c>
      <c r="C2002">
        <v>0</v>
      </c>
      <c r="D2002">
        <v>4</v>
      </c>
      <c r="E2002" t="s">
        <v>1954</v>
      </c>
    </row>
    <row r="2003" spans="1:5">
      <c r="A2003">
        <f>HYPERLINK("http://www.twitter.com/NYCHA/status/735908618697093121", "735908618697093121")</f>
        <v>0</v>
      </c>
      <c r="B2003" s="2">
        <v>42516.7923726852</v>
      </c>
      <c r="C2003">
        <v>0</v>
      </c>
      <c r="D2003">
        <v>1</v>
      </c>
      <c r="E2003" t="s">
        <v>1955</v>
      </c>
    </row>
    <row r="2004" spans="1:5">
      <c r="A2004">
        <f>HYPERLINK("http://www.twitter.com/NYCHA/status/735886999316467712", "735886999316467712")</f>
        <v>0</v>
      </c>
      <c r="B2004" s="2">
        <v>42516.7327199074</v>
      </c>
      <c r="C2004">
        <v>8</v>
      </c>
      <c r="D2004">
        <v>7</v>
      </c>
      <c r="E2004" t="s">
        <v>1956</v>
      </c>
    </row>
    <row r="2005" spans="1:5">
      <c r="A2005">
        <f>HYPERLINK("http://www.twitter.com/NYCHA/status/735867570499293185", "735867570499293185")</f>
        <v>0</v>
      </c>
      <c r="B2005" s="2">
        <v>42516.6791087963</v>
      </c>
      <c r="C2005">
        <v>1</v>
      </c>
      <c r="D2005">
        <v>2</v>
      </c>
      <c r="E2005" t="s">
        <v>1957</v>
      </c>
    </row>
    <row r="2006" spans="1:5">
      <c r="A2006">
        <f>HYPERLINK("http://www.twitter.com/NYCHA/status/735859000965795840", "735859000965795840")</f>
        <v>0</v>
      </c>
      <c r="B2006" s="2">
        <v>42516.655462963</v>
      </c>
      <c r="C2006">
        <v>2</v>
      </c>
      <c r="D2006">
        <v>1</v>
      </c>
      <c r="E2006" t="s">
        <v>1958</v>
      </c>
    </row>
    <row r="2007" spans="1:5">
      <c r="A2007">
        <f>HYPERLINK("http://www.twitter.com/NYCHA/status/735827477076008960", "735827477076008960")</f>
        <v>0</v>
      </c>
      <c r="B2007" s="2">
        <v>42516.5684722222</v>
      </c>
      <c r="C2007">
        <v>0</v>
      </c>
      <c r="D2007">
        <v>0</v>
      </c>
      <c r="E2007" t="s">
        <v>1959</v>
      </c>
    </row>
    <row r="2008" spans="1:5">
      <c r="A2008">
        <f>HYPERLINK("http://www.twitter.com/NYCHA/status/735819202574069760", "735819202574069760")</f>
        <v>0</v>
      </c>
      <c r="B2008" s="2">
        <v>42516.5456365741</v>
      </c>
      <c r="C2008">
        <v>0</v>
      </c>
      <c r="D2008">
        <v>1</v>
      </c>
      <c r="E2008" t="s">
        <v>1960</v>
      </c>
    </row>
    <row r="2009" spans="1:5">
      <c r="A2009">
        <f>HYPERLINK("http://www.twitter.com/NYCHA/status/735818488845996032", "735818488845996032")</f>
        <v>0</v>
      </c>
      <c r="B2009" s="2">
        <v>42516.5436689815</v>
      </c>
      <c r="C2009">
        <v>0</v>
      </c>
      <c r="D2009">
        <v>0</v>
      </c>
      <c r="E2009" t="s">
        <v>1961</v>
      </c>
    </row>
    <row r="2010" spans="1:5">
      <c r="A2010">
        <f>HYPERLINK("http://www.twitter.com/NYCHA/status/735622772056072196", "735622772056072196")</f>
        <v>0</v>
      </c>
      <c r="B2010" s="2">
        <v>42516.003587963</v>
      </c>
      <c r="C2010">
        <v>0</v>
      </c>
      <c r="D2010">
        <v>1</v>
      </c>
      <c r="E2010" t="s">
        <v>1962</v>
      </c>
    </row>
    <row r="2011" spans="1:5">
      <c r="A2011">
        <f>HYPERLINK("http://www.twitter.com/NYCHA/status/735606771595759618", "735606771595759618")</f>
        <v>0</v>
      </c>
      <c r="B2011" s="2">
        <v>42515.9594328704</v>
      </c>
      <c r="C2011">
        <v>4</v>
      </c>
      <c r="D2011">
        <v>0</v>
      </c>
      <c r="E2011" t="s">
        <v>1963</v>
      </c>
    </row>
    <row r="2012" spans="1:5">
      <c r="A2012">
        <f>HYPERLINK("http://www.twitter.com/NYCHA/status/735592572442279936", "735592572442279936")</f>
        <v>0</v>
      </c>
      <c r="B2012" s="2">
        <v>42515.9202546296</v>
      </c>
      <c r="C2012">
        <v>0</v>
      </c>
      <c r="D2012">
        <v>3</v>
      </c>
      <c r="E2012" t="s">
        <v>1964</v>
      </c>
    </row>
    <row r="2013" spans="1:5">
      <c r="A2013">
        <f>HYPERLINK("http://www.twitter.com/NYCHA/status/735559464783319040", "735559464783319040")</f>
        <v>0</v>
      </c>
      <c r="B2013" s="2">
        <v>42515.828900463</v>
      </c>
      <c r="C2013">
        <v>3</v>
      </c>
      <c r="D2013">
        <v>1</v>
      </c>
      <c r="E2013" t="s">
        <v>1965</v>
      </c>
    </row>
    <row r="2014" spans="1:5">
      <c r="A2014">
        <f>HYPERLINK("http://www.twitter.com/NYCHA/status/735557644325421056", "735557644325421056")</f>
        <v>0</v>
      </c>
      <c r="B2014" s="2">
        <v>42515.8238773148</v>
      </c>
      <c r="C2014">
        <v>4</v>
      </c>
      <c r="D2014">
        <v>4</v>
      </c>
      <c r="E2014" t="s">
        <v>1966</v>
      </c>
    </row>
    <row r="2015" spans="1:5">
      <c r="A2015">
        <f>HYPERLINK("http://www.twitter.com/NYCHA/status/735554507036299265", "735554507036299265")</f>
        <v>0</v>
      </c>
      <c r="B2015" s="2">
        <v>42515.8152199074</v>
      </c>
      <c r="C2015">
        <v>0</v>
      </c>
      <c r="D2015">
        <v>1</v>
      </c>
      <c r="E2015" t="s">
        <v>1967</v>
      </c>
    </row>
    <row r="2016" spans="1:5">
      <c r="A2016">
        <f>HYPERLINK("http://www.twitter.com/NYCHA/status/735550792137072640", "735550792137072640")</f>
        <v>0</v>
      </c>
      <c r="B2016" s="2">
        <v>42515.8049652778</v>
      </c>
      <c r="C2016">
        <v>0</v>
      </c>
      <c r="D2016">
        <v>4</v>
      </c>
      <c r="E2016" t="s">
        <v>623</v>
      </c>
    </row>
    <row r="2017" spans="1:5">
      <c r="A2017">
        <f>HYPERLINK("http://www.twitter.com/NYCHA/status/735546205288206336", "735546205288206336")</f>
        <v>0</v>
      </c>
      <c r="B2017" s="2">
        <v>42515.7923032407</v>
      </c>
      <c r="C2017">
        <v>0</v>
      </c>
      <c r="D2017">
        <v>0</v>
      </c>
      <c r="E2017" t="s">
        <v>1968</v>
      </c>
    </row>
    <row r="2018" spans="1:5">
      <c r="A2018">
        <f>HYPERLINK("http://www.twitter.com/NYCHA/status/735523682320285696", "735523682320285696")</f>
        <v>0</v>
      </c>
      <c r="B2018" s="2">
        <v>42515.730150463</v>
      </c>
      <c r="C2018">
        <v>1</v>
      </c>
      <c r="D2018">
        <v>2</v>
      </c>
      <c r="E2018" t="s">
        <v>5</v>
      </c>
    </row>
    <row r="2019" spans="1:5">
      <c r="A2019">
        <f>HYPERLINK("http://www.twitter.com/NYCHA/status/735504692525027328", "735504692525027328")</f>
        <v>0</v>
      </c>
      <c r="B2019" s="2">
        <v>42515.6777546296</v>
      </c>
      <c r="C2019">
        <v>3</v>
      </c>
      <c r="D2019">
        <v>5</v>
      </c>
      <c r="E2019" t="s">
        <v>1969</v>
      </c>
    </row>
    <row r="2020" spans="1:5">
      <c r="A2020">
        <f>HYPERLINK("http://www.twitter.com/NYCHA/status/735474632694845440", "735474632694845440")</f>
        <v>0</v>
      </c>
      <c r="B2020" s="2">
        <v>42515.5948032407</v>
      </c>
      <c r="C2020">
        <v>1</v>
      </c>
      <c r="D2020">
        <v>0</v>
      </c>
      <c r="E2020" t="s">
        <v>1970</v>
      </c>
    </row>
    <row r="2021" spans="1:5">
      <c r="A2021">
        <f>HYPERLINK("http://www.twitter.com/NYCHA/status/735472030074687488", "735472030074687488")</f>
        <v>0</v>
      </c>
      <c r="B2021" s="2">
        <v>42515.5876273148</v>
      </c>
      <c r="C2021">
        <v>0</v>
      </c>
      <c r="D2021">
        <v>4</v>
      </c>
      <c r="E2021" t="s">
        <v>1971</v>
      </c>
    </row>
    <row r="2022" spans="1:5">
      <c r="A2022">
        <f>HYPERLINK("http://www.twitter.com/NYCHA/status/735471774771580928", "735471774771580928")</f>
        <v>0</v>
      </c>
      <c r="B2022" s="2">
        <v>42515.5869212963</v>
      </c>
      <c r="C2022">
        <v>1</v>
      </c>
      <c r="D2022">
        <v>0</v>
      </c>
      <c r="E2022" t="s">
        <v>1972</v>
      </c>
    </row>
    <row r="2023" spans="1:5">
      <c r="A2023">
        <f>HYPERLINK("http://www.twitter.com/NYCHA/status/735465562864771072", "735465562864771072")</f>
        <v>0</v>
      </c>
      <c r="B2023" s="2">
        <v>42515.5697800926</v>
      </c>
      <c r="C2023">
        <v>0</v>
      </c>
      <c r="D2023">
        <v>1</v>
      </c>
      <c r="E2023" t="s">
        <v>1973</v>
      </c>
    </row>
    <row r="2024" spans="1:5">
      <c r="A2024">
        <f>HYPERLINK("http://www.twitter.com/NYCHA/status/735456811147530240", "735456811147530240")</f>
        <v>0</v>
      </c>
      <c r="B2024" s="2">
        <v>42515.545625</v>
      </c>
      <c r="C2024">
        <v>0</v>
      </c>
      <c r="D2024">
        <v>0</v>
      </c>
      <c r="E2024" t="s">
        <v>1974</v>
      </c>
    </row>
    <row r="2025" spans="1:5">
      <c r="A2025">
        <f>HYPERLINK("http://www.twitter.com/NYCHA/status/735456083230216192", "735456083230216192")</f>
        <v>0</v>
      </c>
      <c r="B2025" s="2">
        <v>42515.5436226852</v>
      </c>
      <c r="C2025">
        <v>0</v>
      </c>
      <c r="D2025">
        <v>0</v>
      </c>
      <c r="E2025" t="s">
        <v>1975</v>
      </c>
    </row>
    <row r="2026" spans="1:5">
      <c r="A2026">
        <f>HYPERLINK("http://www.twitter.com/NYCHA/status/735242541600231424", "735242541600231424")</f>
        <v>0</v>
      </c>
      <c r="B2026" s="2">
        <v>42514.9543518519</v>
      </c>
      <c r="C2026">
        <v>3</v>
      </c>
      <c r="D2026">
        <v>2</v>
      </c>
      <c r="E2026" t="s">
        <v>1976</v>
      </c>
    </row>
    <row r="2027" spans="1:5">
      <c r="A2027">
        <f>HYPERLINK("http://www.twitter.com/NYCHA/status/735231006660300801", "735231006660300801")</f>
        <v>0</v>
      </c>
      <c r="B2027" s="2">
        <v>42514.9225231481</v>
      </c>
      <c r="C2027">
        <v>0</v>
      </c>
      <c r="D2027">
        <v>4</v>
      </c>
      <c r="E2027" t="s">
        <v>1977</v>
      </c>
    </row>
    <row r="2028" spans="1:5">
      <c r="A2028">
        <f>HYPERLINK("http://www.twitter.com/NYCHA/status/735191281547284480", "735191281547284480")</f>
        <v>0</v>
      </c>
      <c r="B2028" s="2">
        <v>42514.8129050926</v>
      </c>
      <c r="C2028">
        <v>0</v>
      </c>
      <c r="D2028">
        <v>1</v>
      </c>
      <c r="E2028" t="s">
        <v>1978</v>
      </c>
    </row>
    <row r="2029" spans="1:5">
      <c r="A2029">
        <f>HYPERLINK("http://www.twitter.com/NYCHA/status/735186309929668608", "735186309929668608")</f>
        <v>0</v>
      </c>
      <c r="B2029" s="2">
        <v>42514.7991898148</v>
      </c>
      <c r="C2029">
        <v>0</v>
      </c>
      <c r="D2029">
        <v>1</v>
      </c>
      <c r="E2029" t="s">
        <v>1979</v>
      </c>
    </row>
    <row r="2030" spans="1:5">
      <c r="A2030">
        <f>HYPERLINK("http://www.twitter.com/NYCHA/status/735180513787449345", "735180513787449345")</f>
        <v>0</v>
      </c>
      <c r="B2030" s="2">
        <v>42514.7831944444</v>
      </c>
      <c r="C2030">
        <v>4</v>
      </c>
      <c r="D2030">
        <v>4</v>
      </c>
      <c r="E2030" t="s">
        <v>1980</v>
      </c>
    </row>
    <row r="2031" spans="1:5">
      <c r="A2031">
        <f>HYPERLINK("http://www.twitter.com/NYCHA/status/735177293140746240", "735177293140746240")</f>
        <v>0</v>
      </c>
      <c r="B2031" s="2">
        <v>42514.7743055556</v>
      </c>
      <c r="C2031">
        <v>0</v>
      </c>
      <c r="D2031">
        <v>2</v>
      </c>
      <c r="E2031" t="s">
        <v>1981</v>
      </c>
    </row>
    <row r="2032" spans="1:5">
      <c r="A2032">
        <f>HYPERLINK("http://www.twitter.com/NYCHA/status/735160108716593152", "735160108716593152")</f>
        <v>0</v>
      </c>
      <c r="B2032" s="2">
        <v>42514.7268865741</v>
      </c>
      <c r="C2032">
        <v>0</v>
      </c>
      <c r="D2032">
        <v>6</v>
      </c>
      <c r="E2032" t="s">
        <v>1982</v>
      </c>
    </row>
    <row r="2033" spans="1:5">
      <c r="A2033">
        <f>HYPERLINK("http://www.twitter.com/NYCHA/status/735159022781882369", "735159022781882369")</f>
        <v>0</v>
      </c>
      <c r="B2033" s="2">
        <v>42514.7238888889</v>
      </c>
      <c r="C2033">
        <v>0</v>
      </c>
      <c r="D2033">
        <v>3</v>
      </c>
      <c r="E2033" t="s">
        <v>1983</v>
      </c>
    </row>
    <row r="2034" spans="1:5">
      <c r="A2034">
        <f>HYPERLINK("http://www.twitter.com/NYCHA/status/735158978255163392", "735158978255163392")</f>
        <v>0</v>
      </c>
      <c r="B2034" s="2">
        <v>42514.7237615741</v>
      </c>
      <c r="C2034">
        <v>0</v>
      </c>
      <c r="D2034">
        <v>4</v>
      </c>
      <c r="E2034" t="s">
        <v>1984</v>
      </c>
    </row>
    <row r="2035" spans="1:5">
      <c r="A2035">
        <f>HYPERLINK("http://www.twitter.com/NYCHA/status/735139134096957440", "735139134096957440")</f>
        <v>0</v>
      </c>
      <c r="B2035" s="2">
        <v>42514.6690046296</v>
      </c>
      <c r="C2035">
        <v>1</v>
      </c>
      <c r="D2035">
        <v>1</v>
      </c>
      <c r="E2035" t="s">
        <v>874</v>
      </c>
    </row>
    <row r="2036" spans="1:5">
      <c r="A2036">
        <f>HYPERLINK("http://www.twitter.com/NYCHA/status/735129394394587136", "735129394394587136")</f>
        <v>0</v>
      </c>
      <c r="B2036" s="2">
        <v>42514.6421296296</v>
      </c>
      <c r="C2036">
        <v>0</v>
      </c>
      <c r="D2036">
        <v>3</v>
      </c>
      <c r="E2036" t="s">
        <v>1985</v>
      </c>
    </row>
    <row r="2037" spans="1:5">
      <c r="A2037">
        <f>HYPERLINK("http://www.twitter.com/NYCHA/status/735129385167130626", "735129385167130626")</f>
        <v>0</v>
      </c>
      <c r="B2037" s="2">
        <v>42514.6421064815</v>
      </c>
      <c r="C2037">
        <v>0</v>
      </c>
      <c r="D2037">
        <v>3</v>
      </c>
      <c r="E2037" t="s">
        <v>1986</v>
      </c>
    </row>
    <row r="2038" spans="1:5">
      <c r="A2038">
        <f>HYPERLINK("http://www.twitter.com/NYCHA/status/735119452694548481", "735119452694548481")</f>
        <v>0</v>
      </c>
      <c r="B2038" s="2">
        <v>42514.6146990741</v>
      </c>
      <c r="C2038">
        <v>0</v>
      </c>
      <c r="D2038">
        <v>1</v>
      </c>
      <c r="E2038" t="s">
        <v>1987</v>
      </c>
    </row>
    <row r="2039" spans="1:5">
      <c r="A2039">
        <f>HYPERLINK("http://www.twitter.com/NYCHA/status/735094440801538048", "735094440801538048")</f>
        <v>0</v>
      </c>
      <c r="B2039" s="2">
        <v>42514.5456712963</v>
      </c>
      <c r="C2039">
        <v>1</v>
      </c>
      <c r="D2039">
        <v>0</v>
      </c>
      <c r="E2039" t="s">
        <v>1988</v>
      </c>
    </row>
    <row r="2040" spans="1:5">
      <c r="A2040">
        <f>HYPERLINK("http://www.twitter.com/NYCHA/status/735093687739424769", "735093687739424769")</f>
        <v>0</v>
      </c>
      <c r="B2040" s="2">
        <v>42514.543599537</v>
      </c>
      <c r="C2040">
        <v>1</v>
      </c>
      <c r="D2040">
        <v>0</v>
      </c>
      <c r="E2040" t="s">
        <v>1989</v>
      </c>
    </row>
    <row r="2041" spans="1:5">
      <c r="A2041">
        <f>HYPERLINK("http://www.twitter.com/NYCHA/status/734851531162411011", "734851531162411011")</f>
        <v>0</v>
      </c>
      <c r="B2041" s="2">
        <v>42513.8753703704</v>
      </c>
      <c r="C2041">
        <v>0</v>
      </c>
      <c r="D2041">
        <v>1</v>
      </c>
      <c r="E2041" t="s">
        <v>1990</v>
      </c>
    </row>
    <row r="2042" spans="1:5">
      <c r="A2042">
        <f>HYPERLINK("http://www.twitter.com/NYCHA/status/734848586010218497", "734848586010218497")</f>
        <v>0</v>
      </c>
      <c r="B2042" s="2">
        <v>42513.8672453704</v>
      </c>
      <c r="C2042">
        <v>0</v>
      </c>
      <c r="D2042">
        <v>3</v>
      </c>
      <c r="E2042" t="s">
        <v>1991</v>
      </c>
    </row>
    <row r="2043" spans="1:5">
      <c r="A2043">
        <f>HYPERLINK("http://www.twitter.com/NYCHA/status/734841520046608384", "734841520046608384")</f>
        <v>0</v>
      </c>
      <c r="B2043" s="2">
        <v>42513.8477430556</v>
      </c>
      <c r="C2043">
        <v>0</v>
      </c>
      <c r="D2043">
        <v>25</v>
      </c>
      <c r="E2043" t="s">
        <v>1992</v>
      </c>
    </row>
    <row r="2044" spans="1:5">
      <c r="A2044">
        <f>HYPERLINK("http://www.twitter.com/NYCHA/status/734794831956955136", "734794831956955136")</f>
        <v>0</v>
      </c>
      <c r="B2044" s="2">
        <v>42513.718912037</v>
      </c>
      <c r="C2044">
        <v>2</v>
      </c>
      <c r="D2044">
        <v>1</v>
      </c>
      <c r="E2044" t="s">
        <v>1993</v>
      </c>
    </row>
    <row r="2045" spans="1:5">
      <c r="A2045">
        <f>HYPERLINK("http://www.twitter.com/NYCHA/status/734786095301431296", "734786095301431296")</f>
        <v>0</v>
      </c>
      <c r="B2045" s="2">
        <v>42513.6948032407</v>
      </c>
      <c r="C2045">
        <v>1</v>
      </c>
      <c r="D2045">
        <v>3</v>
      </c>
      <c r="E2045" t="s">
        <v>1994</v>
      </c>
    </row>
    <row r="2046" spans="1:5">
      <c r="A2046">
        <f>HYPERLINK("http://www.twitter.com/NYCHA/status/734776644322353152", "734776644322353152")</f>
        <v>0</v>
      </c>
      <c r="B2046" s="2">
        <v>42513.6687268519</v>
      </c>
      <c r="C2046">
        <v>1</v>
      </c>
      <c r="D2046">
        <v>1</v>
      </c>
      <c r="E2046" t="s">
        <v>1995</v>
      </c>
    </row>
    <row r="2047" spans="1:5">
      <c r="A2047">
        <f>HYPERLINK("http://www.twitter.com/NYCHA/status/734774349073403905", "734774349073403905")</f>
        <v>0</v>
      </c>
      <c r="B2047" s="2">
        <v>42513.6623842593</v>
      </c>
      <c r="C2047">
        <v>0</v>
      </c>
      <c r="D2047">
        <v>5</v>
      </c>
      <c r="E2047" t="s">
        <v>1996</v>
      </c>
    </row>
    <row r="2048" spans="1:5">
      <c r="A2048">
        <f>HYPERLINK("http://www.twitter.com/NYCHA/status/734773429296062465", "734773429296062465")</f>
        <v>0</v>
      </c>
      <c r="B2048" s="2">
        <v>42513.659849537</v>
      </c>
      <c r="C2048">
        <v>1</v>
      </c>
      <c r="D2048">
        <v>0</v>
      </c>
      <c r="E2048" t="s">
        <v>1997</v>
      </c>
    </row>
    <row r="2049" spans="1:5">
      <c r="A2049">
        <f>HYPERLINK("http://www.twitter.com/NYCHA/status/734761973594902533", "734761973594902533")</f>
        <v>0</v>
      </c>
      <c r="B2049" s="2">
        <v>42513.6282407407</v>
      </c>
      <c r="C2049">
        <v>0</v>
      </c>
      <c r="D2049">
        <v>2</v>
      </c>
      <c r="E2049" t="s">
        <v>1998</v>
      </c>
    </row>
    <row r="2050" spans="1:5">
      <c r="A2050">
        <f>HYPERLINK("http://www.twitter.com/NYCHA/status/734761561672278016", "734761561672278016")</f>
        <v>0</v>
      </c>
      <c r="B2050" s="2">
        <v>42513.6271064815</v>
      </c>
      <c r="C2050">
        <v>0</v>
      </c>
      <c r="D2050">
        <v>2</v>
      </c>
      <c r="E2050" t="s">
        <v>623</v>
      </c>
    </row>
    <row r="2051" spans="1:5">
      <c r="A2051">
        <f>HYPERLINK("http://www.twitter.com/NYCHA/status/734732031125553153", "734732031125553153")</f>
        <v>0</v>
      </c>
      <c r="B2051" s="2">
        <v>42513.5456134259</v>
      </c>
      <c r="C2051">
        <v>1</v>
      </c>
      <c r="D2051">
        <v>0</v>
      </c>
      <c r="E2051" t="s">
        <v>1999</v>
      </c>
    </row>
    <row r="2052" spans="1:5">
      <c r="A2052">
        <f>HYPERLINK("http://www.twitter.com/NYCHA/status/734731263836327937", "734731263836327937")</f>
        <v>0</v>
      </c>
      <c r="B2052" s="2">
        <v>42513.5434953704</v>
      </c>
      <c r="C2052">
        <v>1</v>
      </c>
      <c r="D2052">
        <v>0</v>
      </c>
      <c r="E2052" t="s">
        <v>2000</v>
      </c>
    </row>
    <row r="2053" spans="1:5">
      <c r="A2053">
        <f>HYPERLINK("http://www.twitter.com/NYCHA/status/733730402448314370", "733730402448314370")</f>
        <v>0</v>
      </c>
      <c r="B2053" s="2">
        <v>42510.7816435185</v>
      </c>
      <c r="C2053">
        <v>0</v>
      </c>
      <c r="D2053">
        <v>3</v>
      </c>
      <c r="E2053" t="s">
        <v>2001</v>
      </c>
    </row>
    <row r="2054" spans="1:5">
      <c r="A2054">
        <f>HYPERLINK("http://www.twitter.com/NYCHA/status/733719521769426946", "733719521769426946")</f>
        <v>0</v>
      </c>
      <c r="B2054" s="2">
        <v>42510.7516203704</v>
      </c>
      <c r="C2054">
        <v>2</v>
      </c>
      <c r="D2054">
        <v>1</v>
      </c>
      <c r="E2054" t="s">
        <v>2002</v>
      </c>
    </row>
    <row r="2055" spans="1:5">
      <c r="A2055">
        <f>HYPERLINK("http://www.twitter.com/NYCHA/status/733688205191618560", "733688205191618560")</f>
        <v>0</v>
      </c>
      <c r="B2055" s="2">
        <v>42510.6652083333</v>
      </c>
      <c r="C2055">
        <v>0</v>
      </c>
      <c r="D2055">
        <v>3</v>
      </c>
      <c r="E2055" t="s">
        <v>2003</v>
      </c>
    </row>
    <row r="2056" spans="1:5">
      <c r="A2056">
        <f>HYPERLINK("http://www.twitter.com/NYCHA/status/733682680701853699", "733682680701853699")</f>
        <v>0</v>
      </c>
      <c r="B2056" s="2">
        <v>42510.6499537037</v>
      </c>
      <c r="C2056">
        <v>0</v>
      </c>
      <c r="D2056">
        <v>1</v>
      </c>
      <c r="E2056" t="s">
        <v>2004</v>
      </c>
    </row>
    <row r="2057" spans="1:5">
      <c r="A2057">
        <f>HYPERLINK("http://www.twitter.com/NYCHA/status/733682399775760385", "733682399775760385")</f>
        <v>0</v>
      </c>
      <c r="B2057" s="2">
        <v>42510.6491782407</v>
      </c>
      <c r="C2057">
        <v>0</v>
      </c>
      <c r="D2057">
        <v>5</v>
      </c>
      <c r="E2057" t="s">
        <v>2005</v>
      </c>
    </row>
    <row r="2058" spans="1:5">
      <c r="A2058">
        <f>HYPERLINK("http://www.twitter.com/NYCHA/status/733681009179430912", "733681009179430912")</f>
        <v>0</v>
      </c>
      <c r="B2058" s="2">
        <v>42510.6453472222</v>
      </c>
      <c r="C2058">
        <v>0</v>
      </c>
      <c r="D2058">
        <v>1</v>
      </c>
      <c r="E2058" t="s">
        <v>2006</v>
      </c>
    </row>
    <row r="2059" spans="1:5">
      <c r="A2059">
        <f>HYPERLINK("http://www.twitter.com/NYCHA/status/733680505292460032", "733680505292460032")</f>
        <v>0</v>
      </c>
      <c r="B2059" s="2">
        <v>42510.6439583333</v>
      </c>
      <c r="C2059">
        <v>1</v>
      </c>
      <c r="D2059">
        <v>0</v>
      </c>
      <c r="E2059" t="s">
        <v>2007</v>
      </c>
    </row>
    <row r="2060" spans="1:5">
      <c r="A2060">
        <f>HYPERLINK("http://www.twitter.com/NYCHA/status/733679715928707072", "733679715928707072")</f>
        <v>0</v>
      </c>
      <c r="B2060" s="2">
        <v>42510.6417824074</v>
      </c>
      <c r="C2060">
        <v>0</v>
      </c>
      <c r="D2060">
        <v>4</v>
      </c>
      <c r="E2060" t="s">
        <v>2008</v>
      </c>
    </row>
    <row r="2061" spans="1:5">
      <c r="A2061">
        <f>HYPERLINK("http://www.twitter.com/NYCHA/status/733677794396385280", "733677794396385280")</f>
        <v>0</v>
      </c>
      <c r="B2061" s="2">
        <v>42510.6364699074</v>
      </c>
      <c r="C2061">
        <v>1</v>
      </c>
      <c r="D2061">
        <v>1</v>
      </c>
      <c r="E2061" t="s">
        <v>2009</v>
      </c>
    </row>
    <row r="2062" spans="1:5">
      <c r="A2062">
        <f>HYPERLINK("http://www.twitter.com/NYCHA/status/733668661794328577", "733668661794328577")</f>
        <v>0</v>
      </c>
      <c r="B2062" s="2">
        <v>42510.6112731481</v>
      </c>
      <c r="C2062">
        <v>0</v>
      </c>
      <c r="D2062">
        <v>6</v>
      </c>
      <c r="E2062" t="s">
        <v>2010</v>
      </c>
    </row>
    <row r="2063" spans="1:5">
      <c r="A2063">
        <f>HYPERLINK("http://www.twitter.com/NYCHA/status/733659292541288448", "733659292541288448")</f>
        <v>0</v>
      </c>
      <c r="B2063" s="2">
        <v>42510.5854166667</v>
      </c>
      <c r="C2063">
        <v>4</v>
      </c>
      <c r="D2063">
        <v>0</v>
      </c>
      <c r="E2063" t="s">
        <v>2011</v>
      </c>
    </row>
    <row r="2064" spans="1:5">
      <c r="A2064">
        <f>HYPERLINK("http://www.twitter.com/NYCHA/status/733644868887715840", "733644868887715840")</f>
        <v>0</v>
      </c>
      <c r="B2064" s="2">
        <v>42510.5456134259</v>
      </c>
      <c r="C2064">
        <v>0</v>
      </c>
      <c r="D2064">
        <v>0</v>
      </c>
      <c r="E2064" t="s">
        <v>2012</v>
      </c>
    </row>
    <row r="2065" spans="1:5">
      <c r="A2065">
        <f>HYPERLINK("http://www.twitter.com/NYCHA/status/733644239968604160", "733644239968604160")</f>
        <v>0</v>
      </c>
      <c r="B2065" s="2">
        <v>42510.5438773148</v>
      </c>
      <c r="C2065">
        <v>1</v>
      </c>
      <c r="D2065">
        <v>1</v>
      </c>
      <c r="E2065" t="s">
        <v>2013</v>
      </c>
    </row>
    <row r="2066" spans="1:5">
      <c r="A2066">
        <f>HYPERLINK("http://www.twitter.com/NYCHA/status/733395738248499200", "733395738248499200")</f>
        <v>0</v>
      </c>
      <c r="B2066" s="2">
        <v>42509.8581481481</v>
      </c>
      <c r="C2066">
        <v>0</v>
      </c>
      <c r="D2066">
        <v>1</v>
      </c>
      <c r="E2066" t="s">
        <v>2014</v>
      </c>
    </row>
    <row r="2067" spans="1:5">
      <c r="A2067">
        <f>HYPERLINK("http://www.twitter.com/NYCHA/status/733382162897047553", "733382162897047553")</f>
        <v>0</v>
      </c>
      <c r="B2067" s="2">
        <v>42509.8206828704</v>
      </c>
      <c r="C2067">
        <v>0</v>
      </c>
      <c r="D2067">
        <v>3</v>
      </c>
      <c r="E2067" t="s">
        <v>2015</v>
      </c>
    </row>
    <row r="2068" spans="1:5">
      <c r="A2068">
        <f>HYPERLINK("http://www.twitter.com/NYCHA/status/733377585179168769", "733377585179168769")</f>
        <v>0</v>
      </c>
      <c r="B2068" s="2">
        <v>42509.8080555556</v>
      </c>
      <c r="C2068">
        <v>6</v>
      </c>
      <c r="D2068">
        <v>6</v>
      </c>
      <c r="E2068" t="s">
        <v>2016</v>
      </c>
    </row>
    <row r="2069" spans="1:5">
      <c r="A2069">
        <f>HYPERLINK("http://www.twitter.com/NYCHA/status/733376569654272001", "733376569654272001")</f>
        <v>0</v>
      </c>
      <c r="B2069" s="2">
        <v>42509.8052546296</v>
      </c>
      <c r="C2069">
        <v>1</v>
      </c>
      <c r="D2069">
        <v>2</v>
      </c>
      <c r="E2069" t="s">
        <v>2017</v>
      </c>
    </row>
    <row r="2070" spans="1:5">
      <c r="A2070">
        <f>HYPERLINK("http://www.twitter.com/NYCHA/status/733375909986750464", "733375909986750464")</f>
        <v>0</v>
      </c>
      <c r="B2070" s="2">
        <v>42509.8034375</v>
      </c>
      <c r="C2070">
        <v>0</v>
      </c>
      <c r="D2070">
        <v>2</v>
      </c>
      <c r="E2070" t="s">
        <v>2018</v>
      </c>
    </row>
    <row r="2071" spans="1:5">
      <c r="A2071">
        <f>HYPERLINK("http://www.twitter.com/NYCHA/status/733375299614695424", "733375299614695424")</f>
        <v>0</v>
      </c>
      <c r="B2071" s="2">
        <v>42509.8017476852</v>
      </c>
      <c r="C2071">
        <v>3</v>
      </c>
      <c r="D2071">
        <v>6</v>
      </c>
      <c r="E2071" t="s">
        <v>2019</v>
      </c>
    </row>
    <row r="2072" spans="1:5">
      <c r="A2072">
        <f>HYPERLINK("http://www.twitter.com/NYCHA/status/733374837243162624", "733374837243162624")</f>
        <v>0</v>
      </c>
      <c r="B2072" s="2">
        <v>42509.800474537</v>
      </c>
      <c r="C2072">
        <v>1</v>
      </c>
      <c r="D2072">
        <v>0</v>
      </c>
      <c r="E2072" t="s">
        <v>2020</v>
      </c>
    </row>
    <row r="2073" spans="1:5">
      <c r="A2073">
        <f>HYPERLINK("http://www.twitter.com/NYCHA/status/733339056956952576", "733339056956952576")</f>
        <v>0</v>
      </c>
      <c r="B2073" s="2">
        <v>42509.7017361111</v>
      </c>
      <c r="C2073">
        <v>0</v>
      </c>
      <c r="D2073">
        <v>4</v>
      </c>
      <c r="E2073" t="s">
        <v>2021</v>
      </c>
    </row>
    <row r="2074" spans="1:5">
      <c r="A2074">
        <f>HYPERLINK("http://www.twitter.com/NYCHA/status/733330163199578112", "733330163199578112")</f>
        <v>0</v>
      </c>
      <c r="B2074" s="2">
        <v>42509.6771990741</v>
      </c>
      <c r="C2074">
        <v>7</v>
      </c>
      <c r="D2074">
        <v>5</v>
      </c>
      <c r="E2074" t="s">
        <v>2022</v>
      </c>
    </row>
    <row r="2075" spans="1:5">
      <c r="A2075">
        <f>HYPERLINK("http://www.twitter.com/NYCHA/status/733327025709191168", "733327025709191168")</f>
        <v>0</v>
      </c>
      <c r="B2075" s="2">
        <v>42509.6685416667</v>
      </c>
      <c r="C2075">
        <v>0</v>
      </c>
      <c r="D2075">
        <v>1</v>
      </c>
      <c r="E2075" t="s">
        <v>2023</v>
      </c>
    </row>
    <row r="2076" spans="1:5">
      <c r="A2076">
        <f>HYPERLINK("http://www.twitter.com/NYCHA/status/733313793896423426", "733313793896423426")</f>
        <v>0</v>
      </c>
      <c r="B2076" s="2">
        <v>42509.632025463</v>
      </c>
      <c r="C2076">
        <v>1</v>
      </c>
      <c r="D2076">
        <v>1</v>
      </c>
      <c r="E2076" t="s">
        <v>2024</v>
      </c>
    </row>
    <row r="2077" spans="1:5">
      <c r="A2077">
        <f>HYPERLINK("http://www.twitter.com/NYCHA/status/733299910620151808", "733299910620151808")</f>
        <v>0</v>
      </c>
      <c r="B2077" s="2">
        <v>42509.5937152778</v>
      </c>
      <c r="C2077">
        <v>0</v>
      </c>
      <c r="D2077">
        <v>3</v>
      </c>
      <c r="E2077" t="s">
        <v>2025</v>
      </c>
    </row>
    <row r="2078" spans="1:5">
      <c r="A2078">
        <f>HYPERLINK("http://www.twitter.com/NYCHA/status/733298999566929920", "733298999566929920")</f>
        <v>0</v>
      </c>
      <c r="B2078" s="2">
        <v>42509.5912037037</v>
      </c>
      <c r="C2078">
        <v>0</v>
      </c>
      <c r="D2078">
        <v>2</v>
      </c>
      <c r="E2078" t="s">
        <v>2026</v>
      </c>
    </row>
    <row r="2079" spans="1:5">
      <c r="A2079">
        <f>HYPERLINK("http://www.twitter.com/NYCHA/status/733298561853620224", "733298561853620224")</f>
        <v>0</v>
      </c>
      <c r="B2079" s="2">
        <v>42509.5899884259</v>
      </c>
      <c r="C2079">
        <v>0</v>
      </c>
      <c r="D2079">
        <v>3</v>
      </c>
      <c r="E2079" t="s">
        <v>2027</v>
      </c>
    </row>
    <row r="2080" spans="1:5">
      <c r="A2080">
        <f>HYPERLINK("http://www.twitter.com/NYCHA/status/733297821877710848", "733297821877710848")</f>
        <v>0</v>
      </c>
      <c r="B2080" s="2">
        <v>42509.5879513889</v>
      </c>
      <c r="C2080">
        <v>0</v>
      </c>
      <c r="D2080">
        <v>2</v>
      </c>
      <c r="E2080" t="s">
        <v>2028</v>
      </c>
    </row>
    <row r="2081" spans="1:5">
      <c r="A2081">
        <f>HYPERLINK("http://www.twitter.com/NYCHA/status/733282465628991490", "733282465628991490")</f>
        <v>0</v>
      </c>
      <c r="B2081" s="2">
        <v>42509.5455787037</v>
      </c>
      <c r="C2081">
        <v>0</v>
      </c>
      <c r="D2081">
        <v>0</v>
      </c>
      <c r="E2081" t="s">
        <v>2029</v>
      </c>
    </row>
    <row r="2082" spans="1:5">
      <c r="A2082">
        <f>HYPERLINK("http://www.twitter.com/NYCHA/status/733281694174810112", "733281694174810112")</f>
        <v>0</v>
      </c>
      <c r="B2082" s="2">
        <v>42509.5434490741</v>
      </c>
      <c r="C2082">
        <v>0</v>
      </c>
      <c r="D2082">
        <v>0</v>
      </c>
      <c r="E2082" t="s">
        <v>2030</v>
      </c>
    </row>
    <row r="2083" spans="1:5">
      <c r="A2083">
        <f>HYPERLINK("http://www.twitter.com/NYCHA/status/733013261759713285", "733013261759713285")</f>
        <v>0</v>
      </c>
      <c r="B2083" s="2">
        <v>42508.8027083333</v>
      </c>
      <c r="C2083">
        <v>0</v>
      </c>
      <c r="D2083">
        <v>5</v>
      </c>
      <c r="E2083" t="s">
        <v>2031</v>
      </c>
    </row>
    <row r="2084" spans="1:5">
      <c r="A2084">
        <f>HYPERLINK("http://www.twitter.com/NYCHA/status/732984479900393472", "732984479900393472")</f>
        <v>0</v>
      </c>
      <c r="B2084" s="2">
        <v>42508.723287037</v>
      </c>
      <c r="C2084">
        <v>0</v>
      </c>
      <c r="D2084">
        <v>3</v>
      </c>
      <c r="E2084" t="s">
        <v>2032</v>
      </c>
    </row>
    <row r="2085" spans="1:5">
      <c r="A2085">
        <f>HYPERLINK("http://www.twitter.com/NYCHA/status/732982114229080064", "732982114229080064")</f>
        <v>0</v>
      </c>
      <c r="B2085" s="2">
        <v>42508.7167592593</v>
      </c>
      <c r="C2085">
        <v>0</v>
      </c>
      <c r="D2085">
        <v>4</v>
      </c>
      <c r="E2085" t="s">
        <v>2033</v>
      </c>
    </row>
    <row r="2086" spans="1:5">
      <c r="A2086">
        <f>HYPERLINK("http://www.twitter.com/NYCHA/status/732969137723592705", "732969137723592705")</f>
        <v>0</v>
      </c>
      <c r="B2086" s="2">
        <v>42508.6809490741</v>
      </c>
      <c r="C2086">
        <v>1</v>
      </c>
      <c r="D2086">
        <v>0</v>
      </c>
      <c r="E2086" t="s">
        <v>870</v>
      </c>
    </row>
    <row r="2087" spans="1:5">
      <c r="A2087">
        <f>HYPERLINK("http://www.twitter.com/NYCHA/status/732952984406130689", "732952984406130689")</f>
        <v>0</v>
      </c>
      <c r="B2087" s="2">
        <v>42508.6363773148</v>
      </c>
      <c r="C2087">
        <v>0</v>
      </c>
      <c r="D2087">
        <v>1</v>
      </c>
      <c r="E2087" t="s">
        <v>2034</v>
      </c>
    </row>
    <row r="2088" spans="1:5">
      <c r="A2088">
        <f>HYPERLINK("http://www.twitter.com/NYCHA/status/732942833083125760", "732942833083125760")</f>
        <v>0</v>
      </c>
      <c r="B2088" s="2">
        <v>42508.6083680556</v>
      </c>
      <c r="C2088">
        <v>0</v>
      </c>
      <c r="D2088">
        <v>8</v>
      </c>
      <c r="E2088" t="s">
        <v>2035</v>
      </c>
    </row>
    <row r="2089" spans="1:5">
      <c r="A2089">
        <f>HYPERLINK("http://www.twitter.com/NYCHA/status/732939710599954436", "732939710599954436")</f>
        <v>0</v>
      </c>
      <c r="B2089" s="2">
        <v>42508.5997569444</v>
      </c>
      <c r="C2089">
        <v>0</v>
      </c>
      <c r="D2089">
        <v>0</v>
      </c>
      <c r="E2089" t="s">
        <v>2036</v>
      </c>
    </row>
    <row r="2090" spans="1:5">
      <c r="A2090">
        <f>HYPERLINK("http://www.twitter.com/NYCHA/status/732938850750849024", "732938850750849024")</f>
        <v>0</v>
      </c>
      <c r="B2090" s="2">
        <v>42508.5973842593</v>
      </c>
      <c r="C2090">
        <v>0</v>
      </c>
      <c r="D2090">
        <v>1</v>
      </c>
      <c r="E2090" t="s">
        <v>2037</v>
      </c>
    </row>
    <row r="2091" spans="1:5">
      <c r="A2091">
        <f>HYPERLINK("http://www.twitter.com/NYCHA/status/732938814537269250", "732938814537269250")</f>
        <v>0</v>
      </c>
      <c r="B2091" s="2">
        <v>42508.5972800926</v>
      </c>
      <c r="C2091">
        <v>0</v>
      </c>
      <c r="D2091">
        <v>1</v>
      </c>
      <c r="E2091" t="s">
        <v>2038</v>
      </c>
    </row>
    <row r="2092" spans="1:5">
      <c r="A2092">
        <f>HYPERLINK("http://www.twitter.com/NYCHA/status/732920094066679808", "732920094066679808")</f>
        <v>0</v>
      </c>
      <c r="B2092" s="2">
        <v>42508.545625</v>
      </c>
      <c r="C2092">
        <v>0</v>
      </c>
      <c r="D2092">
        <v>0</v>
      </c>
      <c r="E2092" t="s">
        <v>2039</v>
      </c>
    </row>
    <row r="2093" spans="1:5">
      <c r="A2093">
        <f>HYPERLINK("http://www.twitter.com/NYCHA/status/732919373552353280", "732919373552353280")</f>
        <v>0</v>
      </c>
      <c r="B2093" s="2">
        <v>42508.5436342593</v>
      </c>
      <c r="C2093">
        <v>0</v>
      </c>
      <c r="D2093">
        <v>0</v>
      </c>
      <c r="E2093" t="s">
        <v>2040</v>
      </c>
    </row>
    <row r="2094" spans="1:5">
      <c r="A2094">
        <f>HYPERLINK("http://www.twitter.com/NYCHA/status/732668100785639424", "732668100785639424")</f>
        <v>0</v>
      </c>
      <c r="B2094" s="2">
        <v>42507.8502546296</v>
      </c>
      <c r="C2094">
        <v>0</v>
      </c>
      <c r="D2094">
        <v>5</v>
      </c>
      <c r="E2094" t="s">
        <v>2041</v>
      </c>
    </row>
    <row r="2095" spans="1:5">
      <c r="A2095">
        <f>HYPERLINK("http://www.twitter.com/NYCHA/status/732643236213297152", "732643236213297152")</f>
        <v>0</v>
      </c>
      <c r="B2095" s="2">
        <v>42507.7816435185</v>
      </c>
      <c r="C2095">
        <v>1</v>
      </c>
      <c r="D2095">
        <v>1</v>
      </c>
      <c r="E2095" t="s">
        <v>2042</v>
      </c>
    </row>
    <row r="2096" spans="1:5">
      <c r="A2096">
        <f>HYPERLINK("http://www.twitter.com/NYCHA/status/732623214799663104", "732623214799663104")</f>
        <v>0</v>
      </c>
      <c r="B2096" s="2">
        <v>42507.7263888889</v>
      </c>
      <c r="C2096">
        <v>1</v>
      </c>
      <c r="D2096">
        <v>0</v>
      </c>
      <c r="E2096" t="s">
        <v>2043</v>
      </c>
    </row>
    <row r="2097" spans="1:5">
      <c r="A2097">
        <f>HYPERLINK("http://www.twitter.com/NYCHA/status/732623081722793984", "732623081722793984")</f>
        <v>0</v>
      </c>
      <c r="B2097" s="2">
        <v>42507.7260185185</v>
      </c>
      <c r="C2097">
        <v>0</v>
      </c>
      <c r="D2097">
        <v>0</v>
      </c>
      <c r="E2097" t="s">
        <v>2044</v>
      </c>
    </row>
    <row r="2098" spans="1:5">
      <c r="A2098">
        <f>HYPERLINK("http://www.twitter.com/NYCHA/status/732621739499347968", "732621739499347968")</f>
        <v>0</v>
      </c>
      <c r="B2098" s="2">
        <v>42507.7223148148</v>
      </c>
      <c r="C2098">
        <v>0</v>
      </c>
      <c r="D2098">
        <v>2</v>
      </c>
      <c r="E2098" t="s">
        <v>2045</v>
      </c>
    </row>
    <row r="2099" spans="1:5">
      <c r="A2099">
        <f>HYPERLINK("http://www.twitter.com/NYCHA/status/732607487413719041", "732607487413719041")</f>
        <v>0</v>
      </c>
      <c r="B2099" s="2">
        <v>42507.6829861111</v>
      </c>
      <c r="C2099">
        <v>0</v>
      </c>
      <c r="D2099">
        <v>5</v>
      </c>
      <c r="E2099" t="s">
        <v>2046</v>
      </c>
    </row>
    <row r="2100" spans="1:5">
      <c r="A2100">
        <f>HYPERLINK("http://www.twitter.com/NYCHA/status/732607470330359808", "732607470330359808")</f>
        <v>0</v>
      </c>
      <c r="B2100" s="2">
        <v>42507.6829398148</v>
      </c>
      <c r="C2100">
        <v>0</v>
      </c>
      <c r="D2100">
        <v>2</v>
      </c>
      <c r="E2100" t="s">
        <v>2047</v>
      </c>
    </row>
    <row r="2101" spans="1:5">
      <c r="A2101">
        <f>HYPERLINK("http://www.twitter.com/NYCHA/status/732602318777110529", "732602318777110529")</f>
        <v>0</v>
      </c>
      <c r="B2101" s="2">
        <v>42507.6687268519</v>
      </c>
      <c r="C2101">
        <v>2</v>
      </c>
      <c r="D2101">
        <v>1</v>
      </c>
      <c r="E2101" t="s">
        <v>2048</v>
      </c>
    </row>
    <row r="2102" spans="1:5">
      <c r="A2102">
        <f>HYPERLINK("http://www.twitter.com/NYCHA/status/732557703277580288", "732557703277580288")</f>
        <v>0</v>
      </c>
      <c r="B2102" s="2">
        <v>42507.5456134259</v>
      </c>
      <c r="C2102">
        <v>2</v>
      </c>
      <c r="D2102">
        <v>0</v>
      </c>
      <c r="E2102" t="s">
        <v>2049</v>
      </c>
    </row>
    <row r="2103" spans="1:5">
      <c r="A2103">
        <f>HYPERLINK("http://www.twitter.com/NYCHA/status/732556959673659392", "732556959673659392")</f>
        <v>0</v>
      </c>
      <c r="B2103" s="2">
        <v>42507.5435648148</v>
      </c>
      <c r="C2103">
        <v>0</v>
      </c>
      <c r="D2103">
        <v>0</v>
      </c>
      <c r="E2103" t="s">
        <v>2050</v>
      </c>
    </row>
    <row r="2104" spans="1:5">
      <c r="A2104">
        <f>HYPERLINK("http://www.twitter.com/NYCHA/status/732293548016607234", "732293548016607234")</f>
        <v>0</v>
      </c>
      <c r="B2104" s="2">
        <v>42506.8166782407</v>
      </c>
      <c r="C2104">
        <v>0</v>
      </c>
      <c r="D2104">
        <v>3</v>
      </c>
      <c r="E2104" t="s">
        <v>2051</v>
      </c>
    </row>
    <row r="2105" spans="1:5">
      <c r="A2105">
        <f>HYPERLINK("http://www.twitter.com/NYCHA/status/732283460795125760", "732283460795125760")</f>
        <v>0</v>
      </c>
      <c r="B2105" s="2">
        <v>42506.7888425926</v>
      </c>
      <c r="C2105">
        <v>0</v>
      </c>
      <c r="D2105">
        <v>2</v>
      </c>
      <c r="E2105" t="s">
        <v>2052</v>
      </c>
    </row>
    <row r="2106" spans="1:5">
      <c r="A2106">
        <f>HYPERLINK("http://www.twitter.com/NYCHA/status/732283434022928385", "732283434022928385")</f>
        <v>0</v>
      </c>
      <c r="B2106" s="2">
        <v>42506.7887731481</v>
      </c>
      <c r="C2106">
        <v>0</v>
      </c>
      <c r="D2106">
        <v>4</v>
      </c>
      <c r="E2106" t="s">
        <v>891</v>
      </c>
    </row>
    <row r="2107" spans="1:5">
      <c r="A2107">
        <f>HYPERLINK("http://www.twitter.com/NYCHA/status/732247127074742272", "732247127074742272")</f>
        <v>0</v>
      </c>
      <c r="B2107" s="2">
        <v>42506.688587963</v>
      </c>
      <c r="C2107">
        <v>3</v>
      </c>
      <c r="D2107">
        <v>0</v>
      </c>
      <c r="E2107" t="s">
        <v>2053</v>
      </c>
    </row>
    <row r="2108" spans="1:5">
      <c r="A2108">
        <f>HYPERLINK("http://www.twitter.com/NYCHA/status/732226988895809536", "732226988895809536")</f>
        <v>0</v>
      </c>
      <c r="B2108" s="2">
        <v>42506.6330092593</v>
      </c>
      <c r="C2108">
        <v>0</v>
      </c>
      <c r="D2108">
        <v>5</v>
      </c>
      <c r="E2108" t="s">
        <v>2054</v>
      </c>
    </row>
    <row r="2109" spans="1:5">
      <c r="A2109">
        <f>HYPERLINK("http://www.twitter.com/NYCHA/status/732206156417011712", "732206156417011712")</f>
        <v>0</v>
      </c>
      <c r="B2109" s="2">
        <v>42506.5755324074</v>
      </c>
      <c r="C2109">
        <v>0</v>
      </c>
      <c r="D2109">
        <v>4</v>
      </c>
      <c r="E2109" t="s">
        <v>2055</v>
      </c>
    </row>
    <row r="2110" spans="1:5">
      <c r="A2110">
        <f>HYPERLINK("http://www.twitter.com/NYCHA/status/732195319182708737", "732195319182708737")</f>
        <v>0</v>
      </c>
      <c r="B2110" s="2">
        <v>42506.545625</v>
      </c>
      <c r="C2110">
        <v>2</v>
      </c>
      <c r="D2110">
        <v>0</v>
      </c>
      <c r="E2110" t="s">
        <v>2056</v>
      </c>
    </row>
    <row r="2111" spans="1:5">
      <c r="A2111">
        <f>HYPERLINK("http://www.twitter.com/NYCHA/status/732194585317912576", "732194585317912576")</f>
        <v>0</v>
      </c>
      <c r="B2111" s="2">
        <v>42506.543599537</v>
      </c>
      <c r="C2111">
        <v>2</v>
      </c>
      <c r="D2111">
        <v>0</v>
      </c>
      <c r="E2111" t="s">
        <v>2057</v>
      </c>
    </row>
    <row r="2112" spans="1:5">
      <c r="A2112">
        <f>HYPERLINK("http://www.twitter.com/NYCHA/status/731202285305516035", "731202285305516035")</f>
        <v>0</v>
      </c>
      <c r="B2112" s="2">
        <v>42503.8053703704</v>
      </c>
      <c r="C2112">
        <v>0</v>
      </c>
      <c r="D2112">
        <v>6</v>
      </c>
      <c r="E2112" t="s">
        <v>2058</v>
      </c>
    </row>
    <row r="2113" spans="1:5">
      <c r="A2113">
        <f>HYPERLINK("http://www.twitter.com/NYCHA/status/731190478205517825", "731190478205517825")</f>
        <v>0</v>
      </c>
      <c r="B2113" s="2">
        <v>42503.7727893519</v>
      </c>
      <c r="C2113">
        <v>2</v>
      </c>
      <c r="D2113">
        <v>1</v>
      </c>
      <c r="E2113" t="s">
        <v>2059</v>
      </c>
    </row>
    <row r="2114" spans="1:5">
      <c r="A2114">
        <f>HYPERLINK("http://www.twitter.com/NYCHA/status/731182804323737600", "731182804323737600")</f>
        <v>0</v>
      </c>
      <c r="B2114" s="2">
        <v>42503.7516087963</v>
      </c>
      <c r="C2114">
        <v>5</v>
      </c>
      <c r="D2114">
        <v>4</v>
      </c>
      <c r="E2114" t="s">
        <v>2002</v>
      </c>
    </row>
    <row r="2115" spans="1:5">
      <c r="A2115">
        <f>HYPERLINK("http://www.twitter.com/NYCHA/status/731169778136666112", "731169778136666112")</f>
        <v>0</v>
      </c>
      <c r="B2115" s="2">
        <v>42503.7156712963</v>
      </c>
      <c r="C2115">
        <v>2</v>
      </c>
      <c r="D2115">
        <v>1</v>
      </c>
      <c r="E2115" t="s">
        <v>2060</v>
      </c>
    </row>
    <row r="2116" spans="1:5">
      <c r="A2116">
        <f>HYPERLINK("http://www.twitter.com/NYCHA/status/731167827810496512", "731167827810496512")</f>
        <v>0</v>
      </c>
      <c r="B2116" s="2">
        <v>42503.7102893519</v>
      </c>
      <c r="C2116">
        <v>2</v>
      </c>
      <c r="D2116">
        <v>0</v>
      </c>
      <c r="E2116" t="s">
        <v>2061</v>
      </c>
    </row>
    <row r="2117" spans="1:5">
      <c r="A2117">
        <f>HYPERLINK("http://www.twitter.com/NYCHA/status/731167309952339968", "731167309952339968")</f>
        <v>0</v>
      </c>
      <c r="B2117" s="2">
        <v>42503.7088541667</v>
      </c>
      <c r="C2117">
        <v>2</v>
      </c>
      <c r="D2117">
        <v>1</v>
      </c>
      <c r="E2117" t="s">
        <v>2062</v>
      </c>
    </row>
    <row r="2118" spans="1:5">
      <c r="A2118">
        <f>HYPERLINK("http://www.twitter.com/NYCHA/status/731165920111042560", "731165920111042560")</f>
        <v>0</v>
      </c>
      <c r="B2118" s="2">
        <v>42503.7050231481</v>
      </c>
      <c r="C2118">
        <v>1</v>
      </c>
      <c r="D2118">
        <v>1</v>
      </c>
      <c r="E2118" t="s">
        <v>2063</v>
      </c>
    </row>
    <row r="2119" spans="1:5">
      <c r="A2119">
        <f>HYPERLINK("http://www.twitter.com/NYCHA/status/731164548259053569", "731164548259053569")</f>
        <v>0</v>
      </c>
      <c r="B2119" s="2">
        <v>42503.7012384259</v>
      </c>
      <c r="C2119">
        <v>8</v>
      </c>
      <c r="D2119">
        <v>0</v>
      </c>
      <c r="E2119" t="s">
        <v>2064</v>
      </c>
    </row>
    <row r="2120" spans="1:5">
      <c r="A2120">
        <f>HYPERLINK("http://www.twitter.com/NYCHA/status/731160947226742788", "731160947226742788")</f>
        <v>0</v>
      </c>
      <c r="B2120" s="2">
        <v>42503.6912962963</v>
      </c>
      <c r="C2120">
        <v>5</v>
      </c>
      <c r="D2120">
        <v>6</v>
      </c>
      <c r="E2120" t="s">
        <v>2065</v>
      </c>
    </row>
    <row r="2121" spans="1:5">
      <c r="A2121">
        <f>HYPERLINK("http://www.twitter.com/NYCHA/status/731147819361439744", "731147819361439744")</f>
        <v>0</v>
      </c>
      <c r="B2121" s="2">
        <v>42503.6550694444</v>
      </c>
      <c r="C2121">
        <v>0</v>
      </c>
      <c r="D2121">
        <v>3</v>
      </c>
      <c r="E2121" t="s">
        <v>2066</v>
      </c>
    </row>
    <row r="2122" spans="1:5">
      <c r="A2122">
        <f>HYPERLINK("http://www.twitter.com/NYCHA/status/731136754883932163", "731136754883932163")</f>
        <v>0</v>
      </c>
      <c r="B2122" s="2">
        <v>42503.624537037</v>
      </c>
      <c r="C2122">
        <v>0</v>
      </c>
      <c r="D2122">
        <v>1</v>
      </c>
      <c r="E2122" t="s">
        <v>2067</v>
      </c>
    </row>
    <row r="2123" spans="1:5">
      <c r="A2123">
        <f>HYPERLINK("http://www.twitter.com/NYCHA/status/731117555331571713", "731117555331571713")</f>
        <v>0</v>
      </c>
      <c r="B2123" s="2">
        <v>42503.5715625</v>
      </c>
      <c r="C2123">
        <v>0</v>
      </c>
      <c r="D2123">
        <v>8</v>
      </c>
      <c r="E2123" t="s">
        <v>2068</v>
      </c>
    </row>
    <row r="2124" spans="1:5">
      <c r="A2124">
        <f>HYPERLINK("http://www.twitter.com/NYCHA/status/731117496384753664", "731117496384753664")</f>
        <v>0</v>
      </c>
      <c r="B2124" s="2">
        <v>42503.571400463</v>
      </c>
      <c r="C2124">
        <v>0</v>
      </c>
      <c r="D2124">
        <v>2</v>
      </c>
      <c r="E2124" t="s">
        <v>2069</v>
      </c>
    </row>
    <row r="2125" spans="1:5">
      <c r="A2125">
        <f>HYPERLINK("http://www.twitter.com/NYCHA/status/731117468849180672", "731117468849180672")</f>
        <v>0</v>
      </c>
      <c r="B2125" s="2">
        <v>42503.5713194444</v>
      </c>
      <c r="C2125">
        <v>0</v>
      </c>
      <c r="D2125">
        <v>0</v>
      </c>
      <c r="E2125" t="s">
        <v>2070</v>
      </c>
    </row>
    <row r="2126" spans="1:5">
      <c r="A2126">
        <f>HYPERLINK("http://www.twitter.com/NYCHA/status/731116931282022400", "731116931282022400")</f>
        <v>0</v>
      </c>
      <c r="B2126" s="2">
        <v>42503.569837963</v>
      </c>
      <c r="C2126">
        <v>0</v>
      </c>
      <c r="D2126">
        <v>1</v>
      </c>
      <c r="E2126" t="s">
        <v>2071</v>
      </c>
    </row>
    <row r="2127" spans="1:5">
      <c r="A2127">
        <f>HYPERLINK("http://www.twitter.com/NYCHA/status/731108173722046464", "731108173722046464")</f>
        <v>0</v>
      </c>
      <c r="B2127" s="2">
        <v>42503.5456712963</v>
      </c>
      <c r="C2127">
        <v>1</v>
      </c>
      <c r="D2127">
        <v>0</v>
      </c>
      <c r="E2127" t="s">
        <v>2072</v>
      </c>
    </row>
    <row r="2128" spans="1:5">
      <c r="A2128">
        <f>HYPERLINK("http://www.twitter.com/NYCHA/status/731107431594504192", "731107431594504192")</f>
        <v>0</v>
      </c>
      <c r="B2128" s="2">
        <v>42503.5436226852</v>
      </c>
      <c r="C2128">
        <v>1</v>
      </c>
      <c r="D2128">
        <v>0</v>
      </c>
      <c r="E2128" t="s">
        <v>2073</v>
      </c>
    </row>
    <row r="2129" spans="1:5">
      <c r="A2129">
        <f>HYPERLINK("http://www.twitter.com/NYCHA/status/730863179807522817", "730863179807522817")</f>
        <v>0</v>
      </c>
      <c r="B2129" s="2">
        <v>42502.8696180556</v>
      </c>
      <c r="C2129">
        <v>0</v>
      </c>
      <c r="D2129">
        <v>2</v>
      </c>
      <c r="E2129" t="s">
        <v>2074</v>
      </c>
    </row>
    <row r="2130" spans="1:5">
      <c r="A2130">
        <f>HYPERLINK("http://www.twitter.com/NYCHA/status/730835238205685760", "730835238205685760")</f>
        <v>0</v>
      </c>
      <c r="B2130" s="2">
        <v>42502.7925115741</v>
      </c>
      <c r="C2130">
        <v>0</v>
      </c>
      <c r="D2130">
        <v>0</v>
      </c>
      <c r="E2130" t="s">
        <v>2075</v>
      </c>
    </row>
    <row r="2131" spans="1:5">
      <c r="A2131">
        <f>HYPERLINK("http://www.twitter.com/NYCHA/status/730790466938109952", "730790466938109952")</f>
        <v>0</v>
      </c>
      <c r="B2131" s="2">
        <v>42502.6689699074</v>
      </c>
      <c r="C2131">
        <v>1</v>
      </c>
      <c r="D2131">
        <v>1</v>
      </c>
      <c r="E2131" t="s">
        <v>2076</v>
      </c>
    </row>
    <row r="2132" spans="1:5">
      <c r="A2132">
        <f>HYPERLINK("http://www.twitter.com/NYCHA/status/730762288848879616", "730762288848879616")</f>
        <v>0</v>
      </c>
      <c r="B2132" s="2">
        <v>42502.5912152778</v>
      </c>
      <c r="C2132">
        <v>0</v>
      </c>
      <c r="D2132">
        <v>3</v>
      </c>
      <c r="E2132" t="s">
        <v>2077</v>
      </c>
    </row>
    <row r="2133" spans="1:5">
      <c r="A2133">
        <f>HYPERLINK("http://www.twitter.com/NYCHA/status/730760292750266368", "730760292750266368")</f>
        <v>0</v>
      </c>
      <c r="B2133" s="2">
        <v>42502.5857060185</v>
      </c>
      <c r="C2133">
        <v>6</v>
      </c>
      <c r="D2133">
        <v>11</v>
      </c>
      <c r="E2133" t="s">
        <v>2078</v>
      </c>
    </row>
    <row r="2134" spans="1:5">
      <c r="A2134">
        <f>HYPERLINK("http://www.twitter.com/NYCHA/status/730751776555732992", "730751776555732992")</f>
        <v>0</v>
      </c>
      <c r="B2134" s="2">
        <v>42502.5621990741</v>
      </c>
      <c r="C2134">
        <v>0</v>
      </c>
      <c r="D2134">
        <v>4</v>
      </c>
      <c r="E2134" t="s">
        <v>2079</v>
      </c>
    </row>
    <row r="2135" spans="1:5">
      <c r="A2135">
        <f>HYPERLINK("http://www.twitter.com/NYCHA/status/730745794362527744", "730745794362527744")</f>
        <v>0</v>
      </c>
      <c r="B2135" s="2">
        <v>42502.5456944444</v>
      </c>
      <c r="C2135">
        <v>1</v>
      </c>
      <c r="D2135">
        <v>1</v>
      </c>
      <c r="E2135" t="s">
        <v>2080</v>
      </c>
    </row>
    <row r="2136" spans="1:5">
      <c r="A2136">
        <f>HYPERLINK("http://www.twitter.com/NYCHA/status/730745048086786050", "730745048086786050")</f>
        <v>0</v>
      </c>
      <c r="B2136" s="2">
        <v>42502.5436342593</v>
      </c>
      <c r="C2136">
        <v>0</v>
      </c>
      <c r="D2136">
        <v>0</v>
      </c>
      <c r="E2136" t="s">
        <v>2081</v>
      </c>
    </row>
    <row r="2137" spans="1:5">
      <c r="A2137">
        <f>HYPERLINK("http://www.twitter.com/NYCHA/status/730487132524052481", "730487132524052481")</f>
        <v>0</v>
      </c>
      <c r="B2137" s="2">
        <v>42501.8319212963</v>
      </c>
      <c r="C2137">
        <v>3</v>
      </c>
      <c r="D2137">
        <v>0</v>
      </c>
      <c r="E2137" t="s">
        <v>2082</v>
      </c>
    </row>
    <row r="2138" spans="1:5">
      <c r="A2138">
        <f>HYPERLINK("http://www.twitter.com/NYCHA/status/730449363642793985", "730449363642793985")</f>
        <v>0</v>
      </c>
      <c r="B2138" s="2">
        <v>42501.7277083333</v>
      </c>
      <c r="C2138">
        <v>0</v>
      </c>
      <c r="D2138">
        <v>2</v>
      </c>
      <c r="E2138" t="s">
        <v>2083</v>
      </c>
    </row>
    <row r="2139" spans="1:5">
      <c r="A2139">
        <f>HYPERLINK("http://www.twitter.com/NYCHA/status/730427931814707202", "730427931814707202")</f>
        <v>0</v>
      </c>
      <c r="B2139" s="2">
        <v>42501.6685648148</v>
      </c>
      <c r="C2139">
        <v>0</v>
      </c>
      <c r="D2139">
        <v>1</v>
      </c>
      <c r="E2139" t="s">
        <v>2084</v>
      </c>
    </row>
    <row r="2140" spans="1:5">
      <c r="A2140">
        <f>HYPERLINK("http://www.twitter.com/NYCHA/status/730392483595685888", "730392483595685888")</f>
        <v>0</v>
      </c>
      <c r="B2140" s="2">
        <v>42501.5707407407</v>
      </c>
      <c r="C2140">
        <v>0</v>
      </c>
      <c r="D2140">
        <v>2</v>
      </c>
      <c r="E2140" t="s">
        <v>2085</v>
      </c>
    </row>
    <row r="2141" spans="1:5">
      <c r="A2141">
        <f>HYPERLINK("http://www.twitter.com/NYCHA/status/730392476729671680", "730392476729671680")</f>
        <v>0</v>
      </c>
      <c r="B2141" s="2">
        <v>42501.5707291667</v>
      </c>
      <c r="C2141">
        <v>0</v>
      </c>
      <c r="D2141">
        <v>1</v>
      </c>
      <c r="E2141" t="s">
        <v>2086</v>
      </c>
    </row>
    <row r="2142" spans="1:5">
      <c r="A2142">
        <f>HYPERLINK("http://www.twitter.com/NYCHA/status/730390847414489088", "730390847414489088")</f>
        <v>0</v>
      </c>
      <c r="B2142" s="2">
        <v>42501.5662268518</v>
      </c>
      <c r="C2142">
        <v>0</v>
      </c>
      <c r="D2142">
        <v>3</v>
      </c>
      <c r="E2142" t="s">
        <v>2087</v>
      </c>
    </row>
    <row r="2143" spans="1:5">
      <c r="A2143">
        <f>HYPERLINK("http://www.twitter.com/NYCHA/status/730390832893792256", "730390832893792256")</f>
        <v>0</v>
      </c>
      <c r="B2143" s="2">
        <v>42501.5661921296</v>
      </c>
      <c r="C2143">
        <v>0</v>
      </c>
      <c r="D2143">
        <v>4</v>
      </c>
      <c r="E2143" t="s">
        <v>2088</v>
      </c>
    </row>
    <row r="2144" spans="1:5">
      <c r="A2144">
        <f>HYPERLINK("http://www.twitter.com/NYCHA/status/730390825797046272", "730390825797046272")</f>
        <v>0</v>
      </c>
      <c r="B2144" s="2">
        <v>42501.5661689815</v>
      </c>
      <c r="C2144">
        <v>0</v>
      </c>
      <c r="D2144">
        <v>2</v>
      </c>
      <c r="E2144" t="s">
        <v>2089</v>
      </c>
    </row>
    <row r="2145" spans="1:5">
      <c r="A2145">
        <f>HYPERLINK("http://www.twitter.com/NYCHA/status/730390801449164800", "730390801449164800")</f>
        <v>0</v>
      </c>
      <c r="B2145" s="2">
        <v>42501.566099537</v>
      </c>
      <c r="C2145">
        <v>0</v>
      </c>
      <c r="D2145">
        <v>2</v>
      </c>
      <c r="E2145" t="s">
        <v>2090</v>
      </c>
    </row>
    <row r="2146" spans="1:5">
      <c r="A2146">
        <f>HYPERLINK("http://www.twitter.com/NYCHA/status/730390779651358720", "730390779651358720")</f>
        <v>0</v>
      </c>
      <c r="B2146" s="2">
        <v>42501.5660416667</v>
      </c>
      <c r="C2146">
        <v>0</v>
      </c>
      <c r="D2146">
        <v>2</v>
      </c>
      <c r="E2146" t="s">
        <v>2091</v>
      </c>
    </row>
    <row r="2147" spans="1:5">
      <c r="A2147">
        <f>HYPERLINK("http://www.twitter.com/NYCHA/status/730390681324244996", "730390681324244996")</f>
        <v>0</v>
      </c>
      <c r="B2147" s="2">
        <v>42501.565775463</v>
      </c>
      <c r="C2147">
        <v>0</v>
      </c>
      <c r="D2147">
        <v>3</v>
      </c>
      <c r="E2147" t="s">
        <v>2092</v>
      </c>
    </row>
    <row r="2148" spans="1:5">
      <c r="A2148">
        <f>HYPERLINK("http://www.twitter.com/NYCHA/status/730383372418191361", "730383372418191361")</f>
        <v>0</v>
      </c>
      <c r="B2148" s="2">
        <v>42501.5456018519</v>
      </c>
      <c r="C2148">
        <v>0</v>
      </c>
      <c r="D2148">
        <v>0</v>
      </c>
      <c r="E2148" t="s">
        <v>2093</v>
      </c>
    </row>
    <row r="2149" spans="1:5">
      <c r="A2149">
        <f>HYPERLINK("http://www.twitter.com/NYCHA/status/730382580730765312", "730382580730765312")</f>
        <v>0</v>
      </c>
      <c r="B2149" s="2">
        <v>42501.5434143519</v>
      </c>
      <c r="C2149">
        <v>0</v>
      </c>
      <c r="D2149">
        <v>1</v>
      </c>
      <c r="E2149" t="s">
        <v>2094</v>
      </c>
    </row>
    <row r="2150" spans="1:5">
      <c r="A2150">
        <f>HYPERLINK("http://www.twitter.com/NYCHA/status/730159504462127113", "730159504462127113")</f>
        <v>0</v>
      </c>
      <c r="B2150" s="2">
        <v>42500.9278472222</v>
      </c>
      <c r="C2150">
        <v>1</v>
      </c>
      <c r="D2150">
        <v>0</v>
      </c>
      <c r="E2150" t="s">
        <v>2095</v>
      </c>
    </row>
    <row r="2151" spans="1:5">
      <c r="A2151">
        <f>HYPERLINK("http://www.twitter.com/NYCHA/status/730159007235768321", "730159007235768321")</f>
        <v>0</v>
      </c>
      <c r="B2151" s="2">
        <v>42500.9264699074</v>
      </c>
      <c r="C2151">
        <v>4</v>
      </c>
      <c r="D2151">
        <v>2</v>
      </c>
      <c r="E2151" t="s">
        <v>2096</v>
      </c>
    </row>
    <row r="2152" spans="1:5">
      <c r="A2152">
        <f>HYPERLINK("http://www.twitter.com/NYCHA/status/730157762391515140", "730157762391515140")</f>
        <v>0</v>
      </c>
      <c r="B2152" s="2">
        <v>42500.9230324074</v>
      </c>
      <c r="C2152">
        <v>6</v>
      </c>
      <c r="D2152">
        <v>0</v>
      </c>
      <c r="E2152" t="s">
        <v>2097</v>
      </c>
    </row>
    <row r="2153" spans="1:5">
      <c r="A2153">
        <f>HYPERLINK("http://www.twitter.com/NYCHA/status/730145813050097665", "730145813050097665")</f>
        <v>0</v>
      </c>
      <c r="B2153" s="2">
        <v>42500.8900578704</v>
      </c>
      <c r="C2153">
        <v>4</v>
      </c>
      <c r="D2153">
        <v>1</v>
      </c>
      <c r="E2153" t="s">
        <v>2098</v>
      </c>
    </row>
    <row r="2154" spans="1:5">
      <c r="A2154">
        <f>HYPERLINK("http://www.twitter.com/NYCHA/status/730144806849150977", "730144806849150977")</f>
        <v>0</v>
      </c>
      <c r="B2154" s="2">
        <v>42500.8872916667</v>
      </c>
      <c r="C2154">
        <v>0</v>
      </c>
      <c r="D2154">
        <v>1</v>
      </c>
      <c r="E2154" t="s">
        <v>2099</v>
      </c>
    </row>
    <row r="2155" spans="1:5">
      <c r="A2155">
        <f>HYPERLINK("http://www.twitter.com/NYCHA/status/730131743395749893", "730131743395749893")</f>
        <v>0</v>
      </c>
      <c r="B2155" s="2">
        <v>42500.8512384259</v>
      </c>
      <c r="C2155">
        <v>0</v>
      </c>
      <c r="D2155">
        <v>1</v>
      </c>
      <c r="E2155" t="s">
        <v>2100</v>
      </c>
    </row>
    <row r="2156" spans="1:5">
      <c r="A2156">
        <f>HYPERLINK("http://www.twitter.com/NYCHA/status/730131730896715776", "730131730896715776")</f>
        <v>0</v>
      </c>
      <c r="B2156" s="2">
        <v>42500.8512037037</v>
      </c>
      <c r="C2156">
        <v>0</v>
      </c>
      <c r="D2156">
        <v>3</v>
      </c>
      <c r="E2156" t="s">
        <v>2101</v>
      </c>
    </row>
    <row r="2157" spans="1:5">
      <c r="A2157">
        <f>HYPERLINK("http://www.twitter.com/NYCHA/status/730095607495442435", "730095607495442435")</f>
        <v>0</v>
      </c>
      <c r="B2157" s="2">
        <v>42500.7515277778</v>
      </c>
      <c r="C2157">
        <v>0</v>
      </c>
      <c r="D2157">
        <v>0</v>
      </c>
      <c r="E2157" t="s">
        <v>2102</v>
      </c>
    </row>
    <row r="2158" spans="1:5">
      <c r="A2158">
        <f>HYPERLINK("http://www.twitter.com/NYCHA/status/730065321315438592", "730065321315438592")</f>
        <v>0</v>
      </c>
      <c r="B2158" s="2">
        <v>42500.6679513889</v>
      </c>
      <c r="C2158">
        <v>7</v>
      </c>
      <c r="D2158">
        <v>0</v>
      </c>
      <c r="E2158" t="s">
        <v>2103</v>
      </c>
    </row>
    <row r="2159" spans="1:5">
      <c r="A2159">
        <f>HYPERLINK("http://www.twitter.com/NYCHA/status/730049687189884928", "730049687189884928")</f>
        <v>0</v>
      </c>
      <c r="B2159" s="2">
        <v>42500.6248032407</v>
      </c>
      <c r="C2159">
        <v>0</v>
      </c>
      <c r="D2159">
        <v>4</v>
      </c>
      <c r="E2159" t="s">
        <v>2104</v>
      </c>
    </row>
    <row r="2160" spans="1:5">
      <c r="A2160">
        <f>HYPERLINK("http://www.twitter.com/NYCHA/status/730049584584601601", "730049584584601601")</f>
        <v>0</v>
      </c>
      <c r="B2160" s="2">
        <v>42500.624525463</v>
      </c>
      <c r="C2160">
        <v>0</v>
      </c>
      <c r="D2160">
        <v>7</v>
      </c>
      <c r="E2160" t="s">
        <v>2105</v>
      </c>
    </row>
    <row r="2161" spans="1:5">
      <c r="A2161">
        <f>HYPERLINK("http://www.twitter.com/NYCHA/status/730020977548136448", "730020977548136448")</f>
        <v>0</v>
      </c>
      <c r="B2161" s="2">
        <v>42500.5455787037</v>
      </c>
      <c r="C2161">
        <v>0</v>
      </c>
      <c r="D2161">
        <v>0</v>
      </c>
      <c r="E2161" t="s">
        <v>2106</v>
      </c>
    </row>
    <row r="2162" spans="1:5">
      <c r="A2162">
        <f>HYPERLINK("http://www.twitter.com/NYCHA/status/730020151882612736", "730020151882612736")</f>
        <v>0</v>
      </c>
      <c r="B2162" s="2">
        <v>42500.5432986111</v>
      </c>
      <c r="C2162">
        <v>0</v>
      </c>
      <c r="D2162">
        <v>1</v>
      </c>
      <c r="E2162" t="s">
        <v>2107</v>
      </c>
    </row>
    <row r="2163" spans="1:5">
      <c r="A2163">
        <f>HYPERLINK("http://www.twitter.com/NYCHA/status/729853070973227008", "729853070973227008")</f>
        <v>0</v>
      </c>
      <c r="B2163" s="2">
        <v>42500.0822453704</v>
      </c>
      <c r="C2163">
        <v>0</v>
      </c>
      <c r="D2163">
        <v>4</v>
      </c>
      <c r="E2163" t="s">
        <v>2108</v>
      </c>
    </row>
    <row r="2164" spans="1:5">
      <c r="A2164">
        <f>HYPERLINK("http://www.twitter.com/NYCHA/status/729751486780018689", "729751486780018689")</f>
        <v>0</v>
      </c>
      <c r="B2164" s="2">
        <v>42499.8019328704</v>
      </c>
      <c r="C2164">
        <v>0</v>
      </c>
      <c r="D2164">
        <v>1</v>
      </c>
      <c r="E2164" t="s">
        <v>2109</v>
      </c>
    </row>
    <row r="2165" spans="1:5">
      <c r="A2165">
        <f>HYPERLINK("http://www.twitter.com/NYCHA/status/729731891063066624", "729731891063066624")</f>
        <v>0</v>
      </c>
      <c r="B2165" s="2">
        <v>42499.7478587963</v>
      </c>
      <c r="C2165">
        <v>0</v>
      </c>
      <c r="D2165">
        <v>1</v>
      </c>
      <c r="E2165" t="s">
        <v>2110</v>
      </c>
    </row>
    <row r="2166" spans="1:5">
      <c r="A2166">
        <f>HYPERLINK("http://www.twitter.com/NYCHA/status/729716806701731840", "729716806701731840")</f>
        <v>0</v>
      </c>
      <c r="B2166" s="2">
        <v>42499.7062268518</v>
      </c>
      <c r="C2166">
        <v>0</v>
      </c>
      <c r="D2166">
        <v>2</v>
      </c>
      <c r="E2166" t="s">
        <v>2111</v>
      </c>
    </row>
    <row r="2167" spans="1:5">
      <c r="A2167">
        <f>HYPERLINK("http://www.twitter.com/NYCHA/status/729703017809842176", "729703017809842176")</f>
        <v>0</v>
      </c>
      <c r="B2167" s="2">
        <v>42499.6681828704</v>
      </c>
      <c r="C2167">
        <v>3</v>
      </c>
      <c r="D2167">
        <v>5</v>
      </c>
      <c r="E2167" t="s">
        <v>2112</v>
      </c>
    </row>
    <row r="2168" spans="1:5">
      <c r="A2168">
        <f>HYPERLINK("http://www.twitter.com/NYCHA/status/729676340006404096", "729676340006404096")</f>
        <v>0</v>
      </c>
      <c r="B2168" s="2">
        <v>42499.5945601852</v>
      </c>
      <c r="C2168">
        <v>0</v>
      </c>
      <c r="D2168">
        <v>3</v>
      </c>
      <c r="E2168" t="s">
        <v>2113</v>
      </c>
    </row>
    <row r="2169" spans="1:5">
      <c r="A2169">
        <f>HYPERLINK("http://www.twitter.com/NYCHA/status/729676300915490816", "729676300915490816")</f>
        <v>0</v>
      </c>
      <c r="B2169" s="2">
        <v>42499.5944560185</v>
      </c>
      <c r="C2169">
        <v>0</v>
      </c>
      <c r="D2169">
        <v>2</v>
      </c>
      <c r="E2169" t="s">
        <v>2114</v>
      </c>
    </row>
    <row r="2170" spans="1:5">
      <c r="A2170">
        <f>HYPERLINK("http://www.twitter.com/NYCHA/status/729676165292666880", "729676165292666880")</f>
        <v>0</v>
      </c>
      <c r="B2170" s="2">
        <v>42499.5940856481</v>
      </c>
      <c r="C2170">
        <v>0</v>
      </c>
      <c r="D2170">
        <v>16</v>
      </c>
      <c r="E2170" t="s">
        <v>2115</v>
      </c>
    </row>
    <row r="2171" spans="1:5">
      <c r="A2171">
        <f>HYPERLINK("http://www.twitter.com/NYCHA/status/729676156329398276", "729676156329398276")</f>
        <v>0</v>
      </c>
      <c r="B2171" s="2">
        <v>42499.5940625</v>
      </c>
      <c r="C2171">
        <v>0</v>
      </c>
      <c r="D2171">
        <v>9</v>
      </c>
      <c r="E2171" t="s">
        <v>2116</v>
      </c>
    </row>
    <row r="2172" spans="1:5">
      <c r="A2172">
        <f>HYPERLINK("http://www.twitter.com/NYCHA/status/729676137572470784", "729676137572470784")</f>
        <v>0</v>
      </c>
      <c r="B2172" s="2">
        <v>42499.5940046296</v>
      </c>
      <c r="C2172">
        <v>0</v>
      </c>
      <c r="D2172">
        <v>15</v>
      </c>
      <c r="E2172" t="s">
        <v>2117</v>
      </c>
    </row>
    <row r="2173" spans="1:5">
      <c r="A2173">
        <f>HYPERLINK("http://www.twitter.com/NYCHA/status/729676082371301377", "729676082371301377")</f>
        <v>0</v>
      </c>
      <c r="B2173" s="2">
        <v>42499.5938541667</v>
      </c>
      <c r="C2173">
        <v>0</v>
      </c>
      <c r="D2173">
        <v>16</v>
      </c>
      <c r="E2173" t="s">
        <v>2118</v>
      </c>
    </row>
    <row r="2174" spans="1:5">
      <c r="A2174">
        <f>HYPERLINK("http://www.twitter.com/NYCHA/status/729674858536288256", "729674858536288256")</f>
        <v>0</v>
      </c>
      <c r="B2174" s="2">
        <v>42499.590474537</v>
      </c>
      <c r="C2174">
        <v>0</v>
      </c>
      <c r="D2174">
        <v>4</v>
      </c>
      <c r="E2174" t="s">
        <v>2119</v>
      </c>
    </row>
    <row r="2175" spans="1:5">
      <c r="A2175">
        <f>HYPERLINK("http://www.twitter.com/NYCHA/status/729672810130509825", "729672810130509825")</f>
        <v>0</v>
      </c>
      <c r="B2175" s="2">
        <v>42499.5848263889</v>
      </c>
      <c r="C2175">
        <v>2</v>
      </c>
      <c r="D2175">
        <v>1</v>
      </c>
      <c r="E2175" t="s">
        <v>2120</v>
      </c>
    </row>
    <row r="2176" spans="1:5">
      <c r="A2176">
        <f>HYPERLINK("http://www.twitter.com/NYCHA/status/729658588197728257", "729658588197728257")</f>
        <v>0</v>
      </c>
      <c r="B2176" s="2">
        <v>42499.5455787037</v>
      </c>
      <c r="C2176">
        <v>0</v>
      </c>
      <c r="D2176">
        <v>0</v>
      </c>
      <c r="E2176" t="s">
        <v>10</v>
      </c>
    </row>
    <row r="2177" spans="1:5">
      <c r="A2177">
        <f>HYPERLINK("http://www.twitter.com/NYCHA/status/729657754114265089", "729657754114265089")</f>
        <v>0</v>
      </c>
      <c r="B2177" s="2">
        <v>42499.543275463</v>
      </c>
      <c r="C2177">
        <v>0</v>
      </c>
      <c r="D2177">
        <v>2</v>
      </c>
      <c r="E2177" t="s">
        <v>2121</v>
      </c>
    </row>
    <row r="2178" spans="1:5">
      <c r="A2178">
        <f>HYPERLINK("http://www.twitter.com/NYCHA/status/729638489504022528", "729638489504022528")</f>
        <v>0</v>
      </c>
      <c r="B2178" s="2">
        <v>42499.4901157407</v>
      </c>
      <c r="C2178">
        <v>0</v>
      </c>
      <c r="D2178">
        <v>4</v>
      </c>
      <c r="E2178" t="s">
        <v>2122</v>
      </c>
    </row>
    <row r="2179" spans="1:5">
      <c r="A2179">
        <f>HYPERLINK("http://www.twitter.com/NYCHA/status/729638028340301829", "729638028340301829")</f>
        <v>0</v>
      </c>
      <c r="B2179" s="2">
        <v>42499.4888425926</v>
      </c>
      <c r="C2179">
        <v>4</v>
      </c>
      <c r="D2179">
        <v>0</v>
      </c>
      <c r="E2179" t="s">
        <v>2123</v>
      </c>
    </row>
    <row r="2180" spans="1:5">
      <c r="A2180">
        <f>HYPERLINK("http://www.twitter.com/NYCHA/status/729340445843656704", "729340445843656704")</f>
        <v>0</v>
      </c>
      <c r="B2180" s="2">
        <v>42498.6676736111</v>
      </c>
      <c r="C2180">
        <v>0</v>
      </c>
      <c r="D2180">
        <v>0</v>
      </c>
      <c r="E2180" t="s">
        <v>2124</v>
      </c>
    </row>
    <row r="2181" spans="1:5">
      <c r="A2181">
        <f>HYPERLINK("http://www.twitter.com/NYCHA/status/729310334738116608", "729310334738116608")</f>
        <v>0</v>
      </c>
      <c r="B2181" s="2">
        <v>42498.5845833333</v>
      </c>
      <c r="C2181">
        <v>3</v>
      </c>
      <c r="D2181">
        <v>4</v>
      </c>
      <c r="E2181" t="s">
        <v>2125</v>
      </c>
    </row>
    <row r="2182" spans="1:5">
      <c r="A2182">
        <f>HYPERLINK("http://www.twitter.com/NYCHA/status/729082750830059521", "729082750830059521")</f>
        <v>0</v>
      </c>
      <c r="B2182" s="2">
        <v>42497.9565740741</v>
      </c>
      <c r="C2182">
        <v>0</v>
      </c>
      <c r="D2182">
        <v>2</v>
      </c>
      <c r="E2182" t="s">
        <v>2126</v>
      </c>
    </row>
    <row r="2183" spans="1:5">
      <c r="A2183">
        <f>HYPERLINK("http://www.twitter.com/NYCHA/status/728978016009883648", "728978016009883648")</f>
        <v>0</v>
      </c>
      <c r="B2183" s="2">
        <v>42497.6675578704</v>
      </c>
      <c r="C2183">
        <v>2</v>
      </c>
      <c r="D2183">
        <v>1</v>
      </c>
      <c r="E2183" t="s">
        <v>2127</v>
      </c>
    </row>
    <row r="2184" spans="1:5">
      <c r="A2184">
        <f>HYPERLINK("http://www.twitter.com/NYCHA/status/728947879159734273", "728947879159734273")</f>
        <v>0</v>
      </c>
      <c r="B2184" s="2">
        <v>42497.5843981481</v>
      </c>
      <c r="C2184">
        <v>1</v>
      </c>
      <c r="D2184">
        <v>2</v>
      </c>
      <c r="E2184" t="s">
        <v>2128</v>
      </c>
    </row>
    <row r="2185" spans="1:5">
      <c r="A2185">
        <f>HYPERLINK("http://www.twitter.com/NYCHA/status/728688604843790337", "728688604843790337")</f>
        <v>0</v>
      </c>
      <c r="B2185" s="2">
        <v>42496.8689351852</v>
      </c>
      <c r="C2185">
        <v>0</v>
      </c>
      <c r="D2185">
        <v>25</v>
      </c>
      <c r="E2185" t="s">
        <v>2129</v>
      </c>
    </row>
    <row r="2186" spans="1:5">
      <c r="A2186">
        <f>HYPERLINK("http://www.twitter.com/NYCHA/status/728679654178082816", "728679654178082816")</f>
        <v>0</v>
      </c>
      <c r="B2186" s="2">
        <v>42496.8442361111</v>
      </c>
      <c r="C2186">
        <v>0</v>
      </c>
      <c r="D2186">
        <v>2</v>
      </c>
      <c r="E2186" t="s">
        <v>2130</v>
      </c>
    </row>
    <row r="2187" spans="1:5">
      <c r="A2187">
        <f>HYPERLINK("http://www.twitter.com/NYCHA/status/728676396122411009", "728676396122411009")</f>
        <v>0</v>
      </c>
      <c r="B2187" s="2">
        <v>42496.8352430556</v>
      </c>
      <c r="C2187">
        <v>0</v>
      </c>
      <c r="D2187">
        <v>3</v>
      </c>
      <c r="E2187" t="s">
        <v>2131</v>
      </c>
    </row>
    <row r="2188" spans="1:5">
      <c r="A2188">
        <f>HYPERLINK("http://www.twitter.com/NYCHA/status/728666630142738433", "728666630142738433")</f>
        <v>0</v>
      </c>
      <c r="B2188" s="2">
        <v>42496.8082986111</v>
      </c>
      <c r="C2188">
        <v>0</v>
      </c>
      <c r="D2188">
        <v>4</v>
      </c>
      <c r="E2188" t="s">
        <v>2132</v>
      </c>
    </row>
    <row r="2189" spans="1:5">
      <c r="A2189">
        <f>HYPERLINK("http://www.twitter.com/NYCHA/status/728662566826856448", "728662566826856448")</f>
        <v>0</v>
      </c>
      <c r="B2189" s="2">
        <v>42496.7970833333</v>
      </c>
      <c r="C2189">
        <v>1</v>
      </c>
      <c r="D2189">
        <v>2</v>
      </c>
      <c r="E2189" t="s">
        <v>2133</v>
      </c>
    </row>
    <row r="2190" spans="1:5">
      <c r="A2190">
        <f>HYPERLINK("http://www.twitter.com/NYCHA/status/728662074298126336", "728662074298126336")</f>
        <v>0</v>
      </c>
      <c r="B2190" s="2">
        <v>42496.7957291667</v>
      </c>
      <c r="C2190">
        <v>0</v>
      </c>
      <c r="D2190">
        <v>3</v>
      </c>
      <c r="E2190" t="s">
        <v>2134</v>
      </c>
    </row>
    <row r="2191" spans="1:5">
      <c r="A2191">
        <f>HYPERLINK("http://www.twitter.com/NYCHA/status/728661693618921473", "728661693618921473")</f>
        <v>0</v>
      </c>
      <c r="B2191" s="2">
        <v>42496.7946759259</v>
      </c>
      <c r="C2191">
        <v>0</v>
      </c>
      <c r="D2191">
        <v>2</v>
      </c>
      <c r="E2191" t="s">
        <v>2135</v>
      </c>
    </row>
    <row r="2192" spans="1:5">
      <c r="A2192">
        <f>HYPERLINK("http://www.twitter.com/NYCHA/status/728654440379654144", "728654440379654144")</f>
        <v>0</v>
      </c>
      <c r="B2192" s="2">
        <v>42496.7746527778</v>
      </c>
      <c r="C2192">
        <v>5</v>
      </c>
      <c r="D2192">
        <v>4</v>
      </c>
      <c r="E2192" t="s">
        <v>2136</v>
      </c>
    </row>
    <row r="2193" spans="1:5">
      <c r="A2193">
        <f>HYPERLINK("http://www.twitter.com/NYCHA/status/728642022962302976", "728642022962302976")</f>
        <v>0</v>
      </c>
      <c r="B2193" s="2">
        <v>42496.7403935185</v>
      </c>
      <c r="C2193">
        <v>0</v>
      </c>
      <c r="D2193">
        <v>16</v>
      </c>
      <c r="E2193" t="s">
        <v>2137</v>
      </c>
    </row>
    <row r="2194" spans="1:5">
      <c r="A2194">
        <f>HYPERLINK("http://www.twitter.com/NYCHA/status/728619302526521345", "728619302526521345")</f>
        <v>0</v>
      </c>
      <c r="B2194" s="2">
        <v>42496.6776967593</v>
      </c>
      <c r="C2194">
        <v>0</v>
      </c>
      <c r="D2194">
        <v>3</v>
      </c>
      <c r="E2194" t="s">
        <v>2138</v>
      </c>
    </row>
    <row r="2195" spans="1:5">
      <c r="A2195">
        <f>HYPERLINK("http://www.twitter.com/NYCHA/status/728619293756272640", "728619293756272640")</f>
        <v>0</v>
      </c>
      <c r="B2195" s="2">
        <v>42496.6776736111</v>
      </c>
      <c r="C2195">
        <v>0</v>
      </c>
      <c r="D2195">
        <v>3</v>
      </c>
      <c r="E2195" t="s">
        <v>2139</v>
      </c>
    </row>
    <row r="2196" spans="1:5">
      <c r="A2196">
        <f>HYPERLINK("http://www.twitter.com/NYCHA/status/728619286021935104", "728619286021935104")</f>
        <v>0</v>
      </c>
      <c r="B2196" s="2">
        <v>42496.677650463</v>
      </c>
      <c r="C2196">
        <v>0</v>
      </c>
      <c r="D2196">
        <v>5</v>
      </c>
      <c r="E2196" t="s">
        <v>2140</v>
      </c>
    </row>
    <row r="2197" spans="1:5">
      <c r="A2197">
        <f>HYPERLINK("http://www.twitter.com/NYCHA/status/728618215149060097", "728618215149060097")</f>
        <v>0</v>
      </c>
      <c r="B2197" s="2">
        <v>42496.6746990741</v>
      </c>
      <c r="C2197">
        <v>0</v>
      </c>
      <c r="D2197">
        <v>2</v>
      </c>
      <c r="E2197" t="s">
        <v>2141</v>
      </c>
    </row>
    <row r="2198" spans="1:5">
      <c r="A2198">
        <f>HYPERLINK("http://www.twitter.com/NYCHA/status/728615874811330562", "728615874811330562")</f>
        <v>0</v>
      </c>
      <c r="B2198" s="2">
        <v>42496.6682407407</v>
      </c>
      <c r="C2198">
        <v>0</v>
      </c>
      <c r="D2198">
        <v>3</v>
      </c>
      <c r="E2198" t="s">
        <v>2142</v>
      </c>
    </row>
    <row r="2199" spans="1:5">
      <c r="A2199">
        <f>HYPERLINK("http://www.twitter.com/NYCHA/status/728611031090642944", "728611031090642944")</f>
        <v>0</v>
      </c>
      <c r="B2199" s="2">
        <v>42496.6548726852</v>
      </c>
      <c r="C2199">
        <v>0</v>
      </c>
      <c r="D2199">
        <v>3</v>
      </c>
      <c r="E2199" t="s">
        <v>2143</v>
      </c>
    </row>
    <row r="2200" spans="1:5">
      <c r="A2200">
        <f>HYPERLINK("http://www.twitter.com/NYCHA/status/728600554583232512", "728600554583232512")</f>
        <v>0</v>
      </c>
      <c r="B2200" s="2">
        <v>42496.6259606481</v>
      </c>
      <c r="C2200">
        <v>1</v>
      </c>
      <c r="D2200">
        <v>0</v>
      </c>
      <c r="E2200" t="s">
        <v>2144</v>
      </c>
    </row>
    <row r="2201" spans="1:5">
      <c r="A2201">
        <f>HYPERLINK("http://www.twitter.com/NYCHA/status/728595674443489280", "728595674443489280")</f>
        <v>0</v>
      </c>
      <c r="B2201" s="2">
        <v>42496.6125</v>
      </c>
      <c r="C2201">
        <v>1</v>
      </c>
      <c r="D2201">
        <v>0</v>
      </c>
      <c r="E2201" t="s">
        <v>2145</v>
      </c>
    </row>
    <row r="2202" spans="1:5">
      <c r="A2202">
        <f>HYPERLINK("http://www.twitter.com/NYCHA/status/728587529163821061", "728587529163821061")</f>
        <v>0</v>
      </c>
      <c r="B2202" s="2">
        <v>42496.5900231482</v>
      </c>
      <c r="C2202">
        <v>0</v>
      </c>
      <c r="D2202">
        <v>6</v>
      </c>
      <c r="E2202" t="s">
        <v>2146</v>
      </c>
    </row>
    <row r="2203" spans="1:5">
      <c r="A2203">
        <f>HYPERLINK("http://www.twitter.com/NYCHA/status/728587432782893056", "728587432782893056")</f>
        <v>0</v>
      </c>
      <c r="B2203" s="2">
        <v>42496.5897569444</v>
      </c>
      <c r="C2203">
        <v>0</v>
      </c>
      <c r="D2203">
        <v>6</v>
      </c>
      <c r="E2203" t="s">
        <v>2147</v>
      </c>
    </row>
    <row r="2204" spans="1:5">
      <c r="A2204">
        <f>HYPERLINK("http://www.twitter.com/NYCHA/status/728586107483467776", "728586107483467776")</f>
        <v>0</v>
      </c>
      <c r="B2204" s="2">
        <v>42496.586099537</v>
      </c>
      <c r="C2204">
        <v>0</v>
      </c>
      <c r="D2204">
        <v>6</v>
      </c>
      <c r="E2204" t="s">
        <v>2148</v>
      </c>
    </row>
    <row r="2205" spans="1:5">
      <c r="A2205">
        <f>HYPERLINK("http://www.twitter.com/NYCHA/status/728585153178681344", "728585153178681344")</f>
        <v>0</v>
      </c>
      <c r="B2205" s="2">
        <v>42496.5834606482</v>
      </c>
      <c r="C2205">
        <v>0</v>
      </c>
      <c r="D2205">
        <v>3</v>
      </c>
      <c r="E2205" t="s">
        <v>2149</v>
      </c>
    </row>
    <row r="2206" spans="1:5">
      <c r="A2206">
        <f>HYPERLINK("http://www.twitter.com/NYCHA/status/728571419727171584", "728571419727171584")</f>
        <v>0</v>
      </c>
      <c r="B2206" s="2">
        <v>42496.5455671296</v>
      </c>
      <c r="C2206">
        <v>2</v>
      </c>
      <c r="D2206">
        <v>0</v>
      </c>
      <c r="E2206" t="s">
        <v>87</v>
      </c>
    </row>
    <row r="2207" spans="1:5">
      <c r="A2207">
        <f>HYPERLINK("http://www.twitter.com/NYCHA/status/728570685010890752", "728570685010890752")</f>
        <v>0</v>
      </c>
      <c r="B2207" s="2">
        <v>42496.5435416667</v>
      </c>
      <c r="C2207">
        <v>0</v>
      </c>
      <c r="D2207">
        <v>0</v>
      </c>
      <c r="E2207" t="s">
        <v>1947</v>
      </c>
    </row>
    <row r="2208" spans="1:5">
      <c r="A2208">
        <f>HYPERLINK("http://www.twitter.com/NYCHA/status/728344801343619072", "728344801343619072")</f>
        <v>0</v>
      </c>
      <c r="B2208" s="2">
        <v>42495.9202199074</v>
      </c>
      <c r="C2208">
        <v>2</v>
      </c>
      <c r="D2208">
        <v>4</v>
      </c>
      <c r="E2208" t="s">
        <v>2150</v>
      </c>
    </row>
    <row r="2209" spans="1:5">
      <c r="A2209">
        <f>HYPERLINK("http://www.twitter.com/NYCHA/status/728326801840320512", "728326801840320512")</f>
        <v>0</v>
      </c>
      <c r="B2209" s="2">
        <v>42495.8705439815</v>
      </c>
      <c r="C2209">
        <v>0</v>
      </c>
      <c r="D2209">
        <v>7</v>
      </c>
      <c r="E2209" t="s">
        <v>2151</v>
      </c>
    </row>
    <row r="2210" spans="1:5">
      <c r="A2210">
        <f>HYPERLINK("http://www.twitter.com/NYCHA/status/728321495450198016", "728321495450198016")</f>
        <v>0</v>
      </c>
      <c r="B2210" s="2">
        <v>42495.8559027778</v>
      </c>
      <c r="C2210">
        <v>0</v>
      </c>
      <c r="D2210">
        <v>1</v>
      </c>
      <c r="E2210" t="s">
        <v>2152</v>
      </c>
    </row>
    <row r="2211" spans="1:5">
      <c r="A2211">
        <f>HYPERLINK("http://www.twitter.com/NYCHA/status/728321453502902272", "728321453502902272")</f>
        <v>0</v>
      </c>
      <c r="B2211" s="2">
        <v>42495.855787037</v>
      </c>
      <c r="C2211">
        <v>0</v>
      </c>
      <c r="D2211">
        <v>1</v>
      </c>
      <c r="E2211" t="s">
        <v>2153</v>
      </c>
    </row>
    <row r="2212" spans="1:5">
      <c r="A2212">
        <f>HYPERLINK("http://www.twitter.com/NYCHA/status/728313431019925504", "728313431019925504")</f>
        <v>0</v>
      </c>
      <c r="B2212" s="2">
        <v>42495.8336574074</v>
      </c>
      <c r="C2212">
        <v>3</v>
      </c>
      <c r="D2212">
        <v>1</v>
      </c>
      <c r="E2212" t="s">
        <v>2154</v>
      </c>
    </row>
    <row r="2213" spans="1:5">
      <c r="A2213">
        <f>HYPERLINK("http://www.twitter.com/NYCHA/status/728310853880156160", "728310853880156160")</f>
        <v>0</v>
      </c>
      <c r="B2213" s="2">
        <v>42495.8265393519</v>
      </c>
      <c r="C2213">
        <v>0</v>
      </c>
      <c r="D2213">
        <v>6</v>
      </c>
      <c r="E2213" t="s">
        <v>2155</v>
      </c>
    </row>
    <row r="2214" spans="1:5">
      <c r="A2214">
        <f>HYPERLINK("http://www.twitter.com/NYCHA/status/728303156300533760", "728303156300533760")</f>
        <v>0</v>
      </c>
      <c r="B2214" s="2">
        <v>42495.8053009259</v>
      </c>
      <c r="C2214">
        <v>0</v>
      </c>
      <c r="D2214">
        <v>7</v>
      </c>
      <c r="E2214" t="s">
        <v>2156</v>
      </c>
    </row>
    <row r="2215" spans="1:5">
      <c r="A2215">
        <f>HYPERLINK("http://www.twitter.com/NYCHA/status/728294182012502016", "728294182012502016")</f>
        <v>0</v>
      </c>
      <c r="B2215" s="2">
        <v>42495.7805324074</v>
      </c>
      <c r="C2215">
        <v>3</v>
      </c>
      <c r="D2215">
        <v>5</v>
      </c>
      <c r="E2215" t="s">
        <v>2157</v>
      </c>
    </row>
    <row r="2216" spans="1:5">
      <c r="A2216">
        <f>HYPERLINK("http://www.twitter.com/NYCHA/status/728283473321037827", "728283473321037827")</f>
        <v>0</v>
      </c>
      <c r="B2216" s="2">
        <v>42495.7509837963</v>
      </c>
      <c r="C2216">
        <v>0</v>
      </c>
      <c r="D2216">
        <v>0</v>
      </c>
      <c r="E2216" t="s">
        <v>2158</v>
      </c>
    </row>
    <row r="2217" spans="1:5">
      <c r="A2217">
        <f>HYPERLINK("http://www.twitter.com/NYCHA/status/728257508440190976", "728257508440190976")</f>
        <v>0</v>
      </c>
      <c r="B2217" s="2">
        <v>42495.6793402778</v>
      </c>
      <c r="C2217">
        <v>0</v>
      </c>
      <c r="D2217">
        <v>5</v>
      </c>
      <c r="E2217" t="s">
        <v>2159</v>
      </c>
    </row>
    <row r="2218" spans="1:5">
      <c r="A2218">
        <f>HYPERLINK("http://www.twitter.com/NYCHA/status/728256853357019136", "728256853357019136")</f>
        <v>0</v>
      </c>
      <c r="B2218" s="2">
        <v>42495.6775231482</v>
      </c>
      <c r="C2218">
        <v>1</v>
      </c>
      <c r="D2218">
        <v>0</v>
      </c>
      <c r="E2218" t="s">
        <v>2160</v>
      </c>
    </row>
    <row r="2219" spans="1:5">
      <c r="A2219">
        <f>HYPERLINK("http://www.twitter.com/NYCHA/status/728256394881806337", "728256394881806337")</f>
        <v>0</v>
      </c>
      <c r="B2219" s="2">
        <v>42495.6762615741</v>
      </c>
      <c r="C2219">
        <v>0</v>
      </c>
      <c r="D2219">
        <v>4</v>
      </c>
      <c r="E2219" t="s">
        <v>2161</v>
      </c>
    </row>
    <row r="2220" spans="1:5">
      <c r="A2220">
        <f>HYPERLINK("http://www.twitter.com/NYCHA/status/728256202937864192", "728256202937864192")</f>
        <v>0</v>
      </c>
      <c r="B2220" s="2">
        <v>42495.6757291667</v>
      </c>
      <c r="C2220">
        <v>0</v>
      </c>
      <c r="D2220">
        <v>5</v>
      </c>
      <c r="E2220" t="s">
        <v>2162</v>
      </c>
    </row>
    <row r="2221" spans="1:5">
      <c r="A2221">
        <f>HYPERLINK("http://www.twitter.com/NYCHA/status/728238419164463104", "728238419164463104")</f>
        <v>0</v>
      </c>
      <c r="B2221" s="2">
        <v>42495.6266550926</v>
      </c>
      <c r="C2221">
        <v>0</v>
      </c>
      <c r="D2221">
        <v>1</v>
      </c>
      <c r="E2221" t="s">
        <v>2163</v>
      </c>
    </row>
    <row r="2222" spans="1:5">
      <c r="A2222">
        <f>HYPERLINK("http://www.twitter.com/NYCHA/status/728227154874540034", "728227154874540034")</f>
        <v>0</v>
      </c>
      <c r="B2222" s="2">
        <v>42495.5955787037</v>
      </c>
      <c r="C2222">
        <v>0</v>
      </c>
      <c r="D2222">
        <v>4</v>
      </c>
      <c r="E2222" t="s">
        <v>2164</v>
      </c>
    </row>
    <row r="2223" spans="1:5">
      <c r="A2223">
        <f>HYPERLINK("http://www.twitter.com/NYCHA/status/728227045449342980", "728227045449342980")</f>
        <v>0</v>
      </c>
      <c r="B2223" s="2">
        <v>42495.5952777778</v>
      </c>
      <c r="C2223">
        <v>0</v>
      </c>
      <c r="D2223">
        <v>2</v>
      </c>
      <c r="E2223" t="s">
        <v>2165</v>
      </c>
    </row>
    <row r="2224" spans="1:5">
      <c r="A2224">
        <f>HYPERLINK("http://www.twitter.com/NYCHA/status/728226492262588420", "728226492262588420")</f>
        <v>0</v>
      </c>
      <c r="B2224" s="2">
        <v>42495.59375</v>
      </c>
      <c r="C2224">
        <v>0</v>
      </c>
      <c r="D2224">
        <v>1</v>
      </c>
      <c r="E2224" t="s">
        <v>2166</v>
      </c>
    </row>
    <row r="2225" spans="1:5">
      <c r="A2225">
        <f>HYPERLINK("http://www.twitter.com/NYCHA/status/728223038823616512", "728223038823616512")</f>
        <v>0</v>
      </c>
      <c r="B2225" s="2">
        <v>42495.584212963</v>
      </c>
      <c r="C2225">
        <v>3</v>
      </c>
      <c r="D2225">
        <v>0</v>
      </c>
      <c r="E2225" t="s">
        <v>2167</v>
      </c>
    </row>
    <row r="2226" spans="1:5">
      <c r="A2226">
        <f>HYPERLINK("http://www.twitter.com/NYCHA/status/728209023707844608", "728209023707844608")</f>
        <v>0</v>
      </c>
      <c r="B2226" s="2">
        <v>42495.5455439815</v>
      </c>
      <c r="C2226">
        <v>1</v>
      </c>
      <c r="D2226">
        <v>0</v>
      </c>
      <c r="E2226" t="s">
        <v>2168</v>
      </c>
    </row>
    <row r="2227" spans="1:5">
      <c r="A2227">
        <f>HYPERLINK("http://www.twitter.com/NYCHA/status/728208253688131585", "728208253688131585")</f>
        <v>0</v>
      </c>
      <c r="B2227" s="2">
        <v>42495.5434143519</v>
      </c>
      <c r="C2227">
        <v>1</v>
      </c>
      <c r="D2227">
        <v>0</v>
      </c>
      <c r="E2227" t="s">
        <v>101</v>
      </c>
    </row>
    <row r="2228" spans="1:5">
      <c r="A2228">
        <f>HYPERLINK("http://www.twitter.com/NYCHA/status/727968641564737538", "727968641564737538")</f>
        <v>0</v>
      </c>
      <c r="B2228" s="2">
        <v>42494.8822106481</v>
      </c>
      <c r="C2228">
        <v>0</v>
      </c>
      <c r="D2228">
        <v>2</v>
      </c>
      <c r="E2228" t="s">
        <v>2169</v>
      </c>
    </row>
    <row r="2229" spans="1:5">
      <c r="A2229">
        <f>HYPERLINK("http://www.twitter.com/NYCHA/status/727962051549790212", "727962051549790212")</f>
        <v>0</v>
      </c>
      <c r="B2229" s="2">
        <v>42494.8640277778</v>
      </c>
      <c r="C2229">
        <v>0</v>
      </c>
      <c r="D2229">
        <v>6</v>
      </c>
      <c r="E2229" t="s">
        <v>2170</v>
      </c>
    </row>
    <row r="2230" spans="1:5">
      <c r="A2230">
        <f>HYPERLINK("http://www.twitter.com/NYCHA/status/727921129030094848", "727921129030094848")</f>
        <v>0</v>
      </c>
      <c r="B2230" s="2">
        <v>42494.751099537</v>
      </c>
      <c r="C2230">
        <v>3</v>
      </c>
      <c r="D2230">
        <v>5</v>
      </c>
      <c r="E2230" t="s">
        <v>2171</v>
      </c>
    </row>
    <row r="2231" spans="1:5">
      <c r="A2231">
        <f>HYPERLINK("http://www.twitter.com/NYCHA/status/727909578743107585", "727909578743107585")</f>
        <v>0</v>
      </c>
      <c r="B2231" s="2">
        <v>42494.7192361111</v>
      </c>
      <c r="C2231">
        <v>0</v>
      </c>
      <c r="D2231">
        <v>1</v>
      </c>
      <c r="E2231" t="s">
        <v>1555</v>
      </c>
    </row>
    <row r="2232" spans="1:5">
      <c r="A2232">
        <f>HYPERLINK("http://www.twitter.com/NYCHA/status/727902576486821889", "727902576486821889")</f>
        <v>0</v>
      </c>
      <c r="B2232" s="2">
        <v>42494.6999074074</v>
      </c>
      <c r="C2232">
        <v>0</v>
      </c>
      <c r="D2232">
        <v>1</v>
      </c>
      <c r="E2232" t="s">
        <v>2172</v>
      </c>
    </row>
    <row r="2233" spans="1:5">
      <c r="A2233">
        <f>HYPERLINK("http://www.twitter.com/NYCHA/status/727891255884132352", "727891255884132352")</f>
        <v>0</v>
      </c>
      <c r="B2233" s="2">
        <v>42494.6686689815</v>
      </c>
      <c r="C2233">
        <v>1</v>
      </c>
      <c r="D2233">
        <v>0</v>
      </c>
      <c r="E2233" t="s">
        <v>2173</v>
      </c>
    </row>
    <row r="2234" spans="1:5">
      <c r="A2234">
        <f>HYPERLINK("http://www.twitter.com/NYCHA/status/727855258056204292", "727855258056204292")</f>
        <v>0</v>
      </c>
      <c r="B2234" s="2">
        <v>42494.5693402778</v>
      </c>
      <c r="C2234">
        <v>0</v>
      </c>
      <c r="D2234">
        <v>3</v>
      </c>
      <c r="E2234" t="s">
        <v>2174</v>
      </c>
    </row>
    <row r="2235" spans="1:5">
      <c r="A2235">
        <f>HYPERLINK("http://www.twitter.com/NYCHA/status/727846657451241472", "727846657451241472")</f>
        <v>0</v>
      </c>
      <c r="B2235" s="2">
        <v>42494.5456018519</v>
      </c>
      <c r="C2235">
        <v>0</v>
      </c>
      <c r="D2235">
        <v>0</v>
      </c>
      <c r="E2235" t="s">
        <v>48</v>
      </c>
    </row>
    <row r="2236" spans="1:5">
      <c r="A2236">
        <f>HYPERLINK("http://www.twitter.com/NYCHA/status/727845985955811329", "727845985955811329")</f>
        <v>0</v>
      </c>
      <c r="B2236" s="2">
        <v>42494.54375</v>
      </c>
      <c r="C2236">
        <v>0</v>
      </c>
      <c r="D2236">
        <v>0</v>
      </c>
      <c r="E2236" t="s">
        <v>112</v>
      </c>
    </row>
    <row r="2237" spans="1:5">
      <c r="A2237">
        <f>HYPERLINK("http://www.twitter.com/NYCHA/status/727585527654928384", "727585527654928384")</f>
        <v>0</v>
      </c>
      <c r="B2237" s="2">
        <v>42493.8250231482</v>
      </c>
      <c r="C2237">
        <v>0</v>
      </c>
      <c r="D2237">
        <v>1</v>
      </c>
      <c r="E2237" t="s">
        <v>2175</v>
      </c>
    </row>
    <row r="2238" spans="1:5">
      <c r="A2238">
        <f>HYPERLINK("http://www.twitter.com/NYCHA/status/727574822709039104", "727574822709039104")</f>
        <v>0</v>
      </c>
      <c r="B2238" s="2">
        <v>42493.7954861111</v>
      </c>
      <c r="C2238">
        <v>4</v>
      </c>
      <c r="D2238">
        <v>6</v>
      </c>
      <c r="E2238" t="s">
        <v>2128</v>
      </c>
    </row>
    <row r="2239" spans="1:5">
      <c r="A2239">
        <f>HYPERLINK("http://www.twitter.com/NYCHA/status/727559032324689922", "727559032324689922")</f>
        <v>0</v>
      </c>
      <c r="B2239" s="2">
        <v>42493.7519097222</v>
      </c>
      <c r="C2239">
        <v>0</v>
      </c>
      <c r="D2239">
        <v>1</v>
      </c>
      <c r="E2239" t="s">
        <v>2176</v>
      </c>
    </row>
    <row r="2240" spans="1:5">
      <c r="A2240">
        <f>HYPERLINK("http://www.twitter.com/NYCHA/status/727535784308387840", "727535784308387840")</f>
        <v>0</v>
      </c>
      <c r="B2240" s="2">
        <v>42493.6877546296</v>
      </c>
      <c r="C2240">
        <v>2</v>
      </c>
      <c r="D2240">
        <v>2</v>
      </c>
      <c r="E2240" t="s">
        <v>2177</v>
      </c>
    </row>
    <row r="2241" spans="1:5">
      <c r="A2241">
        <f>HYPERLINK("http://www.twitter.com/NYCHA/status/727520705210765312", "727520705210765312")</f>
        <v>0</v>
      </c>
      <c r="B2241" s="2">
        <v>42493.6461458333</v>
      </c>
      <c r="C2241">
        <v>0</v>
      </c>
      <c r="D2241">
        <v>1</v>
      </c>
      <c r="E2241" t="s">
        <v>2178</v>
      </c>
    </row>
    <row r="2242" spans="1:5">
      <c r="A2242">
        <f>HYPERLINK("http://www.twitter.com/NYCHA/status/727496606283649025", "727496606283649025")</f>
        <v>0</v>
      </c>
      <c r="B2242" s="2">
        <v>42493.5796412037</v>
      </c>
      <c r="C2242">
        <v>0</v>
      </c>
      <c r="D2242">
        <v>0</v>
      </c>
      <c r="E2242" t="s">
        <v>2179</v>
      </c>
    </row>
    <row r="2243" spans="1:5">
      <c r="A2243">
        <f>HYPERLINK("http://www.twitter.com/NYCHA/status/727484289256923136", "727484289256923136")</f>
        <v>0</v>
      </c>
      <c r="B2243" s="2">
        <v>42493.5456597222</v>
      </c>
      <c r="C2243">
        <v>0</v>
      </c>
      <c r="D2243">
        <v>0</v>
      </c>
      <c r="E2243" t="s">
        <v>1874</v>
      </c>
    </row>
    <row r="2244" spans="1:5">
      <c r="A2244">
        <f>HYPERLINK("http://www.twitter.com/NYCHA/status/727483544344350720", "727483544344350720")</f>
        <v>0</v>
      </c>
      <c r="B2244" s="2">
        <v>42493.543599537</v>
      </c>
      <c r="C2244">
        <v>0</v>
      </c>
      <c r="D2244">
        <v>0</v>
      </c>
      <c r="E2244" t="s">
        <v>2180</v>
      </c>
    </row>
    <row r="2245" spans="1:5">
      <c r="A2245">
        <f>HYPERLINK("http://www.twitter.com/NYCHA/status/727249574079946752", "727249574079946752")</f>
        <v>0</v>
      </c>
      <c r="B2245" s="2">
        <v>42492.897962963</v>
      </c>
      <c r="C2245">
        <v>4</v>
      </c>
      <c r="D2245">
        <v>8</v>
      </c>
      <c r="E2245" t="s">
        <v>2181</v>
      </c>
    </row>
    <row r="2246" spans="1:5">
      <c r="A2246">
        <f>HYPERLINK("http://www.twitter.com/NYCHA/status/727218667335864324", "727218667335864324")</f>
        <v>0</v>
      </c>
      <c r="B2246" s="2">
        <v>42492.8126851852</v>
      </c>
      <c r="C2246">
        <v>5</v>
      </c>
      <c r="D2246">
        <v>3</v>
      </c>
      <c r="E2246" t="s">
        <v>2182</v>
      </c>
    </row>
    <row r="2247" spans="1:5">
      <c r="A2247">
        <f>HYPERLINK("http://www.twitter.com/NYCHA/status/727198614683025412", "727198614683025412")</f>
        <v>0</v>
      </c>
      <c r="B2247" s="2">
        <v>42492.757349537</v>
      </c>
      <c r="C2247">
        <v>1</v>
      </c>
      <c r="D2247">
        <v>1</v>
      </c>
      <c r="E2247" t="s">
        <v>2183</v>
      </c>
    </row>
    <row r="2248" spans="1:5">
      <c r="A2248">
        <f>HYPERLINK("http://www.twitter.com/NYCHA/status/727166571869818882", "727166571869818882")</f>
        <v>0</v>
      </c>
      <c r="B2248" s="2">
        <v>42492.6689236111</v>
      </c>
      <c r="C2248">
        <v>0</v>
      </c>
      <c r="D2248">
        <v>1</v>
      </c>
      <c r="E2248" t="s">
        <v>2184</v>
      </c>
    </row>
    <row r="2249" spans="1:5">
      <c r="A2249">
        <f>HYPERLINK("http://www.twitter.com/NYCHA/status/727157763843985409", "727157763843985409")</f>
        <v>0</v>
      </c>
      <c r="B2249" s="2">
        <v>42492.6446180556</v>
      </c>
      <c r="C2249">
        <v>0</v>
      </c>
      <c r="D2249">
        <v>3</v>
      </c>
      <c r="E2249" t="s">
        <v>2185</v>
      </c>
    </row>
    <row r="2250" spans="1:5">
      <c r="A2250">
        <f>HYPERLINK("http://www.twitter.com/NYCHA/status/727121882256912384", "727121882256912384")</f>
        <v>0</v>
      </c>
      <c r="B2250" s="2">
        <v>42492.5456018519</v>
      </c>
      <c r="C2250">
        <v>4</v>
      </c>
      <c r="D2250">
        <v>1</v>
      </c>
      <c r="E2250" t="s">
        <v>2186</v>
      </c>
    </row>
    <row r="2251" spans="1:5">
      <c r="A2251">
        <f>HYPERLINK("http://www.twitter.com/NYCHA/status/727121132936110082", "727121132936110082")</f>
        <v>0</v>
      </c>
      <c r="B2251" s="2">
        <v>42492.5435416667</v>
      </c>
      <c r="C2251">
        <v>0</v>
      </c>
      <c r="D2251">
        <v>1</v>
      </c>
      <c r="E2251" t="s">
        <v>2187</v>
      </c>
    </row>
    <row r="2252" spans="1:5">
      <c r="A2252">
        <f>HYPERLINK("http://www.twitter.com/NYCHA/status/726773534517825536", "726773534517825536")</f>
        <v>0</v>
      </c>
      <c r="B2252" s="2">
        <v>42491.5843518519</v>
      </c>
      <c r="C2252">
        <v>1</v>
      </c>
      <c r="D2252">
        <v>0</v>
      </c>
      <c r="E2252" t="s">
        <v>2188</v>
      </c>
    </row>
    <row r="2253" spans="1:5">
      <c r="A2253">
        <f>HYPERLINK("http://www.twitter.com/NYCHA/status/726592203573878786", "726592203573878786")</f>
        <v>0</v>
      </c>
      <c r="B2253" s="2">
        <v>42491.0839699074</v>
      </c>
      <c r="C2253">
        <v>3</v>
      </c>
      <c r="D2253">
        <v>3</v>
      </c>
      <c r="E2253" t="s">
        <v>900</v>
      </c>
    </row>
    <row r="2254" spans="1:5">
      <c r="A2254">
        <f>HYPERLINK("http://www.twitter.com/NYCHA/status/726109462667386880", "726109462667386880")</f>
        <v>0</v>
      </c>
      <c r="B2254" s="2">
        <v>42489.7518634259</v>
      </c>
      <c r="C2254">
        <v>0</v>
      </c>
      <c r="D2254">
        <v>0</v>
      </c>
      <c r="E2254" t="s">
        <v>2189</v>
      </c>
    </row>
    <row r="2255" spans="1:5">
      <c r="A2255">
        <f>HYPERLINK("http://www.twitter.com/NYCHA/status/726094437273735168", "726094437273735168")</f>
        <v>0</v>
      </c>
      <c r="B2255" s="2">
        <v>42489.7103935185</v>
      </c>
      <c r="C2255">
        <v>0</v>
      </c>
      <c r="D2255">
        <v>5</v>
      </c>
      <c r="E2255" t="s">
        <v>2190</v>
      </c>
    </row>
    <row r="2256" spans="1:5">
      <c r="A2256">
        <f>HYPERLINK("http://www.twitter.com/NYCHA/status/726079051404824579", "726079051404824579")</f>
        <v>0</v>
      </c>
      <c r="B2256" s="2">
        <v>42489.6679398148</v>
      </c>
      <c r="C2256">
        <v>1</v>
      </c>
      <c r="D2256">
        <v>0</v>
      </c>
      <c r="E2256" t="s">
        <v>874</v>
      </c>
    </row>
    <row r="2257" spans="1:5">
      <c r="A2257">
        <f>HYPERLINK("http://www.twitter.com/NYCHA/status/726057278604976129", "726057278604976129")</f>
        <v>0</v>
      </c>
      <c r="B2257" s="2">
        <v>42489.6078587963</v>
      </c>
      <c r="C2257">
        <v>0</v>
      </c>
      <c r="D2257">
        <v>2</v>
      </c>
      <c r="E2257" t="s">
        <v>2191</v>
      </c>
    </row>
    <row r="2258" spans="1:5">
      <c r="A2258">
        <f>HYPERLINK("http://www.twitter.com/NYCHA/status/726051853004365824", "726051853004365824")</f>
        <v>0</v>
      </c>
      <c r="B2258" s="2">
        <v>42489.5928819444</v>
      </c>
      <c r="C2258">
        <v>0</v>
      </c>
      <c r="D2258">
        <v>1</v>
      </c>
      <c r="E2258" t="s">
        <v>2192</v>
      </c>
    </row>
    <row r="2259" spans="1:5">
      <c r="A2259">
        <f>HYPERLINK("http://www.twitter.com/NYCHA/status/726047958530187264", "726047958530187264")</f>
        <v>0</v>
      </c>
      <c r="B2259" s="2">
        <v>42489.5821412037</v>
      </c>
      <c r="C2259">
        <v>0</v>
      </c>
      <c r="D2259">
        <v>6</v>
      </c>
      <c r="E2259" t="s">
        <v>2193</v>
      </c>
    </row>
    <row r="2260" spans="1:5">
      <c r="A2260">
        <f>HYPERLINK("http://www.twitter.com/NYCHA/status/726043967209541632", "726043967209541632")</f>
        <v>0</v>
      </c>
      <c r="B2260" s="2">
        <v>42489.5711226852</v>
      </c>
      <c r="C2260">
        <v>0</v>
      </c>
      <c r="D2260">
        <v>0</v>
      </c>
      <c r="E2260" t="s">
        <v>2194</v>
      </c>
    </row>
    <row r="2261" spans="1:5">
      <c r="A2261">
        <f>HYPERLINK("http://www.twitter.com/NYCHA/status/726043702704128000", "726043702704128000")</f>
        <v>0</v>
      </c>
      <c r="B2261" s="2">
        <v>42489.5703935185</v>
      </c>
      <c r="C2261">
        <v>0</v>
      </c>
      <c r="D2261">
        <v>1</v>
      </c>
      <c r="E2261" t="s">
        <v>2195</v>
      </c>
    </row>
    <row r="2262" spans="1:5">
      <c r="A2262">
        <f>HYPERLINK("http://www.twitter.com/NYCHA/status/726034761400111104", "726034761400111104")</f>
        <v>0</v>
      </c>
      <c r="B2262" s="2">
        <v>42489.5457175926</v>
      </c>
      <c r="C2262">
        <v>0</v>
      </c>
      <c r="D2262">
        <v>1</v>
      </c>
      <c r="E2262" t="s">
        <v>2196</v>
      </c>
    </row>
    <row r="2263" spans="1:5">
      <c r="A2263">
        <f>HYPERLINK("http://www.twitter.com/NYCHA/status/726034069520306176", "726034069520306176")</f>
        <v>0</v>
      </c>
      <c r="B2263" s="2">
        <v>42489.5438078704</v>
      </c>
      <c r="C2263">
        <v>1</v>
      </c>
      <c r="D2263">
        <v>2</v>
      </c>
      <c r="E2263" t="s">
        <v>2073</v>
      </c>
    </row>
    <row r="2264" spans="1:5">
      <c r="A2264">
        <f>HYPERLINK("http://www.twitter.com/NYCHA/status/725833778606804993", "725833778606804993")</f>
        <v>0</v>
      </c>
      <c r="B2264" s="2">
        <v>42488.9911111111</v>
      </c>
      <c r="C2264">
        <v>0</v>
      </c>
      <c r="D2264">
        <v>2</v>
      </c>
      <c r="E2264" t="s">
        <v>2197</v>
      </c>
    </row>
    <row r="2265" spans="1:5">
      <c r="A2265">
        <f>HYPERLINK("http://www.twitter.com/NYCHA/status/725796008362446849", "725796008362446849")</f>
        <v>0</v>
      </c>
      <c r="B2265" s="2">
        <v>42488.8868865741</v>
      </c>
      <c r="C2265">
        <v>0</v>
      </c>
      <c r="D2265">
        <v>8</v>
      </c>
      <c r="E2265" t="s">
        <v>2198</v>
      </c>
    </row>
    <row r="2266" spans="1:5">
      <c r="A2266">
        <f>HYPERLINK("http://www.twitter.com/NYCHA/status/725785981820014593", "725785981820014593")</f>
        <v>0</v>
      </c>
      <c r="B2266" s="2">
        <v>42488.859224537</v>
      </c>
      <c r="C2266">
        <v>1</v>
      </c>
      <c r="D2266">
        <v>2</v>
      </c>
      <c r="E2266" t="s">
        <v>874</v>
      </c>
    </row>
    <row r="2267" spans="1:5">
      <c r="A2267">
        <f>HYPERLINK("http://www.twitter.com/NYCHA/status/725780386798833665", "725780386798833665")</f>
        <v>0</v>
      </c>
      <c r="B2267" s="2">
        <v>42488.8437847222</v>
      </c>
      <c r="C2267">
        <v>0</v>
      </c>
      <c r="D2267">
        <v>2</v>
      </c>
      <c r="E2267" t="s">
        <v>2199</v>
      </c>
    </row>
    <row r="2268" spans="1:5">
      <c r="A2268">
        <f>HYPERLINK("http://www.twitter.com/NYCHA/status/725754092992258048", "725754092992258048")</f>
        <v>0</v>
      </c>
      <c r="B2268" s="2">
        <v>42488.7712268519</v>
      </c>
      <c r="C2268">
        <v>1</v>
      </c>
      <c r="D2268">
        <v>1</v>
      </c>
      <c r="E2268" t="s">
        <v>2188</v>
      </c>
    </row>
    <row r="2269" spans="1:5">
      <c r="A2269">
        <f>HYPERLINK("http://www.twitter.com/NYCHA/status/725739118009966592", "725739118009966592")</f>
        <v>0</v>
      </c>
      <c r="B2269" s="2">
        <v>42488.7298958333</v>
      </c>
      <c r="C2269">
        <v>7</v>
      </c>
      <c r="D2269">
        <v>4</v>
      </c>
      <c r="E2269" t="s">
        <v>2200</v>
      </c>
    </row>
    <row r="2270" spans="1:5">
      <c r="A2270">
        <f>HYPERLINK("http://www.twitter.com/NYCHA/status/725727642297733121", "725727642297733121")</f>
        <v>0</v>
      </c>
      <c r="B2270" s="2">
        <v>42488.6982291667</v>
      </c>
      <c r="C2270">
        <v>0</v>
      </c>
      <c r="D2270">
        <v>5</v>
      </c>
      <c r="E2270" t="s">
        <v>2201</v>
      </c>
    </row>
    <row r="2271" spans="1:5">
      <c r="A2271">
        <f>HYPERLINK("http://www.twitter.com/NYCHA/status/725726041373814784", "725726041373814784")</f>
        <v>0</v>
      </c>
      <c r="B2271" s="2">
        <v>42488.6938194444</v>
      </c>
      <c r="C2271">
        <v>6</v>
      </c>
      <c r="D2271">
        <v>0</v>
      </c>
      <c r="E2271" t="s">
        <v>2202</v>
      </c>
    </row>
    <row r="2272" spans="1:5">
      <c r="A2272">
        <f>HYPERLINK("http://www.twitter.com/NYCHA/status/725724177144098816", "725724177144098816")</f>
        <v>0</v>
      </c>
      <c r="B2272" s="2">
        <v>42488.6886689815</v>
      </c>
      <c r="C2272">
        <v>0</v>
      </c>
      <c r="D2272">
        <v>0</v>
      </c>
      <c r="E2272" t="s">
        <v>2203</v>
      </c>
    </row>
    <row r="2273" spans="1:5">
      <c r="A2273">
        <f>HYPERLINK("http://www.twitter.com/NYCHA/status/725715334771163136", "725715334771163136")</f>
        <v>0</v>
      </c>
      <c r="B2273" s="2">
        <v>42488.6642708333</v>
      </c>
      <c r="C2273">
        <v>0</v>
      </c>
      <c r="D2273">
        <v>1</v>
      </c>
      <c r="E2273" t="s">
        <v>2204</v>
      </c>
    </row>
    <row r="2274" spans="1:5">
      <c r="A2274">
        <f>HYPERLINK("http://www.twitter.com/NYCHA/status/725715326365741056", "725715326365741056")</f>
        <v>0</v>
      </c>
      <c r="B2274" s="2">
        <v>42488.6642476852</v>
      </c>
      <c r="C2274">
        <v>0</v>
      </c>
      <c r="D2274">
        <v>2</v>
      </c>
      <c r="E2274" t="s">
        <v>2205</v>
      </c>
    </row>
    <row r="2275" spans="1:5">
      <c r="A2275">
        <f>HYPERLINK("http://www.twitter.com/NYCHA/status/725705217845678081", "725705217845678081")</f>
        <v>0</v>
      </c>
      <c r="B2275" s="2">
        <v>42488.6363541667</v>
      </c>
      <c r="C2275">
        <v>0</v>
      </c>
      <c r="D2275">
        <v>2</v>
      </c>
      <c r="E2275" t="s">
        <v>2206</v>
      </c>
    </row>
    <row r="2276" spans="1:5">
      <c r="A2276">
        <f>HYPERLINK("http://www.twitter.com/NYCHA/status/725705154146762753", "725705154146762753")</f>
        <v>0</v>
      </c>
      <c r="B2276" s="2">
        <v>42488.6361805556</v>
      </c>
      <c r="C2276">
        <v>0</v>
      </c>
      <c r="D2276">
        <v>2</v>
      </c>
      <c r="E2276" t="s">
        <v>2207</v>
      </c>
    </row>
    <row r="2277" spans="1:5">
      <c r="A2277">
        <f>HYPERLINK("http://www.twitter.com/NYCHA/status/725705089315405824", "725705089315405824")</f>
        <v>0</v>
      </c>
      <c r="B2277" s="2">
        <v>42488.6359953704</v>
      </c>
      <c r="C2277">
        <v>0</v>
      </c>
      <c r="D2277">
        <v>1</v>
      </c>
      <c r="E2277" t="s">
        <v>2208</v>
      </c>
    </row>
    <row r="2278" spans="1:5">
      <c r="A2278">
        <f>HYPERLINK("http://www.twitter.com/NYCHA/status/725701099399843840", "725701099399843840")</f>
        <v>0</v>
      </c>
      <c r="B2278" s="2">
        <v>42488.6249884259</v>
      </c>
      <c r="C2278">
        <v>1</v>
      </c>
      <c r="D2278">
        <v>1</v>
      </c>
      <c r="E2278" t="s">
        <v>2209</v>
      </c>
    </row>
    <row r="2279" spans="1:5">
      <c r="A2279">
        <f>HYPERLINK("http://www.twitter.com/NYCHA/status/725686426235473920", "725686426235473920")</f>
        <v>0</v>
      </c>
      <c r="B2279" s="2">
        <v>42488.5845023148</v>
      </c>
      <c r="C2279">
        <v>5</v>
      </c>
      <c r="D2279">
        <v>2</v>
      </c>
      <c r="E2279" t="s">
        <v>2210</v>
      </c>
    </row>
    <row r="2280" spans="1:5">
      <c r="A2280">
        <f>HYPERLINK("http://www.twitter.com/NYCHA/status/725672352932073474", "725672352932073474")</f>
        <v>0</v>
      </c>
      <c r="B2280" s="2">
        <v>42488.5456597222</v>
      </c>
      <c r="C2280">
        <v>1</v>
      </c>
      <c r="D2280">
        <v>0</v>
      </c>
      <c r="E2280" t="s">
        <v>2211</v>
      </c>
    </row>
    <row r="2281" spans="1:5">
      <c r="A2281">
        <f>HYPERLINK("http://www.twitter.com/NYCHA/status/725671725166387200", "725671725166387200")</f>
        <v>0</v>
      </c>
      <c r="B2281" s="2">
        <v>42488.5439351852</v>
      </c>
      <c r="C2281">
        <v>1</v>
      </c>
      <c r="D2281">
        <v>0</v>
      </c>
      <c r="E2281" t="s">
        <v>2081</v>
      </c>
    </row>
    <row r="2282" spans="1:5">
      <c r="A2282">
        <f>HYPERLINK("http://www.twitter.com/NYCHA/status/725433495762395136", "725433495762395136")</f>
        <v>0</v>
      </c>
      <c r="B2282" s="2">
        <v>42487.8865393518</v>
      </c>
      <c r="C2282">
        <v>0</v>
      </c>
      <c r="D2282">
        <v>3</v>
      </c>
      <c r="E2282" t="s">
        <v>2212</v>
      </c>
    </row>
    <row r="2283" spans="1:5">
      <c r="A2283">
        <f>HYPERLINK("http://www.twitter.com/NYCHA/status/725414246268456962", "725414246268456962")</f>
        <v>0</v>
      </c>
      <c r="B2283" s="2">
        <v>42487.8334259259</v>
      </c>
      <c r="C2283">
        <v>0</v>
      </c>
      <c r="D2283">
        <v>1</v>
      </c>
      <c r="E2283" t="s">
        <v>2213</v>
      </c>
    </row>
    <row r="2284" spans="1:5">
      <c r="A2284">
        <f>HYPERLINK("http://www.twitter.com/NYCHA/status/725412168104054784", "725412168104054784")</f>
        <v>0</v>
      </c>
      <c r="B2284" s="2">
        <v>42487.8276967593</v>
      </c>
      <c r="C2284">
        <v>7</v>
      </c>
      <c r="D2284">
        <v>4</v>
      </c>
      <c r="E2284" t="s">
        <v>2214</v>
      </c>
    </row>
    <row r="2285" spans="1:5">
      <c r="A2285">
        <f>HYPERLINK("http://www.twitter.com/NYCHA/status/725409728629772288", "725409728629772288")</f>
        <v>0</v>
      </c>
      <c r="B2285" s="2">
        <v>42487.8209606481</v>
      </c>
      <c r="C2285">
        <v>0</v>
      </c>
      <c r="D2285">
        <v>1</v>
      </c>
      <c r="E2285" t="s">
        <v>2215</v>
      </c>
    </row>
    <row r="2286" spans="1:5">
      <c r="A2286">
        <f>HYPERLINK("http://www.twitter.com/NYCHA/status/725399761499598853", "725399761499598853")</f>
        <v>0</v>
      </c>
      <c r="B2286" s="2">
        <v>42487.7934606482</v>
      </c>
      <c r="C2286">
        <v>2</v>
      </c>
      <c r="D2286">
        <v>0</v>
      </c>
      <c r="E2286" t="s">
        <v>2216</v>
      </c>
    </row>
    <row r="2287" spans="1:5">
      <c r="A2287">
        <f>HYPERLINK("http://www.twitter.com/NYCHA/status/725380709020504064", "725380709020504064")</f>
        <v>0</v>
      </c>
      <c r="B2287" s="2">
        <v>42487.7408796296</v>
      </c>
      <c r="C2287">
        <v>0</v>
      </c>
      <c r="D2287">
        <v>71</v>
      </c>
      <c r="E2287" t="s">
        <v>2217</v>
      </c>
    </row>
    <row r="2288" spans="1:5">
      <c r="A2288">
        <f>HYPERLINK("http://www.twitter.com/NYCHA/status/725372747396820992", "725372747396820992")</f>
        <v>0</v>
      </c>
      <c r="B2288" s="2">
        <v>42487.718912037</v>
      </c>
      <c r="C2288">
        <v>0</v>
      </c>
      <c r="D2288">
        <v>5</v>
      </c>
      <c r="E2288" t="s">
        <v>2218</v>
      </c>
    </row>
    <row r="2289" spans="1:5">
      <c r="A2289">
        <f>HYPERLINK("http://www.twitter.com/NYCHA/status/725354910296985601", "725354910296985601")</f>
        <v>0</v>
      </c>
      <c r="B2289" s="2">
        <v>42487.6696875</v>
      </c>
      <c r="C2289">
        <v>0</v>
      </c>
      <c r="D2289">
        <v>0</v>
      </c>
      <c r="E2289" t="s">
        <v>2219</v>
      </c>
    </row>
    <row r="2290" spans="1:5">
      <c r="A2290">
        <f>HYPERLINK("http://www.twitter.com/NYCHA/status/725334366839250944", "725334366839250944")</f>
        <v>0</v>
      </c>
      <c r="B2290" s="2">
        <v>42487.6129976852</v>
      </c>
      <c r="C2290">
        <v>0</v>
      </c>
      <c r="D2290">
        <v>0</v>
      </c>
      <c r="E2290" t="s">
        <v>2220</v>
      </c>
    </row>
    <row r="2291" spans="1:5">
      <c r="A2291">
        <f>HYPERLINK("http://www.twitter.com/NYCHA/status/725327447877623809", "725327447877623809")</f>
        <v>0</v>
      </c>
      <c r="B2291" s="2">
        <v>42487.593912037</v>
      </c>
      <c r="C2291">
        <v>0</v>
      </c>
      <c r="D2291">
        <v>0</v>
      </c>
      <c r="E2291" t="s">
        <v>2221</v>
      </c>
    </row>
    <row r="2292" spans="1:5">
      <c r="A2292">
        <f>HYPERLINK("http://www.twitter.com/NYCHA/status/725324119043137537", "725324119043137537")</f>
        <v>0</v>
      </c>
      <c r="B2292" s="2">
        <v>42487.5847222222</v>
      </c>
      <c r="C2292">
        <v>19</v>
      </c>
      <c r="D2292">
        <v>14</v>
      </c>
      <c r="E2292" t="s">
        <v>2222</v>
      </c>
    </row>
    <row r="2293" spans="1:5">
      <c r="A2293">
        <f>HYPERLINK("http://www.twitter.com/NYCHA/status/725323985639055361", "725323985639055361")</f>
        <v>0</v>
      </c>
      <c r="B2293" s="2">
        <v>42487.5843518519</v>
      </c>
      <c r="C2293">
        <v>0</v>
      </c>
      <c r="D2293">
        <v>0</v>
      </c>
      <c r="E2293" t="s">
        <v>2223</v>
      </c>
    </row>
    <row r="2294" spans="1:5">
      <c r="A2294">
        <f>HYPERLINK("http://www.twitter.com/NYCHA/status/725322383557550080", "725322383557550080")</f>
        <v>0</v>
      </c>
      <c r="B2294" s="2">
        <v>42487.5799305556</v>
      </c>
      <c r="C2294">
        <v>0</v>
      </c>
      <c r="D2294">
        <v>0</v>
      </c>
      <c r="E2294" t="s">
        <v>2224</v>
      </c>
    </row>
    <row r="2295" spans="1:5">
      <c r="A2295">
        <f>HYPERLINK("http://www.twitter.com/NYCHA/status/725319092719198208", "725319092719198208")</f>
        <v>0</v>
      </c>
      <c r="B2295" s="2">
        <v>42487.5708564815</v>
      </c>
      <c r="C2295">
        <v>0</v>
      </c>
      <c r="D2295">
        <v>0</v>
      </c>
      <c r="E2295" t="s">
        <v>2225</v>
      </c>
    </row>
    <row r="2296" spans="1:5">
      <c r="A2296">
        <f>HYPERLINK("http://www.twitter.com/NYCHA/status/725309985152995328", "725309985152995328")</f>
        <v>0</v>
      </c>
      <c r="B2296" s="2">
        <v>42487.5457175926</v>
      </c>
      <c r="C2296">
        <v>1</v>
      </c>
      <c r="D2296">
        <v>0</v>
      </c>
      <c r="E2296" t="s">
        <v>2093</v>
      </c>
    </row>
    <row r="2297" spans="1:5">
      <c r="A2297">
        <f>HYPERLINK("http://www.twitter.com/NYCHA/status/725309289708019712", "725309289708019712")</f>
        <v>0</v>
      </c>
      <c r="B2297" s="2">
        <v>42487.5437962963</v>
      </c>
      <c r="C2297">
        <v>0</v>
      </c>
      <c r="D2297">
        <v>0</v>
      </c>
      <c r="E2297" t="s">
        <v>2094</v>
      </c>
    </row>
    <row r="2298" spans="1:5">
      <c r="A2298">
        <f>HYPERLINK("http://www.twitter.com/NYCHA/status/725070514830606337", "725070514830606337")</f>
        <v>0</v>
      </c>
      <c r="B2298" s="2">
        <v>42486.8849074074</v>
      </c>
      <c r="C2298">
        <v>0</v>
      </c>
      <c r="D2298">
        <v>5</v>
      </c>
      <c r="E2298" t="s">
        <v>2226</v>
      </c>
    </row>
    <row r="2299" spans="1:5">
      <c r="A2299">
        <f>HYPERLINK("http://www.twitter.com/NYCHA/status/725050750028681216", "725050750028681216")</f>
        <v>0</v>
      </c>
      <c r="B2299" s="2">
        <v>42486.8303703704</v>
      </c>
      <c r="C2299">
        <v>1</v>
      </c>
      <c r="D2299">
        <v>2</v>
      </c>
      <c r="E2299" t="s">
        <v>2227</v>
      </c>
    </row>
    <row r="2300" spans="1:5">
      <c r="A2300">
        <f>HYPERLINK("http://www.twitter.com/NYCHA/status/725048093285203968", "725048093285203968")</f>
        <v>0</v>
      </c>
      <c r="B2300" s="2">
        <v>42486.8230324074</v>
      </c>
      <c r="C2300">
        <v>0</v>
      </c>
      <c r="D2300">
        <v>3</v>
      </c>
      <c r="E2300" t="s">
        <v>2228</v>
      </c>
    </row>
    <row r="2301" spans="1:5">
      <c r="A2301">
        <f>HYPERLINK("http://www.twitter.com/NYCHA/status/725022299355811842", "725022299355811842")</f>
        <v>0</v>
      </c>
      <c r="B2301" s="2">
        <v>42486.7518634259</v>
      </c>
      <c r="C2301">
        <v>0</v>
      </c>
      <c r="D2301">
        <v>1</v>
      </c>
      <c r="E2301" t="s">
        <v>2229</v>
      </c>
    </row>
    <row r="2302" spans="1:5">
      <c r="A2302">
        <f>HYPERLINK("http://www.twitter.com/NYCHA/status/725020254934601730", "725020254934601730")</f>
        <v>0</v>
      </c>
      <c r="B2302" s="2">
        <v>42486.7462152778</v>
      </c>
      <c r="C2302">
        <v>0</v>
      </c>
      <c r="D2302">
        <v>6</v>
      </c>
      <c r="E2302" t="s">
        <v>2230</v>
      </c>
    </row>
    <row r="2303" spans="1:5">
      <c r="A2303">
        <f>HYPERLINK("http://www.twitter.com/NYCHA/status/725001350795374592", "725001350795374592")</f>
        <v>0</v>
      </c>
      <c r="B2303" s="2">
        <v>42486.6940509259</v>
      </c>
      <c r="C2303">
        <v>0</v>
      </c>
      <c r="D2303">
        <v>8</v>
      </c>
      <c r="E2303" t="s">
        <v>2231</v>
      </c>
    </row>
    <row r="2304" spans="1:5">
      <c r="A2304">
        <f>HYPERLINK("http://www.twitter.com/NYCHA/status/725000362948747266", "725000362948747266")</f>
        <v>0</v>
      </c>
      <c r="B2304" s="2">
        <v>42486.6913310185</v>
      </c>
      <c r="C2304">
        <v>3</v>
      </c>
      <c r="D2304">
        <v>1</v>
      </c>
      <c r="E2304" t="s">
        <v>2232</v>
      </c>
    </row>
    <row r="2305" spans="1:5">
      <c r="A2305">
        <f>HYPERLINK("http://www.twitter.com/NYCHA/status/724947574499741697", "724947574499741697")</f>
        <v>0</v>
      </c>
      <c r="B2305" s="2">
        <v>42486.5456597222</v>
      </c>
      <c r="C2305">
        <v>1</v>
      </c>
      <c r="D2305">
        <v>0</v>
      </c>
      <c r="E2305" t="s">
        <v>2106</v>
      </c>
    </row>
    <row r="2306" spans="1:5">
      <c r="A2306">
        <f>HYPERLINK("http://www.twitter.com/NYCHA/status/724946926756593664", "724946926756593664")</f>
        <v>0</v>
      </c>
      <c r="B2306" s="2">
        <v>42486.5438657407</v>
      </c>
      <c r="C2306">
        <v>1</v>
      </c>
      <c r="D2306">
        <v>0</v>
      </c>
      <c r="E2306" t="s">
        <v>2107</v>
      </c>
    </row>
    <row r="2307" spans="1:5">
      <c r="A2307">
        <f>HYPERLINK("http://www.twitter.com/NYCHA/status/724688957343162368", "724688957343162368")</f>
        <v>0</v>
      </c>
      <c r="B2307" s="2">
        <v>42485.8320138889</v>
      </c>
      <c r="C2307">
        <v>0</v>
      </c>
      <c r="D2307">
        <v>5</v>
      </c>
      <c r="E2307" t="s">
        <v>2233</v>
      </c>
    </row>
    <row r="2308" spans="1:5">
      <c r="A2308">
        <f>HYPERLINK("http://www.twitter.com/NYCHA/status/724659931161481216", "724659931161481216")</f>
        <v>0</v>
      </c>
      <c r="B2308" s="2">
        <v>42485.7519097222</v>
      </c>
      <c r="C2308">
        <v>0</v>
      </c>
      <c r="D2308">
        <v>0</v>
      </c>
      <c r="E2308" t="s">
        <v>2234</v>
      </c>
    </row>
    <row r="2309" spans="1:5">
      <c r="A2309">
        <f>HYPERLINK("http://www.twitter.com/NYCHA/status/724655543428743168", "724655543428743168")</f>
        <v>0</v>
      </c>
      <c r="B2309" s="2">
        <v>42485.7398032407</v>
      </c>
      <c r="C2309">
        <v>0</v>
      </c>
      <c r="D2309">
        <v>1</v>
      </c>
      <c r="E2309" t="s">
        <v>2235</v>
      </c>
    </row>
    <row r="2310" spans="1:5">
      <c r="A2310">
        <f>HYPERLINK("http://www.twitter.com/NYCHA/status/724633042992660480", "724633042992660480")</f>
        <v>0</v>
      </c>
      <c r="B2310" s="2">
        <v>42485.6777199074</v>
      </c>
      <c r="C2310">
        <v>0</v>
      </c>
      <c r="D2310">
        <v>0</v>
      </c>
      <c r="E2310" t="s">
        <v>2236</v>
      </c>
    </row>
    <row r="2311" spans="1:5">
      <c r="A2311">
        <f>HYPERLINK("http://www.twitter.com/NYCHA/status/724618975510953984", "724618975510953984")</f>
        <v>0</v>
      </c>
      <c r="B2311" s="2">
        <v>42485.638900463</v>
      </c>
      <c r="C2311">
        <v>0</v>
      </c>
      <c r="D2311">
        <v>3</v>
      </c>
      <c r="E2311" t="s">
        <v>2237</v>
      </c>
    </row>
    <row r="2312" spans="1:5">
      <c r="A2312">
        <f>HYPERLINK("http://www.twitter.com/NYCHA/status/724603423111426049", "724603423111426049")</f>
        <v>0</v>
      </c>
      <c r="B2312" s="2">
        <v>42485.5959837963</v>
      </c>
      <c r="C2312">
        <v>0</v>
      </c>
      <c r="D2312">
        <v>3</v>
      </c>
      <c r="E2312" t="s">
        <v>2238</v>
      </c>
    </row>
    <row r="2313" spans="1:5">
      <c r="A2313">
        <f>HYPERLINK("http://www.twitter.com/NYCHA/status/724585198017503232", "724585198017503232")</f>
        <v>0</v>
      </c>
      <c r="B2313" s="2">
        <v>42485.5456944444</v>
      </c>
      <c r="C2313">
        <v>1</v>
      </c>
      <c r="D2313">
        <v>0</v>
      </c>
      <c r="E2313" t="s">
        <v>2239</v>
      </c>
    </row>
    <row r="2314" spans="1:5">
      <c r="A2314">
        <f>HYPERLINK("http://www.twitter.com/NYCHA/status/724584535304900608", "724584535304900608")</f>
        <v>0</v>
      </c>
      <c r="B2314" s="2">
        <v>42485.5438657407</v>
      </c>
      <c r="C2314">
        <v>1</v>
      </c>
      <c r="D2314">
        <v>2</v>
      </c>
      <c r="E2314" t="s">
        <v>2240</v>
      </c>
    </row>
    <row r="2315" spans="1:5">
      <c r="A2315">
        <f>HYPERLINK("http://www.twitter.com/NYCHA/status/724401132433510400", "724401132433510400")</f>
        <v>0</v>
      </c>
      <c r="B2315" s="2">
        <v>42485.0377662037</v>
      </c>
      <c r="C2315">
        <v>0</v>
      </c>
      <c r="D2315">
        <v>6</v>
      </c>
      <c r="E2315" t="s">
        <v>2241</v>
      </c>
    </row>
    <row r="2316" spans="1:5">
      <c r="A2316">
        <f>HYPERLINK("http://www.twitter.com/NYCHA/status/724297148897071104", "724297148897071104")</f>
        <v>0</v>
      </c>
      <c r="B2316" s="2">
        <v>42484.7508217593</v>
      </c>
      <c r="C2316">
        <v>3</v>
      </c>
      <c r="D2316">
        <v>1</v>
      </c>
      <c r="E2316" t="s">
        <v>2242</v>
      </c>
    </row>
    <row r="2317" spans="1:5">
      <c r="A2317">
        <f>HYPERLINK("http://www.twitter.com/NYCHA/status/724282079941386240", "724282079941386240")</f>
        <v>0</v>
      </c>
      <c r="B2317" s="2">
        <v>42484.7092476852</v>
      </c>
      <c r="C2317">
        <v>1</v>
      </c>
      <c r="D2317">
        <v>5</v>
      </c>
      <c r="E2317" t="s">
        <v>2243</v>
      </c>
    </row>
    <row r="2318" spans="1:5">
      <c r="A2318">
        <f>HYPERLINK("http://www.twitter.com/NYCHA/status/724267198588575745", "724267198588575745")</f>
        <v>0</v>
      </c>
      <c r="B2318" s="2">
        <v>42484.6681828704</v>
      </c>
      <c r="C2318">
        <v>1</v>
      </c>
      <c r="D2318">
        <v>0</v>
      </c>
      <c r="E2318" t="s">
        <v>2189</v>
      </c>
    </row>
    <row r="2319" spans="1:5">
      <c r="A2319">
        <f>HYPERLINK("http://www.twitter.com/NYCHA/status/724251867790888960", "724251867790888960")</f>
        <v>0</v>
      </c>
      <c r="B2319" s="2">
        <v>42484.6258680556</v>
      </c>
      <c r="C2319">
        <v>2</v>
      </c>
      <c r="D2319">
        <v>1</v>
      </c>
      <c r="E2319" t="s">
        <v>2244</v>
      </c>
    </row>
    <row r="2320" spans="1:5">
      <c r="A2320">
        <f>HYPERLINK("http://www.twitter.com/NYCHA/status/723919676691099649", "723919676691099649")</f>
        <v>0</v>
      </c>
      <c r="B2320" s="2">
        <v>42483.7092013889</v>
      </c>
      <c r="C2320">
        <v>3</v>
      </c>
      <c r="D2320">
        <v>0</v>
      </c>
      <c r="E2320" t="s">
        <v>2244</v>
      </c>
    </row>
    <row r="2321" spans="1:5">
      <c r="A2321">
        <f>HYPERLINK("http://www.twitter.com/NYCHA/status/723904597916553216", "723904597916553216")</f>
        <v>0</v>
      </c>
      <c r="B2321" s="2">
        <v>42483.6675925926</v>
      </c>
      <c r="C2321">
        <v>0</v>
      </c>
      <c r="D2321">
        <v>0</v>
      </c>
      <c r="E2321" t="s">
        <v>2243</v>
      </c>
    </row>
    <row r="2322" spans="1:5">
      <c r="A2322">
        <f>HYPERLINK("http://www.twitter.com/NYCHA/status/723889458848768000", "723889458848768000")</f>
        <v>0</v>
      </c>
      <c r="B2322" s="2">
        <v>42483.6258101852</v>
      </c>
      <c r="C2322">
        <v>1</v>
      </c>
      <c r="D2322">
        <v>0</v>
      </c>
      <c r="E2322" t="s">
        <v>2245</v>
      </c>
    </row>
    <row r="2323" spans="1:5">
      <c r="A2323">
        <f>HYPERLINK("http://www.twitter.com/NYCHA/status/723874504804569088", "723874504804569088")</f>
        <v>0</v>
      </c>
      <c r="B2323" s="2">
        <v>42483.5845486111</v>
      </c>
      <c r="C2323">
        <v>1</v>
      </c>
      <c r="D2323">
        <v>0</v>
      </c>
      <c r="E2323" t="s">
        <v>2246</v>
      </c>
    </row>
    <row r="2324" spans="1:5">
      <c r="A2324">
        <f>HYPERLINK("http://www.twitter.com/NYCHA/status/723657678195691520", "723657678195691520")</f>
        <v>0</v>
      </c>
      <c r="B2324" s="2">
        <v>42482.9862268519</v>
      </c>
      <c r="C2324">
        <v>3</v>
      </c>
      <c r="D2324">
        <v>1</v>
      </c>
      <c r="E2324" t="s">
        <v>2247</v>
      </c>
    </row>
    <row r="2325" spans="1:5">
      <c r="A2325">
        <f>HYPERLINK("http://www.twitter.com/NYCHA/status/723617526232567808", "723617526232567808")</f>
        <v>0</v>
      </c>
      <c r="B2325" s="2">
        <v>42482.8754282407</v>
      </c>
      <c r="C2325">
        <v>0</v>
      </c>
      <c r="D2325">
        <v>0</v>
      </c>
      <c r="E2325" t="s">
        <v>2248</v>
      </c>
    </row>
    <row r="2326" spans="1:5">
      <c r="A2326">
        <f>HYPERLINK("http://www.twitter.com/NYCHA/status/723614542400512000", "723614542400512000")</f>
        <v>0</v>
      </c>
      <c r="B2326" s="2">
        <v>42482.8671875</v>
      </c>
      <c r="C2326">
        <v>0</v>
      </c>
      <c r="D2326">
        <v>0</v>
      </c>
      <c r="E2326" t="s">
        <v>2249</v>
      </c>
    </row>
    <row r="2327" spans="1:5">
      <c r="A2327">
        <f>HYPERLINK("http://www.twitter.com/NYCHA/status/723609922211065856", "723609922211065856")</f>
        <v>0</v>
      </c>
      <c r="B2327" s="2">
        <v>42482.8544444444</v>
      </c>
      <c r="C2327">
        <v>2</v>
      </c>
      <c r="D2327">
        <v>0</v>
      </c>
      <c r="E2327" t="s">
        <v>2250</v>
      </c>
    </row>
    <row r="2328" spans="1:5">
      <c r="A2328">
        <f>HYPERLINK("http://www.twitter.com/NYCHA/status/723602429145690114", "723602429145690114")</f>
        <v>0</v>
      </c>
      <c r="B2328" s="2">
        <v>42482.8337615741</v>
      </c>
      <c r="C2328">
        <v>4</v>
      </c>
      <c r="D2328">
        <v>4</v>
      </c>
      <c r="E2328" t="s">
        <v>2251</v>
      </c>
    </row>
    <row r="2329" spans="1:5">
      <c r="A2329">
        <f>HYPERLINK("http://www.twitter.com/NYCHA/status/723598015416684544", "723598015416684544")</f>
        <v>0</v>
      </c>
      <c r="B2329" s="2">
        <v>42482.8215856481</v>
      </c>
      <c r="C2329">
        <v>0</v>
      </c>
      <c r="D2329">
        <v>1</v>
      </c>
      <c r="E2329" t="s">
        <v>2252</v>
      </c>
    </row>
    <row r="2330" spans="1:5">
      <c r="A2330">
        <f>HYPERLINK("http://www.twitter.com/NYCHA/status/723597838194749440", "723597838194749440")</f>
        <v>0</v>
      </c>
      <c r="B2330" s="2">
        <v>42482.821099537</v>
      </c>
      <c r="C2330">
        <v>0</v>
      </c>
      <c r="D2330">
        <v>8</v>
      </c>
      <c r="E2330" t="s">
        <v>2253</v>
      </c>
    </row>
    <row r="2331" spans="1:5">
      <c r="A2331">
        <f>HYPERLINK("http://www.twitter.com/NYCHA/status/723597747148992513", "723597747148992513")</f>
        <v>0</v>
      </c>
      <c r="B2331" s="2">
        <v>42482.8208449074</v>
      </c>
      <c r="C2331">
        <v>0</v>
      </c>
      <c r="D2331">
        <v>9</v>
      </c>
      <c r="E2331" t="s">
        <v>2254</v>
      </c>
    </row>
    <row r="2332" spans="1:5">
      <c r="A2332">
        <f>HYPERLINK("http://www.twitter.com/NYCHA/status/723596826402820096", "723596826402820096")</f>
        <v>0</v>
      </c>
      <c r="B2332" s="2">
        <v>42482.8182986111</v>
      </c>
      <c r="C2332">
        <v>0</v>
      </c>
      <c r="D2332">
        <v>4</v>
      </c>
      <c r="E2332" t="s">
        <v>2255</v>
      </c>
    </row>
    <row r="2333" spans="1:5">
      <c r="A2333">
        <f>HYPERLINK("http://www.twitter.com/NYCHA/status/723594812889423872", "723594812889423872")</f>
        <v>0</v>
      </c>
      <c r="B2333" s="2">
        <v>42482.8127430556</v>
      </c>
      <c r="C2333">
        <v>3</v>
      </c>
      <c r="D2333">
        <v>1</v>
      </c>
      <c r="E2333" t="s">
        <v>2256</v>
      </c>
    </row>
    <row r="2334" spans="1:5">
      <c r="A2334">
        <f>HYPERLINK("http://www.twitter.com/NYCHA/status/723587316191780864", "723587316191780864")</f>
        <v>0</v>
      </c>
      <c r="B2334" s="2">
        <v>42482.7920601852</v>
      </c>
      <c r="C2334">
        <v>3</v>
      </c>
      <c r="D2334">
        <v>1</v>
      </c>
      <c r="E2334" t="s">
        <v>2257</v>
      </c>
    </row>
    <row r="2335" spans="1:5">
      <c r="A2335">
        <f>HYPERLINK("http://www.twitter.com/NYCHA/status/723578409973108737", "723578409973108737")</f>
        <v>0</v>
      </c>
      <c r="B2335" s="2">
        <v>42482.7674884259</v>
      </c>
      <c r="C2335">
        <v>0</v>
      </c>
      <c r="D2335">
        <v>3</v>
      </c>
      <c r="E2335" t="s">
        <v>2258</v>
      </c>
    </row>
    <row r="2336" spans="1:5">
      <c r="A2336">
        <f>HYPERLINK("http://www.twitter.com/NYCHA/status/723575081029480449", "723575081029480449")</f>
        <v>0</v>
      </c>
      <c r="B2336" s="2">
        <v>42482.7582986111</v>
      </c>
      <c r="C2336">
        <v>1</v>
      </c>
      <c r="D2336">
        <v>0</v>
      </c>
      <c r="E2336" t="s">
        <v>2259</v>
      </c>
    </row>
    <row r="2337" spans="1:5">
      <c r="A2337">
        <f>HYPERLINK("http://www.twitter.com/NYCHA/status/723575030110662656", "723575030110662656")</f>
        <v>0</v>
      </c>
      <c r="B2337" s="2">
        <v>42482.7581597222</v>
      </c>
      <c r="C2337">
        <v>0</v>
      </c>
      <c r="D2337">
        <v>3</v>
      </c>
      <c r="E2337" t="s">
        <v>2260</v>
      </c>
    </row>
    <row r="2338" spans="1:5">
      <c r="A2338">
        <f>HYPERLINK("http://www.twitter.com/NYCHA/status/723572846526648320", "723572846526648320")</f>
        <v>0</v>
      </c>
      <c r="B2338" s="2">
        <v>42482.7521296296</v>
      </c>
      <c r="C2338">
        <v>1</v>
      </c>
      <c r="D2338">
        <v>3</v>
      </c>
      <c r="E2338" t="s">
        <v>2261</v>
      </c>
    </row>
    <row r="2339" spans="1:5">
      <c r="A2339">
        <f>HYPERLINK("http://www.twitter.com/NYCHA/status/723570662221185024", "723570662221185024")</f>
        <v>0</v>
      </c>
      <c r="B2339" s="2">
        <v>42482.746099537</v>
      </c>
      <c r="C2339">
        <v>0</v>
      </c>
      <c r="D2339">
        <v>10</v>
      </c>
      <c r="E2339" t="s">
        <v>2262</v>
      </c>
    </row>
    <row r="2340" spans="1:5">
      <c r="A2340">
        <f>HYPERLINK("http://www.twitter.com/NYCHA/status/723565811089178624", "723565811089178624")</f>
        <v>0</v>
      </c>
      <c r="B2340" s="2">
        <v>42482.7327199074</v>
      </c>
      <c r="C2340">
        <v>4</v>
      </c>
      <c r="D2340">
        <v>2</v>
      </c>
      <c r="E2340" t="s">
        <v>2263</v>
      </c>
    </row>
    <row r="2341" spans="1:5">
      <c r="A2341">
        <f>HYPERLINK("http://www.twitter.com/NYCHA/status/723560854206164993", "723560854206164993")</f>
        <v>0</v>
      </c>
      <c r="B2341" s="2">
        <v>42482.7190393519</v>
      </c>
      <c r="C2341">
        <v>0</v>
      </c>
      <c r="D2341">
        <v>2</v>
      </c>
      <c r="E2341" t="s">
        <v>2264</v>
      </c>
    </row>
    <row r="2342" spans="1:5">
      <c r="A2342">
        <f>HYPERLINK("http://www.twitter.com/NYCHA/status/723560206681169920", "723560206681169920")</f>
        <v>0</v>
      </c>
      <c r="B2342" s="2">
        <v>42482.7172569444</v>
      </c>
      <c r="C2342">
        <v>0</v>
      </c>
      <c r="D2342">
        <v>6</v>
      </c>
      <c r="E2342" t="s">
        <v>2265</v>
      </c>
    </row>
    <row r="2343" spans="1:5">
      <c r="A2343">
        <f>HYPERLINK("http://www.twitter.com/NYCHA/status/723560198544216064", "723560198544216064")</f>
        <v>0</v>
      </c>
      <c r="B2343" s="2">
        <v>42482.7172337963</v>
      </c>
      <c r="C2343">
        <v>0</v>
      </c>
      <c r="D2343">
        <v>4</v>
      </c>
      <c r="E2343" t="s">
        <v>2266</v>
      </c>
    </row>
    <row r="2344" spans="1:5">
      <c r="A2344">
        <f>HYPERLINK("http://www.twitter.com/NYCHA/status/723550477296775168", "723550477296775168")</f>
        <v>0</v>
      </c>
      <c r="B2344" s="2">
        <v>42482.6904050926</v>
      </c>
      <c r="C2344">
        <v>0</v>
      </c>
      <c r="D2344">
        <v>1</v>
      </c>
      <c r="E2344" t="s">
        <v>2267</v>
      </c>
    </row>
    <row r="2345" spans="1:5">
      <c r="A2345">
        <f>HYPERLINK("http://www.twitter.com/NYCHA/status/723541925085732865", "723541925085732865")</f>
        <v>0</v>
      </c>
      <c r="B2345" s="2">
        <v>42482.6668055556</v>
      </c>
      <c r="C2345">
        <v>0</v>
      </c>
      <c r="D2345">
        <v>8</v>
      </c>
      <c r="E2345" t="s">
        <v>2268</v>
      </c>
    </row>
    <row r="2346" spans="1:5">
      <c r="A2346">
        <f>HYPERLINK("http://www.twitter.com/NYCHA/status/723536067987668992", "723536067987668992")</f>
        <v>0</v>
      </c>
      <c r="B2346" s="2">
        <v>42482.6506365741</v>
      </c>
      <c r="C2346">
        <v>0</v>
      </c>
      <c r="D2346">
        <v>2</v>
      </c>
      <c r="E2346" t="s">
        <v>2269</v>
      </c>
    </row>
    <row r="2347" spans="1:5">
      <c r="A2347">
        <f>HYPERLINK("http://www.twitter.com/NYCHA/status/723532642092744704", "723532642092744704")</f>
        <v>0</v>
      </c>
      <c r="B2347" s="2">
        <v>42482.6411921296</v>
      </c>
      <c r="C2347">
        <v>0</v>
      </c>
      <c r="D2347">
        <v>4</v>
      </c>
      <c r="E2347" t="s">
        <v>2270</v>
      </c>
    </row>
    <row r="2348" spans="1:5">
      <c r="A2348">
        <f>HYPERLINK("http://www.twitter.com/NYCHA/status/723532575982161920", "723532575982161920")</f>
        <v>0</v>
      </c>
      <c r="B2348" s="2">
        <v>42482.6410069444</v>
      </c>
      <c r="C2348">
        <v>1</v>
      </c>
      <c r="D2348">
        <v>1</v>
      </c>
      <c r="E2348" t="s">
        <v>2271</v>
      </c>
    </row>
    <row r="2349" spans="1:5">
      <c r="A2349">
        <f>HYPERLINK("http://www.twitter.com/NYCHA/status/723524168034213888", "723524168034213888")</f>
        <v>0</v>
      </c>
      <c r="B2349" s="2">
        <v>42482.6178009259</v>
      </c>
      <c r="C2349">
        <v>1</v>
      </c>
      <c r="D2349">
        <v>0</v>
      </c>
      <c r="E2349" t="s">
        <v>2272</v>
      </c>
    </row>
    <row r="2350" spans="1:5">
      <c r="A2350">
        <f>HYPERLINK("http://www.twitter.com/NYCHA/status/723510744189382658", "723510744189382658")</f>
        <v>0</v>
      </c>
      <c r="B2350" s="2">
        <v>42482.5807638889</v>
      </c>
      <c r="C2350">
        <v>1</v>
      </c>
      <c r="D2350">
        <v>0</v>
      </c>
      <c r="E2350" t="s">
        <v>2273</v>
      </c>
    </row>
    <row r="2351" spans="1:5">
      <c r="A2351">
        <f>HYPERLINK("http://www.twitter.com/NYCHA/status/723510297986772992", "723510297986772992")</f>
        <v>0</v>
      </c>
      <c r="B2351" s="2">
        <v>42482.579525463</v>
      </c>
      <c r="C2351">
        <v>0</v>
      </c>
      <c r="D2351">
        <v>0</v>
      </c>
      <c r="E2351" t="s">
        <v>2274</v>
      </c>
    </row>
    <row r="2352" spans="1:5">
      <c r="A2352">
        <f>HYPERLINK("http://www.twitter.com/NYCHA/status/723498040062033920", "723498040062033920")</f>
        <v>0</v>
      </c>
      <c r="B2352" s="2">
        <v>42482.5457060185</v>
      </c>
      <c r="C2352">
        <v>1</v>
      </c>
      <c r="D2352">
        <v>0</v>
      </c>
      <c r="E2352" t="s">
        <v>2275</v>
      </c>
    </row>
    <row r="2353" spans="1:5">
      <c r="A2353">
        <f>HYPERLINK("http://www.twitter.com/NYCHA/status/723497410706714625", "723497410706714625")</f>
        <v>0</v>
      </c>
      <c r="B2353" s="2">
        <v>42482.5439699074</v>
      </c>
      <c r="C2353">
        <v>0</v>
      </c>
      <c r="D2353">
        <v>0</v>
      </c>
      <c r="E2353" t="s">
        <v>2106</v>
      </c>
    </row>
    <row r="2354" spans="1:5">
      <c r="A2354">
        <f>HYPERLINK("http://www.twitter.com/NYCHA/status/723497150630518785", "723497150630518785")</f>
        <v>0</v>
      </c>
      <c r="B2354" s="2">
        <v>42482.5432523148</v>
      </c>
      <c r="C2354">
        <v>9</v>
      </c>
      <c r="D2354">
        <v>8</v>
      </c>
      <c r="E2354" t="s">
        <v>2276</v>
      </c>
    </row>
    <row r="2355" spans="1:5">
      <c r="A2355">
        <f>HYPERLINK("http://www.twitter.com/NYCHA/status/723329126636105729", "723329126636105729")</f>
        <v>0</v>
      </c>
      <c r="B2355" s="2">
        <v>42482.0795949074</v>
      </c>
      <c r="C2355">
        <v>0</v>
      </c>
      <c r="D2355">
        <v>1</v>
      </c>
      <c r="E2355" t="s">
        <v>2277</v>
      </c>
    </row>
    <row r="2356" spans="1:5">
      <c r="A2356">
        <f>HYPERLINK("http://www.twitter.com/NYCHA/status/723329001008275458", "723329001008275458")</f>
        <v>0</v>
      </c>
      <c r="B2356" s="2">
        <v>42482.0792476852</v>
      </c>
      <c r="C2356">
        <v>0</v>
      </c>
      <c r="D2356">
        <v>4</v>
      </c>
      <c r="E2356" t="s">
        <v>2278</v>
      </c>
    </row>
    <row r="2357" spans="1:5">
      <c r="A2357">
        <f>HYPERLINK("http://www.twitter.com/NYCHA/status/723260190716506112", "723260190716506112")</f>
        <v>0</v>
      </c>
      <c r="B2357" s="2">
        <v>42481.8893634259</v>
      </c>
      <c r="C2357">
        <v>6</v>
      </c>
      <c r="D2357">
        <v>5</v>
      </c>
      <c r="E2357" t="s">
        <v>2279</v>
      </c>
    </row>
    <row r="2358" spans="1:5">
      <c r="A2358">
        <f>HYPERLINK("http://www.twitter.com/NYCHA/status/723247552146100230", "723247552146100230")</f>
        <v>0</v>
      </c>
      <c r="B2358" s="2">
        <v>42481.8544907407</v>
      </c>
      <c r="C2358">
        <v>0</v>
      </c>
      <c r="D2358">
        <v>1</v>
      </c>
      <c r="E2358" t="s">
        <v>2280</v>
      </c>
    </row>
    <row r="2359" spans="1:5">
      <c r="A2359">
        <f>HYPERLINK("http://www.twitter.com/NYCHA/status/723227774517956608", "723227774517956608")</f>
        <v>0</v>
      </c>
      <c r="B2359" s="2">
        <v>42481.7999189815</v>
      </c>
      <c r="C2359">
        <v>0</v>
      </c>
      <c r="D2359">
        <v>8</v>
      </c>
      <c r="E2359" t="s">
        <v>2281</v>
      </c>
    </row>
    <row r="2360" spans="1:5">
      <c r="A2360">
        <f>HYPERLINK("http://www.twitter.com/NYCHA/status/723224298551447552", "723224298551447552")</f>
        <v>0</v>
      </c>
      <c r="B2360" s="2">
        <v>42481.7903240741</v>
      </c>
      <c r="C2360">
        <v>0</v>
      </c>
      <c r="D2360">
        <v>4</v>
      </c>
      <c r="E2360" t="s">
        <v>2282</v>
      </c>
    </row>
    <row r="2361" spans="1:5">
      <c r="A2361">
        <f>HYPERLINK("http://www.twitter.com/NYCHA/status/723217796004515840", "723217796004515840")</f>
        <v>0</v>
      </c>
      <c r="B2361" s="2">
        <v>42481.7723726852</v>
      </c>
      <c r="C2361">
        <v>0</v>
      </c>
      <c r="D2361">
        <v>2</v>
      </c>
      <c r="E2361" t="s">
        <v>2283</v>
      </c>
    </row>
    <row r="2362" spans="1:5">
      <c r="A2362">
        <f>HYPERLINK("http://www.twitter.com/NYCHA/status/723210332467023873", "723210332467023873")</f>
        <v>0</v>
      </c>
      <c r="B2362" s="2">
        <v>42481.7517824074</v>
      </c>
      <c r="C2362">
        <v>2</v>
      </c>
      <c r="D2362">
        <v>0</v>
      </c>
      <c r="E2362" t="s">
        <v>2284</v>
      </c>
    </row>
    <row r="2363" spans="1:5">
      <c r="A2363">
        <f>HYPERLINK("http://www.twitter.com/NYCHA/status/723210144142733312", "723210144142733312")</f>
        <v>0</v>
      </c>
      <c r="B2363" s="2">
        <v>42481.7512615741</v>
      </c>
      <c r="C2363">
        <v>0</v>
      </c>
      <c r="D2363">
        <v>2</v>
      </c>
      <c r="E2363" t="s">
        <v>2285</v>
      </c>
    </row>
    <row r="2364" spans="1:5">
      <c r="A2364">
        <f>HYPERLINK("http://www.twitter.com/NYCHA/status/723204868618465280", "723204868618465280")</f>
        <v>0</v>
      </c>
      <c r="B2364" s="2">
        <v>42481.7367013889</v>
      </c>
      <c r="C2364">
        <v>0</v>
      </c>
      <c r="D2364">
        <v>3</v>
      </c>
      <c r="E2364" t="s">
        <v>2286</v>
      </c>
    </row>
    <row r="2365" spans="1:5">
      <c r="A2365">
        <f>HYPERLINK("http://www.twitter.com/NYCHA/status/723187358745669632", "723187358745669632")</f>
        <v>0</v>
      </c>
      <c r="B2365" s="2">
        <v>42481.6883912037</v>
      </c>
      <c r="C2365">
        <v>9</v>
      </c>
      <c r="D2365">
        <v>4</v>
      </c>
      <c r="E2365" t="s">
        <v>2287</v>
      </c>
    </row>
    <row r="2366" spans="1:5">
      <c r="A2366">
        <f>HYPERLINK("http://www.twitter.com/NYCHA/status/723182053597036544", "723182053597036544")</f>
        <v>0</v>
      </c>
      <c r="B2366" s="2">
        <v>42481.67375</v>
      </c>
      <c r="C2366">
        <v>6</v>
      </c>
      <c r="D2366">
        <v>6</v>
      </c>
      <c r="E2366" t="s">
        <v>2288</v>
      </c>
    </row>
    <row r="2367" spans="1:5">
      <c r="A2367">
        <f>HYPERLINK("http://www.twitter.com/NYCHA/status/723172083899994112", "723172083899994112")</f>
        <v>0</v>
      </c>
      <c r="B2367" s="2">
        <v>42481.6462384259</v>
      </c>
      <c r="C2367">
        <v>0</v>
      </c>
      <c r="D2367">
        <v>4</v>
      </c>
      <c r="E2367" t="s">
        <v>2289</v>
      </c>
    </row>
    <row r="2368" spans="1:5">
      <c r="A2368">
        <f>HYPERLINK("http://www.twitter.com/NYCHA/status/723166965188202496", "723166965188202496")</f>
        <v>0</v>
      </c>
      <c r="B2368" s="2">
        <v>42481.6321064815</v>
      </c>
      <c r="C2368">
        <v>0</v>
      </c>
      <c r="D2368">
        <v>2</v>
      </c>
      <c r="E2368" t="s">
        <v>2290</v>
      </c>
    </row>
    <row r="2369" spans="1:5">
      <c r="A2369">
        <f>HYPERLINK("http://www.twitter.com/NYCHA/status/723162582866124800", "723162582866124800")</f>
        <v>0</v>
      </c>
      <c r="B2369" s="2">
        <v>42481.6200231481</v>
      </c>
      <c r="C2369">
        <v>0</v>
      </c>
      <c r="D2369">
        <v>6</v>
      </c>
      <c r="E2369" t="s">
        <v>2291</v>
      </c>
    </row>
    <row r="2370" spans="1:5">
      <c r="A2370">
        <f>HYPERLINK("http://www.twitter.com/NYCHA/status/723162492990545920", "723162492990545920")</f>
        <v>0</v>
      </c>
      <c r="B2370" s="2">
        <v>42481.6197685185</v>
      </c>
      <c r="C2370">
        <v>0</v>
      </c>
      <c r="D2370">
        <v>5</v>
      </c>
      <c r="E2370" t="s">
        <v>2292</v>
      </c>
    </row>
    <row r="2371" spans="1:5">
      <c r="A2371">
        <f>HYPERLINK("http://www.twitter.com/NYCHA/status/723135638573318144", "723135638573318144")</f>
        <v>0</v>
      </c>
      <c r="B2371" s="2">
        <v>42481.5456712963</v>
      </c>
      <c r="C2371">
        <v>0</v>
      </c>
      <c r="D2371">
        <v>2</v>
      </c>
      <c r="E2371" t="s">
        <v>2293</v>
      </c>
    </row>
    <row r="2372" spans="1:5">
      <c r="A2372">
        <f>HYPERLINK("http://www.twitter.com/NYCHA/status/723134947368808448", "723134947368808448")</f>
        <v>0</v>
      </c>
      <c r="B2372" s="2">
        <v>42481.5437615741</v>
      </c>
      <c r="C2372">
        <v>0</v>
      </c>
      <c r="D2372">
        <v>0</v>
      </c>
      <c r="E2372" t="s">
        <v>2294</v>
      </c>
    </row>
    <row r="2373" spans="1:5">
      <c r="A2373">
        <f>HYPERLINK("http://www.twitter.com/NYCHA/status/722847452244664320", "722847452244664320")</f>
        <v>0</v>
      </c>
      <c r="B2373" s="2">
        <v>42480.7504282407</v>
      </c>
      <c r="C2373">
        <v>1</v>
      </c>
      <c r="D2373">
        <v>1</v>
      </c>
      <c r="E2373" t="s">
        <v>2295</v>
      </c>
    </row>
    <row r="2374" spans="1:5">
      <c r="A2374">
        <f>HYPERLINK("http://www.twitter.com/NYCHA/status/722832662818340864", "722832662818340864")</f>
        <v>0</v>
      </c>
      <c r="B2374" s="2">
        <v>42480.7096180556</v>
      </c>
      <c r="C2374">
        <v>0</v>
      </c>
      <c r="D2374">
        <v>1</v>
      </c>
      <c r="E2374" t="s">
        <v>2296</v>
      </c>
    </row>
    <row r="2375" spans="1:5">
      <c r="A2375">
        <f>HYPERLINK("http://www.twitter.com/NYCHA/status/722820494689325058", "722820494689325058")</f>
        <v>0</v>
      </c>
      <c r="B2375" s="2">
        <v>42480.6760300926</v>
      </c>
      <c r="C2375">
        <v>8</v>
      </c>
      <c r="D2375">
        <v>5</v>
      </c>
      <c r="E2375" t="s">
        <v>2297</v>
      </c>
    </row>
    <row r="2376" spans="1:5">
      <c r="A2376">
        <f>HYPERLINK("http://www.twitter.com/NYCHA/status/722796215713275904", "722796215713275904")</f>
        <v>0</v>
      </c>
      <c r="B2376" s="2">
        <v>42480.6090393519</v>
      </c>
      <c r="C2376">
        <v>0</v>
      </c>
      <c r="D2376">
        <v>1</v>
      </c>
      <c r="E2376" t="s">
        <v>2298</v>
      </c>
    </row>
    <row r="2377" spans="1:5">
      <c r="A2377">
        <f>HYPERLINK("http://www.twitter.com/NYCHA/status/722773254021189632", "722773254021189632")</f>
        <v>0</v>
      </c>
      <c r="B2377" s="2">
        <v>42480.5456712963</v>
      </c>
      <c r="C2377">
        <v>0</v>
      </c>
      <c r="D2377">
        <v>0</v>
      </c>
      <c r="E2377" t="s">
        <v>1974</v>
      </c>
    </row>
    <row r="2378" spans="1:5">
      <c r="A2378">
        <f>HYPERLINK("http://www.twitter.com/NYCHA/status/722772569443708928", "722772569443708928")</f>
        <v>0</v>
      </c>
      <c r="B2378" s="2">
        <v>42480.5437847222</v>
      </c>
      <c r="C2378">
        <v>0</v>
      </c>
      <c r="D2378">
        <v>1</v>
      </c>
      <c r="E2378" t="s">
        <v>1975</v>
      </c>
    </row>
    <row r="2379" spans="1:5">
      <c r="A2379">
        <f>HYPERLINK("http://www.twitter.com/NYCHA/status/722485558841380865", "722485558841380865")</f>
        <v>0</v>
      </c>
      <c r="B2379" s="2">
        <v>42479.7517939815</v>
      </c>
      <c r="C2379">
        <v>0</v>
      </c>
      <c r="D2379">
        <v>0</v>
      </c>
      <c r="E2379" t="s">
        <v>2299</v>
      </c>
    </row>
    <row r="2380" spans="1:5">
      <c r="A2380">
        <f>HYPERLINK("http://www.twitter.com/NYCHA/status/722454057584050176", "722454057584050176")</f>
        <v>0</v>
      </c>
      <c r="B2380" s="2">
        <v>42479.6648611111</v>
      </c>
      <c r="C2380">
        <v>6</v>
      </c>
      <c r="D2380">
        <v>3</v>
      </c>
      <c r="E2380" t="s">
        <v>2300</v>
      </c>
    </row>
    <row r="2381" spans="1:5">
      <c r="A2381">
        <f>HYPERLINK("http://www.twitter.com/NYCHA/status/722427450517491712", "722427450517491712")</f>
        <v>0</v>
      </c>
      <c r="B2381" s="2">
        <v>42479.5914351852</v>
      </c>
      <c r="C2381">
        <v>4</v>
      </c>
      <c r="D2381">
        <v>7</v>
      </c>
      <c r="E2381" t="s">
        <v>2301</v>
      </c>
    </row>
    <row r="2382" spans="1:5">
      <c r="A2382">
        <f>HYPERLINK("http://www.twitter.com/NYCHA/status/722410861772541952", "722410861772541952")</f>
        <v>0</v>
      </c>
      <c r="B2382" s="2">
        <v>42479.5456597222</v>
      </c>
      <c r="C2382">
        <v>0</v>
      </c>
      <c r="D2382">
        <v>0</v>
      </c>
      <c r="E2382" t="s">
        <v>2196</v>
      </c>
    </row>
    <row r="2383" spans="1:5">
      <c r="A2383">
        <f>HYPERLINK("http://www.twitter.com/NYCHA/status/722410179384516608", "722410179384516608")</f>
        <v>0</v>
      </c>
      <c r="B2383" s="2">
        <v>42479.5437847222</v>
      </c>
      <c r="C2383">
        <v>0</v>
      </c>
      <c r="D2383">
        <v>0</v>
      </c>
      <c r="E2383" t="s">
        <v>1989</v>
      </c>
    </row>
    <row r="2384" spans="1:5">
      <c r="A2384">
        <f>HYPERLINK("http://www.twitter.com/NYCHA/status/722123234477502466", "722123234477502466")</f>
        <v>0</v>
      </c>
      <c r="B2384" s="2">
        <v>42478.7519675926</v>
      </c>
      <c r="C2384">
        <v>0</v>
      </c>
      <c r="D2384">
        <v>2</v>
      </c>
      <c r="E2384" t="s">
        <v>2302</v>
      </c>
    </row>
    <row r="2385" spans="1:5">
      <c r="A2385">
        <f>HYPERLINK("http://www.twitter.com/NYCHA/status/722093103772016640", "722093103772016640")</f>
        <v>0</v>
      </c>
      <c r="B2385" s="2">
        <v>42478.6688194444</v>
      </c>
      <c r="C2385">
        <v>1</v>
      </c>
      <c r="D2385">
        <v>1</v>
      </c>
      <c r="E2385" t="s">
        <v>2303</v>
      </c>
    </row>
    <row r="2386" spans="1:5">
      <c r="A2386">
        <f>HYPERLINK("http://www.twitter.com/NYCHA/status/722059400509276160", "722059400509276160")</f>
        <v>0</v>
      </c>
      <c r="B2386" s="2">
        <v>42478.5758101852</v>
      </c>
      <c r="C2386">
        <v>0</v>
      </c>
      <c r="D2386">
        <v>975</v>
      </c>
      <c r="E2386" t="s">
        <v>2304</v>
      </c>
    </row>
    <row r="2387" spans="1:5">
      <c r="A2387">
        <f>HYPERLINK("http://www.twitter.com/NYCHA/status/722048473282031621", "722048473282031621")</f>
        <v>0</v>
      </c>
      <c r="B2387" s="2">
        <v>42478.5456597222</v>
      </c>
      <c r="C2387">
        <v>1</v>
      </c>
      <c r="D2387">
        <v>0</v>
      </c>
      <c r="E2387" t="s">
        <v>2305</v>
      </c>
    </row>
    <row r="2388" spans="1:5">
      <c r="A2388">
        <f>HYPERLINK("http://www.twitter.com/NYCHA/status/722047749038936064", "722047749038936064")</f>
        <v>0</v>
      </c>
      <c r="B2388" s="2">
        <v>42478.5436689815</v>
      </c>
      <c r="C2388">
        <v>2</v>
      </c>
      <c r="D2388">
        <v>0</v>
      </c>
      <c r="E2388" t="s">
        <v>2000</v>
      </c>
    </row>
    <row r="2389" spans="1:5">
      <c r="A2389">
        <f>HYPERLINK("http://www.twitter.com/NYCHA/status/721820873221677056", "721820873221677056")</f>
        <v>0</v>
      </c>
      <c r="B2389" s="2">
        <v>42477.9176041667</v>
      </c>
      <c r="C2389">
        <v>0</v>
      </c>
      <c r="D2389">
        <v>78</v>
      </c>
      <c r="E2389" t="s">
        <v>2306</v>
      </c>
    </row>
    <row r="2390" spans="1:5">
      <c r="A2390">
        <f>HYPERLINK("http://www.twitter.com/NYCHA/status/721820872693129218", "721820872693129218")</f>
        <v>0</v>
      </c>
      <c r="B2390" s="2">
        <v>42477.9176041667</v>
      </c>
      <c r="C2390">
        <v>0</v>
      </c>
      <c r="D2390">
        <v>26</v>
      </c>
      <c r="E2390" t="s">
        <v>2307</v>
      </c>
    </row>
    <row r="2391" spans="1:5">
      <c r="A2391">
        <f>HYPERLINK("http://www.twitter.com/NYCHA/status/721067489606692864", "721067489606692864")</f>
        <v>0</v>
      </c>
      <c r="B2391" s="2">
        <v>42475.8386574074</v>
      </c>
      <c r="C2391">
        <v>0</v>
      </c>
      <c r="D2391">
        <v>4</v>
      </c>
      <c r="E2391" t="s">
        <v>2308</v>
      </c>
    </row>
    <row r="2392" spans="1:5">
      <c r="A2392">
        <f>HYPERLINK("http://www.twitter.com/NYCHA/status/721051176519786496", "721051176519786496")</f>
        <v>0</v>
      </c>
      <c r="B2392" s="2">
        <v>42475.7936458333</v>
      </c>
      <c r="C2392">
        <v>0</v>
      </c>
      <c r="D2392">
        <v>4</v>
      </c>
      <c r="E2392" t="s">
        <v>2309</v>
      </c>
    </row>
    <row r="2393" spans="1:5">
      <c r="A2393">
        <f>HYPERLINK("http://www.twitter.com/NYCHA/status/721035917985783808", "721035917985783808")</f>
        <v>0</v>
      </c>
      <c r="B2393" s="2">
        <v>42475.7515393519</v>
      </c>
      <c r="C2393">
        <v>1</v>
      </c>
      <c r="D2393">
        <v>0</v>
      </c>
      <c r="E2393" t="s">
        <v>2176</v>
      </c>
    </row>
    <row r="2394" spans="1:5">
      <c r="A2394">
        <f>HYPERLINK("http://www.twitter.com/NYCHA/status/721034528362377216", "721034528362377216")</f>
        <v>0</v>
      </c>
      <c r="B2394" s="2">
        <v>42475.7477083333</v>
      </c>
      <c r="C2394">
        <v>0</v>
      </c>
      <c r="D2394">
        <v>2</v>
      </c>
      <c r="E2394" t="s">
        <v>2310</v>
      </c>
    </row>
    <row r="2395" spans="1:5">
      <c r="A2395">
        <f>HYPERLINK("http://www.twitter.com/NYCHA/status/721010350485868544", "721010350485868544")</f>
        <v>0</v>
      </c>
      <c r="B2395" s="2">
        <v>42475.6809837963</v>
      </c>
      <c r="C2395">
        <v>7</v>
      </c>
      <c r="D2395">
        <v>9</v>
      </c>
      <c r="E2395" t="s">
        <v>2311</v>
      </c>
    </row>
    <row r="2396" spans="1:5">
      <c r="A2396">
        <f>HYPERLINK("http://www.twitter.com/NYCHA/status/721005834159923201", "721005834159923201")</f>
        <v>0</v>
      </c>
      <c r="B2396" s="2">
        <v>42475.6685300926</v>
      </c>
      <c r="C2396">
        <v>5</v>
      </c>
      <c r="D2396">
        <v>1</v>
      </c>
      <c r="E2396" t="s">
        <v>2312</v>
      </c>
    </row>
    <row r="2397" spans="1:5">
      <c r="A2397">
        <f>HYPERLINK("http://www.twitter.com/NYCHA/status/720961310012403712", "720961310012403712")</f>
        <v>0</v>
      </c>
      <c r="B2397" s="2">
        <v>42475.5456597222</v>
      </c>
      <c r="C2397">
        <v>1</v>
      </c>
      <c r="D2397">
        <v>2</v>
      </c>
      <c r="E2397" t="s">
        <v>2313</v>
      </c>
    </row>
    <row r="2398" spans="1:5">
      <c r="A2398">
        <f>HYPERLINK("http://www.twitter.com/NYCHA/status/720960700005400576", "720960700005400576")</f>
        <v>0</v>
      </c>
      <c r="B2398" s="2">
        <v>42475.5439814815</v>
      </c>
      <c r="C2398">
        <v>0</v>
      </c>
      <c r="D2398">
        <v>2</v>
      </c>
      <c r="E2398" t="s">
        <v>2314</v>
      </c>
    </row>
    <row r="2399" spans="1:5">
      <c r="A2399">
        <f>HYPERLINK("http://www.twitter.com/NYCHA/status/720725012676755462", "720725012676755462")</f>
        <v>0</v>
      </c>
      <c r="B2399" s="2">
        <v>42474.8936111111</v>
      </c>
      <c r="C2399">
        <v>0</v>
      </c>
      <c r="D2399">
        <v>8</v>
      </c>
      <c r="E2399" t="s">
        <v>2315</v>
      </c>
    </row>
    <row r="2400" spans="1:5">
      <c r="A2400">
        <f>HYPERLINK("http://www.twitter.com/NYCHA/status/720725005764542464", "720725005764542464")</f>
        <v>0</v>
      </c>
      <c r="B2400" s="2">
        <v>42474.893587963</v>
      </c>
      <c r="C2400">
        <v>0</v>
      </c>
      <c r="D2400">
        <v>4</v>
      </c>
      <c r="E2400" t="s">
        <v>2316</v>
      </c>
    </row>
    <row r="2401" spans="1:5">
      <c r="A2401">
        <f>HYPERLINK("http://www.twitter.com/NYCHA/status/720713978574454790", "720713978574454790")</f>
        <v>0</v>
      </c>
      <c r="B2401" s="2">
        <v>42474.8631597222</v>
      </c>
      <c r="C2401">
        <v>0</v>
      </c>
      <c r="D2401">
        <v>3</v>
      </c>
      <c r="E2401" t="s">
        <v>2317</v>
      </c>
    </row>
    <row r="2402" spans="1:5">
      <c r="A2402">
        <f>HYPERLINK("http://www.twitter.com/NYCHA/status/720691817566584833", "720691817566584833")</f>
        <v>0</v>
      </c>
      <c r="B2402" s="2">
        <v>42474.8020023148</v>
      </c>
      <c r="C2402">
        <v>0</v>
      </c>
      <c r="D2402">
        <v>11</v>
      </c>
      <c r="E2402" t="s">
        <v>2318</v>
      </c>
    </row>
    <row r="2403" spans="1:5">
      <c r="A2403">
        <f>HYPERLINK("http://www.twitter.com/NYCHA/status/720673518665494528", "720673518665494528")</f>
        <v>0</v>
      </c>
      <c r="B2403" s="2">
        <v>42474.7515046296</v>
      </c>
      <c r="C2403">
        <v>2</v>
      </c>
      <c r="D2403">
        <v>0</v>
      </c>
      <c r="E2403" t="s">
        <v>2319</v>
      </c>
    </row>
    <row r="2404" spans="1:5">
      <c r="A2404">
        <f>HYPERLINK("http://www.twitter.com/NYCHA/status/720654997764104192", "720654997764104192")</f>
        <v>0</v>
      </c>
      <c r="B2404" s="2">
        <v>42474.7004050926</v>
      </c>
      <c r="C2404">
        <v>0</v>
      </c>
      <c r="D2404">
        <v>9</v>
      </c>
      <c r="E2404" t="s">
        <v>2320</v>
      </c>
    </row>
    <row r="2405" spans="1:5">
      <c r="A2405">
        <f>HYPERLINK("http://www.twitter.com/NYCHA/status/720651691348140033", "720651691348140033")</f>
        <v>0</v>
      </c>
      <c r="B2405" s="2">
        <v>42474.6912731481</v>
      </c>
      <c r="C2405">
        <v>4</v>
      </c>
      <c r="D2405">
        <v>5</v>
      </c>
      <c r="E2405" t="s">
        <v>2321</v>
      </c>
    </row>
    <row r="2406" spans="1:5">
      <c r="A2406">
        <f>HYPERLINK("http://www.twitter.com/NYCHA/status/720598932372529153", "720598932372529153")</f>
        <v>0</v>
      </c>
      <c r="B2406" s="2">
        <v>42474.5456944444</v>
      </c>
      <c r="C2406">
        <v>0</v>
      </c>
      <c r="D2406">
        <v>0</v>
      </c>
      <c r="E2406" t="s">
        <v>2322</v>
      </c>
    </row>
    <row r="2407" spans="1:5">
      <c r="A2407">
        <f>HYPERLINK("http://www.twitter.com/NYCHA/status/720598248784818176", "720598248784818176")</f>
        <v>0</v>
      </c>
      <c r="B2407" s="2">
        <v>42474.5438078704</v>
      </c>
      <c r="C2407">
        <v>0</v>
      </c>
      <c r="D2407">
        <v>0</v>
      </c>
      <c r="E2407" t="s">
        <v>2323</v>
      </c>
    </row>
    <row r="2408" spans="1:5">
      <c r="A2408">
        <f>HYPERLINK("http://www.twitter.com/NYCHA/status/720328571483361280", "720328571483361280")</f>
        <v>0</v>
      </c>
      <c r="B2408" s="2">
        <v>42473.7996412037</v>
      </c>
      <c r="C2408">
        <v>0</v>
      </c>
      <c r="D2408">
        <v>11</v>
      </c>
      <c r="E2408" t="s">
        <v>2324</v>
      </c>
    </row>
    <row r="2409" spans="1:5">
      <c r="A2409">
        <f>HYPERLINK("http://www.twitter.com/NYCHA/status/720311138815238145", "720311138815238145")</f>
        <v>0</v>
      </c>
      <c r="B2409" s="2">
        <v>42473.7515277778</v>
      </c>
      <c r="C2409">
        <v>0</v>
      </c>
      <c r="D2409">
        <v>0</v>
      </c>
      <c r="E2409" t="s">
        <v>2189</v>
      </c>
    </row>
    <row r="2410" spans="1:5">
      <c r="A2410">
        <f>HYPERLINK("http://www.twitter.com/NYCHA/status/720282824025194500", "720282824025194500")</f>
        <v>0</v>
      </c>
      <c r="B2410" s="2">
        <v>42473.6734027778</v>
      </c>
      <c r="C2410">
        <v>1</v>
      </c>
      <c r="D2410">
        <v>0</v>
      </c>
      <c r="E2410" t="s">
        <v>2325</v>
      </c>
    </row>
    <row r="2411" spans="1:5">
      <c r="A2411">
        <f>HYPERLINK("http://www.twitter.com/NYCHA/status/720266847489257472", "720266847489257472")</f>
        <v>0</v>
      </c>
      <c r="B2411" s="2">
        <v>42473.6293171296</v>
      </c>
      <c r="C2411">
        <v>0</v>
      </c>
      <c r="D2411">
        <v>2</v>
      </c>
      <c r="E2411" t="s">
        <v>2326</v>
      </c>
    </row>
    <row r="2412" spans="1:5">
      <c r="A2412">
        <f>HYPERLINK("http://www.twitter.com/NYCHA/status/720250003302821888", "720250003302821888")</f>
        <v>0</v>
      </c>
      <c r="B2412" s="2">
        <v>42473.5828356482</v>
      </c>
      <c r="C2412">
        <v>1</v>
      </c>
      <c r="D2412">
        <v>0</v>
      </c>
      <c r="E2412" t="s">
        <v>2327</v>
      </c>
    </row>
    <row r="2413" spans="1:5">
      <c r="A2413">
        <f>HYPERLINK("http://www.twitter.com/NYCHA/status/720236530997071872", "720236530997071872")</f>
        <v>0</v>
      </c>
      <c r="B2413" s="2">
        <v>42473.5456481481</v>
      </c>
      <c r="C2413">
        <v>1</v>
      </c>
      <c r="D2413">
        <v>0</v>
      </c>
      <c r="E2413" t="s">
        <v>2328</v>
      </c>
    </row>
    <row r="2414" spans="1:5">
      <c r="A2414">
        <f>HYPERLINK("http://www.twitter.com/NYCHA/status/720235871342043136", "720235871342043136")</f>
        <v>0</v>
      </c>
      <c r="B2414" s="2">
        <v>42473.5438310185</v>
      </c>
      <c r="C2414">
        <v>0</v>
      </c>
      <c r="D2414">
        <v>0</v>
      </c>
      <c r="E2414" t="s">
        <v>2329</v>
      </c>
    </row>
    <row r="2415" spans="1:5">
      <c r="A2415">
        <f>HYPERLINK("http://www.twitter.com/NYCHA/status/720049451310690304", "720049451310690304")</f>
        <v>0</v>
      </c>
      <c r="B2415" s="2">
        <v>42473.0294097222</v>
      </c>
      <c r="C2415">
        <v>0</v>
      </c>
      <c r="D2415">
        <v>15</v>
      </c>
      <c r="E2415" t="s">
        <v>2330</v>
      </c>
    </row>
    <row r="2416" spans="1:5">
      <c r="A2416">
        <f>HYPERLINK("http://www.twitter.com/NYCHA/status/719990329869484032", "719990329869484032")</f>
        <v>0</v>
      </c>
      <c r="B2416" s="2">
        <v>42472.8662731481</v>
      </c>
      <c r="C2416">
        <v>3</v>
      </c>
      <c r="D2416">
        <v>2</v>
      </c>
      <c r="E2416" t="s">
        <v>2331</v>
      </c>
    </row>
    <row r="2417" spans="1:5">
      <c r="A2417">
        <f>HYPERLINK("http://www.twitter.com/NYCHA/status/719967205698445313", "719967205698445313")</f>
        <v>0</v>
      </c>
      <c r="B2417" s="2">
        <v>42472.8024537037</v>
      </c>
      <c r="C2417">
        <v>0</v>
      </c>
      <c r="D2417">
        <v>6</v>
      </c>
      <c r="E2417" t="s">
        <v>2332</v>
      </c>
    </row>
    <row r="2418" spans="1:5">
      <c r="A2418">
        <f>HYPERLINK("http://www.twitter.com/NYCHA/status/719967114942103553", "719967114942103553")</f>
        <v>0</v>
      </c>
      <c r="B2418" s="2">
        <v>42472.8022106482</v>
      </c>
      <c r="C2418">
        <v>0</v>
      </c>
      <c r="D2418">
        <v>5</v>
      </c>
      <c r="E2418" t="s">
        <v>2333</v>
      </c>
    </row>
    <row r="2419" spans="1:5">
      <c r="A2419">
        <f>HYPERLINK("http://www.twitter.com/NYCHA/status/719925964126490625", "719925964126490625")</f>
        <v>0</v>
      </c>
      <c r="B2419" s="2">
        <v>42472.6886574074</v>
      </c>
      <c r="C2419">
        <v>0</v>
      </c>
      <c r="D2419">
        <v>0</v>
      </c>
      <c r="E2419" t="s">
        <v>2299</v>
      </c>
    </row>
    <row r="2420" spans="1:5">
      <c r="A2420">
        <f>HYPERLINK("http://www.twitter.com/NYCHA/status/719921979667652608", "719921979667652608")</f>
        <v>0</v>
      </c>
      <c r="B2420" s="2">
        <v>42472.677662037</v>
      </c>
      <c r="C2420">
        <v>0</v>
      </c>
      <c r="D2420">
        <v>4</v>
      </c>
      <c r="E2420" t="s">
        <v>2334</v>
      </c>
    </row>
    <row r="2421" spans="1:5">
      <c r="A2421">
        <f>HYPERLINK("http://www.twitter.com/NYCHA/status/719906496868429824", "719906496868429824")</f>
        <v>0</v>
      </c>
      <c r="B2421" s="2">
        <v>42472.6349305556</v>
      </c>
      <c r="C2421">
        <v>0</v>
      </c>
      <c r="D2421">
        <v>1</v>
      </c>
      <c r="E2421" t="s">
        <v>2335</v>
      </c>
    </row>
    <row r="2422" spans="1:5">
      <c r="A2422">
        <f>HYPERLINK("http://www.twitter.com/NYCHA/status/719887899135713280", "719887899135713280")</f>
        <v>0</v>
      </c>
      <c r="B2422" s="2">
        <v>42472.5836111111</v>
      </c>
      <c r="C2422">
        <v>0</v>
      </c>
      <c r="D2422">
        <v>1</v>
      </c>
      <c r="E2422" t="s">
        <v>2336</v>
      </c>
    </row>
    <row r="2423" spans="1:5">
      <c r="A2423">
        <f>HYPERLINK("http://www.twitter.com/NYCHA/status/719874169794641920", "719874169794641920")</f>
        <v>0</v>
      </c>
      <c r="B2423" s="2">
        <v>42472.5457291667</v>
      </c>
      <c r="C2423">
        <v>0</v>
      </c>
      <c r="D2423">
        <v>0</v>
      </c>
      <c r="E2423" t="s">
        <v>2337</v>
      </c>
    </row>
    <row r="2424" spans="1:5">
      <c r="A2424">
        <f>HYPERLINK("http://www.twitter.com/NYCHA/status/719873469572390912", "719873469572390912")</f>
        <v>0</v>
      </c>
      <c r="B2424" s="2">
        <v>42472.5437962963</v>
      </c>
      <c r="C2424">
        <v>0</v>
      </c>
      <c r="D2424">
        <v>0</v>
      </c>
      <c r="E2424" t="s">
        <v>2338</v>
      </c>
    </row>
    <row r="2425" spans="1:5">
      <c r="A2425">
        <f>HYPERLINK("http://www.twitter.com/NYCHA/status/719593697877323778", "719593697877323778")</f>
        <v>0</v>
      </c>
      <c r="B2425" s="2">
        <v>42471.7717708333</v>
      </c>
      <c r="C2425">
        <v>1</v>
      </c>
      <c r="D2425">
        <v>1</v>
      </c>
      <c r="E2425" t="s">
        <v>2339</v>
      </c>
    </row>
    <row r="2426" spans="1:5">
      <c r="A2426">
        <f>HYPERLINK("http://www.twitter.com/NYCHA/status/719578059687534592", "719578059687534592")</f>
        <v>0</v>
      </c>
      <c r="B2426" s="2">
        <v>42471.7286226852</v>
      </c>
      <c r="C2426">
        <v>3</v>
      </c>
      <c r="D2426">
        <v>0</v>
      </c>
      <c r="E2426" t="s">
        <v>2340</v>
      </c>
    </row>
    <row r="2427" spans="1:5">
      <c r="A2427">
        <f>HYPERLINK("http://www.twitter.com/NYCHA/status/719563525409153024", "719563525409153024")</f>
        <v>0</v>
      </c>
      <c r="B2427" s="2">
        <v>42471.6885069444</v>
      </c>
      <c r="C2427">
        <v>1</v>
      </c>
      <c r="D2427">
        <v>0</v>
      </c>
      <c r="E2427" t="s">
        <v>2341</v>
      </c>
    </row>
    <row r="2428" spans="1:5">
      <c r="A2428">
        <f>HYPERLINK("http://www.twitter.com/NYCHA/status/719542059485540353", "719542059485540353")</f>
        <v>0</v>
      </c>
      <c r="B2428" s="2">
        <v>42471.6292824074</v>
      </c>
      <c r="C2428">
        <v>0</v>
      </c>
      <c r="D2428">
        <v>3</v>
      </c>
      <c r="E2428" t="s">
        <v>2342</v>
      </c>
    </row>
    <row r="2429" spans="1:5">
      <c r="A2429">
        <f>HYPERLINK("http://www.twitter.com/NYCHA/status/719525970127024128", "719525970127024128")</f>
        <v>0</v>
      </c>
      <c r="B2429" s="2">
        <v>42471.5848842593</v>
      </c>
      <c r="C2429">
        <v>2</v>
      </c>
      <c r="D2429">
        <v>0</v>
      </c>
      <c r="E2429" t="s">
        <v>2343</v>
      </c>
    </row>
    <row r="2430" spans="1:5">
      <c r="A2430">
        <f>HYPERLINK("http://www.twitter.com/NYCHA/status/719521591990861824", "719521591990861824")</f>
        <v>0</v>
      </c>
      <c r="B2430" s="2">
        <v>42471.5728009259</v>
      </c>
      <c r="C2430">
        <v>0</v>
      </c>
      <c r="D2430">
        <v>0</v>
      </c>
      <c r="E2430" t="s">
        <v>2344</v>
      </c>
    </row>
    <row r="2431" spans="1:5">
      <c r="A2431">
        <f>HYPERLINK("http://www.twitter.com/NYCHA/status/719511772454076416", "719511772454076416")</f>
        <v>0</v>
      </c>
      <c r="B2431" s="2">
        <v>42471.5457060185</v>
      </c>
      <c r="C2431">
        <v>0</v>
      </c>
      <c r="D2431">
        <v>0</v>
      </c>
      <c r="E2431" t="s">
        <v>2345</v>
      </c>
    </row>
    <row r="2432" spans="1:5">
      <c r="A2432">
        <f>HYPERLINK("http://www.twitter.com/NYCHA/status/719511018372755457", "719511018372755457")</f>
        <v>0</v>
      </c>
      <c r="B2432" s="2">
        <v>42471.5436226852</v>
      </c>
      <c r="C2432">
        <v>1</v>
      </c>
      <c r="D2432">
        <v>0</v>
      </c>
      <c r="E2432" t="s">
        <v>2346</v>
      </c>
    </row>
    <row r="2433" spans="1:5">
      <c r="A2433">
        <f>HYPERLINK("http://www.twitter.com/NYCHA/status/719201012205109249", "719201012205109249")</f>
        <v>0</v>
      </c>
      <c r="B2433" s="2">
        <v>42470.6881712963</v>
      </c>
      <c r="C2433">
        <v>0</v>
      </c>
      <c r="D2433">
        <v>1</v>
      </c>
      <c r="E2433" t="s">
        <v>2229</v>
      </c>
    </row>
    <row r="2434" spans="1:5">
      <c r="A2434">
        <f>HYPERLINK("http://www.twitter.com/NYCHA/status/719148313468121088", "719148313468121088")</f>
        <v>0</v>
      </c>
      <c r="B2434" s="2">
        <v>42470.5427430556</v>
      </c>
      <c r="C2434">
        <v>2</v>
      </c>
      <c r="D2434">
        <v>1</v>
      </c>
      <c r="E2434" t="s">
        <v>2203</v>
      </c>
    </row>
    <row r="2435" spans="1:5">
      <c r="A2435">
        <f>HYPERLINK("http://www.twitter.com/NYCHA/status/718816230291935233", "718816230291935233")</f>
        <v>0</v>
      </c>
      <c r="B2435" s="2">
        <v>42469.6263657407</v>
      </c>
      <c r="C2435">
        <v>1</v>
      </c>
      <c r="D2435">
        <v>0</v>
      </c>
      <c r="E2435" t="s">
        <v>2234</v>
      </c>
    </row>
    <row r="2436" spans="1:5">
      <c r="A2436">
        <f>HYPERLINK("http://www.twitter.com/NYCHA/status/718801235944611840", "718801235944611840")</f>
        <v>0</v>
      </c>
      <c r="B2436" s="2">
        <v>42469.5849884259</v>
      </c>
      <c r="C2436">
        <v>1</v>
      </c>
      <c r="D2436">
        <v>1</v>
      </c>
      <c r="E2436" t="s">
        <v>2347</v>
      </c>
    </row>
    <row r="2437" spans="1:5">
      <c r="A2437">
        <f>HYPERLINK("http://www.twitter.com/NYCHA/status/718785991994130433", "718785991994130433")</f>
        <v>0</v>
      </c>
      <c r="B2437" s="2">
        <v>42469.5429282407</v>
      </c>
      <c r="C2437">
        <v>0</v>
      </c>
      <c r="D2437">
        <v>1</v>
      </c>
      <c r="E2437" t="s">
        <v>2219</v>
      </c>
    </row>
    <row r="2438" spans="1:5">
      <c r="A2438">
        <f>HYPERLINK("http://www.twitter.com/NYCHA/status/718585399292129280", "718585399292129280")</f>
        <v>0</v>
      </c>
      <c r="B2438" s="2">
        <v>42468.9893981482</v>
      </c>
      <c r="C2438">
        <v>0</v>
      </c>
      <c r="D2438">
        <v>3</v>
      </c>
      <c r="E2438" t="s">
        <v>2348</v>
      </c>
    </row>
    <row r="2439" spans="1:5">
      <c r="A2439">
        <f>HYPERLINK("http://www.twitter.com/NYCHA/status/718556473085861889", "718556473085861889")</f>
        <v>0</v>
      </c>
      <c r="B2439" s="2">
        <v>42468.9095717593</v>
      </c>
      <c r="C2439">
        <v>0</v>
      </c>
      <c r="D2439">
        <v>1</v>
      </c>
      <c r="E2439" t="s">
        <v>2349</v>
      </c>
    </row>
    <row r="2440" spans="1:5">
      <c r="A2440">
        <f>HYPERLINK("http://www.twitter.com/NYCHA/status/718499271432093696", "718499271432093696")</f>
        <v>0</v>
      </c>
      <c r="B2440" s="2">
        <v>42468.7517361111</v>
      </c>
      <c r="C2440">
        <v>0</v>
      </c>
      <c r="D2440">
        <v>0</v>
      </c>
      <c r="E2440" t="s">
        <v>2350</v>
      </c>
    </row>
    <row r="2441" spans="1:5">
      <c r="A2441">
        <f>HYPERLINK("http://www.twitter.com/NYCHA/status/718476325284134914", "718476325284134914")</f>
        <v>0</v>
      </c>
      <c r="B2441" s="2">
        <v>42468.6884143519</v>
      </c>
      <c r="C2441">
        <v>0</v>
      </c>
      <c r="D2441">
        <v>0</v>
      </c>
      <c r="E2441" t="s">
        <v>2176</v>
      </c>
    </row>
    <row r="2442" spans="1:5">
      <c r="A2442">
        <f>HYPERLINK("http://www.twitter.com/NYCHA/status/718441181680689152", "718441181680689152")</f>
        <v>0</v>
      </c>
      <c r="B2442" s="2">
        <v>42468.5914351852</v>
      </c>
      <c r="C2442">
        <v>0</v>
      </c>
      <c r="D2442">
        <v>0</v>
      </c>
      <c r="E2442" t="s">
        <v>2351</v>
      </c>
    </row>
    <row r="2443" spans="1:5">
      <c r="A2443">
        <f>HYPERLINK("http://www.twitter.com/NYCHA/status/718424584555466753", "718424584555466753")</f>
        <v>0</v>
      </c>
      <c r="B2443" s="2">
        <v>42468.5456365741</v>
      </c>
      <c r="C2443">
        <v>1</v>
      </c>
      <c r="D2443">
        <v>0</v>
      </c>
      <c r="E2443" t="s">
        <v>2352</v>
      </c>
    </row>
    <row r="2444" spans="1:5">
      <c r="A2444">
        <f>HYPERLINK("http://www.twitter.com/NYCHA/status/718423916520280064", "718423916520280064")</f>
        <v>0</v>
      </c>
      <c r="B2444" s="2">
        <v>42468.5437962963</v>
      </c>
      <c r="C2444">
        <v>0</v>
      </c>
      <c r="D2444">
        <v>0</v>
      </c>
      <c r="E2444" t="s">
        <v>2353</v>
      </c>
    </row>
    <row r="2445" spans="1:5">
      <c r="A2445">
        <f>HYPERLINK("http://www.twitter.com/NYCHA/status/718174366446526464", "718174366446526464")</f>
        <v>0</v>
      </c>
      <c r="B2445" s="2">
        <v>42467.855162037</v>
      </c>
      <c r="C2445">
        <v>0</v>
      </c>
      <c r="D2445">
        <v>0</v>
      </c>
      <c r="E2445" t="s">
        <v>2354</v>
      </c>
    </row>
    <row r="2446" spans="1:5">
      <c r="A2446">
        <f>HYPERLINK("http://www.twitter.com/NYCHA/status/718136975589556224", "718136975589556224")</f>
        <v>0</v>
      </c>
      <c r="B2446" s="2">
        <v>42467.7519791667</v>
      </c>
      <c r="C2446">
        <v>0</v>
      </c>
      <c r="D2446">
        <v>0</v>
      </c>
      <c r="E2446" t="s">
        <v>897</v>
      </c>
    </row>
    <row r="2447" spans="1:5">
      <c r="A2447">
        <f>HYPERLINK("http://www.twitter.com/NYCHA/status/718113896448593920", "718113896448593920")</f>
        <v>0</v>
      </c>
      <c r="B2447" s="2">
        <v>42467.6882986111</v>
      </c>
      <c r="C2447">
        <v>0</v>
      </c>
      <c r="D2447">
        <v>2</v>
      </c>
      <c r="E2447" t="s">
        <v>2319</v>
      </c>
    </row>
    <row r="2448" spans="1:5">
      <c r="A2448">
        <f>HYPERLINK("http://www.twitter.com/NYCHA/status/718104844431663104", "718104844431663104")</f>
        <v>0</v>
      </c>
      <c r="B2448" s="2">
        <v>42467.6633217593</v>
      </c>
      <c r="C2448">
        <v>0</v>
      </c>
      <c r="D2448">
        <v>1</v>
      </c>
      <c r="E2448" t="s">
        <v>2355</v>
      </c>
    </row>
    <row r="2449" spans="1:5">
      <c r="A2449">
        <f>HYPERLINK("http://www.twitter.com/NYCHA/status/718076326389891073", "718076326389891073")</f>
        <v>0</v>
      </c>
      <c r="B2449" s="2">
        <v>42467.5846296296</v>
      </c>
      <c r="C2449">
        <v>4</v>
      </c>
      <c r="D2449">
        <v>2</v>
      </c>
      <c r="E2449" t="s">
        <v>2356</v>
      </c>
    </row>
    <row r="2450" spans="1:5">
      <c r="A2450">
        <f>HYPERLINK("http://www.twitter.com/NYCHA/status/718062196920598528", "718062196920598528")</f>
        <v>0</v>
      </c>
      <c r="B2450" s="2">
        <v>42467.5456365741</v>
      </c>
      <c r="C2450">
        <v>2</v>
      </c>
      <c r="D2450">
        <v>2</v>
      </c>
      <c r="E2450" t="s">
        <v>2357</v>
      </c>
    </row>
    <row r="2451" spans="1:5">
      <c r="A2451">
        <f>HYPERLINK("http://www.twitter.com/NYCHA/status/718061508106842112", "718061508106842112")</f>
        <v>0</v>
      </c>
      <c r="B2451" s="2">
        <v>42467.5437384259</v>
      </c>
      <c r="C2451">
        <v>0</v>
      </c>
      <c r="D2451">
        <v>0</v>
      </c>
      <c r="E2451" t="s">
        <v>2358</v>
      </c>
    </row>
    <row r="2452" spans="1:5">
      <c r="A2452">
        <f>HYPERLINK("http://www.twitter.com/NYCHA/status/717838208982204416", "717838208982204416")</f>
        <v>0</v>
      </c>
      <c r="B2452" s="2">
        <v>42466.9275462963</v>
      </c>
      <c r="C2452">
        <v>0</v>
      </c>
      <c r="D2452">
        <v>2</v>
      </c>
      <c r="E2452" t="s">
        <v>2359</v>
      </c>
    </row>
    <row r="2453" spans="1:5">
      <c r="A2453">
        <f>HYPERLINK("http://www.twitter.com/NYCHA/status/717837928790155265", "717837928790155265")</f>
        <v>0</v>
      </c>
      <c r="B2453" s="2">
        <v>42466.9267708333</v>
      </c>
      <c r="C2453">
        <v>0</v>
      </c>
      <c r="D2453">
        <v>3</v>
      </c>
      <c r="E2453" t="s">
        <v>2360</v>
      </c>
    </row>
    <row r="2454" spans="1:5">
      <c r="A2454">
        <f>HYPERLINK("http://www.twitter.com/NYCHA/status/717835063413641220", "717835063413641220")</f>
        <v>0</v>
      </c>
      <c r="B2454" s="2">
        <v>42466.9188657407</v>
      </c>
      <c r="C2454">
        <v>0</v>
      </c>
      <c r="D2454">
        <v>4</v>
      </c>
      <c r="E2454" t="s">
        <v>2361</v>
      </c>
    </row>
    <row r="2455" spans="1:5">
      <c r="A2455">
        <f>HYPERLINK("http://www.twitter.com/NYCHA/status/717825530729525248", "717825530729525248")</f>
        <v>0</v>
      </c>
      <c r="B2455" s="2">
        <v>42466.8925578704</v>
      </c>
      <c r="C2455">
        <v>0</v>
      </c>
      <c r="D2455">
        <v>0</v>
      </c>
      <c r="E2455" t="s">
        <v>2189</v>
      </c>
    </row>
    <row r="2456" spans="1:5">
      <c r="A2456">
        <f>HYPERLINK("http://www.twitter.com/NYCHA/status/717820334410440706", "717820334410440706")</f>
        <v>0</v>
      </c>
      <c r="B2456" s="2">
        <v>42466.8782175926</v>
      </c>
      <c r="C2456">
        <v>0</v>
      </c>
      <c r="D2456">
        <v>3</v>
      </c>
      <c r="E2456" t="s">
        <v>2362</v>
      </c>
    </row>
    <row r="2457" spans="1:5">
      <c r="A2457">
        <f>HYPERLINK("http://www.twitter.com/NYCHA/status/717789866759741440", "717789866759741440")</f>
        <v>0</v>
      </c>
      <c r="B2457" s="2">
        <v>42466.7941435185</v>
      </c>
      <c r="C2457">
        <v>0</v>
      </c>
      <c r="D2457">
        <v>0</v>
      </c>
      <c r="E2457" t="s">
        <v>2363</v>
      </c>
    </row>
    <row r="2458" spans="1:5">
      <c r="A2458">
        <f>HYPERLINK("http://www.twitter.com/NYCHA/status/717776785660895233", "717776785660895233")</f>
        <v>0</v>
      </c>
      <c r="B2458" s="2">
        <v>42466.7580555556</v>
      </c>
      <c r="C2458">
        <v>0</v>
      </c>
      <c r="D2458">
        <v>5</v>
      </c>
      <c r="E2458" t="s">
        <v>2364</v>
      </c>
    </row>
    <row r="2459" spans="1:5">
      <c r="A2459">
        <f>HYPERLINK("http://www.twitter.com/NYCHA/status/717776723828408320", "717776723828408320")</f>
        <v>0</v>
      </c>
      <c r="B2459" s="2">
        <v>42466.7578819444</v>
      </c>
      <c r="C2459">
        <v>0</v>
      </c>
      <c r="D2459">
        <v>3</v>
      </c>
      <c r="E2459" t="s">
        <v>2365</v>
      </c>
    </row>
    <row r="2460" spans="1:5">
      <c r="A2460">
        <f>HYPERLINK("http://www.twitter.com/NYCHA/status/717776677200400384", "717776677200400384")</f>
        <v>0</v>
      </c>
      <c r="B2460" s="2">
        <v>42466.7577546296</v>
      </c>
      <c r="C2460">
        <v>0</v>
      </c>
      <c r="D2460">
        <v>7</v>
      </c>
      <c r="E2460" t="s">
        <v>2330</v>
      </c>
    </row>
    <row r="2461" spans="1:5">
      <c r="A2461">
        <f>HYPERLINK("http://www.twitter.com/NYCHA/status/717774898328911875", "717774898328911875")</f>
        <v>0</v>
      </c>
      <c r="B2461" s="2">
        <v>42466.7528472222</v>
      </c>
      <c r="C2461">
        <v>0</v>
      </c>
      <c r="D2461">
        <v>1</v>
      </c>
      <c r="E2461" t="s">
        <v>2366</v>
      </c>
    </row>
    <row r="2462" spans="1:5">
      <c r="A2462">
        <f>HYPERLINK("http://www.twitter.com/NYCHA/status/717774884521308160", "717774884521308160")</f>
        <v>0</v>
      </c>
      <c r="B2462" s="2">
        <v>42466.7528009259</v>
      </c>
      <c r="C2462">
        <v>0</v>
      </c>
      <c r="D2462">
        <v>1</v>
      </c>
      <c r="E2462" t="s">
        <v>2367</v>
      </c>
    </row>
    <row r="2463" spans="1:5">
      <c r="A2463">
        <f>HYPERLINK("http://www.twitter.com/NYCHA/status/717755154552987648", "717755154552987648")</f>
        <v>0</v>
      </c>
      <c r="B2463" s="2">
        <v>42466.6983564815</v>
      </c>
      <c r="C2463">
        <v>1</v>
      </c>
      <c r="D2463">
        <v>1</v>
      </c>
      <c r="E2463" t="s">
        <v>2350</v>
      </c>
    </row>
    <row r="2464" spans="1:5">
      <c r="A2464">
        <f>HYPERLINK("http://www.twitter.com/NYCHA/status/717731458668953600", "717731458668953600")</f>
        <v>0</v>
      </c>
      <c r="B2464" s="2">
        <v>42466.632974537</v>
      </c>
      <c r="C2464">
        <v>0</v>
      </c>
      <c r="D2464">
        <v>7</v>
      </c>
      <c r="E2464" t="s">
        <v>2368</v>
      </c>
    </row>
    <row r="2465" spans="1:5">
      <c r="A2465">
        <f>HYPERLINK("http://www.twitter.com/NYCHA/status/717730484432871425", "717730484432871425")</f>
        <v>0</v>
      </c>
      <c r="B2465" s="2">
        <v>42466.6302777778</v>
      </c>
      <c r="C2465">
        <v>0</v>
      </c>
      <c r="D2465">
        <v>1</v>
      </c>
      <c r="E2465" t="s">
        <v>2369</v>
      </c>
    </row>
    <row r="2466" spans="1:5">
      <c r="A2466">
        <f>HYPERLINK("http://www.twitter.com/NYCHA/status/717699881650020352", "717699881650020352")</f>
        <v>0</v>
      </c>
      <c r="B2466" s="2">
        <v>42466.5458333333</v>
      </c>
      <c r="C2466">
        <v>0</v>
      </c>
      <c r="D2466">
        <v>1</v>
      </c>
      <c r="E2466" t="s">
        <v>2370</v>
      </c>
    </row>
    <row r="2467" spans="1:5">
      <c r="A2467">
        <f>HYPERLINK("http://www.twitter.com/NYCHA/status/717699360977510400", "717699360977510400")</f>
        <v>0</v>
      </c>
      <c r="B2467" s="2">
        <v>42466.5443981482</v>
      </c>
      <c r="C2467">
        <v>0</v>
      </c>
      <c r="D2467">
        <v>0</v>
      </c>
      <c r="E2467" t="s">
        <v>2371</v>
      </c>
    </row>
    <row r="2468" spans="1:5">
      <c r="A2468">
        <f>HYPERLINK("http://www.twitter.com/NYCHA/status/717489501254324224", "717489501254324224")</f>
        <v>0</v>
      </c>
      <c r="B2468" s="2">
        <v>42465.9653009259</v>
      </c>
      <c r="C2468">
        <v>1</v>
      </c>
      <c r="D2468">
        <v>0</v>
      </c>
      <c r="E2468" t="s">
        <v>2372</v>
      </c>
    </row>
    <row r="2469" spans="1:5">
      <c r="A2469">
        <f>HYPERLINK("http://www.twitter.com/NYCHA/status/717482294307659776", "717482294307659776")</f>
        <v>0</v>
      </c>
      <c r="B2469" s="2">
        <v>42465.9454050926</v>
      </c>
      <c r="C2469">
        <v>2</v>
      </c>
      <c r="D2469">
        <v>1</v>
      </c>
      <c r="E2469" t="s">
        <v>2373</v>
      </c>
    </row>
    <row r="2470" spans="1:5">
      <c r="A2470">
        <f>HYPERLINK("http://www.twitter.com/NYCHA/status/717481248197898240", "717481248197898240")</f>
        <v>0</v>
      </c>
      <c r="B2470" s="2">
        <v>42465.9425231482</v>
      </c>
      <c r="C2470">
        <v>1</v>
      </c>
      <c r="D2470">
        <v>2</v>
      </c>
      <c r="E2470" t="s">
        <v>2374</v>
      </c>
    </row>
    <row r="2471" spans="1:5">
      <c r="A2471">
        <f>HYPERLINK("http://www.twitter.com/NYCHA/status/717480986137739264", "717480986137739264")</f>
        <v>0</v>
      </c>
      <c r="B2471" s="2">
        <v>42465.9417939815</v>
      </c>
      <c r="C2471">
        <v>1</v>
      </c>
      <c r="D2471">
        <v>0</v>
      </c>
      <c r="E2471" t="s">
        <v>2375</v>
      </c>
    </row>
    <row r="2472" spans="1:5">
      <c r="A2472">
        <f>HYPERLINK("http://www.twitter.com/NYCHA/status/717474852928618497", "717474852928618497")</f>
        <v>0</v>
      </c>
      <c r="B2472" s="2">
        <v>42465.9248726852</v>
      </c>
      <c r="C2472">
        <v>1</v>
      </c>
      <c r="D2472">
        <v>2</v>
      </c>
      <c r="E2472" t="s">
        <v>2376</v>
      </c>
    </row>
    <row r="2473" spans="1:5">
      <c r="A2473">
        <f>HYPERLINK("http://www.twitter.com/NYCHA/status/717474543380664325", "717474543380664325")</f>
        <v>0</v>
      </c>
      <c r="B2473" s="2">
        <v>42465.9240162037</v>
      </c>
      <c r="C2473">
        <v>0</v>
      </c>
      <c r="D2473">
        <v>0</v>
      </c>
      <c r="E2473" t="s">
        <v>2377</v>
      </c>
    </row>
    <row r="2474" spans="1:5">
      <c r="A2474">
        <f>HYPERLINK("http://www.twitter.com/NYCHA/status/717474353416388609", "717474353416388609")</f>
        <v>0</v>
      </c>
      <c r="B2474" s="2">
        <v>42465.9234953704</v>
      </c>
      <c r="C2474">
        <v>2</v>
      </c>
      <c r="D2474">
        <v>1</v>
      </c>
      <c r="E2474" t="s">
        <v>2378</v>
      </c>
    </row>
    <row r="2475" spans="1:5">
      <c r="A2475">
        <f>HYPERLINK("http://www.twitter.com/NYCHA/status/717474161334042625", "717474161334042625")</f>
        <v>0</v>
      </c>
      <c r="B2475" s="2">
        <v>42465.922962963</v>
      </c>
      <c r="C2475">
        <v>1</v>
      </c>
      <c r="D2475">
        <v>0</v>
      </c>
      <c r="E2475" t="s">
        <v>2379</v>
      </c>
    </row>
    <row r="2476" spans="1:5">
      <c r="A2476">
        <f>HYPERLINK("http://www.twitter.com/NYCHA/status/717473948607315973", "717473948607315973")</f>
        <v>0</v>
      </c>
      <c r="B2476" s="2">
        <v>42465.9223842593</v>
      </c>
      <c r="C2476">
        <v>0</v>
      </c>
      <c r="D2476">
        <v>1</v>
      </c>
      <c r="E2476" t="s">
        <v>2380</v>
      </c>
    </row>
    <row r="2477" spans="1:5">
      <c r="A2477">
        <f>HYPERLINK("http://www.twitter.com/NYCHA/status/717473764620038145", "717473764620038145")</f>
        <v>0</v>
      </c>
      <c r="B2477" s="2">
        <v>42465.921875</v>
      </c>
      <c r="C2477">
        <v>0</v>
      </c>
      <c r="D2477">
        <v>0</v>
      </c>
      <c r="E2477" t="s">
        <v>2381</v>
      </c>
    </row>
    <row r="2478" spans="1:5">
      <c r="A2478">
        <f>HYPERLINK("http://www.twitter.com/NYCHA/status/717473670319501312", "717473670319501312")</f>
        <v>0</v>
      </c>
      <c r="B2478" s="2">
        <v>42465.9216087963</v>
      </c>
      <c r="C2478">
        <v>0</v>
      </c>
      <c r="D2478">
        <v>1</v>
      </c>
      <c r="E2478" t="s">
        <v>2382</v>
      </c>
    </row>
    <row r="2479" spans="1:5">
      <c r="A2479">
        <f>HYPERLINK("http://www.twitter.com/NYCHA/status/717473554745401344", "717473554745401344")</f>
        <v>0</v>
      </c>
      <c r="B2479" s="2">
        <v>42465.9212962963</v>
      </c>
      <c r="C2479">
        <v>1</v>
      </c>
      <c r="D2479">
        <v>0</v>
      </c>
      <c r="E2479" t="s">
        <v>2383</v>
      </c>
    </row>
    <row r="2480" spans="1:5">
      <c r="A2480">
        <f>HYPERLINK("http://www.twitter.com/NYCHA/status/717473442598166531", "717473442598166531")</f>
        <v>0</v>
      </c>
      <c r="B2480" s="2">
        <v>42465.9209837963</v>
      </c>
      <c r="C2480">
        <v>1</v>
      </c>
      <c r="D2480">
        <v>1</v>
      </c>
      <c r="E2480" t="s">
        <v>2384</v>
      </c>
    </row>
    <row r="2481" spans="1:5">
      <c r="A2481">
        <f>HYPERLINK("http://www.twitter.com/NYCHA/status/717473326696898560", "717473326696898560")</f>
        <v>0</v>
      </c>
      <c r="B2481" s="2">
        <v>42465.9206597222</v>
      </c>
      <c r="C2481">
        <v>0</v>
      </c>
      <c r="D2481">
        <v>0</v>
      </c>
      <c r="E2481" t="s">
        <v>2385</v>
      </c>
    </row>
    <row r="2482" spans="1:5">
      <c r="A2482">
        <f>HYPERLINK("http://www.twitter.com/NYCHA/status/717473205255073792", "717473205255073792")</f>
        <v>0</v>
      </c>
      <c r="B2482" s="2">
        <v>42465.9203240741</v>
      </c>
      <c r="C2482">
        <v>1</v>
      </c>
      <c r="D2482">
        <v>0</v>
      </c>
      <c r="E2482" t="s">
        <v>2386</v>
      </c>
    </row>
    <row r="2483" spans="1:5">
      <c r="A2483">
        <f>HYPERLINK("http://www.twitter.com/NYCHA/status/717473108110811136", "717473108110811136")</f>
        <v>0</v>
      </c>
      <c r="B2483" s="2">
        <v>42465.9200578704</v>
      </c>
      <c r="C2483">
        <v>0</v>
      </c>
      <c r="D2483">
        <v>0</v>
      </c>
      <c r="E2483" t="s">
        <v>2387</v>
      </c>
    </row>
    <row r="2484" spans="1:5">
      <c r="A2484">
        <f>HYPERLINK("http://www.twitter.com/NYCHA/status/717472806959783936", "717472806959783936")</f>
        <v>0</v>
      </c>
      <c r="B2484" s="2">
        <v>42465.919224537</v>
      </c>
      <c r="C2484">
        <v>1</v>
      </c>
      <c r="D2484">
        <v>1</v>
      </c>
      <c r="E2484" t="s">
        <v>2388</v>
      </c>
    </row>
    <row r="2485" spans="1:5">
      <c r="A2485">
        <f>HYPERLINK("http://www.twitter.com/NYCHA/status/717470126631690241", "717470126631690241")</f>
        <v>0</v>
      </c>
      <c r="B2485" s="2">
        <v>42465.9118287037</v>
      </c>
      <c r="C2485">
        <v>0</v>
      </c>
      <c r="D2485">
        <v>0</v>
      </c>
      <c r="E2485" t="s">
        <v>2389</v>
      </c>
    </row>
    <row r="2486" spans="1:5">
      <c r="A2486">
        <f>HYPERLINK("http://www.twitter.com/NYCHA/status/717464438924787712", "717464438924787712")</f>
        <v>0</v>
      </c>
      <c r="B2486" s="2">
        <v>42465.8961342593</v>
      </c>
      <c r="C2486">
        <v>1</v>
      </c>
      <c r="D2486">
        <v>1</v>
      </c>
      <c r="E2486" t="s">
        <v>2390</v>
      </c>
    </row>
    <row r="2487" spans="1:5">
      <c r="A2487">
        <f>HYPERLINK("http://www.twitter.com/NYCHA/status/717449331008258048", "717449331008258048")</f>
        <v>0</v>
      </c>
      <c r="B2487" s="2">
        <v>42465.8544444444</v>
      </c>
      <c r="C2487">
        <v>2</v>
      </c>
      <c r="D2487">
        <v>2</v>
      </c>
      <c r="E2487" t="s">
        <v>2391</v>
      </c>
    </row>
    <row r="2488" spans="1:5">
      <c r="A2488">
        <f>HYPERLINK("http://www.twitter.com/NYCHA/status/717434214463967236", "717434214463967236")</f>
        <v>0</v>
      </c>
      <c r="B2488" s="2">
        <v>42465.8127314815</v>
      </c>
      <c r="C2488">
        <v>0</v>
      </c>
      <c r="D2488">
        <v>1</v>
      </c>
      <c r="E2488" t="s">
        <v>2392</v>
      </c>
    </row>
    <row r="2489" spans="1:5">
      <c r="A2489">
        <f>HYPERLINK("http://www.twitter.com/NYCHA/status/717430110937284608", "717430110937284608")</f>
        <v>0</v>
      </c>
      <c r="B2489" s="2">
        <v>42465.801412037</v>
      </c>
      <c r="C2489">
        <v>0</v>
      </c>
      <c r="D2489">
        <v>2</v>
      </c>
      <c r="E2489" t="s">
        <v>2393</v>
      </c>
    </row>
    <row r="2490" spans="1:5">
      <c r="A2490">
        <f>HYPERLINK("http://www.twitter.com/NYCHA/status/717426990106730497", "717426990106730497")</f>
        <v>0</v>
      </c>
      <c r="B2490" s="2">
        <v>42465.7928009259</v>
      </c>
      <c r="C2490">
        <v>0</v>
      </c>
      <c r="D2490">
        <v>1</v>
      </c>
      <c r="E2490" t="s">
        <v>2394</v>
      </c>
    </row>
    <row r="2491" spans="1:5">
      <c r="A2491">
        <f>HYPERLINK("http://www.twitter.com/NYCHA/status/717418410599182340", "717418410599182340")</f>
        <v>0</v>
      </c>
      <c r="B2491" s="2">
        <v>42465.7691203704</v>
      </c>
      <c r="C2491">
        <v>0</v>
      </c>
      <c r="D2491">
        <v>1</v>
      </c>
      <c r="E2491" t="s">
        <v>2395</v>
      </c>
    </row>
    <row r="2492" spans="1:5">
      <c r="A2492">
        <f>HYPERLINK("http://www.twitter.com/NYCHA/status/717412130132205572", "717412130132205572")</f>
        <v>0</v>
      </c>
      <c r="B2492" s="2">
        <v>42465.7517939815</v>
      </c>
      <c r="C2492">
        <v>2</v>
      </c>
      <c r="D2492">
        <v>1</v>
      </c>
      <c r="E2492" t="s">
        <v>2396</v>
      </c>
    </row>
    <row r="2493" spans="1:5">
      <c r="A2493">
        <f>HYPERLINK("http://www.twitter.com/NYCHA/status/717382744272158720", "717382744272158720")</f>
        <v>0</v>
      </c>
      <c r="B2493" s="2">
        <v>42465.6707060185</v>
      </c>
      <c r="C2493">
        <v>0</v>
      </c>
      <c r="D2493">
        <v>1</v>
      </c>
      <c r="E2493" t="s">
        <v>2397</v>
      </c>
    </row>
    <row r="2494" spans="1:5">
      <c r="A2494">
        <f>HYPERLINK("http://www.twitter.com/NYCHA/status/717369125945876480", "717369125945876480")</f>
        <v>0</v>
      </c>
      <c r="B2494" s="2">
        <v>42465.633125</v>
      </c>
      <c r="C2494">
        <v>0</v>
      </c>
      <c r="D2494">
        <v>3</v>
      </c>
      <c r="E2494" t="s">
        <v>2398</v>
      </c>
    </row>
    <row r="2495" spans="1:5">
      <c r="A2495">
        <f>HYPERLINK("http://www.twitter.com/NYCHA/status/717367489856946176", "717367489856946176")</f>
        <v>0</v>
      </c>
      <c r="B2495" s="2">
        <v>42465.6286111111</v>
      </c>
      <c r="C2495">
        <v>0</v>
      </c>
      <c r="D2495">
        <v>2</v>
      </c>
      <c r="E2495" t="s">
        <v>2399</v>
      </c>
    </row>
    <row r="2496" spans="1:5">
      <c r="A2496">
        <f>HYPERLINK("http://www.twitter.com/NYCHA/status/717354847029354496", "717354847029354496")</f>
        <v>0</v>
      </c>
      <c r="B2496" s="2">
        <v>42465.5937152778</v>
      </c>
      <c r="C2496">
        <v>1</v>
      </c>
      <c r="D2496">
        <v>1</v>
      </c>
      <c r="E2496" t="s">
        <v>2400</v>
      </c>
    </row>
    <row r="2497" spans="1:5">
      <c r="A2497">
        <f>HYPERLINK("http://www.twitter.com/NYCHA/status/717352025256800256", "717352025256800256")</f>
        <v>0</v>
      </c>
      <c r="B2497" s="2">
        <v>42465.5859375</v>
      </c>
      <c r="C2497">
        <v>0</v>
      </c>
      <c r="D2497">
        <v>0</v>
      </c>
      <c r="E2497" t="s">
        <v>2401</v>
      </c>
    </row>
    <row r="2498" spans="1:5">
      <c r="A2498">
        <f>HYPERLINK("http://www.twitter.com/NYCHA/status/717351422669496320", "717351422669496320")</f>
        <v>0</v>
      </c>
      <c r="B2498" s="2">
        <v>42465.5842708333</v>
      </c>
      <c r="C2498">
        <v>0</v>
      </c>
      <c r="D2498">
        <v>4</v>
      </c>
      <c r="E2498" t="s">
        <v>2310</v>
      </c>
    </row>
    <row r="2499" spans="1:5">
      <c r="A2499">
        <f>HYPERLINK("http://www.twitter.com/NYCHA/status/717351300237811712", "717351300237811712")</f>
        <v>0</v>
      </c>
      <c r="B2499" s="2">
        <v>42465.5839351852</v>
      </c>
      <c r="C2499">
        <v>0</v>
      </c>
      <c r="D2499">
        <v>4</v>
      </c>
      <c r="E2499" t="s">
        <v>2402</v>
      </c>
    </row>
    <row r="2500" spans="1:5">
      <c r="A2500">
        <f>HYPERLINK("http://www.twitter.com/NYCHA/status/717351293262643200", "717351293262643200")</f>
        <v>0</v>
      </c>
      <c r="B2500" s="2">
        <v>42465.583912037</v>
      </c>
      <c r="C2500">
        <v>0</v>
      </c>
      <c r="D2500">
        <v>2</v>
      </c>
      <c r="E2500" t="s">
        <v>2403</v>
      </c>
    </row>
    <row r="2501" spans="1:5">
      <c r="A2501">
        <f>HYPERLINK("http://www.twitter.com/NYCHA/status/717350095369461760", "717350095369461760")</f>
        <v>0</v>
      </c>
      <c r="B2501" s="2">
        <v>42465.5806134259</v>
      </c>
      <c r="C2501">
        <v>0</v>
      </c>
      <c r="D2501">
        <v>1</v>
      </c>
      <c r="E2501" t="s">
        <v>2404</v>
      </c>
    </row>
    <row r="2502" spans="1:5">
      <c r="A2502">
        <f>HYPERLINK("http://www.twitter.com/NYCHA/status/717349987923968000", "717349987923968000")</f>
        <v>0</v>
      </c>
      <c r="B2502" s="2">
        <v>42465.5803125</v>
      </c>
      <c r="C2502">
        <v>0</v>
      </c>
      <c r="D2502">
        <v>0</v>
      </c>
      <c r="E2502" t="s">
        <v>2344</v>
      </c>
    </row>
    <row r="2503" spans="1:5">
      <c r="A2503">
        <f>HYPERLINK("http://www.twitter.com/NYCHA/status/717338671385587712", "717338671385587712")</f>
        <v>0</v>
      </c>
      <c r="B2503" s="2">
        <v>42465.5490856481</v>
      </c>
      <c r="C2503">
        <v>0</v>
      </c>
      <c r="D2503">
        <v>4</v>
      </c>
      <c r="E2503" t="s">
        <v>2405</v>
      </c>
    </row>
    <row r="2504" spans="1:5">
      <c r="A2504">
        <f>HYPERLINK("http://www.twitter.com/NYCHA/status/717337405326549000", "717337405326549000")</f>
        <v>0</v>
      </c>
      <c r="B2504" s="2">
        <v>42465.5455902778</v>
      </c>
      <c r="C2504">
        <v>1</v>
      </c>
      <c r="D2504">
        <v>0</v>
      </c>
      <c r="E2504" t="s">
        <v>2406</v>
      </c>
    </row>
    <row r="2505" spans="1:5">
      <c r="A2505">
        <f>HYPERLINK("http://www.twitter.com/NYCHA/status/717336674724929538", "717336674724929538")</f>
        <v>0</v>
      </c>
      <c r="B2505" s="2">
        <v>42465.5435763889</v>
      </c>
      <c r="C2505">
        <v>1</v>
      </c>
      <c r="D2505">
        <v>1</v>
      </c>
      <c r="E2505" t="s">
        <v>2407</v>
      </c>
    </row>
    <row r="2506" spans="1:5">
      <c r="A2506">
        <f>HYPERLINK("http://www.twitter.com/NYCHA/status/717056794539999232", "717056794539999232")</f>
        <v>0</v>
      </c>
      <c r="B2506" s="2">
        <v>42464.77125</v>
      </c>
      <c r="C2506">
        <v>0</v>
      </c>
      <c r="D2506">
        <v>2</v>
      </c>
      <c r="E2506" t="s">
        <v>2339</v>
      </c>
    </row>
    <row r="2507" spans="1:5">
      <c r="A2507">
        <f>HYPERLINK("http://www.twitter.com/NYCHA/status/717050255578120192", "717050255578120192")</f>
        <v>0</v>
      </c>
      <c r="B2507" s="2">
        <v>42464.7532060185</v>
      </c>
      <c r="C2507">
        <v>26</v>
      </c>
      <c r="D2507">
        <v>10</v>
      </c>
      <c r="E2507" t="s">
        <v>2408</v>
      </c>
    </row>
    <row r="2508" spans="1:5">
      <c r="A2508">
        <f>HYPERLINK("http://www.twitter.com/NYCHA/status/717037470702051332", "717037470702051332")</f>
        <v>0</v>
      </c>
      <c r="B2508" s="2">
        <v>42464.7179282407</v>
      </c>
      <c r="C2508">
        <v>0</v>
      </c>
      <c r="D2508">
        <v>1</v>
      </c>
      <c r="E2508" t="s">
        <v>2409</v>
      </c>
    </row>
    <row r="2509" spans="1:5">
      <c r="A2509">
        <f>HYPERLINK("http://www.twitter.com/NYCHA/status/717033167606128641", "717033167606128641")</f>
        <v>0</v>
      </c>
      <c r="B2509" s="2">
        <v>42464.7060532407</v>
      </c>
      <c r="C2509">
        <v>0</v>
      </c>
      <c r="D2509">
        <v>0</v>
      </c>
      <c r="E2509" t="s">
        <v>2410</v>
      </c>
    </row>
    <row r="2510" spans="1:5">
      <c r="A2510">
        <f>HYPERLINK("http://www.twitter.com/NYCHA/status/717019547719569408", "717019547719569408")</f>
        <v>0</v>
      </c>
      <c r="B2510" s="2">
        <v>42464.6684722222</v>
      </c>
      <c r="C2510">
        <v>1</v>
      </c>
      <c r="D2510">
        <v>0</v>
      </c>
      <c r="E2510" t="s">
        <v>2411</v>
      </c>
    </row>
    <row r="2511" spans="1:5">
      <c r="A2511">
        <f>HYPERLINK("http://www.twitter.com/NYCHA/status/717003831721271296", "717003831721271296")</f>
        <v>0</v>
      </c>
      <c r="B2511" s="2">
        <v>42464.6251041667</v>
      </c>
      <c r="C2511">
        <v>1</v>
      </c>
      <c r="D2511">
        <v>2</v>
      </c>
      <c r="E2511" t="s">
        <v>2412</v>
      </c>
    </row>
    <row r="2512" spans="1:5">
      <c r="A2512">
        <f>HYPERLINK("http://www.twitter.com/NYCHA/status/716994313717215232", "716994313717215232")</f>
        <v>0</v>
      </c>
      <c r="B2512" s="2">
        <v>42464.5988425926</v>
      </c>
      <c r="C2512">
        <v>0</v>
      </c>
      <c r="D2512">
        <v>3</v>
      </c>
      <c r="E2512" t="s">
        <v>2413</v>
      </c>
    </row>
    <row r="2513" spans="1:5">
      <c r="A2513">
        <f>HYPERLINK("http://www.twitter.com/NYCHA/status/716994217407561732", "716994217407561732")</f>
        <v>0</v>
      </c>
      <c r="B2513" s="2">
        <v>42464.5985763889</v>
      </c>
      <c r="C2513">
        <v>0</v>
      </c>
      <c r="D2513">
        <v>5</v>
      </c>
      <c r="E2513" t="s">
        <v>2414</v>
      </c>
    </row>
    <row r="2514" spans="1:5">
      <c r="A2514">
        <f>HYPERLINK("http://www.twitter.com/NYCHA/status/716994190815674370", "716994190815674370")</f>
        <v>0</v>
      </c>
      <c r="B2514" s="2">
        <v>42464.5984953704</v>
      </c>
      <c r="C2514">
        <v>0</v>
      </c>
      <c r="D2514">
        <v>0</v>
      </c>
      <c r="E2514" t="s">
        <v>2415</v>
      </c>
    </row>
    <row r="2515" spans="1:5">
      <c r="A2515">
        <f>HYPERLINK("http://www.twitter.com/NYCHA/status/716993985298972672", "716993985298972672")</f>
        <v>0</v>
      </c>
      <c r="B2515" s="2">
        <v>42464.5979282407</v>
      </c>
      <c r="C2515">
        <v>0</v>
      </c>
      <c r="D2515">
        <v>0</v>
      </c>
      <c r="E2515" t="s">
        <v>2416</v>
      </c>
    </row>
    <row r="2516" spans="1:5">
      <c r="A2516">
        <f>HYPERLINK("http://www.twitter.com/NYCHA/status/716991345458548738", "716991345458548738")</f>
        <v>0</v>
      </c>
      <c r="B2516" s="2">
        <v>42464.5906481482</v>
      </c>
      <c r="C2516">
        <v>0</v>
      </c>
      <c r="D2516">
        <v>0</v>
      </c>
      <c r="E2516" t="s">
        <v>2417</v>
      </c>
    </row>
    <row r="2517" spans="1:5">
      <c r="A2517">
        <f>HYPERLINK("http://www.twitter.com/NYCHA/status/716990569201971200", "716990569201971200")</f>
        <v>0</v>
      </c>
      <c r="B2517" s="2">
        <v>42464.5885069444</v>
      </c>
      <c r="C2517">
        <v>1</v>
      </c>
      <c r="D2517">
        <v>1</v>
      </c>
      <c r="E2517" t="s">
        <v>2418</v>
      </c>
    </row>
    <row r="2518" spans="1:5">
      <c r="A2518">
        <f>HYPERLINK("http://www.twitter.com/NYCHA/status/716975003485532162", "716975003485532162")</f>
        <v>0</v>
      </c>
      <c r="B2518" s="2">
        <v>42464.5455555556</v>
      </c>
      <c r="C2518">
        <v>1</v>
      </c>
      <c r="D2518">
        <v>1</v>
      </c>
      <c r="E2518" t="s">
        <v>2419</v>
      </c>
    </row>
    <row r="2519" spans="1:5">
      <c r="A2519">
        <f>HYPERLINK("http://www.twitter.com/NYCHA/status/716974232509554688", "716974232509554688")</f>
        <v>0</v>
      </c>
      <c r="B2519" s="2">
        <v>42464.5434259259</v>
      </c>
      <c r="C2519">
        <v>0</v>
      </c>
      <c r="D2519">
        <v>1</v>
      </c>
      <c r="E2519" t="s">
        <v>2420</v>
      </c>
    </row>
    <row r="2520" spans="1:5">
      <c r="A2520">
        <f>HYPERLINK("http://www.twitter.com/NYCHA/status/716626692991803392", "716626692991803392")</f>
        <v>0</v>
      </c>
      <c r="B2520" s="2">
        <v>42463.5843981481</v>
      </c>
      <c r="C2520">
        <v>2</v>
      </c>
      <c r="D2520">
        <v>2</v>
      </c>
      <c r="E2520" t="s">
        <v>2421</v>
      </c>
    </row>
    <row r="2521" spans="1:5">
      <c r="A2521">
        <f>HYPERLINK("http://www.twitter.com/NYCHA/status/716304308040572928", "716304308040572928")</f>
        <v>0</v>
      </c>
      <c r="B2521" s="2">
        <v>42462.6947800926</v>
      </c>
      <c r="C2521">
        <v>3</v>
      </c>
      <c r="D2521">
        <v>3</v>
      </c>
      <c r="E2521" t="s">
        <v>2422</v>
      </c>
    </row>
    <row r="2522" spans="1:5">
      <c r="A2522">
        <f>HYPERLINK("http://www.twitter.com/NYCHA/status/716264385006682113", "716264385006682113")</f>
        <v>0</v>
      </c>
      <c r="B2522" s="2">
        <v>42462.5846180556</v>
      </c>
      <c r="C2522">
        <v>1</v>
      </c>
      <c r="D2522">
        <v>0</v>
      </c>
      <c r="E2522" t="s">
        <v>2423</v>
      </c>
    </row>
    <row r="2523" spans="1:5">
      <c r="A2523">
        <f>HYPERLINK("http://www.twitter.com/NYCHA/status/716011724978196482", "716011724978196482")</f>
        <v>0</v>
      </c>
      <c r="B2523" s="2">
        <v>42461.8874074074</v>
      </c>
      <c r="C2523">
        <v>5</v>
      </c>
      <c r="D2523">
        <v>2</v>
      </c>
      <c r="E2523" t="s">
        <v>2424</v>
      </c>
    </row>
    <row r="2524" spans="1:5">
      <c r="A2524">
        <f>HYPERLINK("http://www.twitter.com/NYCHA/status/715962072656437248", "715962072656437248")</f>
        <v>0</v>
      </c>
      <c r="B2524" s="2">
        <v>42461.7503935185</v>
      </c>
      <c r="C2524">
        <v>2</v>
      </c>
      <c r="D2524">
        <v>2</v>
      </c>
      <c r="E2524" t="s">
        <v>2425</v>
      </c>
    </row>
    <row r="2525" spans="1:5">
      <c r="A2525">
        <f>HYPERLINK("http://www.twitter.com/NYCHA/status/715938141178372096", "715938141178372096")</f>
        <v>0</v>
      </c>
      <c r="B2525" s="2">
        <v>42461.6843634259</v>
      </c>
      <c r="C2525">
        <v>4</v>
      </c>
      <c r="D2525">
        <v>4</v>
      </c>
      <c r="E2525" t="s">
        <v>2426</v>
      </c>
    </row>
    <row r="2526" spans="1:5">
      <c r="A2526">
        <f>HYPERLINK("http://www.twitter.com/NYCHA/status/715904815365296128", "715904815365296128")</f>
        <v>0</v>
      </c>
      <c r="B2526" s="2">
        <v>42461.5923958333</v>
      </c>
      <c r="C2526">
        <v>2</v>
      </c>
      <c r="D2526">
        <v>0</v>
      </c>
      <c r="E2526" t="s">
        <v>2427</v>
      </c>
    </row>
    <row r="2527" spans="1:5">
      <c r="A2527">
        <f>HYPERLINK("http://www.twitter.com/NYCHA/status/715887847543283712", "715887847543283712")</f>
        <v>0</v>
      </c>
      <c r="B2527" s="2">
        <v>42461.5455787037</v>
      </c>
      <c r="C2527">
        <v>0</v>
      </c>
      <c r="D2527">
        <v>0</v>
      </c>
      <c r="E2527" t="s">
        <v>2428</v>
      </c>
    </row>
    <row r="2528" spans="1:5">
      <c r="A2528">
        <f>HYPERLINK("http://www.twitter.com/NYCHA/status/715887032116097024", "715887032116097024")</f>
        <v>0</v>
      </c>
      <c r="B2528" s="2">
        <v>42461.5433217593</v>
      </c>
      <c r="C2528">
        <v>0</v>
      </c>
      <c r="D2528">
        <v>0</v>
      </c>
      <c r="E2528" t="s">
        <v>2429</v>
      </c>
    </row>
    <row r="2529" spans="1:5">
      <c r="A2529">
        <f>HYPERLINK("http://www.twitter.com/NYCHA/status/715600939223265280", "715600939223265280")</f>
        <v>0</v>
      </c>
      <c r="B2529" s="2">
        <v>42460.7538541667</v>
      </c>
      <c r="C2529">
        <v>2</v>
      </c>
      <c r="D2529">
        <v>5</v>
      </c>
      <c r="E2529" t="s">
        <v>2397</v>
      </c>
    </row>
    <row r="2530" spans="1:5">
      <c r="A2530">
        <f>HYPERLINK("http://www.twitter.com/NYCHA/status/715591058701357056", "715591058701357056")</f>
        <v>0</v>
      </c>
      <c r="B2530" s="2">
        <v>42460.7265972222</v>
      </c>
      <c r="C2530">
        <v>0</v>
      </c>
      <c r="D2530">
        <v>4</v>
      </c>
      <c r="E2530" t="s">
        <v>2310</v>
      </c>
    </row>
    <row r="2531" spans="1:5">
      <c r="A2531">
        <f>HYPERLINK("http://www.twitter.com/NYCHA/status/715586659308453888", "715586659308453888")</f>
        <v>0</v>
      </c>
      <c r="B2531" s="2">
        <v>42460.7144560185</v>
      </c>
      <c r="C2531">
        <v>0</v>
      </c>
      <c r="D2531">
        <v>3</v>
      </c>
      <c r="E2531" t="s">
        <v>2430</v>
      </c>
    </row>
    <row r="2532" spans="1:5">
      <c r="A2532">
        <f>HYPERLINK("http://www.twitter.com/NYCHA/status/715569886118985728", "715569886118985728")</f>
        <v>0</v>
      </c>
      <c r="B2532" s="2">
        <v>42460.6681712963</v>
      </c>
      <c r="C2532">
        <v>0</v>
      </c>
      <c r="D2532">
        <v>2</v>
      </c>
      <c r="E2532" t="s">
        <v>2396</v>
      </c>
    </row>
    <row r="2533" spans="1:5">
      <c r="A2533">
        <f>HYPERLINK("http://www.twitter.com/NYCHA/status/715539558591512576", "715539558591512576")</f>
        <v>0</v>
      </c>
      <c r="B2533" s="2">
        <v>42460.5844791667</v>
      </c>
      <c r="C2533">
        <v>4</v>
      </c>
      <c r="D2533">
        <v>7</v>
      </c>
      <c r="E2533" t="s">
        <v>2431</v>
      </c>
    </row>
    <row r="2534" spans="1:5">
      <c r="A2534">
        <f>HYPERLINK("http://www.twitter.com/NYCHA/status/715524894797201408", "715524894797201408")</f>
        <v>0</v>
      </c>
      <c r="B2534" s="2">
        <v>42460.5440162037</v>
      </c>
      <c r="C2534">
        <v>1</v>
      </c>
      <c r="D2534">
        <v>0</v>
      </c>
      <c r="E2534" t="s">
        <v>2432</v>
      </c>
    </row>
    <row r="2535" spans="1:5">
      <c r="A2535">
        <f>HYPERLINK("http://www.twitter.com/NYCHA/status/715524894449074177", "715524894449074177")</f>
        <v>0</v>
      </c>
      <c r="B2535" s="2">
        <v>42460.5440162037</v>
      </c>
      <c r="C2535">
        <v>1</v>
      </c>
      <c r="D2535">
        <v>0</v>
      </c>
      <c r="E2535" t="s">
        <v>2433</v>
      </c>
    </row>
    <row r="2536" spans="1:5">
      <c r="A2536">
        <f>HYPERLINK("http://www.twitter.com/NYCHA/status/715259676699529216", "715259676699529216")</f>
        <v>0</v>
      </c>
      <c r="B2536" s="2">
        <v>42459.8121527778</v>
      </c>
      <c r="C2536">
        <v>1</v>
      </c>
      <c r="D2536">
        <v>0</v>
      </c>
      <c r="E2536" t="s">
        <v>2434</v>
      </c>
    </row>
    <row r="2537" spans="1:5">
      <c r="A2537">
        <f>HYPERLINK("http://www.twitter.com/NYCHA/status/715252438723375104", "715252438723375104")</f>
        <v>0</v>
      </c>
      <c r="B2537" s="2">
        <v>42459.7921759259</v>
      </c>
      <c r="C2537">
        <v>1</v>
      </c>
      <c r="D2537">
        <v>2</v>
      </c>
      <c r="E2537" t="s">
        <v>2421</v>
      </c>
    </row>
    <row r="2538" spans="1:5">
      <c r="A2538">
        <f>HYPERLINK("http://www.twitter.com/NYCHA/status/715250416372617216", "715250416372617216")</f>
        <v>0</v>
      </c>
      <c r="B2538" s="2">
        <v>42459.7865972222</v>
      </c>
      <c r="C2538">
        <v>0</v>
      </c>
      <c r="D2538">
        <v>10</v>
      </c>
      <c r="E2538" t="s">
        <v>2435</v>
      </c>
    </row>
    <row r="2539" spans="1:5">
      <c r="A2539">
        <f>HYPERLINK("http://www.twitter.com/NYCHA/status/715246584968118272", "715246584968118272")</f>
        <v>0</v>
      </c>
      <c r="B2539" s="2">
        <v>42459.7760300926</v>
      </c>
      <c r="C2539">
        <v>0</v>
      </c>
      <c r="D2539">
        <v>8</v>
      </c>
      <c r="E2539" t="s">
        <v>2436</v>
      </c>
    </row>
    <row r="2540" spans="1:5">
      <c r="A2540">
        <f>HYPERLINK("http://www.twitter.com/NYCHA/status/715246504190078976", "715246504190078976")</f>
        <v>0</v>
      </c>
      <c r="B2540" s="2">
        <v>42459.7757986111</v>
      </c>
      <c r="C2540">
        <v>0</v>
      </c>
      <c r="D2540">
        <v>5</v>
      </c>
      <c r="E2540" t="s">
        <v>2437</v>
      </c>
    </row>
    <row r="2541" spans="1:5">
      <c r="A2541">
        <f>HYPERLINK("http://www.twitter.com/NYCHA/status/715246294214647808", "715246294214647808")</f>
        <v>0</v>
      </c>
      <c r="B2541" s="2">
        <v>42459.7752199074</v>
      </c>
      <c r="C2541">
        <v>0</v>
      </c>
      <c r="D2541">
        <v>2</v>
      </c>
      <c r="E2541" t="s">
        <v>2438</v>
      </c>
    </row>
    <row r="2542" spans="1:5">
      <c r="A2542">
        <f>HYPERLINK("http://www.twitter.com/NYCHA/status/715237808324132865", "715237808324132865")</f>
        <v>0</v>
      </c>
      <c r="B2542" s="2">
        <v>42459.7518055556</v>
      </c>
      <c r="C2542">
        <v>1</v>
      </c>
      <c r="D2542">
        <v>0</v>
      </c>
      <c r="E2542" t="s">
        <v>2439</v>
      </c>
    </row>
    <row r="2543" spans="1:5">
      <c r="A2543">
        <f>HYPERLINK("http://www.twitter.com/NYCHA/status/715217500905070592", "715217500905070592")</f>
        <v>0</v>
      </c>
      <c r="B2543" s="2">
        <v>42459.6957638889</v>
      </c>
      <c r="C2543">
        <v>1</v>
      </c>
      <c r="D2543">
        <v>3</v>
      </c>
      <c r="E2543" t="s">
        <v>2440</v>
      </c>
    </row>
    <row r="2544" spans="1:5">
      <c r="A2544">
        <f>HYPERLINK("http://www.twitter.com/NYCHA/status/715207797525319682", "715207797525319682")</f>
        <v>0</v>
      </c>
      <c r="B2544" s="2">
        <v>42459.6689930556</v>
      </c>
      <c r="C2544">
        <v>0</v>
      </c>
      <c r="D2544">
        <v>0</v>
      </c>
      <c r="E2544" t="s">
        <v>2441</v>
      </c>
    </row>
    <row r="2545" spans="1:5">
      <c r="A2545">
        <f>HYPERLINK("http://www.twitter.com/NYCHA/status/715185603634204672", "715185603634204672")</f>
        <v>0</v>
      </c>
      <c r="B2545" s="2">
        <v>42459.6077546296</v>
      </c>
      <c r="C2545">
        <v>1</v>
      </c>
      <c r="D2545">
        <v>1</v>
      </c>
      <c r="E2545" t="s">
        <v>2442</v>
      </c>
    </row>
    <row r="2546" spans="1:5">
      <c r="A2546">
        <f>HYPERLINK("http://www.twitter.com/NYCHA/status/715185066553581568", "715185066553581568")</f>
        <v>0</v>
      </c>
      <c r="B2546" s="2">
        <v>42459.6062731482</v>
      </c>
      <c r="C2546">
        <v>0</v>
      </c>
      <c r="D2546">
        <v>24</v>
      </c>
      <c r="E2546" t="s">
        <v>2443</v>
      </c>
    </row>
    <row r="2547" spans="1:5">
      <c r="A2547">
        <f>HYPERLINK("http://www.twitter.com/NYCHA/status/715175580866625536", "715175580866625536")</f>
        <v>0</v>
      </c>
      <c r="B2547" s="2">
        <v>42459.5800925926</v>
      </c>
      <c r="C2547">
        <v>0</v>
      </c>
      <c r="D2547">
        <v>1</v>
      </c>
      <c r="E2547" t="s">
        <v>2444</v>
      </c>
    </row>
    <row r="2548" spans="1:5">
      <c r="A2548">
        <f>HYPERLINK("http://www.twitter.com/NYCHA/status/715175528098107392", "715175528098107392")</f>
        <v>0</v>
      </c>
      <c r="B2548" s="2">
        <v>42459.5799421296</v>
      </c>
      <c r="C2548">
        <v>0</v>
      </c>
      <c r="D2548">
        <v>0</v>
      </c>
      <c r="E2548" t="s">
        <v>2445</v>
      </c>
    </row>
    <row r="2549" spans="1:5">
      <c r="A2549">
        <f>HYPERLINK("http://www.twitter.com/NYCHA/status/715169886872408064", "715169886872408064")</f>
        <v>0</v>
      </c>
      <c r="B2549" s="2">
        <v>42459.564375</v>
      </c>
      <c r="C2549">
        <v>0</v>
      </c>
      <c r="D2549">
        <v>2</v>
      </c>
      <c r="E2549" t="s">
        <v>2446</v>
      </c>
    </row>
    <row r="2550" spans="1:5">
      <c r="A2550">
        <f>HYPERLINK("http://www.twitter.com/NYCHA/status/715169083717783552", "715169083717783552")</f>
        <v>0</v>
      </c>
      <c r="B2550" s="2">
        <v>42459.5621643519</v>
      </c>
      <c r="C2550">
        <v>0</v>
      </c>
      <c r="D2550">
        <v>4</v>
      </c>
      <c r="E2550" t="s">
        <v>2447</v>
      </c>
    </row>
    <row r="2551" spans="1:5">
      <c r="A2551">
        <f>HYPERLINK("http://www.twitter.com/NYCHA/status/715162424102555650", "715162424102555650")</f>
        <v>0</v>
      </c>
      <c r="B2551" s="2">
        <v>42459.5437847222</v>
      </c>
      <c r="C2551">
        <v>0</v>
      </c>
      <c r="D2551">
        <v>0</v>
      </c>
      <c r="E2551" t="s">
        <v>2448</v>
      </c>
    </row>
    <row r="2552" spans="1:5">
      <c r="A2552">
        <f>HYPERLINK("http://www.twitter.com/NYCHA/status/715162423548895234", "715162423548895234")</f>
        <v>0</v>
      </c>
      <c r="B2552" s="2">
        <v>42459.5437847222</v>
      </c>
      <c r="C2552">
        <v>0</v>
      </c>
      <c r="D2552">
        <v>0</v>
      </c>
      <c r="E2552" t="s">
        <v>2449</v>
      </c>
    </row>
    <row r="2553" spans="1:5">
      <c r="A2553">
        <f>HYPERLINK("http://www.twitter.com/NYCHA/status/714828728627429376", "714828728627429376")</f>
        <v>0</v>
      </c>
      <c r="B2553" s="2">
        <v>42458.622962963</v>
      </c>
      <c r="C2553">
        <v>0</v>
      </c>
      <c r="D2553">
        <v>0</v>
      </c>
      <c r="E2553" t="s">
        <v>2450</v>
      </c>
    </row>
    <row r="2554" spans="1:5">
      <c r="A2554">
        <f>HYPERLINK("http://www.twitter.com/NYCHA/status/714800717144391680", "714800717144391680")</f>
        <v>0</v>
      </c>
      <c r="B2554" s="2">
        <v>42458.5456597222</v>
      </c>
      <c r="C2554">
        <v>0</v>
      </c>
      <c r="D2554">
        <v>0</v>
      </c>
      <c r="E2554" t="s">
        <v>1930</v>
      </c>
    </row>
    <row r="2555" spans="1:5">
      <c r="A2555">
        <f>HYPERLINK("http://www.twitter.com/NYCHA/status/714800020562821121", "714800020562821121")</f>
        <v>0</v>
      </c>
      <c r="B2555" s="2">
        <v>42458.5437384259</v>
      </c>
      <c r="C2555">
        <v>0</v>
      </c>
      <c r="D2555">
        <v>0</v>
      </c>
      <c r="E2555" t="s">
        <v>2451</v>
      </c>
    </row>
    <row r="2556" spans="1:5">
      <c r="A2556">
        <f>HYPERLINK("http://www.twitter.com/NYCHA/status/714594192652156931", "714594192652156931")</f>
        <v>0</v>
      </c>
      <c r="B2556" s="2">
        <v>42457.9757638889</v>
      </c>
      <c r="C2556">
        <v>6</v>
      </c>
      <c r="D2556">
        <v>9</v>
      </c>
      <c r="E2556" t="s">
        <v>2452</v>
      </c>
    </row>
    <row r="2557" spans="1:5">
      <c r="A2557">
        <f>HYPERLINK("http://www.twitter.com/NYCHA/status/714587962772701184", "714587962772701184")</f>
        <v>0</v>
      </c>
      <c r="B2557" s="2">
        <v>42457.9585763889</v>
      </c>
      <c r="C2557">
        <v>1</v>
      </c>
      <c r="D2557">
        <v>2</v>
      </c>
      <c r="E2557" t="s">
        <v>2453</v>
      </c>
    </row>
    <row r="2558" spans="1:5">
      <c r="A2558">
        <f>HYPERLINK("http://www.twitter.com/NYCHA/status/714572415397965826", "714572415397965826")</f>
        <v>0</v>
      </c>
      <c r="B2558" s="2">
        <v>42457.9156712963</v>
      </c>
      <c r="C2558">
        <v>2</v>
      </c>
      <c r="D2558">
        <v>3</v>
      </c>
      <c r="E2558" t="s">
        <v>2454</v>
      </c>
    </row>
    <row r="2559" spans="1:5">
      <c r="A2559">
        <f>HYPERLINK("http://www.twitter.com/NYCHA/status/714543974736928768", "714543974736928768")</f>
        <v>0</v>
      </c>
      <c r="B2559" s="2">
        <v>42457.8371875</v>
      </c>
      <c r="C2559">
        <v>0</v>
      </c>
      <c r="D2559">
        <v>0</v>
      </c>
      <c r="E2559" t="s">
        <v>2455</v>
      </c>
    </row>
    <row r="2560" spans="1:5">
      <c r="A2560">
        <f>HYPERLINK("http://www.twitter.com/NYCHA/status/714513008106594304", "714513008106594304")</f>
        <v>0</v>
      </c>
      <c r="B2560" s="2">
        <v>42457.7517361111</v>
      </c>
      <c r="C2560">
        <v>1</v>
      </c>
      <c r="D2560">
        <v>0</v>
      </c>
      <c r="E2560" t="s">
        <v>2456</v>
      </c>
    </row>
    <row r="2561" spans="1:5">
      <c r="A2561">
        <f>HYPERLINK("http://www.twitter.com/NYCHA/status/714510927891185664", "714510927891185664")</f>
        <v>0</v>
      </c>
      <c r="B2561" s="2">
        <v>42457.7459953704</v>
      </c>
      <c r="C2561">
        <v>3</v>
      </c>
      <c r="D2561">
        <v>4</v>
      </c>
      <c r="E2561" t="s">
        <v>2457</v>
      </c>
    </row>
    <row r="2562" spans="1:5">
      <c r="A2562">
        <f>HYPERLINK("http://www.twitter.com/NYCHA/status/714496616720375809", "714496616720375809")</f>
        <v>0</v>
      </c>
      <c r="B2562" s="2">
        <v>42457.7065046296</v>
      </c>
      <c r="C2562">
        <v>0</v>
      </c>
      <c r="D2562">
        <v>0</v>
      </c>
      <c r="E2562" t="s">
        <v>2458</v>
      </c>
    </row>
    <row r="2563" spans="1:5">
      <c r="A2563">
        <f>HYPERLINK("http://www.twitter.com/NYCHA/status/714496136757846016", "714496136757846016")</f>
        <v>0</v>
      </c>
      <c r="B2563" s="2">
        <v>42457.7051851852</v>
      </c>
      <c r="C2563">
        <v>0</v>
      </c>
      <c r="D2563">
        <v>0</v>
      </c>
      <c r="E2563" t="s">
        <v>2459</v>
      </c>
    </row>
    <row r="2564" spans="1:5">
      <c r="A2564">
        <f>HYPERLINK("http://www.twitter.com/NYCHA/status/714493172911644673", "714493172911644673")</f>
        <v>0</v>
      </c>
      <c r="B2564" s="2">
        <v>42457.6970023148</v>
      </c>
      <c r="C2564">
        <v>1</v>
      </c>
      <c r="D2564">
        <v>0</v>
      </c>
      <c r="E2564" t="s">
        <v>2460</v>
      </c>
    </row>
    <row r="2565" spans="1:5">
      <c r="A2565">
        <f>HYPERLINK("http://www.twitter.com/NYCHA/status/714486845493608448", "714486845493608448")</f>
        <v>0</v>
      </c>
      <c r="B2565" s="2">
        <v>42457.6795486111</v>
      </c>
      <c r="C2565">
        <v>1</v>
      </c>
      <c r="D2565">
        <v>0</v>
      </c>
      <c r="E2565" t="s">
        <v>2461</v>
      </c>
    </row>
    <row r="2566" spans="1:5">
      <c r="A2566">
        <f>HYPERLINK("http://www.twitter.com/NYCHA/status/714474206285664256", "714474206285664256")</f>
        <v>0</v>
      </c>
      <c r="B2566" s="2">
        <v>42457.6446643519</v>
      </c>
      <c r="C2566">
        <v>0</v>
      </c>
      <c r="D2566">
        <v>6</v>
      </c>
      <c r="E2566" t="s">
        <v>2462</v>
      </c>
    </row>
    <row r="2567" spans="1:5">
      <c r="A2567">
        <f>HYPERLINK("http://www.twitter.com/NYCHA/status/714473504532467714", "714473504532467714")</f>
        <v>0</v>
      </c>
      <c r="B2567" s="2">
        <v>42457.6427314815</v>
      </c>
      <c r="C2567">
        <v>0</v>
      </c>
      <c r="D2567">
        <v>0</v>
      </c>
      <c r="E2567" t="s">
        <v>2463</v>
      </c>
    </row>
    <row r="2568" spans="1:5">
      <c r="A2568">
        <f>HYPERLINK("http://www.twitter.com/NYCHA/status/714472563460673536", "714472563460673536")</f>
        <v>0</v>
      </c>
      <c r="B2568" s="2">
        <v>42457.6401388889</v>
      </c>
      <c r="C2568">
        <v>1</v>
      </c>
      <c r="D2568">
        <v>0</v>
      </c>
      <c r="E2568" t="s">
        <v>2464</v>
      </c>
    </row>
    <row r="2569" spans="1:5">
      <c r="A2569">
        <f>HYPERLINK("http://www.twitter.com/NYCHA/status/714472081073782784", "714472081073782784")</f>
        <v>0</v>
      </c>
      <c r="B2569" s="2">
        <v>42457.6388078704</v>
      </c>
      <c r="C2569">
        <v>0</v>
      </c>
      <c r="D2569">
        <v>1</v>
      </c>
      <c r="E2569" t="s">
        <v>2465</v>
      </c>
    </row>
    <row r="2570" spans="1:5">
      <c r="A2570">
        <f>HYPERLINK("http://www.twitter.com/NYCHA/status/714471942259126272", "714471942259126272")</f>
        <v>0</v>
      </c>
      <c r="B2570" s="2">
        <v>42457.6384143519</v>
      </c>
      <c r="C2570">
        <v>2</v>
      </c>
      <c r="D2570">
        <v>0</v>
      </c>
      <c r="E2570" t="s">
        <v>2466</v>
      </c>
    </row>
    <row r="2571" spans="1:5">
      <c r="A2571">
        <f>HYPERLINK("http://www.twitter.com/NYCHA/status/714470497002631168", "714470497002631168")</f>
        <v>0</v>
      </c>
      <c r="B2571" s="2">
        <v>42457.6344328704</v>
      </c>
      <c r="C2571">
        <v>1</v>
      </c>
      <c r="D2571">
        <v>0</v>
      </c>
      <c r="E2571" t="s">
        <v>2467</v>
      </c>
    </row>
    <row r="2572" spans="1:5">
      <c r="A2572">
        <f>HYPERLINK("http://www.twitter.com/NYCHA/status/714470357802070016", "714470357802070016")</f>
        <v>0</v>
      </c>
      <c r="B2572" s="2">
        <v>42457.6340509259</v>
      </c>
      <c r="C2572">
        <v>0</v>
      </c>
      <c r="D2572">
        <v>0</v>
      </c>
      <c r="E2572" t="s">
        <v>2468</v>
      </c>
    </row>
    <row r="2573" spans="1:5">
      <c r="A2573">
        <f>HYPERLINK("http://www.twitter.com/NYCHA/status/714469066287804416", "714469066287804416")</f>
        <v>0</v>
      </c>
      <c r="B2573" s="2">
        <v>42457.6304861111</v>
      </c>
      <c r="C2573">
        <v>2</v>
      </c>
      <c r="D2573">
        <v>0</v>
      </c>
      <c r="E2573" t="s">
        <v>2469</v>
      </c>
    </row>
    <row r="2574" spans="1:5">
      <c r="A2574">
        <f>HYPERLINK("http://www.twitter.com/NYCHA/status/714468399062126592", "714468399062126592")</f>
        <v>0</v>
      </c>
      <c r="B2574" s="2">
        <v>42457.6286458333</v>
      </c>
      <c r="C2574">
        <v>0</v>
      </c>
      <c r="D2574">
        <v>3</v>
      </c>
      <c r="E2574" t="s">
        <v>2470</v>
      </c>
    </row>
    <row r="2575" spans="1:5">
      <c r="A2575">
        <f>HYPERLINK("http://www.twitter.com/NYCHA/status/714468357647568897", "714468357647568897")</f>
        <v>0</v>
      </c>
      <c r="B2575" s="2">
        <v>42457.6285300926</v>
      </c>
      <c r="C2575">
        <v>0</v>
      </c>
      <c r="D2575">
        <v>2</v>
      </c>
      <c r="E2575" t="s">
        <v>2471</v>
      </c>
    </row>
    <row r="2576" spans="1:5">
      <c r="A2576">
        <f>HYPERLINK("http://www.twitter.com/NYCHA/status/714467248388358146", "714467248388358146")</f>
        <v>0</v>
      </c>
      <c r="B2576" s="2">
        <v>42457.625462963</v>
      </c>
      <c r="C2576">
        <v>2</v>
      </c>
      <c r="D2576">
        <v>3</v>
      </c>
      <c r="E2576" t="s">
        <v>2472</v>
      </c>
    </row>
    <row r="2577" spans="1:5">
      <c r="A2577">
        <f>HYPERLINK("http://www.twitter.com/NYCHA/status/714466303873040386", "714466303873040386")</f>
        <v>0</v>
      </c>
      <c r="B2577" s="2">
        <v>42457.6228587963</v>
      </c>
      <c r="C2577">
        <v>1</v>
      </c>
      <c r="D2577">
        <v>0</v>
      </c>
      <c r="E2577" t="s">
        <v>2473</v>
      </c>
    </row>
    <row r="2578" spans="1:5">
      <c r="A2578">
        <f>HYPERLINK("http://www.twitter.com/NYCHA/status/714464708464668673", "714464708464668673")</f>
        <v>0</v>
      </c>
      <c r="B2578" s="2">
        <v>42457.6184606481</v>
      </c>
      <c r="C2578">
        <v>0</v>
      </c>
      <c r="D2578">
        <v>0</v>
      </c>
      <c r="E2578" t="s">
        <v>2474</v>
      </c>
    </row>
    <row r="2579" spans="1:5">
      <c r="A2579">
        <f>HYPERLINK("http://www.twitter.com/NYCHA/status/714464315819040768", "714464315819040768")</f>
        <v>0</v>
      </c>
      <c r="B2579" s="2">
        <v>42457.6173726852</v>
      </c>
      <c r="C2579">
        <v>2</v>
      </c>
      <c r="D2579">
        <v>0</v>
      </c>
      <c r="E2579" t="s">
        <v>2475</v>
      </c>
    </row>
    <row r="2580" spans="1:5">
      <c r="A2580">
        <f>HYPERLINK("http://www.twitter.com/NYCHA/status/714463558717874176", "714463558717874176")</f>
        <v>0</v>
      </c>
      <c r="B2580" s="2">
        <v>42457.6152893519</v>
      </c>
      <c r="C2580">
        <v>1</v>
      </c>
      <c r="D2580">
        <v>0</v>
      </c>
      <c r="E2580" t="s">
        <v>2476</v>
      </c>
    </row>
    <row r="2581" spans="1:5">
      <c r="A2581">
        <f>HYPERLINK("http://www.twitter.com/NYCHA/status/714463370632683520", "714463370632683520")</f>
        <v>0</v>
      </c>
      <c r="B2581" s="2">
        <v>42457.6147685185</v>
      </c>
      <c r="C2581">
        <v>2</v>
      </c>
      <c r="D2581">
        <v>2</v>
      </c>
      <c r="E2581" t="s">
        <v>2477</v>
      </c>
    </row>
    <row r="2582" spans="1:5">
      <c r="A2582">
        <f>HYPERLINK("http://www.twitter.com/NYCHA/status/714462218692214784", "714462218692214784")</f>
        <v>0</v>
      </c>
      <c r="B2582" s="2">
        <v>42457.6115856481</v>
      </c>
      <c r="C2582">
        <v>1</v>
      </c>
      <c r="D2582">
        <v>0</v>
      </c>
      <c r="E2582" t="s">
        <v>2478</v>
      </c>
    </row>
    <row r="2583" spans="1:5">
      <c r="A2583">
        <f>HYPERLINK("http://www.twitter.com/NYCHA/status/714461855842975745", "714461855842975745")</f>
        <v>0</v>
      </c>
      <c r="B2583" s="2">
        <v>42457.6105902778</v>
      </c>
      <c r="C2583">
        <v>0</v>
      </c>
      <c r="D2583">
        <v>3</v>
      </c>
      <c r="E2583" t="s">
        <v>2479</v>
      </c>
    </row>
    <row r="2584" spans="1:5">
      <c r="A2584">
        <f>HYPERLINK("http://www.twitter.com/NYCHA/status/714461674053505025", "714461674053505025")</f>
        <v>0</v>
      </c>
      <c r="B2584" s="2">
        <v>42457.6100810185</v>
      </c>
      <c r="C2584">
        <v>1</v>
      </c>
      <c r="D2584">
        <v>1</v>
      </c>
      <c r="E2584" t="s">
        <v>2480</v>
      </c>
    </row>
    <row r="2585" spans="1:5">
      <c r="A2585">
        <f>HYPERLINK("http://www.twitter.com/NYCHA/status/714461494776360960", "714461494776360960")</f>
        <v>0</v>
      </c>
      <c r="B2585" s="2">
        <v>42457.6095949074</v>
      </c>
      <c r="C2585">
        <v>0</v>
      </c>
      <c r="D2585">
        <v>0</v>
      </c>
      <c r="E2585" t="s">
        <v>2481</v>
      </c>
    </row>
    <row r="2586" spans="1:5">
      <c r="A2586">
        <f>HYPERLINK("http://www.twitter.com/NYCHA/status/714461056211558400", "714461056211558400")</f>
        <v>0</v>
      </c>
      <c r="B2586" s="2">
        <v>42457.6083796296</v>
      </c>
      <c r="C2586">
        <v>1</v>
      </c>
      <c r="D2586">
        <v>0</v>
      </c>
      <c r="E2586" t="s">
        <v>2482</v>
      </c>
    </row>
    <row r="2587" spans="1:5">
      <c r="A2587">
        <f>HYPERLINK("http://www.twitter.com/NYCHA/status/714460426554241025", "714460426554241025")</f>
        <v>0</v>
      </c>
      <c r="B2587" s="2">
        <v>42457.6066435185</v>
      </c>
      <c r="C2587">
        <v>0</v>
      </c>
      <c r="D2587">
        <v>0</v>
      </c>
      <c r="E2587" t="s">
        <v>2483</v>
      </c>
    </row>
    <row r="2588" spans="1:5">
      <c r="A2588">
        <f>HYPERLINK("http://www.twitter.com/NYCHA/status/714460051096866817", "714460051096866817")</f>
        <v>0</v>
      </c>
      <c r="B2588" s="2">
        <v>42457.6056018519</v>
      </c>
      <c r="C2588">
        <v>1</v>
      </c>
      <c r="D2588">
        <v>0</v>
      </c>
      <c r="E2588" t="s">
        <v>2484</v>
      </c>
    </row>
    <row r="2589" spans="1:5">
      <c r="A2589">
        <f>HYPERLINK("http://www.twitter.com/NYCHA/status/714459295488860160", "714459295488860160")</f>
        <v>0</v>
      </c>
      <c r="B2589" s="2">
        <v>42457.6035185185</v>
      </c>
      <c r="C2589">
        <v>5</v>
      </c>
      <c r="D2589">
        <v>0</v>
      </c>
      <c r="E2589" t="s">
        <v>2485</v>
      </c>
    </row>
    <row r="2590" spans="1:5">
      <c r="A2590">
        <f>HYPERLINK("http://www.twitter.com/NYCHA/status/714458832550887424", "714458832550887424")</f>
        <v>0</v>
      </c>
      <c r="B2590" s="2">
        <v>42457.6022453704</v>
      </c>
      <c r="C2590">
        <v>1</v>
      </c>
      <c r="D2590">
        <v>0</v>
      </c>
      <c r="E2590" t="s">
        <v>2486</v>
      </c>
    </row>
    <row r="2591" spans="1:5">
      <c r="A2591">
        <f>HYPERLINK("http://www.twitter.com/NYCHA/status/714458635397685248", "714458635397685248")</f>
        <v>0</v>
      </c>
      <c r="B2591" s="2">
        <v>42457.6017013889</v>
      </c>
      <c r="C2591">
        <v>1</v>
      </c>
      <c r="D2591">
        <v>0</v>
      </c>
      <c r="E2591" t="s">
        <v>2487</v>
      </c>
    </row>
    <row r="2592" spans="1:5">
      <c r="A2592">
        <f>HYPERLINK("http://www.twitter.com/NYCHA/status/714437614368124929", "714437614368124929")</f>
        <v>0</v>
      </c>
      <c r="B2592" s="2">
        <v>42457.5436921296</v>
      </c>
      <c r="C2592">
        <v>1</v>
      </c>
      <c r="D2592">
        <v>0</v>
      </c>
      <c r="E2592" t="s">
        <v>10</v>
      </c>
    </row>
    <row r="2593" spans="1:5">
      <c r="A2593">
        <f>HYPERLINK("http://www.twitter.com/NYCHA/status/714225760626688000", "714225760626688000")</f>
        <v>0</v>
      </c>
      <c r="B2593" s="2">
        <v>42456.9590856481</v>
      </c>
      <c r="C2593">
        <v>3</v>
      </c>
      <c r="D2593">
        <v>1</v>
      </c>
      <c r="E2593" t="s">
        <v>2488</v>
      </c>
    </row>
    <row r="2594" spans="1:5">
      <c r="A2594">
        <f>HYPERLINK("http://www.twitter.com/NYCHA/status/714090039077158912", "714090039077158912")</f>
        <v>0</v>
      </c>
      <c r="B2594" s="2">
        <v>42456.5845717593</v>
      </c>
      <c r="C2594">
        <v>4</v>
      </c>
      <c r="D2594">
        <v>2</v>
      </c>
      <c r="E2594" t="s">
        <v>2489</v>
      </c>
    </row>
    <row r="2595" spans="1:5">
      <c r="A2595">
        <f>HYPERLINK("http://www.twitter.com/NYCHA/status/713863367547625472", "713863367547625472")</f>
        <v>0</v>
      </c>
      <c r="B2595" s="2">
        <v>42455.9590740741</v>
      </c>
      <c r="C2595">
        <v>0</v>
      </c>
      <c r="D2595">
        <v>0</v>
      </c>
      <c r="E2595" t="s">
        <v>2490</v>
      </c>
    </row>
    <row r="2596" spans="1:5">
      <c r="A2596">
        <f>HYPERLINK("http://www.twitter.com/NYCHA/status/713787995837636608", "713787995837636608")</f>
        <v>0</v>
      </c>
      <c r="B2596" s="2">
        <v>42455.751087963</v>
      </c>
      <c r="C2596">
        <v>1</v>
      </c>
      <c r="D2596">
        <v>0</v>
      </c>
      <c r="E2596" t="s">
        <v>2491</v>
      </c>
    </row>
    <row r="2597" spans="1:5">
      <c r="A2597">
        <f>HYPERLINK("http://www.twitter.com/NYCHA/status/713727566692098048", "713727566692098048")</f>
        <v>0</v>
      </c>
      <c r="B2597" s="2">
        <v>42455.5843287037</v>
      </c>
      <c r="C2597">
        <v>2</v>
      </c>
      <c r="D2597">
        <v>1</v>
      </c>
      <c r="E2597" t="s">
        <v>2384</v>
      </c>
    </row>
    <row r="2598" spans="1:5">
      <c r="A2598">
        <f>HYPERLINK("http://www.twitter.com/NYCHA/status/713500987147862016", "713500987147862016")</f>
        <v>0</v>
      </c>
      <c r="B2598" s="2">
        <v>42454.9590972222</v>
      </c>
      <c r="C2598">
        <v>4</v>
      </c>
      <c r="D2598">
        <v>3</v>
      </c>
      <c r="E2598" t="s">
        <v>2492</v>
      </c>
    </row>
    <row r="2599" spans="1:5">
      <c r="A2599">
        <f>HYPERLINK("http://www.twitter.com/NYCHA/status/713425887232991233", "713425887232991233")</f>
        <v>0</v>
      </c>
      <c r="B2599" s="2">
        <v>42454.7518518519</v>
      </c>
      <c r="C2599">
        <v>0</v>
      </c>
      <c r="D2599">
        <v>0</v>
      </c>
      <c r="E2599" t="s">
        <v>2456</v>
      </c>
    </row>
    <row r="2600" spans="1:5">
      <c r="A2600">
        <f>HYPERLINK("http://www.twitter.com/NYCHA/status/713412760839856128", "713412760839856128")</f>
        <v>0</v>
      </c>
      <c r="B2600" s="2">
        <v>42454.7156365741</v>
      </c>
      <c r="C2600">
        <v>2</v>
      </c>
      <c r="D2600">
        <v>3</v>
      </c>
      <c r="E2600" t="s">
        <v>2493</v>
      </c>
    </row>
    <row r="2601" spans="1:5">
      <c r="A2601">
        <f>HYPERLINK("http://www.twitter.com/NYCHA/status/713395640714313728", "713395640714313728")</f>
        <v>0</v>
      </c>
      <c r="B2601" s="2">
        <v>42454.6683912037</v>
      </c>
      <c r="C2601">
        <v>4</v>
      </c>
      <c r="D2601">
        <v>3</v>
      </c>
      <c r="E2601" t="s">
        <v>2494</v>
      </c>
    </row>
    <row r="2602" spans="1:5">
      <c r="A2602">
        <f>HYPERLINK("http://www.twitter.com/NYCHA/status/713365541449240577", "713365541449240577")</f>
        <v>0</v>
      </c>
      <c r="B2602" s="2">
        <v>42454.5853356481</v>
      </c>
      <c r="C2602">
        <v>3</v>
      </c>
      <c r="D2602">
        <v>1</v>
      </c>
      <c r="E2602" t="s">
        <v>2495</v>
      </c>
    </row>
    <row r="2603" spans="1:5">
      <c r="A2603">
        <f>HYPERLINK("http://www.twitter.com/NYCHA/status/713334939224317953", "713334939224317953")</f>
        <v>0</v>
      </c>
      <c r="B2603" s="2">
        <v>42454.5008912037</v>
      </c>
      <c r="C2603">
        <v>7</v>
      </c>
      <c r="D2603">
        <v>3</v>
      </c>
      <c r="E2603" t="s">
        <v>2496</v>
      </c>
    </row>
    <row r="2604" spans="1:5">
      <c r="A2604">
        <f>HYPERLINK("http://www.twitter.com/NYCHA/status/713138539609907200", "713138539609907200")</f>
        <v>0</v>
      </c>
      <c r="B2604" s="2">
        <v>42453.9589236111</v>
      </c>
      <c r="C2604">
        <v>5</v>
      </c>
      <c r="D2604">
        <v>3</v>
      </c>
      <c r="E2604" t="s">
        <v>2497</v>
      </c>
    </row>
    <row r="2605" spans="1:5">
      <c r="A2605">
        <f>HYPERLINK("http://www.twitter.com/NYCHA/status/713099886993022976", "713099886993022976")</f>
        <v>0</v>
      </c>
      <c r="B2605" s="2">
        <v>42453.8522685185</v>
      </c>
      <c r="C2605">
        <v>0</v>
      </c>
      <c r="D2605">
        <v>9</v>
      </c>
      <c r="E2605" t="s">
        <v>2498</v>
      </c>
    </row>
    <row r="2606" spans="1:5">
      <c r="A2606">
        <f>HYPERLINK("http://www.twitter.com/NYCHA/status/713052822456180736", "713052822456180736")</f>
        <v>0</v>
      </c>
      <c r="B2606" s="2">
        <v>42453.7223958333</v>
      </c>
      <c r="C2606">
        <v>0</v>
      </c>
      <c r="D2606">
        <v>6</v>
      </c>
      <c r="E2606" t="s">
        <v>2499</v>
      </c>
    </row>
    <row r="2607" spans="1:5">
      <c r="A2607">
        <f>HYPERLINK("http://www.twitter.com/NYCHA/status/713045457656786946", "713045457656786946")</f>
        <v>0</v>
      </c>
      <c r="B2607" s="2">
        <v>42453.7020717593</v>
      </c>
      <c r="C2607">
        <v>2</v>
      </c>
      <c r="D2607">
        <v>0</v>
      </c>
      <c r="E2607" t="s">
        <v>2397</v>
      </c>
    </row>
    <row r="2608" spans="1:5">
      <c r="A2608">
        <f>HYPERLINK("http://www.twitter.com/NYCHA/status/713033941469556737", "713033941469556737")</f>
        <v>0</v>
      </c>
      <c r="B2608" s="2">
        <v>42453.6702893519</v>
      </c>
      <c r="C2608">
        <v>0</v>
      </c>
      <c r="D2608">
        <v>3</v>
      </c>
      <c r="E2608" t="s">
        <v>2500</v>
      </c>
    </row>
    <row r="2609" spans="1:5">
      <c r="A2609">
        <f>HYPERLINK("http://www.twitter.com/NYCHA/status/713023383479328768", "713023383479328768")</f>
        <v>0</v>
      </c>
      <c r="B2609" s="2">
        <v>42453.6411574074</v>
      </c>
      <c r="C2609">
        <v>0</v>
      </c>
      <c r="D2609">
        <v>6</v>
      </c>
      <c r="E2609" t="s">
        <v>2501</v>
      </c>
    </row>
    <row r="2610" spans="1:5">
      <c r="A2610">
        <f>HYPERLINK("http://www.twitter.com/NYCHA/status/713013727231082496", "713013727231082496")</f>
        <v>0</v>
      </c>
      <c r="B2610" s="2">
        <v>42453.6145138889</v>
      </c>
      <c r="C2610">
        <v>5</v>
      </c>
      <c r="D2610">
        <v>3</v>
      </c>
      <c r="E2610" t="s">
        <v>2502</v>
      </c>
    </row>
    <row r="2611" spans="1:5">
      <c r="A2611">
        <f>HYPERLINK("http://www.twitter.com/NYCHA/status/713013713779949568", "713013713779949568")</f>
        <v>0</v>
      </c>
      <c r="B2611" s="2">
        <v>42453.6144791667</v>
      </c>
      <c r="C2611">
        <v>0</v>
      </c>
      <c r="D2611">
        <v>1</v>
      </c>
      <c r="E2611" t="s">
        <v>2503</v>
      </c>
    </row>
    <row r="2612" spans="1:5">
      <c r="A2612">
        <f>HYPERLINK("http://www.twitter.com/NYCHA/status/713011583073533952", "713011583073533952")</f>
        <v>0</v>
      </c>
      <c r="B2612" s="2">
        <v>42453.608599537</v>
      </c>
      <c r="C2612">
        <v>0</v>
      </c>
      <c r="D2612">
        <v>0</v>
      </c>
      <c r="E2612" t="s">
        <v>2504</v>
      </c>
    </row>
    <row r="2613" spans="1:5">
      <c r="A2613">
        <f>HYPERLINK("http://www.twitter.com/NYCHA/status/713009891338764288", "713009891338764288")</f>
        <v>0</v>
      </c>
      <c r="B2613" s="2">
        <v>42453.6039236111</v>
      </c>
      <c r="C2613">
        <v>0</v>
      </c>
      <c r="D2613">
        <v>1</v>
      </c>
      <c r="E2613" t="s">
        <v>2505</v>
      </c>
    </row>
    <row r="2614" spans="1:5">
      <c r="A2614">
        <f>HYPERLINK("http://www.twitter.com/NYCHA/status/713002852835332096", "713002852835332096")</f>
        <v>0</v>
      </c>
      <c r="B2614" s="2">
        <v>42453.5845023148</v>
      </c>
      <c r="C2614">
        <v>3</v>
      </c>
      <c r="D2614">
        <v>2</v>
      </c>
      <c r="E2614" t="s">
        <v>2506</v>
      </c>
    </row>
    <row r="2615" spans="1:5">
      <c r="A2615">
        <f>HYPERLINK("http://www.twitter.com/NYCHA/status/712988153754288128", "712988153754288128")</f>
        <v>0</v>
      </c>
      <c r="B2615" s="2">
        <v>42453.5439467593</v>
      </c>
      <c r="C2615">
        <v>1</v>
      </c>
      <c r="D2615">
        <v>1</v>
      </c>
      <c r="E2615" t="s">
        <v>101</v>
      </c>
    </row>
    <row r="2616" spans="1:5">
      <c r="A2616">
        <f>HYPERLINK("http://www.twitter.com/NYCHA/status/712988153682989056", "712988153682989056")</f>
        <v>0</v>
      </c>
      <c r="B2616" s="2">
        <v>42453.5439467593</v>
      </c>
      <c r="C2616">
        <v>2</v>
      </c>
      <c r="D2616">
        <v>0</v>
      </c>
      <c r="E2616" t="s">
        <v>48</v>
      </c>
    </row>
    <row r="2617" spans="1:5">
      <c r="A2617">
        <f>HYPERLINK("http://www.twitter.com/NYCHA/status/712721284162064385", "712721284162064385")</f>
        <v>0</v>
      </c>
      <c r="B2617" s="2">
        <v>42452.8075231481</v>
      </c>
      <c r="C2617">
        <v>0</v>
      </c>
      <c r="D2617">
        <v>4</v>
      </c>
      <c r="E2617" t="s">
        <v>2507</v>
      </c>
    </row>
    <row r="2618" spans="1:5">
      <c r="A2618">
        <f>HYPERLINK("http://www.twitter.com/NYCHA/status/712721227635367936", "712721227635367936")</f>
        <v>0</v>
      </c>
      <c r="B2618" s="2">
        <v>42452.8073726852</v>
      </c>
      <c r="C2618">
        <v>0</v>
      </c>
      <c r="D2618">
        <v>1</v>
      </c>
      <c r="E2618" t="s">
        <v>2508</v>
      </c>
    </row>
    <row r="2619" spans="1:5">
      <c r="A2619">
        <f>HYPERLINK("http://www.twitter.com/NYCHA/status/712710656986914817", "712710656986914817")</f>
        <v>0</v>
      </c>
      <c r="B2619" s="2">
        <v>42452.7781944444</v>
      </c>
      <c r="C2619">
        <v>0</v>
      </c>
      <c r="D2619">
        <v>79</v>
      </c>
      <c r="E2619" t="s">
        <v>2509</v>
      </c>
    </row>
    <row r="2620" spans="1:5">
      <c r="A2620">
        <f>HYPERLINK("http://www.twitter.com/NYCHA/status/712704416239992832", "712704416239992832")</f>
        <v>0</v>
      </c>
      <c r="B2620" s="2">
        <v>42452.7609722222</v>
      </c>
      <c r="C2620">
        <v>2</v>
      </c>
      <c r="D2620">
        <v>1</v>
      </c>
      <c r="E2620" t="s">
        <v>2510</v>
      </c>
    </row>
    <row r="2621" spans="1:5">
      <c r="A2621">
        <f>HYPERLINK("http://www.twitter.com/NYCHA/status/712693071809552387", "712693071809552387")</f>
        <v>0</v>
      </c>
      <c r="B2621" s="2">
        <v>42452.7296759259</v>
      </c>
      <c r="C2621">
        <v>0</v>
      </c>
      <c r="D2621">
        <v>2</v>
      </c>
      <c r="E2621" t="s">
        <v>2511</v>
      </c>
    </row>
    <row r="2622" spans="1:5">
      <c r="A2622">
        <f>HYPERLINK("http://www.twitter.com/NYCHA/status/712686231235203072", "712686231235203072")</f>
        <v>0</v>
      </c>
      <c r="B2622" s="2">
        <v>42452.7107986111</v>
      </c>
      <c r="C2622">
        <v>13</v>
      </c>
      <c r="D2622">
        <v>4</v>
      </c>
      <c r="E2622" t="s">
        <v>2512</v>
      </c>
    </row>
    <row r="2623" spans="1:5">
      <c r="A2623">
        <f>HYPERLINK("http://www.twitter.com/NYCHA/status/712683951165464579", "712683951165464579")</f>
        <v>0</v>
      </c>
      <c r="B2623" s="2">
        <v>42452.7045023148</v>
      </c>
      <c r="C2623">
        <v>1</v>
      </c>
      <c r="D2623">
        <v>6</v>
      </c>
      <c r="E2623" t="s">
        <v>2513</v>
      </c>
    </row>
    <row r="2624" spans="1:5">
      <c r="A2624">
        <f>HYPERLINK("http://www.twitter.com/NYCHA/status/712672909282697223", "712672909282697223")</f>
        <v>0</v>
      </c>
      <c r="B2624" s="2">
        <v>42452.6740393518</v>
      </c>
      <c r="C2624">
        <v>2</v>
      </c>
      <c r="D2624">
        <v>1</v>
      </c>
      <c r="E2624" t="s">
        <v>2514</v>
      </c>
    </row>
    <row r="2625" spans="1:5">
      <c r="A2625">
        <f>HYPERLINK("http://www.twitter.com/NYCHA/status/712654586742501377", "712654586742501377")</f>
        <v>0</v>
      </c>
      <c r="B2625" s="2">
        <v>42452.6234722222</v>
      </c>
      <c r="C2625">
        <v>0</v>
      </c>
      <c r="D2625">
        <v>0</v>
      </c>
      <c r="E2625" t="s">
        <v>2515</v>
      </c>
    </row>
    <row r="2626" spans="1:5">
      <c r="A2626">
        <f>HYPERLINK("http://www.twitter.com/NYCHA/status/712646712276467713", "712646712276467713")</f>
        <v>0</v>
      </c>
      <c r="B2626" s="2">
        <v>42452.6017476852</v>
      </c>
      <c r="C2626">
        <v>0</v>
      </c>
      <c r="D2626">
        <v>2</v>
      </c>
      <c r="E2626" t="s">
        <v>2516</v>
      </c>
    </row>
    <row r="2627" spans="1:5">
      <c r="A2627">
        <f>HYPERLINK("http://www.twitter.com/NYCHA/status/712646145638580224", "712646145638580224")</f>
        <v>0</v>
      </c>
      <c r="B2627" s="2">
        <v>42452.6001851852</v>
      </c>
      <c r="C2627">
        <v>0</v>
      </c>
      <c r="D2627">
        <v>1</v>
      </c>
      <c r="E2627" t="s">
        <v>2517</v>
      </c>
    </row>
    <row r="2628" spans="1:5">
      <c r="A2628">
        <f>HYPERLINK("http://www.twitter.com/NYCHA/status/712642737837903873", "712642737837903873")</f>
        <v>0</v>
      </c>
      <c r="B2628" s="2">
        <v>42452.590775463</v>
      </c>
      <c r="C2628">
        <v>0</v>
      </c>
      <c r="D2628">
        <v>2</v>
      </c>
      <c r="E2628" t="s">
        <v>2518</v>
      </c>
    </row>
    <row r="2629" spans="1:5">
      <c r="A2629">
        <f>HYPERLINK("http://www.twitter.com/NYCHA/status/712625804782518272", "712625804782518272")</f>
        <v>0</v>
      </c>
      <c r="B2629" s="2">
        <v>42452.5440509259</v>
      </c>
      <c r="C2629">
        <v>0</v>
      </c>
      <c r="D2629">
        <v>1</v>
      </c>
      <c r="E2629" t="s">
        <v>1974</v>
      </c>
    </row>
    <row r="2630" spans="1:5">
      <c r="A2630">
        <f>HYPERLINK("http://www.twitter.com/NYCHA/status/712625802328817665", "712625802328817665")</f>
        <v>0</v>
      </c>
      <c r="B2630" s="2">
        <v>42452.5440393519</v>
      </c>
      <c r="C2630">
        <v>0</v>
      </c>
      <c r="D2630">
        <v>0</v>
      </c>
      <c r="E2630" t="s">
        <v>2519</v>
      </c>
    </row>
    <row r="2631" spans="1:5">
      <c r="A2631">
        <f>HYPERLINK("http://www.twitter.com/NYCHA/status/712353924850782209", "712353924850782209")</f>
        <v>0</v>
      </c>
      <c r="B2631" s="2">
        <v>42451.7938078704</v>
      </c>
      <c r="C2631">
        <v>1</v>
      </c>
      <c r="D2631">
        <v>1</v>
      </c>
      <c r="E2631" t="s">
        <v>2520</v>
      </c>
    </row>
    <row r="2632" spans="1:5">
      <c r="A2632">
        <f>HYPERLINK("http://www.twitter.com/NYCHA/status/712324271712935937", "712324271712935937")</f>
        <v>0</v>
      </c>
      <c r="B2632" s="2">
        <v>42451.7119791667</v>
      </c>
      <c r="C2632">
        <v>0</v>
      </c>
      <c r="D2632">
        <v>0</v>
      </c>
      <c r="E2632" t="s">
        <v>2521</v>
      </c>
    </row>
    <row r="2633" spans="1:5">
      <c r="A2633">
        <f>HYPERLINK("http://www.twitter.com/NYCHA/status/712314577707536384", "712314577707536384")</f>
        <v>0</v>
      </c>
      <c r="B2633" s="2">
        <v>42451.6852314815</v>
      </c>
      <c r="C2633">
        <v>0</v>
      </c>
      <c r="D2633">
        <v>0</v>
      </c>
      <c r="E2633" t="s">
        <v>2522</v>
      </c>
    </row>
    <row r="2634" spans="1:5">
      <c r="A2634">
        <f>HYPERLINK("http://www.twitter.com/NYCHA/status/712307997314293760", "712307997314293760")</f>
        <v>0</v>
      </c>
      <c r="B2634" s="2">
        <v>42451.6670717593</v>
      </c>
      <c r="C2634">
        <v>3</v>
      </c>
      <c r="D2634">
        <v>1</v>
      </c>
      <c r="E2634" t="s">
        <v>2523</v>
      </c>
    </row>
    <row r="2635" spans="1:5">
      <c r="A2635">
        <f>HYPERLINK("http://www.twitter.com/NYCHA/status/712300945917530112", "712300945917530112")</f>
        <v>0</v>
      </c>
      <c r="B2635" s="2">
        <v>42451.6476157407</v>
      </c>
      <c r="C2635">
        <v>2</v>
      </c>
      <c r="D2635">
        <v>3</v>
      </c>
      <c r="E2635" t="s">
        <v>2524</v>
      </c>
    </row>
    <row r="2636" spans="1:5">
      <c r="A2636">
        <f>HYPERLINK("http://www.twitter.com/NYCHA/status/712263376488013824", "712263376488013824")</f>
        <v>0</v>
      </c>
      <c r="B2636" s="2">
        <v>42451.5439351852</v>
      </c>
      <c r="C2636">
        <v>0</v>
      </c>
      <c r="D2636">
        <v>0</v>
      </c>
      <c r="E2636" t="s">
        <v>2525</v>
      </c>
    </row>
    <row r="2637" spans="1:5">
      <c r="A2637">
        <f>HYPERLINK("http://www.twitter.com/NYCHA/status/712263373409357825", "712263373409357825")</f>
        <v>0</v>
      </c>
      <c r="B2637" s="2">
        <v>42451.5439351852</v>
      </c>
      <c r="C2637">
        <v>1</v>
      </c>
      <c r="D2637">
        <v>0</v>
      </c>
      <c r="E2637" t="s">
        <v>2180</v>
      </c>
    </row>
    <row r="2638" spans="1:5">
      <c r="A2638">
        <f>HYPERLINK("http://www.twitter.com/NYCHA/status/711976407056916482", "711976407056916482")</f>
        <v>0</v>
      </c>
      <c r="B2638" s="2">
        <v>42450.7520486111</v>
      </c>
      <c r="C2638">
        <v>4</v>
      </c>
      <c r="D2638">
        <v>4</v>
      </c>
      <c r="E2638" t="s">
        <v>2526</v>
      </c>
    </row>
    <row r="2639" spans="1:5">
      <c r="A2639">
        <f>HYPERLINK("http://www.twitter.com/NYCHA/status/711958418270003201", "711958418270003201")</f>
        <v>0</v>
      </c>
      <c r="B2639" s="2">
        <v>42450.7024189815</v>
      </c>
      <c r="C2639">
        <v>0</v>
      </c>
      <c r="D2639">
        <v>0</v>
      </c>
      <c r="E2639" t="s">
        <v>2527</v>
      </c>
    </row>
    <row r="2640" spans="1:5">
      <c r="A2640">
        <f>HYPERLINK("http://www.twitter.com/NYCHA/status/711931495238246400", "711931495238246400")</f>
        <v>0</v>
      </c>
      <c r="B2640" s="2">
        <v>42450.628125</v>
      </c>
      <c r="C2640">
        <v>0</v>
      </c>
      <c r="D2640">
        <v>10</v>
      </c>
      <c r="E2640" t="s">
        <v>2528</v>
      </c>
    </row>
    <row r="2641" spans="1:5">
      <c r="A2641">
        <f>HYPERLINK("http://www.twitter.com/NYCHA/status/711900950697533440", "711900950697533440")</f>
        <v>0</v>
      </c>
      <c r="B2641" s="2">
        <v>42450.5438310185</v>
      </c>
      <c r="C2641">
        <v>0</v>
      </c>
      <c r="D2641">
        <v>0</v>
      </c>
      <c r="E2641" t="s">
        <v>1884</v>
      </c>
    </row>
    <row r="2642" spans="1:5">
      <c r="A2642">
        <f>HYPERLINK("http://www.twitter.com/NYCHA/status/711900950680748032", "711900950680748032")</f>
        <v>0</v>
      </c>
      <c r="B2642" s="2">
        <v>42450.5438310185</v>
      </c>
      <c r="C2642">
        <v>1</v>
      </c>
      <c r="D2642">
        <v>1</v>
      </c>
      <c r="E2642" t="s">
        <v>2529</v>
      </c>
    </row>
    <row r="2643" spans="1:5">
      <c r="A2643">
        <f>HYPERLINK("http://www.twitter.com/NYCHA/status/711709517394874368", "711709517394874368")</f>
        <v>0</v>
      </c>
      <c r="B2643" s="2">
        <v>42450.0155787037</v>
      </c>
      <c r="C2643">
        <v>12</v>
      </c>
      <c r="D2643">
        <v>15</v>
      </c>
      <c r="E2643" t="s">
        <v>2530</v>
      </c>
    </row>
    <row r="2644" spans="1:5">
      <c r="A2644">
        <f>HYPERLINK("http://www.twitter.com/NYCHA/status/711613783416901632", "711613783416901632")</f>
        <v>0</v>
      </c>
      <c r="B2644" s="2">
        <v>42449.751400463</v>
      </c>
      <c r="C2644">
        <v>0</v>
      </c>
      <c r="D2644">
        <v>1</v>
      </c>
      <c r="E2644" t="s">
        <v>2531</v>
      </c>
    </row>
    <row r="2645" spans="1:5">
      <c r="A2645">
        <f>HYPERLINK("http://www.twitter.com/NYCHA/status/711583428836249600", "711583428836249600")</f>
        <v>0</v>
      </c>
      <c r="B2645" s="2">
        <v>42449.6676388889</v>
      </c>
      <c r="C2645">
        <v>14</v>
      </c>
      <c r="D2645">
        <v>6</v>
      </c>
      <c r="E2645" t="s">
        <v>2532</v>
      </c>
    </row>
    <row r="2646" spans="1:5">
      <c r="A2646">
        <f>HYPERLINK("http://www.twitter.com/NYCHA/status/711259776471199750", "711259776471199750")</f>
        <v>0</v>
      </c>
      <c r="B2646" s="2">
        <v>42448.774525463</v>
      </c>
      <c r="C2646">
        <v>1</v>
      </c>
      <c r="D2646">
        <v>0</v>
      </c>
      <c r="E2646" t="s">
        <v>2456</v>
      </c>
    </row>
    <row r="2647" spans="1:5">
      <c r="A2647">
        <f>HYPERLINK("http://www.twitter.com/NYCHA/status/711236154809573376", "711236154809573376")</f>
        <v>0</v>
      </c>
      <c r="B2647" s="2">
        <v>42448.7093518519</v>
      </c>
      <c r="C2647">
        <v>3</v>
      </c>
      <c r="D2647">
        <v>3</v>
      </c>
      <c r="E2647" t="s">
        <v>2533</v>
      </c>
    </row>
    <row r="2648" spans="1:5">
      <c r="A2648">
        <f>HYPERLINK("http://www.twitter.com/NYCHA/status/711221316192497664", "711221316192497664")</f>
        <v>0</v>
      </c>
      <c r="B2648" s="2">
        <v>42448.6684027778</v>
      </c>
      <c r="C2648">
        <v>3</v>
      </c>
      <c r="D2648">
        <v>2</v>
      </c>
      <c r="E2648" t="s">
        <v>2531</v>
      </c>
    </row>
    <row r="2649" spans="1:5">
      <c r="A2649">
        <f>HYPERLINK("http://www.twitter.com/NYCHA/status/711191133456572416", "711191133456572416")</f>
        <v>0</v>
      </c>
      <c r="B2649" s="2">
        <v>42448.5851157407</v>
      </c>
      <c r="C2649">
        <v>0</v>
      </c>
      <c r="D2649">
        <v>0</v>
      </c>
      <c r="E2649" t="s">
        <v>2534</v>
      </c>
    </row>
    <row r="2650" spans="1:5">
      <c r="A2650">
        <f>HYPERLINK("http://www.twitter.com/NYCHA/status/710964411993817089", "710964411993817089")</f>
        <v>0</v>
      </c>
      <c r="B2650" s="2">
        <v>42447.9594791667</v>
      </c>
      <c r="C2650">
        <v>2</v>
      </c>
      <c r="D2650">
        <v>1</v>
      </c>
      <c r="E2650" t="s">
        <v>2441</v>
      </c>
    </row>
    <row r="2651" spans="1:5">
      <c r="A2651">
        <f>HYPERLINK("http://www.twitter.com/NYCHA/status/710945742261755904", "710945742261755904")</f>
        <v>0</v>
      </c>
      <c r="B2651" s="2">
        <v>42447.907962963</v>
      </c>
      <c r="C2651">
        <v>0</v>
      </c>
      <c r="D2651">
        <v>0</v>
      </c>
      <c r="E2651" t="s">
        <v>2535</v>
      </c>
    </row>
    <row r="2652" spans="1:5">
      <c r="A2652">
        <f>HYPERLINK("http://www.twitter.com/NYCHA/status/710928526510333954", "710928526510333954")</f>
        <v>0</v>
      </c>
      <c r="B2652" s="2">
        <v>42447.8604513889</v>
      </c>
      <c r="C2652">
        <v>0</v>
      </c>
      <c r="D2652">
        <v>3</v>
      </c>
      <c r="E2652" t="s">
        <v>2536</v>
      </c>
    </row>
    <row r="2653" spans="1:5">
      <c r="A2653">
        <f>HYPERLINK("http://www.twitter.com/NYCHA/status/710917053364969475", "710917053364969475")</f>
        <v>0</v>
      </c>
      <c r="B2653" s="2">
        <v>42447.8287962963</v>
      </c>
      <c r="C2653">
        <v>0</v>
      </c>
      <c r="D2653">
        <v>1</v>
      </c>
      <c r="E2653" t="s">
        <v>2537</v>
      </c>
    </row>
    <row r="2654" spans="1:5">
      <c r="A2654">
        <f>HYPERLINK("http://www.twitter.com/NYCHA/status/710892572261146624", "710892572261146624")</f>
        <v>0</v>
      </c>
      <c r="B2654" s="2">
        <v>42447.7612384259</v>
      </c>
      <c r="C2654">
        <v>0</v>
      </c>
      <c r="D2654">
        <v>4</v>
      </c>
      <c r="E2654" t="s">
        <v>2538</v>
      </c>
    </row>
    <row r="2655" spans="1:5">
      <c r="A2655">
        <f>HYPERLINK("http://www.twitter.com/NYCHA/status/710892489721442309", "710892489721442309")</f>
        <v>0</v>
      </c>
      <c r="B2655" s="2">
        <v>42447.7610069444</v>
      </c>
      <c r="C2655">
        <v>0</v>
      </c>
      <c r="D2655">
        <v>3</v>
      </c>
      <c r="E2655" t="s">
        <v>2539</v>
      </c>
    </row>
    <row r="2656" spans="1:5">
      <c r="A2656">
        <f>HYPERLINK("http://www.twitter.com/NYCHA/status/710874672838152192", "710874672838152192")</f>
        <v>0</v>
      </c>
      <c r="B2656" s="2">
        <v>42447.7118518519</v>
      </c>
      <c r="C2656">
        <v>0</v>
      </c>
      <c r="D2656">
        <v>12</v>
      </c>
      <c r="E2656" t="s">
        <v>2540</v>
      </c>
    </row>
    <row r="2657" spans="1:5">
      <c r="A2657">
        <f>HYPERLINK("http://www.twitter.com/NYCHA/status/710865980348637185", "710865980348637185")</f>
        <v>0</v>
      </c>
      <c r="B2657" s="2">
        <v>42447.6878587963</v>
      </c>
      <c r="C2657">
        <v>1</v>
      </c>
      <c r="D2657">
        <v>0</v>
      </c>
      <c r="E2657" t="s">
        <v>81</v>
      </c>
    </row>
    <row r="2658" spans="1:5">
      <c r="A2658">
        <f>HYPERLINK("http://www.twitter.com/NYCHA/status/710844483378794497", "710844483378794497")</f>
        <v>0</v>
      </c>
      <c r="B2658" s="2">
        <v>42447.6285416667</v>
      </c>
      <c r="C2658">
        <v>0</v>
      </c>
      <c r="D2658">
        <v>1</v>
      </c>
      <c r="E2658" t="s">
        <v>2541</v>
      </c>
    </row>
    <row r="2659" spans="1:5">
      <c r="A2659">
        <f>HYPERLINK("http://www.twitter.com/NYCHA/status/710843643570102272", "710843643570102272")</f>
        <v>0</v>
      </c>
      <c r="B2659" s="2">
        <v>42447.6262268519</v>
      </c>
      <c r="C2659">
        <v>13</v>
      </c>
      <c r="D2659">
        <v>8</v>
      </c>
      <c r="E2659" t="s">
        <v>2542</v>
      </c>
    </row>
    <row r="2660" spans="1:5">
      <c r="A2660">
        <f>HYPERLINK("http://www.twitter.com/NYCHA/status/710828914495635456", "710828914495635456")</f>
        <v>0</v>
      </c>
      <c r="B2660" s="2">
        <v>42447.5855787037</v>
      </c>
      <c r="C2660">
        <v>3</v>
      </c>
      <c r="D2660">
        <v>5</v>
      </c>
      <c r="E2660" t="s">
        <v>2543</v>
      </c>
    </row>
    <row r="2661" spans="1:5">
      <c r="A2661">
        <f>HYPERLINK("http://www.twitter.com/NYCHA/status/710824568945057793", "710824568945057793")</f>
        <v>0</v>
      </c>
      <c r="B2661" s="2">
        <v>42447.573587963</v>
      </c>
      <c r="C2661">
        <v>0</v>
      </c>
      <c r="D2661">
        <v>5</v>
      </c>
      <c r="E2661" t="s">
        <v>2544</v>
      </c>
    </row>
    <row r="2662" spans="1:5">
      <c r="A2662">
        <f>HYPERLINK("http://www.twitter.com/NYCHA/status/710572905722208257", "710572905722208257")</f>
        <v>0</v>
      </c>
      <c r="B2662" s="2">
        <v>42446.8791319444</v>
      </c>
      <c r="C2662">
        <v>0</v>
      </c>
      <c r="D2662">
        <v>3</v>
      </c>
      <c r="E2662" t="s">
        <v>2545</v>
      </c>
    </row>
    <row r="2663" spans="1:5">
      <c r="A2663">
        <f>HYPERLINK("http://www.twitter.com/NYCHA/status/710567186465742849", "710567186465742849")</f>
        <v>0</v>
      </c>
      <c r="B2663" s="2">
        <v>42446.8633449074</v>
      </c>
      <c r="C2663">
        <v>0</v>
      </c>
      <c r="D2663">
        <v>2</v>
      </c>
      <c r="E2663" t="s">
        <v>2546</v>
      </c>
    </row>
    <row r="2664" spans="1:5">
      <c r="A2664">
        <f>HYPERLINK("http://www.twitter.com/NYCHA/status/710558742534823937", "710558742534823937")</f>
        <v>0</v>
      </c>
      <c r="B2664" s="2">
        <v>42446.8400462963</v>
      </c>
      <c r="C2664">
        <v>0</v>
      </c>
      <c r="D2664">
        <v>1</v>
      </c>
      <c r="E2664" t="s">
        <v>2547</v>
      </c>
    </row>
    <row r="2665" spans="1:5">
      <c r="A2665">
        <f>HYPERLINK("http://www.twitter.com/NYCHA/status/710558684842233857", "710558684842233857")</f>
        <v>0</v>
      </c>
      <c r="B2665" s="2">
        <v>42446.8398842593</v>
      </c>
      <c r="C2665">
        <v>0</v>
      </c>
      <c r="D2665">
        <v>5</v>
      </c>
      <c r="E2665" t="s">
        <v>2548</v>
      </c>
    </row>
    <row r="2666" spans="1:5">
      <c r="A2666">
        <f>HYPERLINK("http://www.twitter.com/NYCHA/status/710507402139983872", "710507402139983872")</f>
        <v>0</v>
      </c>
      <c r="B2666" s="2">
        <v>42446.6983680556</v>
      </c>
      <c r="C2666">
        <v>1</v>
      </c>
      <c r="D2666">
        <v>1</v>
      </c>
      <c r="E2666" t="s">
        <v>2549</v>
      </c>
    </row>
    <row r="2667" spans="1:5">
      <c r="A2667">
        <f>HYPERLINK("http://www.twitter.com/NYCHA/status/710502151374639104", "710502151374639104")</f>
        <v>0</v>
      </c>
      <c r="B2667" s="2">
        <v>42446.6838888889</v>
      </c>
      <c r="C2667">
        <v>3</v>
      </c>
      <c r="D2667">
        <v>1</v>
      </c>
      <c r="E2667" t="s">
        <v>2550</v>
      </c>
    </row>
    <row r="2668" spans="1:5">
      <c r="A2668">
        <f>HYPERLINK("http://www.twitter.com/NYCHA/status/710496451680460801", "710496451680460801")</f>
        <v>0</v>
      </c>
      <c r="B2668" s="2">
        <v>42446.6681597222</v>
      </c>
      <c r="C2668">
        <v>11</v>
      </c>
      <c r="D2668">
        <v>3</v>
      </c>
      <c r="E2668" t="s">
        <v>2551</v>
      </c>
    </row>
    <row r="2669" spans="1:5">
      <c r="A2669">
        <f>HYPERLINK("http://www.twitter.com/NYCHA/status/710469099185414150", "710469099185414150")</f>
        <v>0</v>
      </c>
      <c r="B2669" s="2">
        <v>42446.5926736111</v>
      </c>
      <c r="C2669">
        <v>0</v>
      </c>
      <c r="D2669">
        <v>5</v>
      </c>
      <c r="E2669" t="s">
        <v>2552</v>
      </c>
    </row>
    <row r="2670" spans="1:5">
      <c r="A2670">
        <f>HYPERLINK("http://www.twitter.com/NYCHA/status/710467492083339266", "710467492083339266")</f>
        <v>0</v>
      </c>
      <c r="B2670" s="2">
        <v>42446.5882407407</v>
      </c>
      <c r="C2670">
        <v>0</v>
      </c>
      <c r="D2670">
        <v>1</v>
      </c>
      <c r="E2670" t="s">
        <v>2553</v>
      </c>
    </row>
    <row r="2671" spans="1:5">
      <c r="A2671">
        <f>HYPERLINK("http://www.twitter.com/NYCHA/status/710466540504817664", "710466540504817664")</f>
        <v>0</v>
      </c>
      <c r="B2671" s="2">
        <v>42446.5856134259</v>
      </c>
      <c r="C2671">
        <v>2</v>
      </c>
      <c r="D2671">
        <v>5</v>
      </c>
      <c r="E2671" t="s">
        <v>2554</v>
      </c>
    </row>
    <row r="2672" spans="1:5">
      <c r="A2672">
        <f>HYPERLINK("http://www.twitter.com/NYCHA/status/710277797831434240", "710277797831434240")</f>
        <v>0</v>
      </c>
      <c r="B2672" s="2">
        <v>42446.0647800926</v>
      </c>
      <c r="C2672">
        <v>0</v>
      </c>
      <c r="D2672">
        <v>4</v>
      </c>
      <c r="E2672" t="s">
        <v>2555</v>
      </c>
    </row>
    <row r="2673" spans="1:5">
      <c r="A2673">
        <f>HYPERLINK("http://www.twitter.com/NYCHA/status/710277772598448128", "710277772598448128")</f>
        <v>0</v>
      </c>
      <c r="B2673" s="2">
        <v>42446.0647106481</v>
      </c>
      <c r="C2673">
        <v>0</v>
      </c>
      <c r="D2673">
        <v>1</v>
      </c>
      <c r="E2673" t="s">
        <v>2556</v>
      </c>
    </row>
    <row r="2674" spans="1:5">
      <c r="A2674">
        <f>HYPERLINK("http://www.twitter.com/NYCHA/status/710240187150966784", "710240187150966784")</f>
        <v>0</v>
      </c>
      <c r="B2674" s="2">
        <v>42445.9609953704</v>
      </c>
      <c r="C2674">
        <v>0</v>
      </c>
      <c r="D2674">
        <v>2</v>
      </c>
      <c r="E2674" t="s">
        <v>2557</v>
      </c>
    </row>
    <row r="2675" spans="1:5">
      <c r="A2675">
        <f>HYPERLINK("http://www.twitter.com/NYCHA/status/710238721438781440", "710238721438781440")</f>
        <v>0</v>
      </c>
      <c r="B2675" s="2">
        <v>42445.9569560185</v>
      </c>
      <c r="C2675">
        <v>0</v>
      </c>
      <c r="D2675">
        <v>4</v>
      </c>
      <c r="E2675" t="s">
        <v>2558</v>
      </c>
    </row>
    <row r="2676" spans="1:5">
      <c r="A2676">
        <f>HYPERLINK("http://www.twitter.com/NYCHA/status/710146271160508416", "710146271160508416")</f>
        <v>0</v>
      </c>
      <c r="B2676" s="2">
        <v>42445.7018402778</v>
      </c>
      <c r="C2676">
        <v>4</v>
      </c>
      <c r="D2676">
        <v>4</v>
      </c>
      <c r="E2676" t="s">
        <v>2559</v>
      </c>
    </row>
    <row r="2677" spans="1:5">
      <c r="A2677">
        <f>HYPERLINK("http://www.twitter.com/NYCHA/status/710108605366796290", "710108605366796290")</f>
        <v>0</v>
      </c>
      <c r="B2677" s="2">
        <v>42445.5979050926</v>
      </c>
      <c r="C2677">
        <v>5</v>
      </c>
      <c r="D2677">
        <v>3</v>
      </c>
      <c r="E2677" t="s">
        <v>2560</v>
      </c>
    </row>
    <row r="2678" spans="1:5">
      <c r="A2678">
        <f>HYPERLINK("http://www.twitter.com/NYCHA/status/710104066626609152", "710104066626609152")</f>
        <v>0</v>
      </c>
      <c r="B2678" s="2">
        <v>42445.5853819444</v>
      </c>
      <c r="C2678">
        <v>2</v>
      </c>
      <c r="D2678">
        <v>3</v>
      </c>
      <c r="E2678" t="s">
        <v>2531</v>
      </c>
    </row>
    <row r="2679" spans="1:5">
      <c r="A2679">
        <f>HYPERLINK("http://www.twitter.com/NYCHA/status/709871339780378624", "709871339780378624")</f>
        <v>0</v>
      </c>
      <c r="B2679" s="2">
        <v>42444.9431712963</v>
      </c>
      <c r="C2679">
        <v>0</v>
      </c>
      <c r="D2679">
        <v>6</v>
      </c>
      <c r="E2679" t="s">
        <v>2561</v>
      </c>
    </row>
    <row r="2680" spans="1:5">
      <c r="A2680">
        <f>HYPERLINK("http://www.twitter.com/NYCHA/status/709871300655890433", "709871300655890433")</f>
        <v>0</v>
      </c>
      <c r="B2680" s="2">
        <v>42444.9430671296</v>
      </c>
      <c r="C2680">
        <v>0</v>
      </c>
      <c r="D2680">
        <v>7</v>
      </c>
      <c r="E2680" t="s">
        <v>2562</v>
      </c>
    </row>
    <row r="2681" spans="1:5">
      <c r="A2681">
        <f>HYPERLINK("http://www.twitter.com/NYCHA/status/709825267901079553", "709825267901079553")</f>
        <v>0</v>
      </c>
      <c r="B2681" s="2">
        <v>42444.8160416667</v>
      </c>
      <c r="C2681">
        <v>0</v>
      </c>
      <c r="D2681">
        <v>0</v>
      </c>
      <c r="E2681" t="s">
        <v>2456</v>
      </c>
    </row>
    <row r="2682" spans="1:5">
      <c r="A2682">
        <f>HYPERLINK("http://www.twitter.com/NYCHA/status/709822294215024640", "709822294215024640")</f>
        <v>0</v>
      </c>
      <c r="B2682" s="2">
        <v>42444.8078356481</v>
      </c>
      <c r="C2682">
        <v>2</v>
      </c>
      <c r="D2682">
        <v>2</v>
      </c>
      <c r="E2682" t="s">
        <v>2563</v>
      </c>
    </row>
    <row r="2683" spans="1:5">
      <c r="A2683">
        <f>HYPERLINK("http://www.twitter.com/NYCHA/status/709821338224103426", "709821338224103426")</f>
        <v>0</v>
      </c>
      <c r="B2683" s="2">
        <v>42444.8051967593</v>
      </c>
      <c r="C2683">
        <v>0</v>
      </c>
      <c r="D2683">
        <v>0</v>
      </c>
      <c r="E2683" t="s">
        <v>2564</v>
      </c>
    </row>
    <row r="2684" spans="1:5">
      <c r="A2684">
        <f>HYPERLINK("http://www.twitter.com/NYCHA/status/709802004105850880", "709802004105850880")</f>
        <v>0</v>
      </c>
      <c r="B2684" s="2">
        <v>42444.7518402778</v>
      </c>
      <c r="C2684">
        <v>9</v>
      </c>
      <c r="D2684">
        <v>11</v>
      </c>
      <c r="E2684" t="s">
        <v>2565</v>
      </c>
    </row>
    <row r="2685" spans="1:5">
      <c r="A2685">
        <f>HYPERLINK("http://www.twitter.com/NYCHA/status/709781371980550144", "709781371980550144")</f>
        <v>0</v>
      </c>
      <c r="B2685" s="2">
        <v>42444.6949074074</v>
      </c>
      <c r="C2685">
        <v>0</v>
      </c>
      <c r="D2685">
        <v>0</v>
      </c>
      <c r="E2685" t="s">
        <v>2566</v>
      </c>
    </row>
    <row r="2686" spans="1:5">
      <c r="A2686">
        <f>HYPERLINK("http://www.twitter.com/NYCHA/status/709780091279155200", "709780091279155200")</f>
        <v>0</v>
      </c>
      <c r="B2686" s="2">
        <v>42444.6913773148</v>
      </c>
      <c r="C2686">
        <v>1</v>
      </c>
      <c r="D2686">
        <v>3</v>
      </c>
      <c r="E2686" t="s">
        <v>1940</v>
      </c>
    </row>
    <row r="2687" spans="1:5">
      <c r="A2687">
        <f>HYPERLINK("http://www.twitter.com/NYCHA/status/709779139675430912", "709779139675430912")</f>
        <v>0</v>
      </c>
      <c r="B2687" s="2">
        <v>42444.68875</v>
      </c>
      <c r="C2687">
        <v>0</v>
      </c>
      <c r="D2687">
        <v>3</v>
      </c>
      <c r="E2687" t="s">
        <v>2567</v>
      </c>
    </row>
    <row r="2688" spans="1:5">
      <c r="A2688">
        <f>HYPERLINK("http://www.twitter.com/NYCHA/status/709771647344111616", "709771647344111616")</f>
        <v>0</v>
      </c>
      <c r="B2688" s="2">
        <v>42444.6680787037</v>
      </c>
      <c r="C2688">
        <v>0</v>
      </c>
      <c r="D2688">
        <v>1</v>
      </c>
      <c r="E2688" t="s">
        <v>2568</v>
      </c>
    </row>
    <row r="2689" spans="1:5">
      <c r="A2689">
        <f>HYPERLINK("http://www.twitter.com/NYCHA/status/709747422805794816", "709747422805794816")</f>
        <v>0</v>
      </c>
      <c r="B2689" s="2">
        <v>42444.6012268519</v>
      </c>
      <c r="C2689">
        <v>0</v>
      </c>
      <c r="D2689">
        <v>0</v>
      </c>
      <c r="E2689" t="s">
        <v>2569</v>
      </c>
    </row>
    <row r="2690" spans="1:5">
      <c r="A2690">
        <f>HYPERLINK("http://www.twitter.com/NYCHA/status/709741789981372417", "709741789981372417")</f>
        <v>0</v>
      </c>
      <c r="B2690" s="2">
        <v>42444.5856828704</v>
      </c>
      <c r="C2690">
        <v>1</v>
      </c>
      <c r="D2690">
        <v>2</v>
      </c>
      <c r="E2690" t="s">
        <v>2570</v>
      </c>
    </row>
    <row r="2691" spans="1:5">
      <c r="A2691">
        <f>HYPERLINK("http://www.twitter.com/NYCHA/status/709483286108758017", "709483286108758017")</f>
        <v>0</v>
      </c>
      <c r="B2691" s="2">
        <v>42443.872349537</v>
      </c>
      <c r="C2691">
        <v>0</v>
      </c>
      <c r="D2691">
        <v>1</v>
      </c>
      <c r="E2691" t="s">
        <v>2571</v>
      </c>
    </row>
    <row r="2692" spans="1:5">
      <c r="A2692">
        <f>HYPERLINK("http://www.twitter.com/NYCHA/status/709467328447127553", "709467328447127553")</f>
        <v>0</v>
      </c>
      <c r="B2692" s="2">
        <v>42443.8283217593</v>
      </c>
      <c r="C2692">
        <v>0</v>
      </c>
      <c r="D2692">
        <v>22</v>
      </c>
      <c r="E2692" t="s">
        <v>2572</v>
      </c>
    </row>
    <row r="2693" spans="1:5">
      <c r="A2693">
        <f>HYPERLINK("http://www.twitter.com/NYCHA/status/709444969896022016", "709444969896022016")</f>
        <v>0</v>
      </c>
      <c r="B2693" s="2">
        <v>42443.7666203704</v>
      </c>
      <c r="C2693">
        <v>0</v>
      </c>
      <c r="D2693">
        <v>4</v>
      </c>
      <c r="E2693" t="s">
        <v>2573</v>
      </c>
    </row>
    <row r="2694" spans="1:5">
      <c r="A2694">
        <f>HYPERLINK("http://www.twitter.com/NYCHA/status/709439525613936640", "709439525613936640")</f>
        <v>0</v>
      </c>
      <c r="B2694" s="2">
        <v>42443.7515972222</v>
      </c>
      <c r="C2694">
        <v>0</v>
      </c>
      <c r="D2694">
        <v>0</v>
      </c>
      <c r="E2694" t="s">
        <v>2574</v>
      </c>
    </row>
    <row r="2695" spans="1:5">
      <c r="A2695">
        <f>HYPERLINK("http://www.twitter.com/NYCHA/status/709430539778990081", "709430539778990081")</f>
        <v>0</v>
      </c>
      <c r="B2695" s="2">
        <v>42443.7267939815</v>
      </c>
      <c r="C2695">
        <v>0</v>
      </c>
      <c r="D2695">
        <v>17</v>
      </c>
      <c r="E2695" t="s">
        <v>2575</v>
      </c>
    </row>
    <row r="2696" spans="1:5">
      <c r="A2696">
        <f>HYPERLINK("http://www.twitter.com/NYCHA/status/709429381937160193", "709429381937160193")</f>
        <v>0</v>
      </c>
      <c r="B2696" s="2">
        <v>42443.723599537</v>
      </c>
      <c r="C2696">
        <v>0</v>
      </c>
      <c r="D2696">
        <v>6</v>
      </c>
      <c r="E2696" t="s">
        <v>2576</v>
      </c>
    </row>
    <row r="2697" spans="1:5">
      <c r="A2697">
        <f>HYPERLINK("http://www.twitter.com/NYCHA/status/709409561967468544", "709409561967468544")</f>
        <v>0</v>
      </c>
      <c r="B2697" s="2">
        <v>42443.668912037</v>
      </c>
      <c r="C2697">
        <v>0</v>
      </c>
      <c r="D2697">
        <v>1</v>
      </c>
      <c r="E2697" t="s">
        <v>1824</v>
      </c>
    </row>
    <row r="2698" spans="1:5">
      <c r="A2698">
        <f>HYPERLINK("http://www.twitter.com/NYCHA/status/709404542459371520", "709404542459371520")</f>
        <v>0</v>
      </c>
      <c r="B2698" s="2">
        <v>42443.6550578704</v>
      </c>
      <c r="C2698">
        <v>3</v>
      </c>
      <c r="D2698">
        <v>0</v>
      </c>
      <c r="E2698" t="s">
        <v>2577</v>
      </c>
    </row>
    <row r="2699" spans="1:5">
      <c r="A2699">
        <f>HYPERLINK("http://www.twitter.com/NYCHA/status/709379287971962881", "709379287971962881")</f>
        <v>0</v>
      </c>
      <c r="B2699" s="2">
        <v>42443.5853703704</v>
      </c>
      <c r="C2699">
        <v>3</v>
      </c>
      <c r="D2699">
        <v>3</v>
      </c>
      <c r="E2699" t="s">
        <v>2578</v>
      </c>
    </row>
    <row r="2700" spans="1:5">
      <c r="A2700">
        <f>HYPERLINK("http://www.twitter.com/NYCHA/status/709076897511112705", "709076897511112705")</f>
        <v>0</v>
      </c>
      <c r="B2700" s="2">
        <v>42442.7509375</v>
      </c>
      <c r="C2700">
        <v>0</v>
      </c>
      <c r="D2700">
        <v>0</v>
      </c>
      <c r="E2700" t="s">
        <v>2574</v>
      </c>
    </row>
    <row r="2701" spans="1:5">
      <c r="A2701">
        <f>HYPERLINK("http://www.twitter.com/NYCHA/status/709046897227517952", "709046897227517952")</f>
        <v>0</v>
      </c>
      <c r="B2701" s="2">
        <v>42442.6681481482</v>
      </c>
      <c r="C2701">
        <v>0</v>
      </c>
      <c r="D2701">
        <v>0</v>
      </c>
      <c r="E2701" t="s">
        <v>2579</v>
      </c>
    </row>
    <row r="2702" spans="1:5">
      <c r="A2702">
        <f>HYPERLINK("http://www.twitter.com/NYCHA/status/709040479602663424", "709040479602663424")</f>
        <v>0</v>
      </c>
      <c r="B2702" s="2">
        <v>42442.6504398148</v>
      </c>
      <c r="C2702">
        <v>0</v>
      </c>
      <c r="D2702">
        <v>3</v>
      </c>
      <c r="E2702" t="s">
        <v>2580</v>
      </c>
    </row>
    <row r="2703" spans="1:5">
      <c r="A2703">
        <f>HYPERLINK("http://www.twitter.com/NYCHA/status/709001355185295360", "709001355185295360")</f>
        <v>0</v>
      </c>
      <c r="B2703" s="2">
        <v>42442.5424768518</v>
      </c>
      <c r="C2703">
        <v>2</v>
      </c>
      <c r="D2703">
        <v>0</v>
      </c>
      <c r="E2703" t="s">
        <v>2581</v>
      </c>
    </row>
    <row r="2704" spans="1:5">
      <c r="A2704">
        <f>HYPERLINK("http://www.twitter.com/NYCHA/status/708729570879520768", "708729570879520768")</f>
        <v>0</v>
      </c>
      <c r="B2704" s="2">
        <v>42441.7924884259</v>
      </c>
      <c r="C2704">
        <v>1</v>
      </c>
      <c r="D2704">
        <v>0</v>
      </c>
      <c r="E2704" t="s">
        <v>2574</v>
      </c>
    </row>
    <row r="2705" spans="1:5">
      <c r="A2705">
        <f>HYPERLINK("http://www.twitter.com/NYCHA/status/708699701294587904", "708699701294587904")</f>
        <v>0</v>
      </c>
      <c r="B2705" s="2">
        <v>42441.7100694444</v>
      </c>
      <c r="C2705">
        <v>0</v>
      </c>
      <c r="D2705">
        <v>0</v>
      </c>
      <c r="E2705" t="s">
        <v>2582</v>
      </c>
    </row>
    <row r="2706" spans="1:5">
      <c r="A2706">
        <f>HYPERLINK("http://www.twitter.com/NYCHA/status/708669136088526848", "708669136088526848")</f>
        <v>0</v>
      </c>
      <c r="B2706" s="2">
        <v>42441.6257291667</v>
      </c>
      <c r="C2706">
        <v>2</v>
      </c>
      <c r="D2706">
        <v>3</v>
      </c>
      <c r="E2706" t="s">
        <v>2583</v>
      </c>
    </row>
    <row r="2707" spans="1:5">
      <c r="A2707">
        <f>HYPERLINK("http://www.twitter.com/NYCHA/status/708408266183852032", "708408266183852032")</f>
        <v>0</v>
      </c>
      <c r="B2707" s="2">
        <v>42440.9058564815</v>
      </c>
      <c r="C2707">
        <v>0</v>
      </c>
      <c r="D2707">
        <v>3</v>
      </c>
      <c r="E2707" t="s">
        <v>2584</v>
      </c>
    </row>
    <row r="2708" spans="1:5">
      <c r="A2708">
        <f>HYPERLINK("http://www.twitter.com/NYCHA/status/708404686630625280", "708404686630625280")</f>
        <v>0</v>
      </c>
      <c r="B2708" s="2">
        <v>42440.8959837963</v>
      </c>
      <c r="C2708">
        <v>2</v>
      </c>
      <c r="D2708">
        <v>1</v>
      </c>
      <c r="E2708" t="s">
        <v>2585</v>
      </c>
    </row>
    <row r="2709" spans="1:5">
      <c r="A2709">
        <f>HYPERLINK("http://www.twitter.com/NYCHA/status/708387344806711296", "708387344806711296")</f>
        <v>0</v>
      </c>
      <c r="B2709" s="2">
        <v>42440.848125</v>
      </c>
      <c r="C2709">
        <v>0</v>
      </c>
      <c r="D2709">
        <v>8</v>
      </c>
      <c r="E2709" t="s">
        <v>2586</v>
      </c>
    </row>
    <row r="2710" spans="1:5">
      <c r="A2710">
        <f>HYPERLINK("http://www.twitter.com/NYCHA/status/708387337173143553", "708387337173143553")</f>
        <v>0</v>
      </c>
      <c r="B2710" s="2">
        <v>42440.8481134259</v>
      </c>
      <c r="C2710">
        <v>0</v>
      </c>
      <c r="D2710">
        <v>3</v>
      </c>
      <c r="E2710" t="s">
        <v>2587</v>
      </c>
    </row>
    <row r="2711" spans="1:5">
      <c r="A2711">
        <f>HYPERLINK("http://www.twitter.com/NYCHA/status/708378299895042049", "708378299895042049")</f>
        <v>0</v>
      </c>
      <c r="B2711" s="2">
        <v>42440.8231712963</v>
      </c>
      <c r="C2711">
        <v>0</v>
      </c>
      <c r="D2711">
        <v>8</v>
      </c>
      <c r="E2711" t="s">
        <v>2588</v>
      </c>
    </row>
    <row r="2712" spans="1:5">
      <c r="A2712">
        <f>HYPERLINK("http://www.twitter.com/NYCHA/status/708373271377485824", "708373271377485824")</f>
        <v>0</v>
      </c>
      <c r="B2712" s="2">
        <v>42440.8092939815</v>
      </c>
      <c r="C2712">
        <v>2</v>
      </c>
      <c r="D2712">
        <v>1</v>
      </c>
      <c r="E2712" t="s">
        <v>2589</v>
      </c>
    </row>
    <row r="2713" spans="1:5">
      <c r="A2713">
        <f>HYPERLINK("http://www.twitter.com/NYCHA/status/708367604537143300", "708367604537143300")</f>
        <v>0</v>
      </c>
      <c r="B2713" s="2">
        <v>42440.7936574074</v>
      </c>
      <c r="C2713">
        <v>0</v>
      </c>
      <c r="D2713">
        <v>1</v>
      </c>
      <c r="E2713" t="s">
        <v>2590</v>
      </c>
    </row>
    <row r="2714" spans="1:5">
      <c r="A2714">
        <f>HYPERLINK("http://www.twitter.com/NYCHA/status/708344630564278272", "708344630564278272")</f>
        <v>0</v>
      </c>
      <c r="B2714" s="2">
        <v>42440.7302546296</v>
      </c>
      <c r="C2714">
        <v>0</v>
      </c>
      <c r="D2714">
        <v>3</v>
      </c>
      <c r="E2714" t="s">
        <v>2591</v>
      </c>
    </row>
    <row r="2715" spans="1:5">
      <c r="A2715">
        <f>HYPERLINK("http://www.twitter.com/NYCHA/status/708337727071240193", "708337727071240193")</f>
        <v>0</v>
      </c>
      <c r="B2715" s="2">
        <v>42440.7112152778</v>
      </c>
      <c r="C2715">
        <v>0</v>
      </c>
      <c r="D2715">
        <v>1</v>
      </c>
      <c r="E2715" t="s">
        <v>2592</v>
      </c>
    </row>
    <row r="2716" spans="1:5">
      <c r="A2716">
        <f>HYPERLINK("http://www.twitter.com/NYCHA/status/708337081509093376", "708337081509093376")</f>
        <v>0</v>
      </c>
      <c r="B2716" s="2">
        <v>42440.7094328704</v>
      </c>
      <c r="C2716">
        <v>0</v>
      </c>
      <c r="D2716">
        <v>2</v>
      </c>
      <c r="E2716" t="s">
        <v>2593</v>
      </c>
    </row>
    <row r="2717" spans="1:5">
      <c r="A2717">
        <f>HYPERLINK("http://www.twitter.com/NYCHA/status/708336353801584640", "708336353801584640")</f>
        <v>0</v>
      </c>
      <c r="B2717" s="2">
        <v>42440.7074189815</v>
      </c>
      <c r="C2717">
        <v>0</v>
      </c>
      <c r="D2717">
        <v>3</v>
      </c>
      <c r="E2717" t="s">
        <v>2594</v>
      </c>
    </row>
    <row r="2718" spans="1:5">
      <c r="A2718">
        <f>HYPERLINK("http://www.twitter.com/NYCHA/status/708333182345682944", "708333182345682944")</f>
        <v>0</v>
      </c>
      <c r="B2718" s="2">
        <v>42440.6986689815</v>
      </c>
      <c r="C2718">
        <v>0</v>
      </c>
      <c r="D2718">
        <v>2</v>
      </c>
      <c r="E2718" t="s">
        <v>2595</v>
      </c>
    </row>
    <row r="2719" spans="1:5">
      <c r="A2719">
        <f>HYPERLINK("http://www.twitter.com/NYCHA/status/708326463175585793", "708326463175585793")</f>
        <v>0</v>
      </c>
      <c r="B2719" s="2">
        <v>42440.6801273148</v>
      </c>
      <c r="C2719">
        <v>0</v>
      </c>
      <c r="D2719">
        <v>3</v>
      </c>
      <c r="E2719" t="s">
        <v>2596</v>
      </c>
    </row>
    <row r="2720" spans="1:5">
      <c r="A2720">
        <f>HYPERLINK("http://www.twitter.com/NYCHA/status/708321701264814080", "708321701264814080")</f>
        <v>0</v>
      </c>
      <c r="B2720" s="2">
        <v>42440.6669907407</v>
      </c>
      <c r="C2720">
        <v>0</v>
      </c>
      <c r="D2720">
        <v>0</v>
      </c>
      <c r="E2720" t="s">
        <v>1764</v>
      </c>
    </row>
    <row r="2721" spans="1:5">
      <c r="A2721">
        <f>HYPERLINK("http://www.twitter.com/NYCHA/status/708315187300986880", "708315187300986880")</f>
        <v>0</v>
      </c>
      <c r="B2721" s="2">
        <v>42440.6490162037</v>
      </c>
      <c r="C2721">
        <v>4</v>
      </c>
      <c r="D2721">
        <v>1</v>
      </c>
      <c r="E2721" t="s">
        <v>2597</v>
      </c>
    </row>
    <row r="2722" spans="1:5">
      <c r="A2722">
        <f>HYPERLINK("http://www.twitter.com/NYCHA/status/708301692903821312", "708301692903821312")</f>
        <v>0</v>
      </c>
      <c r="B2722" s="2">
        <v>42440.6117708333</v>
      </c>
      <c r="C2722">
        <v>0</v>
      </c>
      <c r="D2722">
        <v>2</v>
      </c>
      <c r="E2722" t="s">
        <v>2598</v>
      </c>
    </row>
    <row r="2723" spans="1:5">
      <c r="A2723">
        <f>HYPERLINK("http://www.twitter.com/NYCHA/status/708301601274994689", "708301601274994689")</f>
        <v>0</v>
      </c>
      <c r="B2723" s="2">
        <v>42440.6115277778</v>
      </c>
      <c r="C2723">
        <v>0</v>
      </c>
      <c r="D2723">
        <v>0</v>
      </c>
      <c r="E2723" t="s">
        <v>2599</v>
      </c>
    </row>
    <row r="2724" spans="1:5">
      <c r="A2724">
        <f>HYPERLINK("http://www.twitter.com/NYCHA/status/708301276166103040", "708301276166103040")</f>
        <v>0</v>
      </c>
      <c r="B2724" s="2">
        <v>42440.610625</v>
      </c>
      <c r="C2724">
        <v>0</v>
      </c>
      <c r="D2724">
        <v>2</v>
      </c>
      <c r="E2724" t="s">
        <v>2600</v>
      </c>
    </row>
    <row r="2725" spans="1:5">
      <c r="A2725">
        <f>HYPERLINK("http://www.twitter.com/NYCHA/status/708292184731160577", "708292184731160577")</f>
        <v>0</v>
      </c>
      <c r="B2725" s="2">
        <v>42440.5855324074</v>
      </c>
      <c r="C2725">
        <v>2</v>
      </c>
      <c r="D2725">
        <v>1</v>
      </c>
      <c r="E2725" t="s">
        <v>2601</v>
      </c>
    </row>
    <row r="2726" spans="1:5">
      <c r="A2726">
        <f>HYPERLINK("http://www.twitter.com/NYCHA/status/708098895406964738", "708098895406964738")</f>
        <v>0</v>
      </c>
      <c r="B2726" s="2">
        <v>42440.0521643519</v>
      </c>
      <c r="C2726">
        <v>3</v>
      </c>
      <c r="D2726">
        <v>5</v>
      </c>
      <c r="E2726" t="s">
        <v>2602</v>
      </c>
    </row>
    <row r="2727" spans="1:5">
      <c r="A2727">
        <f>HYPERLINK("http://www.twitter.com/NYCHA/status/708080150500380672", "708080150500380672")</f>
        <v>0</v>
      </c>
      <c r="B2727" s="2">
        <v>42440.0004398148</v>
      </c>
      <c r="C2727">
        <v>0</v>
      </c>
      <c r="D2727">
        <v>0</v>
      </c>
      <c r="E2727" t="s">
        <v>2603</v>
      </c>
    </row>
    <row r="2728" spans="1:5">
      <c r="A2728">
        <f>HYPERLINK("http://www.twitter.com/NYCHA/status/708074998703984640", "708074998703984640")</f>
        <v>0</v>
      </c>
      <c r="B2728" s="2">
        <v>42439.9862152778</v>
      </c>
      <c r="C2728">
        <v>0</v>
      </c>
      <c r="D2728">
        <v>4</v>
      </c>
      <c r="E2728" t="s">
        <v>2604</v>
      </c>
    </row>
    <row r="2729" spans="1:5">
      <c r="A2729">
        <f>HYPERLINK("http://www.twitter.com/NYCHA/status/708072262319140864", "708072262319140864")</f>
        <v>0</v>
      </c>
      <c r="B2729" s="2">
        <v>42439.9786689815</v>
      </c>
      <c r="C2729">
        <v>0</v>
      </c>
      <c r="D2729">
        <v>0</v>
      </c>
      <c r="E2729" t="s">
        <v>2605</v>
      </c>
    </row>
    <row r="2730" spans="1:5">
      <c r="A2730">
        <f>HYPERLINK("http://www.twitter.com/NYCHA/status/708072003278938112", "708072003278938112")</f>
        <v>0</v>
      </c>
      <c r="B2730" s="2">
        <v>42439.9779513889</v>
      </c>
      <c r="C2730">
        <v>1</v>
      </c>
      <c r="D2730">
        <v>0</v>
      </c>
      <c r="E2730" t="s">
        <v>2606</v>
      </c>
    </row>
    <row r="2731" spans="1:5">
      <c r="A2731">
        <f>HYPERLINK("http://www.twitter.com/NYCHA/status/708071057849196544", "708071057849196544")</f>
        <v>0</v>
      </c>
      <c r="B2731" s="2">
        <v>42439.9753472222</v>
      </c>
      <c r="C2731">
        <v>2</v>
      </c>
      <c r="D2731">
        <v>3</v>
      </c>
      <c r="E2731" t="s">
        <v>2607</v>
      </c>
    </row>
    <row r="2732" spans="1:5">
      <c r="A2732">
        <f>HYPERLINK("http://www.twitter.com/NYCHA/status/708069318920167426", "708069318920167426")</f>
        <v>0</v>
      </c>
      <c r="B2732" s="2">
        <v>42439.9705439815</v>
      </c>
      <c r="C2732">
        <v>5</v>
      </c>
      <c r="D2732">
        <v>2</v>
      </c>
      <c r="E2732" t="s">
        <v>2608</v>
      </c>
    </row>
    <row r="2733" spans="1:5">
      <c r="A2733">
        <f>HYPERLINK("http://www.twitter.com/NYCHA/status/708068699786321920", "708068699786321920")</f>
        <v>0</v>
      </c>
      <c r="B2733" s="2">
        <v>42439.9688310185</v>
      </c>
      <c r="C2733">
        <v>4</v>
      </c>
      <c r="D2733">
        <v>2</v>
      </c>
      <c r="E2733" t="s">
        <v>2609</v>
      </c>
    </row>
    <row r="2734" spans="1:5">
      <c r="A2734">
        <f>HYPERLINK("http://www.twitter.com/NYCHA/status/708068200165072896", "708068200165072896")</f>
        <v>0</v>
      </c>
      <c r="B2734" s="2">
        <v>42439.9674537037</v>
      </c>
      <c r="C2734">
        <v>0</v>
      </c>
      <c r="D2734">
        <v>0</v>
      </c>
      <c r="E2734" t="s">
        <v>2610</v>
      </c>
    </row>
    <row r="2735" spans="1:5">
      <c r="A2735">
        <f>HYPERLINK("http://www.twitter.com/NYCHA/status/708067725273337856", "708067725273337856")</f>
        <v>0</v>
      </c>
      <c r="B2735" s="2">
        <v>42439.9661458333</v>
      </c>
      <c r="C2735">
        <v>1</v>
      </c>
      <c r="D2735">
        <v>0</v>
      </c>
      <c r="E2735" t="s">
        <v>2611</v>
      </c>
    </row>
    <row r="2736" spans="1:5">
      <c r="A2736">
        <f>HYPERLINK("http://www.twitter.com/NYCHA/status/708067638623268864", "708067638623268864")</f>
        <v>0</v>
      </c>
      <c r="B2736" s="2">
        <v>42439.9659027778</v>
      </c>
      <c r="C2736">
        <v>0</v>
      </c>
      <c r="D2736">
        <v>0</v>
      </c>
      <c r="E2736" t="s">
        <v>2612</v>
      </c>
    </row>
    <row r="2737" spans="1:5">
      <c r="A2737">
        <f>HYPERLINK("http://www.twitter.com/NYCHA/status/708067484893585409", "708067484893585409")</f>
        <v>0</v>
      </c>
      <c r="B2737" s="2">
        <v>42439.9654861111</v>
      </c>
      <c r="C2737">
        <v>0</v>
      </c>
      <c r="D2737">
        <v>0</v>
      </c>
      <c r="E2737" t="s">
        <v>2613</v>
      </c>
    </row>
    <row r="2738" spans="1:5">
      <c r="A2738">
        <f>HYPERLINK("http://www.twitter.com/NYCHA/status/708067274712809472", "708067274712809472")</f>
        <v>0</v>
      </c>
      <c r="B2738" s="2">
        <v>42439.9649074074</v>
      </c>
      <c r="C2738">
        <v>0</v>
      </c>
      <c r="D2738">
        <v>2</v>
      </c>
      <c r="E2738" t="s">
        <v>2614</v>
      </c>
    </row>
    <row r="2739" spans="1:5">
      <c r="A2739">
        <f>HYPERLINK("http://www.twitter.com/NYCHA/status/708067031745224704", "708067031745224704")</f>
        <v>0</v>
      </c>
      <c r="B2739" s="2">
        <v>42439.9642361111</v>
      </c>
      <c r="C2739">
        <v>1</v>
      </c>
      <c r="D2739">
        <v>0</v>
      </c>
      <c r="E2739" t="s">
        <v>2615</v>
      </c>
    </row>
    <row r="2740" spans="1:5">
      <c r="A2740">
        <f>HYPERLINK("http://www.twitter.com/NYCHA/status/708066939113844736", "708066939113844736")</f>
        <v>0</v>
      </c>
      <c r="B2740" s="2">
        <v>42439.9639814815</v>
      </c>
      <c r="C2740">
        <v>2</v>
      </c>
      <c r="D2740">
        <v>1</v>
      </c>
      <c r="E2740" t="s">
        <v>2616</v>
      </c>
    </row>
    <row r="2741" spans="1:5">
      <c r="A2741">
        <f>HYPERLINK("http://www.twitter.com/NYCHA/status/708066726777372674", "708066726777372674")</f>
        <v>0</v>
      </c>
      <c r="B2741" s="2">
        <v>42439.9633912037</v>
      </c>
      <c r="C2741">
        <v>2</v>
      </c>
      <c r="D2741">
        <v>0</v>
      </c>
      <c r="E2741" t="s">
        <v>2617</v>
      </c>
    </row>
    <row r="2742" spans="1:5">
      <c r="A2742">
        <f>HYPERLINK("http://www.twitter.com/NYCHA/status/708066594702925825", "708066594702925825")</f>
        <v>0</v>
      </c>
      <c r="B2742" s="2">
        <v>42439.9630324074</v>
      </c>
      <c r="C2742">
        <v>2</v>
      </c>
      <c r="D2742">
        <v>0</v>
      </c>
      <c r="E2742" t="s">
        <v>2618</v>
      </c>
    </row>
    <row r="2743" spans="1:5">
      <c r="A2743">
        <f>HYPERLINK("http://www.twitter.com/NYCHA/status/708066483348381696", "708066483348381696")</f>
        <v>0</v>
      </c>
      <c r="B2743" s="2">
        <v>42439.9627199074</v>
      </c>
      <c r="C2743">
        <v>3</v>
      </c>
      <c r="D2743">
        <v>2</v>
      </c>
      <c r="E2743" t="s">
        <v>2619</v>
      </c>
    </row>
    <row r="2744" spans="1:5">
      <c r="A2744">
        <f>HYPERLINK("http://www.twitter.com/NYCHA/status/708066393502195712", "708066393502195712")</f>
        <v>0</v>
      </c>
      <c r="B2744" s="2">
        <v>42439.9624768519</v>
      </c>
      <c r="C2744">
        <v>1</v>
      </c>
      <c r="D2744">
        <v>1</v>
      </c>
      <c r="E2744" t="s">
        <v>2620</v>
      </c>
    </row>
    <row r="2745" spans="1:5">
      <c r="A2745">
        <f>HYPERLINK("http://www.twitter.com/NYCHA/status/708066326460370944", "708066326460370944")</f>
        <v>0</v>
      </c>
      <c r="B2745" s="2">
        <v>42439.9622916667</v>
      </c>
      <c r="C2745">
        <v>0</v>
      </c>
      <c r="D2745">
        <v>0</v>
      </c>
      <c r="E2745" t="s">
        <v>2621</v>
      </c>
    </row>
    <row r="2746" spans="1:5">
      <c r="A2746">
        <f>HYPERLINK("http://www.twitter.com/NYCHA/status/708065966660456448", "708065966660456448")</f>
        <v>0</v>
      </c>
      <c r="B2746" s="2">
        <v>42439.9612962963</v>
      </c>
      <c r="C2746">
        <v>0</v>
      </c>
      <c r="D2746">
        <v>0</v>
      </c>
      <c r="E2746" t="s">
        <v>2622</v>
      </c>
    </row>
    <row r="2747" spans="1:5">
      <c r="A2747">
        <f>HYPERLINK("http://www.twitter.com/NYCHA/status/708010948762673157", "708010948762673157")</f>
        <v>0</v>
      </c>
      <c r="B2747" s="2">
        <v>42439.8094791667</v>
      </c>
      <c r="C2747">
        <v>0</v>
      </c>
      <c r="D2747">
        <v>2</v>
      </c>
      <c r="E2747" t="s">
        <v>2623</v>
      </c>
    </row>
    <row r="2748" spans="1:5">
      <c r="A2748">
        <f>HYPERLINK("http://www.twitter.com/NYCHA/status/708007178490265600", "708007178490265600")</f>
        <v>0</v>
      </c>
      <c r="B2748" s="2">
        <v>42439.7990740741</v>
      </c>
      <c r="C2748">
        <v>0</v>
      </c>
      <c r="D2748">
        <v>1</v>
      </c>
      <c r="E2748" t="s">
        <v>2579</v>
      </c>
    </row>
    <row r="2749" spans="1:5">
      <c r="A2749">
        <f>HYPERLINK("http://www.twitter.com/NYCHA/status/707982265704423424", "707982265704423424")</f>
        <v>0</v>
      </c>
      <c r="B2749" s="2">
        <v>42439.7303240741</v>
      </c>
      <c r="C2749">
        <v>1</v>
      </c>
      <c r="D2749">
        <v>1</v>
      </c>
      <c r="E2749" t="s">
        <v>2624</v>
      </c>
    </row>
    <row r="2750" spans="1:5">
      <c r="A2750">
        <f>HYPERLINK("http://www.twitter.com/NYCHA/status/707952634678919168", "707952634678919168")</f>
        <v>0</v>
      </c>
      <c r="B2750" s="2">
        <v>42439.6485532407</v>
      </c>
      <c r="C2750">
        <v>0</v>
      </c>
      <c r="D2750">
        <v>7</v>
      </c>
      <c r="E2750" t="s">
        <v>2625</v>
      </c>
    </row>
    <row r="2751" spans="1:5">
      <c r="A2751">
        <f>HYPERLINK("http://www.twitter.com/NYCHA/status/707952549920436225", "707952549920436225")</f>
        <v>0</v>
      </c>
      <c r="B2751" s="2">
        <v>42439.6483217593</v>
      </c>
      <c r="C2751">
        <v>0</v>
      </c>
      <c r="D2751">
        <v>2</v>
      </c>
      <c r="E2751" t="s">
        <v>2626</v>
      </c>
    </row>
    <row r="2752" spans="1:5">
      <c r="A2752">
        <f>HYPERLINK("http://www.twitter.com/NYCHA/status/707951446080294916", "707951446080294916")</f>
        <v>0</v>
      </c>
      <c r="B2752" s="2">
        <v>42439.6452777778</v>
      </c>
      <c r="C2752">
        <v>0</v>
      </c>
      <c r="D2752">
        <v>2</v>
      </c>
      <c r="E2752" t="s">
        <v>2627</v>
      </c>
    </row>
    <row r="2753" spans="1:5">
      <c r="A2753">
        <f>HYPERLINK("http://www.twitter.com/NYCHA/status/707944632089485312", "707944632089485312")</f>
        <v>0</v>
      </c>
      <c r="B2753" s="2">
        <v>42439.6264699074</v>
      </c>
      <c r="C2753">
        <v>4</v>
      </c>
      <c r="D2753">
        <v>0</v>
      </c>
      <c r="E2753" t="s">
        <v>2628</v>
      </c>
    </row>
    <row r="2754" spans="1:5">
      <c r="A2754">
        <f>HYPERLINK("http://www.twitter.com/NYCHA/status/707941725327790080", "707941725327790080")</f>
        <v>0</v>
      </c>
      <c r="B2754" s="2">
        <v>42439.6184490741</v>
      </c>
      <c r="C2754">
        <v>0</v>
      </c>
      <c r="D2754">
        <v>1</v>
      </c>
      <c r="E2754" t="s">
        <v>2629</v>
      </c>
    </row>
    <row r="2755" spans="1:5">
      <c r="A2755">
        <f>HYPERLINK("http://www.twitter.com/NYCHA/status/707941382875435008", "707941382875435008")</f>
        <v>0</v>
      </c>
      <c r="B2755" s="2">
        <v>42439.6175115741</v>
      </c>
      <c r="C2755">
        <v>0</v>
      </c>
      <c r="D2755">
        <v>0</v>
      </c>
      <c r="E2755" t="s">
        <v>2630</v>
      </c>
    </row>
    <row r="2756" spans="1:5">
      <c r="A2756">
        <f>HYPERLINK("http://www.twitter.com/NYCHA/status/707929889031241728", "707929889031241728")</f>
        <v>0</v>
      </c>
      <c r="B2756" s="2">
        <v>42439.585787037</v>
      </c>
      <c r="C2756">
        <v>1</v>
      </c>
      <c r="D2756">
        <v>1</v>
      </c>
      <c r="E2756" t="s">
        <v>101</v>
      </c>
    </row>
    <row r="2757" spans="1:5">
      <c r="A2757">
        <f>HYPERLINK("http://www.twitter.com/NYCHA/status/707929888917954561", "707929888917954561")</f>
        <v>0</v>
      </c>
      <c r="B2757" s="2">
        <v>42439.585787037</v>
      </c>
      <c r="C2757">
        <v>0</v>
      </c>
      <c r="D2757">
        <v>0</v>
      </c>
      <c r="E2757" t="s">
        <v>2631</v>
      </c>
    </row>
    <row r="2758" spans="1:5">
      <c r="A2758">
        <f>HYPERLINK("http://www.twitter.com/NYCHA/status/707714196293734400", "707714196293734400")</f>
        <v>0</v>
      </c>
      <c r="B2758" s="2">
        <v>42438.9905902778</v>
      </c>
      <c r="C2758">
        <v>0</v>
      </c>
      <c r="D2758">
        <v>3</v>
      </c>
      <c r="E2758" t="s">
        <v>2632</v>
      </c>
    </row>
    <row r="2759" spans="1:5">
      <c r="A2759">
        <f>HYPERLINK("http://www.twitter.com/NYCHA/status/707713088963928064", "707713088963928064")</f>
        <v>0</v>
      </c>
      <c r="B2759" s="2">
        <v>42438.9875347222</v>
      </c>
      <c r="C2759">
        <v>0</v>
      </c>
      <c r="D2759">
        <v>52</v>
      </c>
      <c r="E2759" t="s">
        <v>2633</v>
      </c>
    </row>
    <row r="2760" spans="1:5">
      <c r="A2760">
        <f>HYPERLINK("http://www.twitter.com/NYCHA/status/707650133496881153", "707650133496881153")</f>
        <v>0</v>
      </c>
      <c r="B2760" s="2">
        <v>42438.8138078704</v>
      </c>
      <c r="C2760">
        <v>0</v>
      </c>
      <c r="D2760">
        <v>1</v>
      </c>
      <c r="E2760" t="s">
        <v>2634</v>
      </c>
    </row>
    <row r="2761" spans="1:5">
      <c r="A2761">
        <f>HYPERLINK("http://www.twitter.com/NYCHA/status/707618361035911168", "707618361035911168")</f>
        <v>0</v>
      </c>
      <c r="B2761" s="2">
        <v>42438.7261342593</v>
      </c>
      <c r="C2761">
        <v>1</v>
      </c>
      <c r="D2761">
        <v>0</v>
      </c>
      <c r="E2761" t="s">
        <v>2589</v>
      </c>
    </row>
    <row r="2762" spans="1:5">
      <c r="A2762">
        <f>HYPERLINK("http://www.twitter.com/NYCHA/status/707617259754295297", "707617259754295297")</f>
        <v>0</v>
      </c>
      <c r="B2762" s="2">
        <v>42438.7231018519</v>
      </c>
      <c r="C2762">
        <v>0</v>
      </c>
      <c r="D2762">
        <v>4</v>
      </c>
      <c r="E2762" t="s">
        <v>2635</v>
      </c>
    </row>
    <row r="2763" spans="1:5">
      <c r="A2763">
        <f>HYPERLINK("http://www.twitter.com/NYCHA/status/707617196466380801", "707617196466380801")</f>
        <v>0</v>
      </c>
      <c r="B2763" s="2">
        <v>42438.7229282407</v>
      </c>
      <c r="C2763">
        <v>0</v>
      </c>
      <c r="D2763">
        <v>1</v>
      </c>
      <c r="E2763" t="s">
        <v>2636</v>
      </c>
    </row>
    <row r="2764" spans="1:5">
      <c r="A2764">
        <f>HYPERLINK("http://www.twitter.com/NYCHA/status/707607692001550336", "707607692001550336")</f>
        <v>0</v>
      </c>
      <c r="B2764" s="2">
        <v>42438.6967013889</v>
      </c>
      <c r="C2764">
        <v>0</v>
      </c>
      <c r="D2764">
        <v>1</v>
      </c>
      <c r="E2764" t="s">
        <v>2637</v>
      </c>
    </row>
    <row r="2765" spans="1:5">
      <c r="A2765">
        <f>HYPERLINK("http://www.twitter.com/NYCHA/status/707607665552318465", "707607665552318465")</f>
        <v>0</v>
      </c>
      <c r="B2765" s="2">
        <v>42438.6966203704</v>
      </c>
      <c r="C2765">
        <v>0</v>
      </c>
      <c r="D2765">
        <v>2</v>
      </c>
      <c r="E2765" t="s">
        <v>2414</v>
      </c>
    </row>
    <row r="2766" spans="1:5">
      <c r="A2766">
        <f>HYPERLINK("http://www.twitter.com/NYCHA/status/707567646590373888", "707567646590373888")</f>
        <v>0</v>
      </c>
      <c r="B2766" s="2">
        <v>42438.5861921296</v>
      </c>
      <c r="C2766">
        <v>1</v>
      </c>
      <c r="D2766">
        <v>1</v>
      </c>
      <c r="E2766" t="s">
        <v>2638</v>
      </c>
    </row>
    <row r="2767" spans="1:5">
      <c r="A2767">
        <f>HYPERLINK("http://www.twitter.com/NYCHA/status/707567645856501760", "707567645856501760")</f>
        <v>0</v>
      </c>
      <c r="B2767" s="2">
        <v>42438.5861921296</v>
      </c>
      <c r="C2767">
        <v>0</v>
      </c>
      <c r="D2767">
        <v>0</v>
      </c>
      <c r="E2767" t="s">
        <v>48</v>
      </c>
    </row>
    <row r="2768" spans="1:5">
      <c r="A2768">
        <f>HYPERLINK("http://www.twitter.com/NYCHA/status/707394903307902976", "707394903307902976")</f>
        <v>0</v>
      </c>
      <c r="B2768" s="2">
        <v>42438.1095138889</v>
      </c>
      <c r="C2768">
        <v>0</v>
      </c>
      <c r="D2768">
        <v>3</v>
      </c>
      <c r="E2768" t="s">
        <v>2639</v>
      </c>
    </row>
    <row r="2769" spans="1:5">
      <c r="A2769">
        <f>HYPERLINK("http://www.twitter.com/NYCHA/status/707385614107279360", "707385614107279360")</f>
        <v>0</v>
      </c>
      <c r="B2769" s="2">
        <v>42438.0838773148</v>
      </c>
      <c r="C2769">
        <v>8</v>
      </c>
      <c r="D2769">
        <v>9</v>
      </c>
      <c r="E2769" t="s">
        <v>2640</v>
      </c>
    </row>
    <row r="2770" spans="1:5">
      <c r="A2770">
        <f>HYPERLINK("http://www.twitter.com/NYCHA/status/707384568341512193", "707384568341512193")</f>
        <v>0</v>
      </c>
      <c r="B2770" s="2">
        <v>42438.0809953704</v>
      </c>
      <c r="C2770">
        <v>0</v>
      </c>
      <c r="D2770">
        <v>7</v>
      </c>
      <c r="E2770" t="s">
        <v>2641</v>
      </c>
    </row>
    <row r="2771" spans="1:5">
      <c r="A2771">
        <f>HYPERLINK("http://www.twitter.com/NYCHA/status/707321315611566081", "707321315611566081")</f>
        <v>0</v>
      </c>
      <c r="B2771" s="2">
        <v>42437.9064467593</v>
      </c>
      <c r="C2771">
        <v>0</v>
      </c>
      <c r="D2771">
        <v>1</v>
      </c>
      <c r="E2771" t="s">
        <v>2642</v>
      </c>
    </row>
    <row r="2772" spans="1:5">
      <c r="A2772">
        <f>HYPERLINK("http://www.twitter.com/NYCHA/status/707316323282452480", "707316323282452480")</f>
        <v>0</v>
      </c>
      <c r="B2772" s="2">
        <v>42437.8926736111</v>
      </c>
      <c r="C2772">
        <v>1</v>
      </c>
      <c r="D2772">
        <v>0</v>
      </c>
      <c r="E2772" t="s">
        <v>2643</v>
      </c>
    </row>
    <row r="2773" spans="1:5">
      <c r="A2773">
        <f>HYPERLINK("http://www.twitter.com/NYCHA/status/707310497910145025", "707310497910145025")</f>
        <v>0</v>
      </c>
      <c r="B2773" s="2">
        <v>42437.8765972222</v>
      </c>
      <c r="C2773">
        <v>0</v>
      </c>
      <c r="D2773">
        <v>3</v>
      </c>
      <c r="E2773" t="s">
        <v>2531</v>
      </c>
    </row>
    <row r="2774" spans="1:5">
      <c r="A2774">
        <f>HYPERLINK("http://www.twitter.com/NYCHA/status/707306707257577472", "707306707257577472")</f>
        <v>0</v>
      </c>
      <c r="B2774" s="2">
        <v>42437.8661342593</v>
      </c>
      <c r="C2774">
        <v>0</v>
      </c>
      <c r="D2774">
        <v>9</v>
      </c>
      <c r="E2774" t="s">
        <v>2644</v>
      </c>
    </row>
    <row r="2775" spans="1:5">
      <c r="A2775">
        <f>HYPERLINK("http://www.twitter.com/NYCHA/status/707282379992342528", "707282379992342528")</f>
        <v>0</v>
      </c>
      <c r="B2775" s="2">
        <v>42437.7990046296</v>
      </c>
      <c r="C2775">
        <v>1</v>
      </c>
      <c r="D2775">
        <v>0</v>
      </c>
      <c r="E2775" t="s">
        <v>2645</v>
      </c>
    </row>
    <row r="2776" spans="1:5">
      <c r="A2776">
        <f>HYPERLINK("http://www.twitter.com/NYCHA/status/707255147504738304", "707255147504738304")</f>
        <v>0</v>
      </c>
      <c r="B2776" s="2">
        <v>42437.7238541667</v>
      </c>
      <c r="C2776">
        <v>0</v>
      </c>
      <c r="D2776">
        <v>0</v>
      </c>
      <c r="E2776" t="s">
        <v>2646</v>
      </c>
    </row>
    <row r="2777" spans="1:5">
      <c r="A2777">
        <f>HYPERLINK("http://www.twitter.com/NYCHA/status/707250686333997056", "707250686333997056")</f>
        <v>0</v>
      </c>
      <c r="B2777" s="2">
        <v>42437.7115509259</v>
      </c>
      <c r="C2777">
        <v>2</v>
      </c>
      <c r="D2777">
        <v>1</v>
      </c>
      <c r="E2777" t="s">
        <v>2647</v>
      </c>
    </row>
    <row r="2778" spans="1:5">
      <c r="A2778">
        <f>HYPERLINK("http://www.twitter.com/NYCHA/status/707205750586740740", "707205750586740740")</f>
        <v>0</v>
      </c>
      <c r="B2778" s="2">
        <v>42437.5875462963</v>
      </c>
      <c r="C2778">
        <v>0</v>
      </c>
      <c r="D2778">
        <v>0</v>
      </c>
      <c r="E2778" t="s">
        <v>2648</v>
      </c>
    </row>
    <row r="2779" spans="1:5">
      <c r="A2779">
        <f>HYPERLINK("http://www.twitter.com/NYCHA/status/707205362051588097", "707205362051588097")</f>
        <v>0</v>
      </c>
      <c r="B2779" s="2">
        <v>42437.5864814815</v>
      </c>
      <c r="C2779">
        <v>1</v>
      </c>
      <c r="D2779">
        <v>0</v>
      </c>
      <c r="E2779" t="s">
        <v>2649</v>
      </c>
    </row>
    <row r="2780" spans="1:5">
      <c r="A2780">
        <f>HYPERLINK("http://www.twitter.com/NYCHA/status/706952707362324480", "706952707362324480")</f>
        <v>0</v>
      </c>
      <c r="B2780" s="2">
        <v>42436.8892824074</v>
      </c>
      <c r="C2780">
        <v>0</v>
      </c>
      <c r="D2780">
        <v>35</v>
      </c>
      <c r="E2780" t="s">
        <v>2650</v>
      </c>
    </row>
    <row r="2781" spans="1:5">
      <c r="A2781">
        <f>HYPERLINK("http://www.twitter.com/NYCHA/status/706952458162053120", "706952458162053120")</f>
        <v>0</v>
      </c>
      <c r="B2781" s="2">
        <v>42436.888599537</v>
      </c>
      <c r="C2781">
        <v>2</v>
      </c>
      <c r="D2781">
        <v>2</v>
      </c>
      <c r="E2781" t="s">
        <v>2651</v>
      </c>
    </row>
    <row r="2782" spans="1:5">
      <c r="A2782">
        <f>HYPERLINK("http://www.twitter.com/NYCHA/status/706946974038282241", "706946974038282241")</f>
        <v>0</v>
      </c>
      <c r="B2782" s="2">
        <v>42436.8734606481</v>
      </c>
      <c r="C2782">
        <v>0</v>
      </c>
      <c r="D2782">
        <v>9</v>
      </c>
      <c r="E2782" t="s">
        <v>2652</v>
      </c>
    </row>
    <row r="2783" spans="1:5">
      <c r="A2783">
        <f>HYPERLINK("http://www.twitter.com/NYCHA/status/706938793044090881", "706938793044090881")</f>
        <v>0</v>
      </c>
      <c r="B2783" s="2">
        <v>42436.8508912037</v>
      </c>
      <c r="C2783">
        <v>0</v>
      </c>
      <c r="D2783">
        <v>5</v>
      </c>
      <c r="E2783" t="s">
        <v>2653</v>
      </c>
    </row>
    <row r="2784" spans="1:5">
      <c r="A2784">
        <f>HYPERLINK("http://www.twitter.com/NYCHA/status/706935213046276096", "706935213046276096")</f>
        <v>0</v>
      </c>
      <c r="B2784" s="2">
        <v>42436.8410069444</v>
      </c>
      <c r="C2784">
        <v>1</v>
      </c>
      <c r="D2784">
        <v>2</v>
      </c>
      <c r="E2784" t="s">
        <v>2654</v>
      </c>
    </row>
    <row r="2785" spans="1:5">
      <c r="A2785">
        <f>HYPERLINK("http://www.twitter.com/NYCHA/status/706917524600913920", "706917524600913920")</f>
        <v>0</v>
      </c>
      <c r="B2785" s="2">
        <v>42436.7921990741</v>
      </c>
      <c r="C2785">
        <v>1</v>
      </c>
      <c r="D2785">
        <v>2</v>
      </c>
      <c r="E2785" t="s">
        <v>2655</v>
      </c>
    </row>
    <row r="2786" spans="1:5">
      <c r="A2786">
        <f>HYPERLINK("http://www.twitter.com/NYCHA/status/706895196236193792", "706895196236193792")</f>
        <v>0</v>
      </c>
      <c r="B2786" s="2">
        <v>42436.7305787037</v>
      </c>
      <c r="C2786">
        <v>0</v>
      </c>
      <c r="D2786">
        <v>5</v>
      </c>
      <c r="E2786" t="s">
        <v>2656</v>
      </c>
    </row>
    <row r="2787" spans="1:5">
      <c r="A2787">
        <f>HYPERLINK("http://www.twitter.com/NYCHA/status/706892155118297088", "706892155118297088")</f>
        <v>0</v>
      </c>
      <c r="B2787" s="2">
        <v>42436.7221875</v>
      </c>
      <c r="C2787">
        <v>0</v>
      </c>
      <c r="D2787">
        <v>5</v>
      </c>
      <c r="E2787" t="s">
        <v>2657</v>
      </c>
    </row>
    <row r="2788" spans="1:5">
      <c r="A2788">
        <f>HYPERLINK("http://www.twitter.com/NYCHA/status/706891934900621322", "706891934900621322")</f>
        <v>0</v>
      </c>
      <c r="B2788" s="2">
        <v>42436.7215856481</v>
      </c>
      <c r="C2788">
        <v>0</v>
      </c>
      <c r="D2788">
        <v>2</v>
      </c>
      <c r="E2788" t="s">
        <v>2658</v>
      </c>
    </row>
    <row r="2789" spans="1:5">
      <c r="A2789">
        <f>HYPERLINK("http://www.twitter.com/NYCHA/status/706886311399936001", "706886311399936001")</f>
        <v>0</v>
      </c>
      <c r="B2789" s="2">
        <v>42436.7060648148</v>
      </c>
      <c r="C2789">
        <v>9</v>
      </c>
      <c r="D2789">
        <v>4</v>
      </c>
      <c r="E2789" t="s">
        <v>2659</v>
      </c>
    </row>
    <row r="2790" spans="1:5">
      <c r="A2790">
        <f>HYPERLINK("http://www.twitter.com/NYCHA/status/706857156864319488", "706857156864319488")</f>
        <v>0</v>
      </c>
      <c r="B2790" s="2">
        <v>42436.6256134259</v>
      </c>
      <c r="C2790">
        <v>0</v>
      </c>
      <c r="D2790">
        <v>0</v>
      </c>
      <c r="E2790" t="s">
        <v>2660</v>
      </c>
    </row>
    <row r="2791" spans="1:5">
      <c r="A2791">
        <f>HYPERLINK("http://www.twitter.com/NYCHA/status/706856647847776256", "706856647847776256")</f>
        <v>0</v>
      </c>
      <c r="B2791" s="2">
        <v>42436.624212963</v>
      </c>
      <c r="C2791">
        <v>0</v>
      </c>
      <c r="D2791">
        <v>1</v>
      </c>
      <c r="E2791" t="s">
        <v>2661</v>
      </c>
    </row>
    <row r="2792" spans="1:5">
      <c r="A2792">
        <f>HYPERLINK("http://www.twitter.com/NYCHA/status/706843344253689856", "706843344253689856")</f>
        <v>0</v>
      </c>
      <c r="B2792" s="2">
        <v>42436.5875</v>
      </c>
      <c r="C2792">
        <v>0</v>
      </c>
      <c r="D2792">
        <v>0</v>
      </c>
      <c r="E2792" t="s">
        <v>2662</v>
      </c>
    </row>
    <row r="2793" spans="1:5">
      <c r="A2793">
        <f>HYPERLINK("http://www.twitter.com/NYCHA/status/706842934885404673", "706842934885404673")</f>
        <v>0</v>
      </c>
      <c r="B2793" s="2">
        <v>42436.5863657407</v>
      </c>
      <c r="C2793">
        <v>1</v>
      </c>
      <c r="D2793">
        <v>1</v>
      </c>
      <c r="E2793" t="s">
        <v>2663</v>
      </c>
    </row>
    <row r="2794" spans="1:5">
      <c r="A2794">
        <f>HYPERLINK("http://www.twitter.com/NYCHA/status/706495909207678977", "706495909207678977")</f>
        <v>0</v>
      </c>
      <c r="B2794" s="2">
        <v>42435.6287615741</v>
      </c>
      <c r="C2794">
        <v>2</v>
      </c>
      <c r="D2794">
        <v>4</v>
      </c>
      <c r="E2794" t="s">
        <v>2664</v>
      </c>
    </row>
    <row r="2795" spans="1:5">
      <c r="A2795">
        <f>HYPERLINK("http://www.twitter.com/NYCHA/status/706495126877691906", "706495126877691906")</f>
        <v>0</v>
      </c>
      <c r="B2795" s="2">
        <v>42435.6265972222</v>
      </c>
      <c r="C2795">
        <v>2</v>
      </c>
      <c r="D2795">
        <v>7</v>
      </c>
      <c r="E2795" t="s">
        <v>2665</v>
      </c>
    </row>
    <row r="2796" spans="1:5">
      <c r="A2796">
        <f>HYPERLINK("http://www.twitter.com/NYCHA/status/706133613113434112", "706133613113434112")</f>
        <v>0</v>
      </c>
      <c r="B2796" s="2">
        <v>42434.6290162037</v>
      </c>
      <c r="C2796">
        <v>2</v>
      </c>
      <c r="D2796">
        <v>0</v>
      </c>
      <c r="E2796" t="s">
        <v>938</v>
      </c>
    </row>
    <row r="2797" spans="1:5">
      <c r="A2797">
        <f>HYPERLINK("http://www.twitter.com/NYCHA/status/706132742615015424", "706132742615015424")</f>
        <v>0</v>
      </c>
      <c r="B2797" s="2">
        <v>42434.6266087963</v>
      </c>
      <c r="C2797">
        <v>2</v>
      </c>
      <c r="D2797">
        <v>2</v>
      </c>
      <c r="E2797" t="s">
        <v>2666</v>
      </c>
    </row>
    <row r="2798" spans="1:5">
      <c r="A2798">
        <f>HYPERLINK("http://www.twitter.com/NYCHA/status/705878447319597057", "705878447319597057")</f>
        <v>0</v>
      </c>
      <c r="B2798" s="2">
        <v>42433.9248958333</v>
      </c>
      <c r="C2798">
        <v>1</v>
      </c>
      <c r="D2798">
        <v>3</v>
      </c>
      <c r="E2798" t="s">
        <v>2667</v>
      </c>
    </row>
    <row r="2799" spans="1:5">
      <c r="A2799">
        <f>HYPERLINK("http://www.twitter.com/NYCHA/status/705869086698446848", "705869086698446848")</f>
        <v>0</v>
      </c>
      <c r="B2799" s="2">
        <v>42433.8990625</v>
      </c>
      <c r="C2799">
        <v>0</v>
      </c>
      <c r="D2799">
        <v>44</v>
      </c>
      <c r="E2799" t="s">
        <v>2668</v>
      </c>
    </row>
    <row r="2800" spans="1:5">
      <c r="A2800">
        <f>HYPERLINK("http://www.twitter.com/NYCHA/status/705867016314470401", "705867016314470401")</f>
        <v>0</v>
      </c>
      <c r="B2800" s="2">
        <v>42433.8933449074</v>
      </c>
      <c r="C2800">
        <v>4</v>
      </c>
      <c r="D2800">
        <v>3</v>
      </c>
      <c r="E2800" t="s">
        <v>2669</v>
      </c>
    </row>
    <row r="2801" spans="1:5">
      <c r="A2801">
        <f>HYPERLINK("http://www.twitter.com/NYCHA/status/705866116288135168", "705866116288135168")</f>
        <v>0</v>
      </c>
      <c r="B2801" s="2">
        <v>42433.8908680556</v>
      </c>
      <c r="C2801">
        <v>2</v>
      </c>
      <c r="D2801">
        <v>1</v>
      </c>
      <c r="E2801" t="s">
        <v>2670</v>
      </c>
    </row>
    <row r="2802" spans="1:5">
      <c r="A2802">
        <f>HYPERLINK("http://www.twitter.com/NYCHA/status/705858112251666433", "705858112251666433")</f>
        <v>0</v>
      </c>
      <c r="B2802" s="2">
        <v>42433.8687731481</v>
      </c>
      <c r="C2802">
        <v>0</v>
      </c>
      <c r="D2802">
        <v>2</v>
      </c>
      <c r="E2802" t="s">
        <v>2671</v>
      </c>
    </row>
    <row r="2803" spans="1:5">
      <c r="A2803">
        <f>HYPERLINK("http://www.twitter.com/NYCHA/status/705858087584980992", "705858087584980992")</f>
        <v>0</v>
      </c>
      <c r="B2803" s="2">
        <v>42433.8687037037</v>
      </c>
      <c r="C2803">
        <v>0</v>
      </c>
      <c r="D2803">
        <v>5</v>
      </c>
      <c r="E2803" t="s">
        <v>2672</v>
      </c>
    </row>
    <row r="2804" spans="1:5">
      <c r="A2804">
        <f>HYPERLINK("http://www.twitter.com/NYCHA/status/705857994630766593", "705857994630766593")</f>
        <v>0</v>
      </c>
      <c r="B2804" s="2">
        <v>42433.8684490741</v>
      </c>
      <c r="C2804">
        <v>0</v>
      </c>
      <c r="D2804">
        <v>0</v>
      </c>
      <c r="E2804" t="s">
        <v>2673</v>
      </c>
    </row>
    <row r="2805" spans="1:5">
      <c r="A2805">
        <f>HYPERLINK("http://www.twitter.com/NYCHA/status/705847988162269184", "705847988162269184")</f>
        <v>0</v>
      </c>
      <c r="B2805" s="2">
        <v>42433.8408449074</v>
      </c>
      <c r="C2805">
        <v>0</v>
      </c>
      <c r="D2805">
        <v>1</v>
      </c>
      <c r="E2805" t="s">
        <v>2674</v>
      </c>
    </row>
    <row r="2806" spans="1:5">
      <c r="A2806">
        <f>HYPERLINK("http://www.twitter.com/NYCHA/status/705826167274782721", "705826167274782721")</f>
        <v>0</v>
      </c>
      <c r="B2806" s="2">
        <v>42433.780625</v>
      </c>
      <c r="C2806">
        <v>1</v>
      </c>
      <c r="D2806">
        <v>7</v>
      </c>
      <c r="E2806" t="s">
        <v>2675</v>
      </c>
    </row>
    <row r="2807" spans="1:5">
      <c r="A2807">
        <f>HYPERLINK("http://www.twitter.com/NYCHA/status/705808907059523584", "705808907059523584")</f>
        <v>0</v>
      </c>
      <c r="B2807" s="2">
        <v>42433.7329976852</v>
      </c>
      <c r="C2807">
        <v>2</v>
      </c>
      <c r="D2807">
        <v>2</v>
      </c>
      <c r="E2807" t="s">
        <v>2676</v>
      </c>
    </row>
    <row r="2808" spans="1:5">
      <c r="A2808">
        <f>HYPERLINK("http://www.twitter.com/NYCHA/status/705800274636623872", "705800274636623872")</f>
        <v>0</v>
      </c>
      <c r="B2808" s="2">
        <v>42433.7091782407</v>
      </c>
      <c r="C2808">
        <v>5</v>
      </c>
      <c r="D2808">
        <v>1</v>
      </c>
      <c r="E2808" t="s">
        <v>2677</v>
      </c>
    </row>
    <row r="2809" spans="1:5">
      <c r="A2809">
        <f>HYPERLINK("http://www.twitter.com/NYCHA/status/705780183173865474", "705780183173865474")</f>
        <v>0</v>
      </c>
      <c r="B2809" s="2">
        <v>42433.6537384259</v>
      </c>
      <c r="C2809">
        <v>0</v>
      </c>
      <c r="D2809">
        <v>1</v>
      </c>
      <c r="E2809" t="s">
        <v>1824</v>
      </c>
    </row>
    <row r="2810" spans="1:5">
      <c r="A2810">
        <f>HYPERLINK("http://www.twitter.com/NYCHA/status/705772682466476032", "705772682466476032")</f>
        <v>0</v>
      </c>
      <c r="B2810" s="2">
        <v>42433.6330324074</v>
      </c>
      <c r="C2810">
        <v>0</v>
      </c>
      <c r="D2810">
        <v>3</v>
      </c>
      <c r="E2810" t="s">
        <v>2678</v>
      </c>
    </row>
    <row r="2811" spans="1:5">
      <c r="A2811">
        <f>HYPERLINK("http://www.twitter.com/NYCHA/status/705755869284274176", "705755869284274176")</f>
        <v>0</v>
      </c>
      <c r="B2811" s="2">
        <v>42433.5866435185</v>
      </c>
      <c r="C2811">
        <v>3</v>
      </c>
      <c r="D2811">
        <v>1</v>
      </c>
      <c r="E2811" t="s">
        <v>2679</v>
      </c>
    </row>
    <row r="2812" spans="1:5">
      <c r="A2812">
        <f>HYPERLINK("http://www.twitter.com/NYCHA/status/705497549118029825", "705497549118029825")</f>
        <v>0</v>
      </c>
      <c r="B2812" s="2">
        <v>42432.8738078704</v>
      </c>
      <c r="C2812">
        <v>0</v>
      </c>
      <c r="D2812">
        <v>1</v>
      </c>
      <c r="E2812" t="s">
        <v>2680</v>
      </c>
    </row>
    <row r="2813" spans="1:5">
      <c r="A2813">
        <f>HYPERLINK("http://www.twitter.com/NYCHA/status/705497182997245954", "705497182997245954")</f>
        <v>0</v>
      </c>
      <c r="B2813" s="2">
        <v>42432.8728009259</v>
      </c>
      <c r="C2813">
        <v>2</v>
      </c>
      <c r="D2813">
        <v>5</v>
      </c>
      <c r="E2813" t="s">
        <v>2681</v>
      </c>
    </row>
    <row r="2814" spans="1:5">
      <c r="A2814">
        <f>HYPERLINK("http://www.twitter.com/NYCHA/status/705496574881886210", "705496574881886210")</f>
        <v>0</v>
      </c>
      <c r="B2814" s="2">
        <v>42432.8711226852</v>
      </c>
      <c r="C2814">
        <v>0</v>
      </c>
      <c r="D2814">
        <v>3</v>
      </c>
      <c r="E2814" t="s">
        <v>2682</v>
      </c>
    </row>
    <row r="2815" spans="1:5">
      <c r="A2815">
        <f>HYPERLINK("http://www.twitter.com/NYCHA/status/705496516111294464", "705496516111294464")</f>
        <v>0</v>
      </c>
      <c r="B2815" s="2">
        <v>42432.8709606481</v>
      </c>
      <c r="C2815">
        <v>0</v>
      </c>
      <c r="D2815">
        <v>5</v>
      </c>
      <c r="E2815" t="s">
        <v>2683</v>
      </c>
    </row>
    <row r="2816" spans="1:5">
      <c r="A2816">
        <f>HYPERLINK("http://www.twitter.com/NYCHA/status/705496490597355520", "705496490597355520")</f>
        <v>0</v>
      </c>
      <c r="B2816" s="2">
        <v>42432.8708912037</v>
      </c>
      <c r="C2816">
        <v>0</v>
      </c>
      <c r="D2816">
        <v>1</v>
      </c>
      <c r="E2816" t="s">
        <v>2684</v>
      </c>
    </row>
    <row r="2817" spans="1:5">
      <c r="A2817">
        <f>HYPERLINK("http://www.twitter.com/NYCHA/status/705496476886167552", "705496476886167552")</f>
        <v>0</v>
      </c>
      <c r="B2817" s="2">
        <v>42432.8708564815</v>
      </c>
      <c r="C2817">
        <v>0</v>
      </c>
      <c r="D2817">
        <v>2</v>
      </c>
      <c r="E2817" t="s">
        <v>2685</v>
      </c>
    </row>
    <row r="2818" spans="1:5">
      <c r="A2818">
        <f>HYPERLINK("http://www.twitter.com/NYCHA/status/705496462491316228", "705496462491316228")</f>
        <v>0</v>
      </c>
      <c r="B2818" s="2">
        <v>42432.8708101852</v>
      </c>
      <c r="C2818">
        <v>0</v>
      </c>
      <c r="D2818">
        <v>2</v>
      </c>
      <c r="E2818" t="s">
        <v>2686</v>
      </c>
    </row>
    <row r="2819" spans="1:5">
      <c r="A2819">
        <f>HYPERLINK("http://www.twitter.com/NYCHA/status/705494142042968064", "705494142042968064")</f>
        <v>0</v>
      </c>
      <c r="B2819" s="2">
        <v>42432.8644097222</v>
      </c>
      <c r="C2819">
        <v>0</v>
      </c>
      <c r="D2819">
        <v>1</v>
      </c>
      <c r="E2819" t="s">
        <v>2687</v>
      </c>
    </row>
    <row r="2820" spans="1:5">
      <c r="A2820">
        <f>HYPERLINK("http://www.twitter.com/NYCHA/status/705491875306872832", "705491875306872832")</f>
        <v>0</v>
      </c>
      <c r="B2820" s="2">
        <v>42432.8581597222</v>
      </c>
      <c r="C2820">
        <v>0</v>
      </c>
      <c r="D2820">
        <v>4</v>
      </c>
      <c r="E2820" t="s">
        <v>2688</v>
      </c>
    </row>
    <row r="2821" spans="1:5">
      <c r="A2821">
        <f>HYPERLINK("http://www.twitter.com/NYCHA/status/705490913053810688", "705490913053810688")</f>
        <v>0</v>
      </c>
      <c r="B2821" s="2">
        <v>42432.8554976852</v>
      </c>
      <c r="C2821">
        <v>0</v>
      </c>
      <c r="D2821">
        <v>2</v>
      </c>
      <c r="E2821" t="s">
        <v>2689</v>
      </c>
    </row>
    <row r="2822" spans="1:5">
      <c r="A2822">
        <f>HYPERLINK("http://www.twitter.com/NYCHA/status/705490512757846017", "705490512757846017")</f>
        <v>0</v>
      </c>
      <c r="B2822" s="2">
        <v>42432.8543981481</v>
      </c>
      <c r="C2822">
        <v>1</v>
      </c>
      <c r="D2822">
        <v>1</v>
      </c>
      <c r="E2822" t="s">
        <v>2690</v>
      </c>
    </row>
    <row r="2823" spans="1:5">
      <c r="A2823">
        <f>HYPERLINK("http://www.twitter.com/NYCHA/status/705489847604125696", "705489847604125696")</f>
        <v>0</v>
      </c>
      <c r="B2823" s="2">
        <v>42432.8525578704</v>
      </c>
      <c r="C2823">
        <v>1</v>
      </c>
      <c r="D2823">
        <v>9</v>
      </c>
      <c r="E2823" t="s">
        <v>2691</v>
      </c>
    </row>
    <row r="2824" spans="1:5">
      <c r="A2824">
        <f>HYPERLINK("http://www.twitter.com/NYCHA/status/705487655841042432", "705487655841042432")</f>
        <v>0</v>
      </c>
      <c r="B2824" s="2">
        <v>42432.8465162037</v>
      </c>
      <c r="C2824">
        <v>0</v>
      </c>
      <c r="D2824">
        <v>6</v>
      </c>
      <c r="E2824" t="s">
        <v>2692</v>
      </c>
    </row>
    <row r="2825" spans="1:5">
      <c r="A2825">
        <f>HYPERLINK("http://www.twitter.com/NYCHA/status/705487600815984640", "705487600815984640")</f>
        <v>0</v>
      </c>
      <c r="B2825" s="2">
        <v>42432.8463657407</v>
      </c>
      <c r="C2825">
        <v>0</v>
      </c>
      <c r="D2825">
        <v>7</v>
      </c>
      <c r="E2825" t="s">
        <v>2693</v>
      </c>
    </row>
    <row r="2826" spans="1:5">
      <c r="A2826">
        <f>HYPERLINK("http://www.twitter.com/NYCHA/status/705487583690633217", "705487583690633217")</f>
        <v>0</v>
      </c>
      <c r="B2826" s="2">
        <v>42432.8463078704</v>
      </c>
      <c r="C2826">
        <v>0</v>
      </c>
      <c r="D2826">
        <v>1</v>
      </c>
      <c r="E2826" t="s">
        <v>2694</v>
      </c>
    </row>
    <row r="2827" spans="1:5">
      <c r="A2827">
        <f>HYPERLINK("http://www.twitter.com/NYCHA/status/705486982240083968", "705486982240083968")</f>
        <v>0</v>
      </c>
      <c r="B2827" s="2">
        <v>42432.8446527778</v>
      </c>
      <c r="C2827">
        <v>0</v>
      </c>
      <c r="D2827">
        <v>2</v>
      </c>
      <c r="E2827" t="s">
        <v>2695</v>
      </c>
    </row>
    <row r="2828" spans="1:5">
      <c r="A2828">
        <f>HYPERLINK("http://www.twitter.com/NYCHA/status/705486497772777472", "705486497772777472")</f>
        <v>0</v>
      </c>
      <c r="B2828" s="2">
        <v>42432.8433217593</v>
      </c>
      <c r="C2828">
        <v>0</v>
      </c>
      <c r="D2828">
        <v>3</v>
      </c>
      <c r="E2828" t="s">
        <v>2696</v>
      </c>
    </row>
    <row r="2829" spans="1:5">
      <c r="A2829">
        <f>HYPERLINK("http://www.twitter.com/NYCHA/status/705486133421957120", "705486133421957120")</f>
        <v>0</v>
      </c>
      <c r="B2829" s="2">
        <v>42432.8423148148</v>
      </c>
      <c r="C2829">
        <v>5</v>
      </c>
      <c r="D2829">
        <v>8</v>
      </c>
      <c r="E2829" t="s">
        <v>2697</v>
      </c>
    </row>
    <row r="2830" spans="1:5">
      <c r="A2830">
        <f>HYPERLINK("http://www.twitter.com/NYCHA/status/705484783380361216", "705484783380361216")</f>
        <v>0</v>
      </c>
      <c r="B2830" s="2">
        <v>42432.838587963</v>
      </c>
      <c r="C2830">
        <v>0</v>
      </c>
      <c r="D2830">
        <v>2</v>
      </c>
      <c r="E2830" t="s">
        <v>2698</v>
      </c>
    </row>
    <row r="2831" spans="1:5">
      <c r="A2831">
        <f>HYPERLINK("http://www.twitter.com/NYCHA/status/705484730221797376", "705484730221797376")</f>
        <v>0</v>
      </c>
      <c r="B2831" s="2">
        <v>42432.8384375</v>
      </c>
      <c r="C2831">
        <v>0</v>
      </c>
      <c r="D2831">
        <v>4</v>
      </c>
      <c r="E2831" t="s">
        <v>2699</v>
      </c>
    </row>
    <row r="2832" spans="1:5">
      <c r="A2832">
        <f>HYPERLINK("http://www.twitter.com/NYCHA/status/705484110140039168", "705484110140039168")</f>
        <v>0</v>
      </c>
      <c r="B2832" s="2">
        <v>42432.836724537</v>
      </c>
      <c r="C2832">
        <v>0</v>
      </c>
      <c r="D2832">
        <v>4</v>
      </c>
      <c r="E2832" t="s">
        <v>2700</v>
      </c>
    </row>
    <row r="2833" spans="1:5">
      <c r="A2833">
        <f>HYPERLINK("http://www.twitter.com/NYCHA/status/705483680681205762", "705483680681205762")</f>
        <v>0</v>
      </c>
      <c r="B2833" s="2">
        <v>42432.8355439815</v>
      </c>
      <c r="C2833">
        <v>2</v>
      </c>
      <c r="D2833">
        <v>3</v>
      </c>
      <c r="E2833" t="s">
        <v>2701</v>
      </c>
    </row>
    <row r="2834" spans="1:5">
      <c r="A2834">
        <f>HYPERLINK("http://www.twitter.com/NYCHA/status/705482892655337472", "705482892655337472")</f>
        <v>0</v>
      </c>
      <c r="B2834" s="2">
        <v>42432.8333680556</v>
      </c>
      <c r="C2834">
        <v>0</v>
      </c>
      <c r="D2834">
        <v>3</v>
      </c>
      <c r="E2834" t="s">
        <v>2702</v>
      </c>
    </row>
    <row r="2835" spans="1:5">
      <c r="A2835">
        <f>HYPERLINK("http://www.twitter.com/NYCHA/status/705482766335528960", "705482766335528960")</f>
        <v>0</v>
      </c>
      <c r="B2835" s="2">
        <v>42432.8330208333</v>
      </c>
      <c r="C2835">
        <v>0</v>
      </c>
      <c r="D2835">
        <v>5</v>
      </c>
      <c r="E2835" t="s">
        <v>2703</v>
      </c>
    </row>
    <row r="2836" spans="1:5">
      <c r="A2836">
        <f>HYPERLINK("http://www.twitter.com/NYCHA/status/705478989868093441", "705478989868093441")</f>
        <v>0</v>
      </c>
      <c r="B2836" s="2">
        <v>42432.8226041667</v>
      </c>
      <c r="C2836">
        <v>2</v>
      </c>
      <c r="D2836">
        <v>1</v>
      </c>
      <c r="E2836" t="s">
        <v>2704</v>
      </c>
    </row>
    <row r="2837" spans="1:5">
      <c r="A2837">
        <f>HYPERLINK("http://www.twitter.com/NYCHA/status/705473171215032321", "705473171215032321")</f>
        <v>0</v>
      </c>
      <c r="B2837" s="2">
        <v>42432.8065393519</v>
      </c>
      <c r="C2837">
        <v>0</v>
      </c>
      <c r="D2837">
        <v>1</v>
      </c>
      <c r="E2837" t="s">
        <v>2705</v>
      </c>
    </row>
    <row r="2838" spans="1:5">
      <c r="A2838">
        <f>HYPERLINK("http://www.twitter.com/NYCHA/status/705468398520705025", "705468398520705025")</f>
        <v>0</v>
      </c>
      <c r="B2838" s="2">
        <v>42432.7933680556</v>
      </c>
      <c r="C2838">
        <v>1</v>
      </c>
      <c r="D2838">
        <v>1</v>
      </c>
      <c r="E2838" t="s">
        <v>2706</v>
      </c>
    </row>
    <row r="2839" spans="1:5">
      <c r="A2839">
        <f>HYPERLINK("http://www.twitter.com/NYCHA/status/705431207836839936", "705431207836839936")</f>
        <v>0</v>
      </c>
      <c r="B2839" s="2">
        <v>42432.6907407407</v>
      </c>
      <c r="C2839">
        <v>3</v>
      </c>
      <c r="D2839">
        <v>0</v>
      </c>
      <c r="E2839" t="s">
        <v>1824</v>
      </c>
    </row>
    <row r="2840" spans="1:5">
      <c r="A2840">
        <f>HYPERLINK("http://www.twitter.com/NYCHA/status/705414032937848832", "705414032937848832")</f>
        <v>0</v>
      </c>
      <c r="B2840" s="2">
        <v>42432.6433564815</v>
      </c>
      <c r="C2840">
        <v>2</v>
      </c>
      <c r="D2840">
        <v>2</v>
      </c>
      <c r="E2840" t="s">
        <v>2707</v>
      </c>
    </row>
    <row r="2841" spans="1:5">
      <c r="A2841">
        <f>HYPERLINK("http://www.twitter.com/NYCHA/status/705407959455703041", "705407959455703041")</f>
        <v>0</v>
      </c>
      <c r="B2841" s="2">
        <v>42432.6265972222</v>
      </c>
      <c r="C2841">
        <v>1</v>
      </c>
      <c r="D2841">
        <v>0</v>
      </c>
      <c r="E2841" t="s">
        <v>2708</v>
      </c>
    </row>
    <row r="2842" spans="1:5">
      <c r="A2842">
        <f>HYPERLINK("http://www.twitter.com/NYCHA/status/705393819479580672", "705393819479580672")</f>
        <v>0</v>
      </c>
      <c r="B2842" s="2">
        <v>42432.5875694444</v>
      </c>
      <c r="C2842">
        <v>0</v>
      </c>
      <c r="D2842">
        <v>0</v>
      </c>
      <c r="E2842" t="s">
        <v>2709</v>
      </c>
    </row>
    <row r="2843" spans="1:5">
      <c r="A2843">
        <f>HYPERLINK("http://www.twitter.com/NYCHA/status/705393438271938560", "705393438271938560")</f>
        <v>0</v>
      </c>
      <c r="B2843" s="2">
        <v>42432.5865162037</v>
      </c>
      <c r="C2843">
        <v>0</v>
      </c>
      <c r="D2843">
        <v>0</v>
      </c>
      <c r="E2843" t="s">
        <v>2710</v>
      </c>
    </row>
    <row r="2844" spans="1:5">
      <c r="A2844">
        <f>HYPERLINK("http://www.twitter.com/NYCHA/status/705108060411445248", "705108060411445248")</f>
        <v>0</v>
      </c>
      <c r="B2844" s="2">
        <v>42431.7990277778</v>
      </c>
      <c r="C2844">
        <v>2</v>
      </c>
      <c r="D2844">
        <v>0</v>
      </c>
      <c r="E2844" t="s">
        <v>2589</v>
      </c>
    </row>
    <row r="2845" spans="1:5">
      <c r="A2845">
        <f>HYPERLINK("http://www.twitter.com/NYCHA/status/705079873648336896", "705079873648336896")</f>
        <v>0</v>
      </c>
      <c r="B2845" s="2">
        <v>42431.72125</v>
      </c>
      <c r="C2845">
        <v>0</v>
      </c>
      <c r="D2845">
        <v>5</v>
      </c>
      <c r="E2845" t="s">
        <v>2711</v>
      </c>
    </row>
    <row r="2846" spans="1:5">
      <c r="A2846">
        <f>HYPERLINK("http://www.twitter.com/NYCHA/status/705076232665358337", "705076232665358337")</f>
        <v>0</v>
      </c>
      <c r="B2846" s="2">
        <v>42431.7112037037</v>
      </c>
      <c r="C2846">
        <v>0</v>
      </c>
      <c r="D2846">
        <v>2</v>
      </c>
      <c r="E2846" t="s">
        <v>2712</v>
      </c>
    </row>
    <row r="2847" spans="1:5">
      <c r="A2847">
        <f>HYPERLINK("http://www.twitter.com/NYCHA/status/705060740932182016", "705060740932182016")</f>
        <v>0</v>
      </c>
      <c r="B2847" s="2">
        <v>42431.6684490741</v>
      </c>
      <c r="C2847">
        <v>1</v>
      </c>
      <c r="D2847">
        <v>0</v>
      </c>
      <c r="E2847" t="s">
        <v>2713</v>
      </c>
    </row>
    <row r="2848" spans="1:5">
      <c r="A2848">
        <f>HYPERLINK("http://www.twitter.com/NYCHA/status/705031405630263297", "705031405630263297")</f>
        <v>0</v>
      </c>
      <c r="B2848" s="2">
        <v>42431.5875</v>
      </c>
      <c r="C2848">
        <v>0</v>
      </c>
      <c r="D2848">
        <v>0</v>
      </c>
      <c r="E2848" t="s">
        <v>2714</v>
      </c>
    </row>
    <row r="2849" spans="1:5">
      <c r="A2849">
        <f>HYPERLINK("http://www.twitter.com/NYCHA/status/705031072212492288", "705031072212492288")</f>
        <v>0</v>
      </c>
      <c r="B2849" s="2">
        <v>42431.5865856481</v>
      </c>
      <c r="C2849">
        <v>0</v>
      </c>
      <c r="D2849">
        <v>0</v>
      </c>
      <c r="E2849" t="s">
        <v>2715</v>
      </c>
    </row>
    <row r="2850" spans="1:5">
      <c r="A2850">
        <f>HYPERLINK("http://www.twitter.com/NYCHA/status/704772049160577025", "704772049160577025")</f>
        <v>0</v>
      </c>
      <c r="B2850" s="2">
        <v>42430.8718171296</v>
      </c>
      <c r="C2850">
        <v>0</v>
      </c>
      <c r="D2850">
        <v>2</v>
      </c>
      <c r="E2850" t="s">
        <v>2716</v>
      </c>
    </row>
    <row r="2851" spans="1:5">
      <c r="A2851">
        <f>HYPERLINK("http://www.twitter.com/NYCHA/status/704762571736403968", "704762571736403968")</f>
        <v>0</v>
      </c>
      <c r="B2851" s="2">
        <v>42430.8456597222</v>
      </c>
      <c r="C2851">
        <v>0</v>
      </c>
      <c r="D2851">
        <v>2</v>
      </c>
      <c r="E2851" t="s">
        <v>2717</v>
      </c>
    </row>
    <row r="2852" spans="1:5">
      <c r="A2852">
        <f>HYPERLINK("http://www.twitter.com/NYCHA/status/704757248925552641", "704757248925552641")</f>
        <v>0</v>
      </c>
      <c r="B2852" s="2">
        <v>42430.8309722222</v>
      </c>
      <c r="C2852">
        <v>2</v>
      </c>
      <c r="D2852">
        <v>4</v>
      </c>
      <c r="E2852" t="s">
        <v>2718</v>
      </c>
    </row>
    <row r="2853" spans="1:5">
      <c r="A2853">
        <f>HYPERLINK("http://www.twitter.com/NYCHA/status/704757219661914112", "704757219661914112")</f>
        <v>0</v>
      </c>
      <c r="B2853" s="2">
        <v>42430.8308912037</v>
      </c>
      <c r="C2853">
        <v>0</v>
      </c>
      <c r="D2853">
        <v>0</v>
      </c>
      <c r="E2853" t="s">
        <v>2719</v>
      </c>
    </row>
    <row r="2854" spans="1:5">
      <c r="A2854">
        <f>HYPERLINK("http://www.twitter.com/NYCHA/status/704757171943247872", "704757171943247872")</f>
        <v>0</v>
      </c>
      <c r="B2854" s="2">
        <v>42430.8307638889</v>
      </c>
      <c r="C2854">
        <v>1</v>
      </c>
      <c r="D2854">
        <v>2</v>
      </c>
      <c r="E2854" t="s">
        <v>2720</v>
      </c>
    </row>
    <row r="2855" spans="1:5">
      <c r="A2855">
        <f>HYPERLINK("http://www.twitter.com/NYCHA/status/704753981910818816", "704753981910818816")</f>
        <v>0</v>
      </c>
      <c r="B2855" s="2">
        <v>42430.8219560185</v>
      </c>
      <c r="C2855">
        <v>0</v>
      </c>
      <c r="D2855">
        <v>3</v>
      </c>
      <c r="E2855" t="s">
        <v>2721</v>
      </c>
    </row>
    <row r="2856" spans="1:5">
      <c r="A2856">
        <f>HYPERLINK("http://www.twitter.com/NYCHA/status/704748263413518336", "704748263413518336")</f>
        <v>0</v>
      </c>
      <c r="B2856" s="2">
        <v>42430.8061805556</v>
      </c>
      <c r="C2856">
        <v>1</v>
      </c>
      <c r="D2856">
        <v>1</v>
      </c>
      <c r="E2856" t="s">
        <v>2722</v>
      </c>
    </row>
    <row r="2857" spans="1:5">
      <c r="A2857">
        <f>HYPERLINK("http://www.twitter.com/NYCHA/status/704725912630247425", "704725912630247425")</f>
        <v>0</v>
      </c>
      <c r="B2857" s="2">
        <v>42430.7445023148</v>
      </c>
      <c r="C2857">
        <v>0</v>
      </c>
      <c r="D2857">
        <v>0</v>
      </c>
      <c r="E2857" t="s">
        <v>2723</v>
      </c>
    </row>
    <row r="2858" spans="1:5">
      <c r="A2858">
        <f>HYPERLINK("http://www.twitter.com/NYCHA/status/704719243728855045", "704719243728855045")</f>
        <v>0</v>
      </c>
      <c r="B2858" s="2">
        <v>42430.726099537</v>
      </c>
      <c r="C2858">
        <v>5</v>
      </c>
      <c r="D2858">
        <v>2</v>
      </c>
      <c r="E2858" t="s">
        <v>2724</v>
      </c>
    </row>
    <row r="2859" spans="1:5">
      <c r="A2859">
        <f>HYPERLINK("http://www.twitter.com/NYCHA/status/704707531386580992", "704707531386580992")</f>
        <v>0</v>
      </c>
      <c r="B2859" s="2">
        <v>42430.6937731481</v>
      </c>
      <c r="C2859">
        <v>2</v>
      </c>
      <c r="D2859">
        <v>2</v>
      </c>
      <c r="E2859" t="s">
        <v>2725</v>
      </c>
    </row>
    <row r="2860" spans="1:5">
      <c r="A2860">
        <f>HYPERLINK("http://www.twitter.com/NYCHA/status/704706348462817281", "704706348462817281")</f>
        <v>0</v>
      </c>
      <c r="B2860" s="2">
        <v>42430.6905092593</v>
      </c>
      <c r="C2860">
        <v>0</v>
      </c>
      <c r="D2860">
        <v>1</v>
      </c>
      <c r="E2860" t="s">
        <v>2726</v>
      </c>
    </row>
    <row r="2861" spans="1:5">
      <c r="A2861">
        <f>HYPERLINK("http://www.twitter.com/NYCHA/status/704700202989576192", "704700202989576192")</f>
        <v>0</v>
      </c>
      <c r="B2861" s="2">
        <v>42430.6735532407</v>
      </c>
      <c r="C2861">
        <v>0</v>
      </c>
      <c r="D2861">
        <v>5</v>
      </c>
      <c r="E2861" t="s">
        <v>2727</v>
      </c>
    </row>
    <row r="2862" spans="1:5">
      <c r="A2862">
        <f>HYPERLINK("http://www.twitter.com/NYCHA/status/704695643558842368", "704695643558842368")</f>
        <v>0</v>
      </c>
      <c r="B2862" s="2">
        <v>42430.6609722222</v>
      </c>
      <c r="C2862">
        <v>0</v>
      </c>
      <c r="D2862">
        <v>3</v>
      </c>
      <c r="E2862" t="s">
        <v>2728</v>
      </c>
    </row>
    <row r="2863" spans="1:5">
      <c r="A2863">
        <f>HYPERLINK("http://www.twitter.com/NYCHA/status/704674652606570496", "704674652606570496")</f>
        <v>0</v>
      </c>
      <c r="B2863" s="2">
        <v>42430.6030555556</v>
      </c>
      <c r="C2863">
        <v>0</v>
      </c>
      <c r="D2863">
        <v>4</v>
      </c>
      <c r="E2863" t="s">
        <v>2729</v>
      </c>
    </row>
    <row r="2864" spans="1:5">
      <c r="A2864">
        <f>HYPERLINK("http://www.twitter.com/NYCHA/status/704674589633286145", "704674589633286145")</f>
        <v>0</v>
      </c>
      <c r="B2864" s="2">
        <v>42430.6028819444</v>
      </c>
      <c r="C2864">
        <v>0</v>
      </c>
      <c r="D2864">
        <v>5</v>
      </c>
      <c r="E2864" t="s">
        <v>2586</v>
      </c>
    </row>
    <row r="2865" spans="1:5">
      <c r="A2865">
        <f>HYPERLINK("http://www.twitter.com/NYCHA/status/704669040325873664", "704669040325873664")</f>
        <v>0</v>
      </c>
      <c r="B2865" s="2">
        <v>42430.5875578704</v>
      </c>
      <c r="C2865">
        <v>0</v>
      </c>
      <c r="D2865">
        <v>1</v>
      </c>
      <c r="E2865" t="s">
        <v>2730</v>
      </c>
    </row>
    <row r="2866" spans="1:5">
      <c r="A2866">
        <f>HYPERLINK("http://www.twitter.com/NYCHA/status/704668643012059140", "704668643012059140")</f>
        <v>0</v>
      </c>
      <c r="B2866" s="2">
        <v>42430.5864699074</v>
      </c>
      <c r="C2866">
        <v>0</v>
      </c>
      <c r="D2866">
        <v>0</v>
      </c>
      <c r="E2866" t="s">
        <v>2731</v>
      </c>
    </row>
    <row r="2867" spans="1:5">
      <c r="A2867">
        <f>HYPERLINK("http://www.twitter.com/NYCHA/status/704410025956134912", "704410025956134912")</f>
        <v>0</v>
      </c>
      <c r="B2867" s="2">
        <v>42429.8728240741</v>
      </c>
      <c r="C2867">
        <v>0</v>
      </c>
      <c r="D2867">
        <v>1</v>
      </c>
      <c r="E2867" t="s">
        <v>2732</v>
      </c>
    </row>
    <row r="2868" spans="1:5">
      <c r="A2868">
        <f>HYPERLINK("http://www.twitter.com/NYCHA/status/704409640730304513", "704409640730304513")</f>
        <v>0</v>
      </c>
      <c r="B2868" s="2">
        <v>42429.8717592593</v>
      </c>
      <c r="C2868">
        <v>0</v>
      </c>
      <c r="D2868">
        <v>5</v>
      </c>
      <c r="E2868" t="s">
        <v>2733</v>
      </c>
    </row>
    <row r="2869" spans="1:5">
      <c r="A2869">
        <f>HYPERLINK("http://www.twitter.com/NYCHA/status/704381543452696577", "704381543452696577")</f>
        <v>0</v>
      </c>
      <c r="B2869" s="2">
        <v>42429.794224537</v>
      </c>
      <c r="C2869">
        <v>4</v>
      </c>
      <c r="D2869">
        <v>5</v>
      </c>
      <c r="E2869" t="s">
        <v>2734</v>
      </c>
    </row>
    <row r="2870" spans="1:5">
      <c r="A2870">
        <f>HYPERLINK("http://www.twitter.com/NYCHA/status/704358541679861761", "704358541679861761")</f>
        <v>0</v>
      </c>
      <c r="B2870" s="2">
        <v>42429.7307523148</v>
      </c>
      <c r="C2870">
        <v>0</v>
      </c>
      <c r="D2870">
        <v>1</v>
      </c>
      <c r="E2870" t="s">
        <v>870</v>
      </c>
    </row>
    <row r="2871" spans="1:5">
      <c r="A2871">
        <f>HYPERLINK("http://www.twitter.com/NYCHA/status/704356844010151936", "704356844010151936")</f>
        <v>0</v>
      </c>
      <c r="B2871" s="2">
        <v>42429.7260648148</v>
      </c>
      <c r="C2871">
        <v>3</v>
      </c>
      <c r="D2871">
        <v>0</v>
      </c>
      <c r="E2871" t="s">
        <v>2735</v>
      </c>
    </row>
    <row r="2872" spans="1:5">
      <c r="A2872">
        <f>HYPERLINK("http://www.twitter.com/NYCHA/status/704356841099284481", "704356841099284481")</f>
        <v>0</v>
      </c>
      <c r="B2872" s="2">
        <v>42429.7260532407</v>
      </c>
      <c r="C2872">
        <v>2</v>
      </c>
      <c r="D2872">
        <v>0</v>
      </c>
      <c r="E2872" t="s">
        <v>2736</v>
      </c>
    </row>
    <row r="2873" spans="1:5">
      <c r="A2873">
        <f>HYPERLINK("http://www.twitter.com/NYCHA/status/704306637377576960", "704306637377576960")</f>
        <v>0</v>
      </c>
      <c r="B2873" s="2">
        <v>42429.5875231481</v>
      </c>
      <c r="C2873">
        <v>0</v>
      </c>
      <c r="D2873">
        <v>1</v>
      </c>
      <c r="E2873" t="s">
        <v>2737</v>
      </c>
    </row>
    <row r="2874" spans="1:5">
      <c r="A2874">
        <f>HYPERLINK("http://www.twitter.com/NYCHA/status/704306255230345216", "704306255230345216")</f>
        <v>0</v>
      </c>
      <c r="B2874" s="2">
        <v>42429.5864699074</v>
      </c>
      <c r="C2874">
        <v>0</v>
      </c>
      <c r="D2874">
        <v>0</v>
      </c>
      <c r="E2874" t="s">
        <v>2738</v>
      </c>
    </row>
    <row r="2875" spans="1:5">
      <c r="A2875">
        <f>HYPERLINK("http://www.twitter.com/NYCHA/status/704013682888540161", "704013682888540161")</f>
        <v>0</v>
      </c>
      <c r="B2875" s="2">
        <v>42428.7791203704</v>
      </c>
      <c r="C2875">
        <v>1</v>
      </c>
      <c r="D2875">
        <v>0</v>
      </c>
      <c r="E2875" t="s">
        <v>2739</v>
      </c>
    </row>
    <row r="2876" spans="1:5">
      <c r="A2876">
        <f>HYPERLINK("http://www.twitter.com/NYCHA/status/703961735590449153", "703961735590449153")</f>
        <v>0</v>
      </c>
      <c r="B2876" s="2">
        <v>42428.635775463</v>
      </c>
      <c r="C2876">
        <v>6</v>
      </c>
      <c r="D2876">
        <v>1</v>
      </c>
      <c r="E2876" t="s">
        <v>2740</v>
      </c>
    </row>
    <row r="2877" spans="1:5">
      <c r="A2877">
        <f>HYPERLINK("http://www.twitter.com/NYCHA/status/703958380260552708", "703958380260552708")</f>
        <v>0</v>
      </c>
      <c r="B2877" s="2">
        <v>42428.6265162037</v>
      </c>
      <c r="C2877">
        <v>7</v>
      </c>
      <c r="D2877">
        <v>6</v>
      </c>
      <c r="E2877" t="s">
        <v>2741</v>
      </c>
    </row>
    <row r="2878" spans="1:5">
      <c r="A2878">
        <f>HYPERLINK("http://www.twitter.com/NYCHA/status/703774273828200449", "703774273828200449")</f>
        <v>0</v>
      </c>
      <c r="B2878" s="2">
        <v>42428.1184837963</v>
      </c>
      <c r="C2878">
        <v>0</v>
      </c>
      <c r="D2878">
        <v>5</v>
      </c>
      <c r="E2878" t="s">
        <v>2742</v>
      </c>
    </row>
    <row r="2879" spans="1:5">
      <c r="A2879">
        <f>HYPERLINK("http://www.twitter.com/NYCHA/status/703596164688584704", "703596164688584704")</f>
        <v>0</v>
      </c>
      <c r="B2879" s="2">
        <v>42427.6269907407</v>
      </c>
      <c r="C2879">
        <v>0</v>
      </c>
      <c r="D2879">
        <v>3</v>
      </c>
      <c r="E2879" t="s">
        <v>2743</v>
      </c>
    </row>
    <row r="2880" spans="1:5">
      <c r="A2880">
        <f>HYPERLINK("http://www.twitter.com/NYCHA/status/703323415424401408", "703323415424401408")</f>
        <v>0</v>
      </c>
      <c r="B2880" s="2">
        <v>42426.8743518519</v>
      </c>
      <c r="C2880">
        <v>0</v>
      </c>
      <c r="D2880">
        <v>4</v>
      </c>
      <c r="E2880" t="s">
        <v>2744</v>
      </c>
    </row>
    <row r="2881" spans="1:5">
      <c r="A2881">
        <f>HYPERLINK("http://www.twitter.com/NYCHA/status/703299120887406592", "703299120887406592")</f>
        <v>0</v>
      </c>
      <c r="B2881" s="2">
        <v>42426.8073032407</v>
      </c>
      <c r="C2881">
        <v>2</v>
      </c>
      <c r="D2881">
        <v>6</v>
      </c>
      <c r="E2881" t="s">
        <v>2745</v>
      </c>
    </row>
    <row r="2882" spans="1:5">
      <c r="A2882">
        <f>HYPERLINK("http://www.twitter.com/NYCHA/status/703272222031482880", "703272222031482880")</f>
        <v>0</v>
      </c>
      <c r="B2882" s="2">
        <v>42426.7330787037</v>
      </c>
      <c r="C2882">
        <v>2</v>
      </c>
      <c r="D2882">
        <v>1</v>
      </c>
      <c r="E2882" t="s">
        <v>2746</v>
      </c>
    </row>
    <row r="2883" spans="1:5">
      <c r="A2883">
        <f>HYPERLINK("http://www.twitter.com/NYCHA/status/703248637418217472", "703248637418217472")</f>
        <v>0</v>
      </c>
      <c r="B2883" s="2">
        <v>42426.6679976852</v>
      </c>
      <c r="C2883">
        <v>0</v>
      </c>
      <c r="D2883">
        <v>6</v>
      </c>
      <c r="E2883" t="s">
        <v>2747</v>
      </c>
    </row>
    <row r="2884" spans="1:5">
      <c r="A2884">
        <f>HYPERLINK("http://www.twitter.com/NYCHA/status/703234119447269377", "703234119447269377")</f>
        <v>0</v>
      </c>
      <c r="B2884" s="2">
        <v>42426.6279398148</v>
      </c>
      <c r="C2884">
        <v>0</v>
      </c>
      <c r="D2884">
        <v>2</v>
      </c>
      <c r="E2884" t="s">
        <v>2748</v>
      </c>
    </row>
    <row r="2885" spans="1:5">
      <c r="A2885">
        <f>HYPERLINK("http://www.twitter.com/NYCHA/status/703224329400614912", "703224329400614912")</f>
        <v>0</v>
      </c>
      <c r="B2885" s="2">
        <v>42426.6009259259</v>
      </c>
      <c r="C2885">
        <v>0</v>
      </c>
      <c r="D2885">
        <v>9</v>
      </c>
      <c r="E2885" t="s">
        <v>2749</v>
      </c>
    </row>
    <row r="2886" spans="1:5">
      <c r="A2886">
        <f>HYPERLINK("http://www.twitter.com/NYCHA/status/703219062583779328", "703219062583779328")</f>
        <v>0</v>
      </c>
      <c r="B2886" s="2">
        <v>42426.5863888889</v>
      </c>
      <c r="C2886">
        <v>2</v>
      </c>
      <c r="D2886">
        <v>0</v>
      </c>
      <c r="E2886" t="s">
        <v>2750</v>
      </c>
    </row>
    <row r="2887" spans="1:5">
      <c r="A2887">
        <f>HYPERLINK("http://www.twitter.com/NYCHA/status/702932152850235393", "702932152850235393")</f>
        <v>0</v>
      </c>
      <c r="B2887" s="2">
        <v>42425.7946643519</v>
      </c>
      <c r="C2887">
        <v>3</v>
      </c>
      <c r="D2887">
        <v>3</v>
      </c>
      <c r="E2887" t="s">
        <v>2751</v>
      </c>
    </row>
    <row r="2888" spans="1:5">
      <c r="A2888">
        <f>HYPERLINK("http://www.twitter.com/NYCHA/status/702906198492893184", "702906198492893184")</f>
        <v>0</v>
      </c>
      <c r="B2888" s="2">
        <v>42425.7230439815</v>
      </c>
      <c r="C2888">
        <v>0</v>
      </c>
      <c r="D2888">
        <v>4</v>
      </c>
      <c r="E2888" t="s">
        <v>2752</v>
      </c>
    </row>
    <row r="2889" spans="1:5">
      <c r="A2889">
        <f>HYPERLINK("http://www.twitter.com/NYCHA/status/702883822082326528", "702883822082326528")</f>
        <v>0</v>
      </c>
      <c r="B2889" s="2">
        <v>42425.6612962963</v>
      </c>
      <c r="C2889">
        <v>0</v>
      </c>
      <c r="D2889">
        <v>24</v>
      </c>
      <c r="E2889" t="s">
        <v>2753</v>
      </c>
    </row>
    <row r="2890" spans="1:5">
      <c r="A2890">
        <f>HYPERLINK("http://www.twitter.com/NYCHA/status/702882169560104960", "702882169560104960")</f>
        <v>0</v>
      </c>
      <c r="B2890" s="2">
        <v>42425.6567361111</v>
      </c>
      <c r="C2890">
        <v>5</v>
      </c>
      <c r="D2890">
        <v>5</v>
      </c>
      <c r="E2890" t="s">
        <v>2754</v>
      </c>
    </row>
    <row r="2891" spans="1:5">
      <c r="A2891">
        <f>HYPERLINK("http://www.twitter.com/NYCHA/status/702871422813806592", "702871422813806592")</f>
        <v>0</v>
      </c>
      <c r="B2891" s="2">
        <v>42425.6270833333</v>
      </c>
      <c r="C2891">
        <v>2</v>
      </c>
      <c r="D2891">
        <v>3</v>
      </c>
      <c r="E2891" t="s">
        <v>2755</v>
      </c>
    </row>
    <row r="2892" spans="1:5">
      <c r="A2892">
        <f>HYPERLINK("http://www.twitter.com/NYCHA/status/702870583067996161", "702870583067996161")</f>
        <v>0</v>
      </c>
      <c r="B2892" s="2">
        <v>42425.6247685185</v>
      </c>
      <c r="C2892">
        <v>0</v>
      </c>
      <c r="D2892">
        <v>12</v>
      </c>
      <c r="E2892" t="s">
        <v>2756</v>
      </c>
    </row>
    <row r="2893" spans="1:5">
      <c r="A2893">
        <f>HYPERLINK("http://www.twitter.com/NYCHA/status/702870471637934081", "702870471637934081")</f>
        <v>0</v>
      </c>
      <c r="B2893" s="2">
        <v>42425.6244560185</v>
      </c>
      <c r="C2893">
        <v>0</v>
      </c>
      <c r="D2893">
        <v>6</v>
      </c>
      <c r="E2893" t="s">
        <v>2757</v>
      </c>
    </row>
    <row r="2894" spans="1:5">
      <c r="A2894">
        <f>HYPERLINK("http://www.twitter.com/NYCHA/status/702870452478328832", "702870452478328832")</f>
        <v>0</v>
      </c>
      <c r="B2894" s="2">
        <v>42425.6244097222</v>
      </c>
      <c r="C2894">
        <v>0</v>
      </c>
      <c r="D2894">
        <v>4</v>
      </c>
      <c r="E2894" t="s">
        <v>2758</v>
      </c>
    </row>
    <row r="2895" spans="1:5">
      <c r="A2895">
        <f>HYPERLINK("http://www.twitter.com/NYCHA/status/702857124884385792", "702857124884385792")</f>
        <v>0</v>
      </c>
      <c r="B2895" s="2">
        <v>42425.5876273148</v>
      </c>
      <c r="C2895">
        <v>1</v>
      </c>
      <c r="D2895">
        <v>0</v>
      </c>
      <c r="E2895" t="s">
        <v>2759</v>
      </c>
    </row>
    <row r="2896" spans="1:5">
      <c r="A2896">
        <f>HYPERLINK("http://www.twitter.com/NYCHA/status/702856629281280000", "702856629281280000")</f>
        <v>0</v>
      </c>
      <c r="B2896" s="2">
        <v>42425.5862615741</v>
      </c>
      <c r="C2896">
        <v>1</v>
      </c>
      <c r="D2896">
        <v>0</v>
      </c>
      <c r="E2896" t="s">
        <v>2760</v>
      </c>
    </row>
    <row r="2897" spans="1:5">
      <c r="A2897">
        <f>HYPERLINK("http://www.twitter.com/NYCHA/status/702569745288187904", "702569745288187904")</f>
        <v>0</v>
      </c>
      <c r="B2897" s="2">
        <v>42424.7946180556</v>
      </c>
      <c r="C2897">
        <v>2</v>
      </c>
      <c r="D2897">
        <v>1</v>
      </c>
      <c r="E2897" t="s">
        <v>2761</v>
      </c>
    </row>
    <row r="2898" spans="1:5">
      <c r="A2898">
        <f>HYPERLINK("http://www.twitter.com/NYCHA/status/702539727795318784", "702539727795318784")</f>
        <v>0</v>
      </c>
      <c r="B2898" s="2">
        <v>42424.7117824074</v>
      </c>
      <c r="C2898">
        <v>0</v>
      </c>
      <c r="D2898">
        <v>0</v>
      </c>
      <c r="E2898" t="s">
        <v>1963</v>
      </c>
    </row>
    <row r="2899" spans="1:5">
      <c r="A2899">
        <f>HYPERLINK("http://www.twitter.com/NYCHA/status/702512111780495360", "702512111780495360")</f>
        <v>0</v>
      </c>
      <c r="B2899" s="2">
        <v>42424.6355787037</v>
      </c>
      <c r="C2899">
        <v>0</v>
      </c>
      <c r="D2899">
        <v>1</v>
      </c>
      <c r="E2899" t="s">
        <v>2762</v>
      </c>
    </row>
    <row r="2900" spans="1:5">
      <c r="A2900">
        <f>HYPERLINK("http://www.twitter.com/NYCHA/status/702511736344190977", "702511736344190977")</f>
        <v>0</v>
      </c>
      <c r="B2900" s="2">
        <v>42424.634537037</v>
      </c>
      <c r="C2900">
        <v>0</v>
      </c>
      <c r="D2900">
        <v>5</v>
      </c>
      <c r="E2900" t="s">
        <v>2763</v>
      </c>
    </row>
    <row r="2901" spans="1:5">
      <c r="A2901">
        <f>HYPERLINK("http://www.twitter.com/NYCHA/status/702505811340365825", "702505811340365825")</f>
        <v>0</v>
      </c>
      <c r="B2901" s="2">
        <v>42424.6181944444</v>
      </c>
      <c r="C2901">
        <v>2</v>
      </c>
      <c r="D2901">
        <v>1</v>
      </c>
      <c r="E2901" t="s">
        <v>2764</v>
      </c>
    </row>
    <row r="2902" spans="1:5">
      <c r="A2902">
        <f>HYPERLINK("http://www.twitter.com/NYCHA/status/702499909388386305", "702499909388386305")</f>
        <v>0</v>
      </c>
      <c r="B2902" s="2">
        <v>42424.6018981481</v>
      </c>
      <c r="C2902">
        <v>1</v>
      </c>
      <c r="D2902">
        <v>0</v>
      </c>
      <c r="E2902" t="s">
        <v>2765</v>
      </c>
    </row>
    <row r="2903" spans="1:5">
      <c r="A2903">
        <f>HYPERLINK("http://www.twitter.com/NYCHA/status/702494700377382913", "702494700377382913")</f>
        <v>0</v>
      </c>
      <c r="B2903" s="2">
        <v>42424.5875231481</v>
      </c>
      <c r="C2903">
        <v>2</v>
      </c>
      <c r="D2903">
        <v>1</v>
      </c>
      <c r="E2903" t="s">
        <v>2730</v>
      </c>
    </row>
    <row r="2904" spans="1:5">
      <c r="A2904">
        <f>HYPERLINK("http://www.twitter.com/NYCHA/status/702494308591656961", "702494308591656961")</f>
        <v>0</v>
      </c>
      <c r="B2904" s="2">
        <v>42424.5864467593</v>
      </c>
      <c r="C2904">
        <v>1</v>
      </c>
      <c r="D2904">
        <v>0</v>
      </c>
      <c r="E2904" t="s">
        <v>2759</v>
      </c>
    </row>
    <row r="2905" spans="1:5">
      <c r="A2905">
        <f>HYPERLINK("http://www.twitter.com/NYCHA/status/702247692148281344", "702247692148281344")</f>
        <v>0</v>
      </c>
      <c r="B2905" s="2">
        <v>42423.9059143519</v>
      </c>
      <c r="C2905">
        <v>0</v>
      </c>
      <c r="D2905">
        <v>5</v>
      </c>
      <c r="E2905" t="s">
        <v>2766</v>
      </c>
    </row>
    <row r="2906" spans="1:5">
      <c r="A2906">
        <f>HYPERLINK("http://www.twitter.com/NYCHA/status/702231815889756160", "702231815889756160")</f>
        <v>0</v>
      </c>
      <c r="B2906" s="2">
        <v>42423.8621064815</v>
      </c>
      <c r="C2906">
        <v>0</v>
      </c>
      <c r="D2906">
        <v>15</v>
      </c>
      <c r="E2906" t="s">
        <v>2767</v>
      </c>
    </row>
    <row r="2907" spans="1:5">
      <c r="A2907">
        <f>HYPERLINK("http://www.twitter.com/NYCHA/status/702207255828111362", "702207255828111362")</f>
        <v>0</v>
      </c>
      <c r="B2907" s="2">
        <v>42423.7943287037</v>
      </c>
      <c r="C2907">
        <v>1</v>
      </c>
      <c r="D2907">
        <v>2</v>
      </c>
      <c r="E2907" t="s">
        <v>2768</v>
      </c>
    </row>
    <row r="2908" spans="1:5">
      <c r="A2908">
        <f>HYPERLINK("http://www.twitter.com/NYCHA/status/702203646935769092", "702203646935769092")</f>
        <v>0</v>
      </c>
      <c r="B2908" s="2">
        <v>42423.784375</v>
      </c>
      <c r="C2908">
        <v>0</v>
      </c>
      <c r="D2908">
        <v>0</v>
      </c>
      <c r="E2908" t="s">
        <v>2769</v>
      </c>
    </row>
    <row r="2909" spans="1:5">
      <c r="A2909">
        <f>HYPERLINK("http://www.twitter.com/NYCHA/status/702161680537665537", "702161680537665537")</f>
        <v>0</v>
      </c>
      <c r="B2909" s="2">
        <v>42423.6685648148</v>
      </c>
      <c r="C2909">
        <v>0</v>
      </c>
      <c r="D2909">
        <v>1</v>
      </c>
      <c r="E2909" t="s">
        <v>2770</v>
      </c>
    </row>
    <row r="2910" spans="1:5">
      <c r="A2910">
        <f>HYPERLINK("http://www.twitter.com/NYCHA/status/702157262698246144", "702157262698246144")</f>
        <v>0</v>
      </c>
      <c r="B2910" s="2">
        <v>42423.6563773148</v>
      </c>
      <c r="C2910">
        <v>4</v>
      </c>
      <c r="D2910">
        <v>4</v>
      </c>
      <c r="E2910" t="s">
        <v>2771</v>
      </c>
    </row>
    <row r="2911" spans="1:5">
      <c r="A2911">
        <f>HYPERLINK("http://www.twitter.com/NYCHA/status/702146484561715201", "702146484561715201")</f>
        <v>0</v>
      </c>
      <c r="B2911" s="2">
        <v>42423.6266319444</v>
      </c>
      <c r="C2911">
        <v>0</v>
      </c>
      <c r="D2911">
        <v>0</v>
      </c>
      <c r="E2911" t="s">
        <v>2772</v>
      </c>
    </row>
    <row r="2912" spans="1:5">
      <c r="A2912">
        <f>HYPERLINK("http://www.twitter.com/NYCHA/status/702132336197050368", "702132336197050368")</f>
        <v>0</v>
      </c>
      <c r="B2912" s="2">
        <v>42423.5875925926</v>
      </c>
      <c r="C2912">
        <v>1</v>
      </c>
      <c r="D2912">
        <v>0</v>
      </c>
      <c r="E2912" t="s">
        <v>2648</v>
      </c>
    </row>
    <row r="2913" spans="1:5">
      <c r="A2913">
        <f>HYPERLINK("http://www.twitter.com/NYCHA/status/702131975491080193", "702131975491080193")</f>
        <v>0</v>
      </c>
      <c r="B2913" s="2">
        <v>42423.5865972222</v>
      </c>
      <c r="C2913">
        <v>0</v>
      </c>
      <c r="D2913">
        <v>1</v>
      </c>
      <c r="E2913" t="s">
        <v>2649</v>
      </c>
    </row>
    <row r="2914" spans="1:5">
      <c r="A2914">
        <f>HYPERLINK("http://www.twitter.com/NYCHA/status/701885892563046401", "701885892563046401")</f>
        <v>0</v>
      </c>
      <c r="B2914" s="2">
        <v>42422.9075347222</v>
      </c>
      <c r="C2914">
        <v>4</v>
      </c>
      <c r="D2914">
        <v>3</v>
      </c>
      <c r="E2914" t="s">
        <v>2773</v>
      </c>
    </row>
    <row r="2915" spans="1:5">
      <c r="A2915">
        <f>HYPERLINK("http://www.twitter.com/NYCHA/status/701868907393654785", "701868907393654785")</f>
        <v>0</v>
      </c>
      <c r="B2915" s="2">
        <v>42422.8606712963</v>
      </c>
      <c r="C2915">
        <v>0</v>
      </c>
      <c r="D2915">
        <v>2</v>
      </c>
      <c r="E2915" t="s">
        <v>2774</v>
      </c>
    </row>
    <row r="2916" spans="1:5">
      <c r="A2916">
        <f>HYPERLINK("http://www.twitter.com/NYCHA/status/701850509913808896", "701850509913808896")</f>
        <v>0</v>
      </c>
      <c r="B2916" s="2">
        <v>42422.8098958333</v>
      </c>
      <c r="C2916">
        <v>0</v>
      </c>
      <c r="D2916">
        <v>3</v>
      </c>
      <c r="E2916" t="s">
        <v>2775</v>
      </c>
    </row>
    <row r="2917" spans="1:5">
      <c r="A2917">
        <f>HYPERLINK("http://www.twitter.com/NYCHA/status/701840326647017472", "701840326647017472")</f>
        <v>0</v>
      </c>
      <c r="B2917" s="2">
        <v>42422.7818055556</v>
      </c>
      <c r="C2917">
        <v>0</v>
      </c>
      <c r="D2917">
        <v>5</v>
      </c>
      <c r="E2917" t="s">
        <v>2776</v>
      </c>
    </row>
    <row r="2918" spans="1:5">
      <c r="A2918">
        <f>HYPERLINK("http://www.twitter.com/NYCHA/status/701836411209703425", "701836411209703425")</f>
        <v>0</v>
      </c>
      <c r="B2918" s="2">
        <v>42422.7709953704</v>
      </c>
      <c r="C2918">
        <v>0</v>
      </c>
      <c r="D2918">
        <v>4</v>
      </c>
      <c r="E2918" t="s">
        <v>2777</v>
      </c>
    </row>
    <row r="2919" spans="1:5">
      <c r="A2919">
        <f>HYPERLINK("http://www.twitter.com/NYCHA/status/701825129492385793", "701825129492385793")</f>
        <v>0</v>
      </c>
      <c r="B2919" s="2">
        <v>42422.7398611111</v>
      </c>
      <c r="C2919">
        <v>0</v>
      </c>
      <c r="D2919">
        <v>4</v>
      </c>
      <c r="E2919" t="s">
        <v>2778</v>
      </c>
    </row>
    <row r="2920" spans="1:5">
      <c r="A2920">
        <f>HYPERLINK("http://www.twitter.com/NYCHA/status/701824680827617280", "701824680827617280")</f>
        <v>0</v>
      </c>
      <c r="B2920" s="2">
        <v>42422.7386226852</v>
      </c>
      <c r="C2920">
        <v>0</v>
      </c>
      <c r="D2920">
        <v>3</v>
      </c>
      <c r="E2920" t="s">
        <v>2779</v>
      </c>
    </row>
    <row r="2921" spans="1:5">
      <c r="A2921">
        <f>HYPERLINK("http://www.twitter.com/NYCHA/status/701823994949931008", "701823994949931008")</f>
        <v>0</v>
      </c>
      <c r="B2921" s="2">
        <v>42422.7367361111</v>
      </c>
      <c r="C2921">
        <v>0</v>
      </c>
      <c r="D2921">
        <v>0</v>
      </c>
      <c r="E2921" t="s">
        <v>2780</v>
      </c>
    </row>
    <row r="2922" spans="1:5">
      <c r="A2922">
        <f>HYPERLINK("http://www.twitter.com/NYCHA/status/701817550091505664", "701817550091505664")</f>
        <v>0</v>
      </c>
      <c r="B2922" s="2">
        <v>42422.7189467593</v>
      </c>
      <c r="C2922">
        <v>2</v>
      </c>
      <c r="D2922">
        <v>1</v>
      </c>
      <c r="E2922" t="s">
        <v>5</v>
      </c>
    </row>
    <row r="2923" spans="1:5">
      <c r="A2923">
        <f>HYPERLINK("http://www.twitter.com/NYCHA/status/701793630122590208", "701793630122590208")</f>
        <v>0</v>
      </c>
      <c r="B2923" s="2">
        <v>42422.6529398148</v>
      </c>
      <c r="C2923">
        <v>2</v>
      </c>
      <c r="D2923">
        <v>0</v>
      </c>
      <c r="E2923" t="s">
        <v>2781</v>
      </c>
    </row>
    <row r="2924" spans="1:5">
      <c r="A2924">
        <f>HYPERLINK("http://www.twitter.com/NYCHA/status/701792353795837953", "701792353795837953")</f>
        <v>0</v>
      </c>
      <c r="B2924" s="2">
        <v>42422.6494212963</v>
      </c>
      <c r="C2924">
        <v>1</v>
      </c>
      <c r="D2924">
        <v>1</v>
      </c>
      <c r="E2924" t="s">
        <v>2782</v>
      </c>
    </row>
    <row r="2925" spans="1:5">
      <c r="A2925">
        <f>HYPERLINK("http://www.twitter.com/NYCHA/status/701791158238838784", "701791158238838784")</f>
        <v>0</v>
      </c>
      <c r="B2925" s="2">
        <v>42422.6461226852</v>
      </c>
      <c r="C2925">
        <v>2</v>
      </c>
      <c r="D2925">
        <v>0</v>
      </c>
      <c r="E2925" t="s">
        <v>2783</v>
      </c>
    </row>
    <row r="2926" spans="1:5">
      <c r="A2926">
        <f>HYPERLINK("http://www.twitter.com/NYCHA/status/701789832624873472", "701789832624873472")</f>
        <v>0</v>
      </c>
      <c r="B2926" s="2">
        <v>42422.6424652778</v>
      </c>
      <c r="C2926">
        <v>2</v>
      </c>
      <c r="D2926">
        <v>0</v>
      </c>
      <c r="E2926" t="s">
        <v>2784</v>
      </c>
    </row>
    <row r="2927" spans="1:5">
      <c r="A2927">
        <f>HYPERLINK("http://www.twitter.com/NYCHA/status/701788582890049537", "701788582890049537")</f>
        <v>0</v>
      </c>
      <c r="B2927" s="2">
        <v>42422.6390162037</v>
      </c>
      <c r="C2927">
        <v>3</v>
      </c>
      <c r="D2927">
        <v>5</v>
      </c>
      <c r="E2927" t="s">
        <v>2785</v>
      </c>
    </row>
    <row r="2928" spans="1:5">
      <c r="A2928">
        <f>HYPERLINK("http://www.twitter.com/NYCHA/status/701778695594319872", "701778695594319872")</f>
        <v>0</v>
      </c>
      <c r="B2928" s="2">
        <v>42422.6117361111</v>
      </c>
      <c r="C2928">
        <v>0</v>
      </c>
      <c r="D2928">
        <v>0</v>
      </c>
      <c r="E2928" t="s">
        <v>2786</v>
      </c>
    </row>
    <row r="2929" spans="1:5">
      <c r="A2929">
        <f>HYPERLINK("http://www.twitter.com/NYCHA/status/701778402483826688", "701778402483826688")</f>
        <v>0</v>
      </c>
      <c r="B2929" s="2">
        <v>42422.6109259259</v>
      </c>
      <c r="C2929">
        <v>0</v>
      </c>
      <c r="D2929">
        <v>2</v>
      </c>
      <c r="E2929" t="s">
        <v>2787</v>
      </c>
    </row>
    <row r="2930" spans="1:5">
      <c r="A2930">
        <f>HYPERLINK("http://www.twitter.com/NYCHA/status/701776578334760961", "701776578334760961")</f>
        <v>0</v>
      </c>
      <c r="B2930" s="2">
        <v>42422.6058912037</v>
      </c>
      <c r="C2930">
        <v>0</v>
      </c>
      <c r="D2930">
        <v>6</v>
      </c>
      <c r="E2930" t="s">
        <v>2788</v>
      </c>
    </row>
    <row r="2931" spans="1:5">
      <c r="A2931">
        <f>HYPERLINK("http://www.twitter.com/NYCHA/status/701776435904540675", "701776435904540675")</f>
        <v>0</v>
      </c>
      <c r="B2931" s="2">
        <v>42422.6054976852</v>
      </c>
      <c r="C2931">
        <v>0</v>
      </c>
      <c r="D2931">
        <v>5</v>
      </c>
      <c r="E2931" t="s">
        <v>2789</v>
      </c>
    </row>
    <row r="2932" spans="1:5">
      <c r="A2932">
        <f>HYPERLINK("http://www.twitter.com/NYCHA/status/701769929855524864", "701769929855524864")</f>
        <v>0</v>
      </c>
      <c r="B2932" s="2">
        <v>42422.5875462963</v>
      </c>
      <c r="C2932">
        <v>0</v>
      </c>
      <c r="D2932">
        <v>0</v>
      </c>
      <c r="E2932" t="s">
        <v>2662</v>
      </c>
    </row>
    <row r="2933" spans="1:5">
      <c r="A2933">
        <f>HYPERLINK("http://www.twitter.com/NYCHA/status/701769558626009088", "701769558626009088")</f>
        <v>0</v>
      </c>
      <c r="B2933" s="2">
        <v>42422.5865162037</v>
      </c>
      <c r="C2933">
        <v>0</v>
      </c>
      <c r="D2933">
        <v>0</v>
      </c>
      <c r="E2933" t="s">
        <v>2663</v>
      </c>
    </row>
    <row r="2934" spans="1:5">
      <c r="A2934">
        <f>HYPERLINK("http://www.twitter.com/NYCHA/status/701059400530845698", "701059400530845698")</f>
        <v>0</v>
      </c>
      <c r="B2934" s="2">
        <v>42420.6268518519</v>
      </c>
      <c r="C2934">
        <v>1</v>
      </c>
      <c r="D2934">
        <v>2</v>
      </c>
      <c r="E2934" t="s">
        <v>2790</v>
      </c>
    </row>
    <row r="2935" spans="1:5">
      <c r="A2935">
        <f>HYPERLINK("http://www.twitter.com/NYCHA/status/701051347483947008", "701051347483947008")</f>
        <v>0</v>
      </c>
      <c r="B2935" s="2">
        <v>42420.6046296296</v>
      </c>
      <c r="C2935">
        <v>5</v>
      </c>
      <c r="D2935">
        <v>1</v>
      </c>
      <c r="E2935" t="s">
        <v>2791</v>
      </c>
    </row>
    <row r="2936" spans="1:5">
      <c r="A2936">
        <f>HYPERLINK("http://www.twitter.com/NYCHA/status/700814663307632640", "700814663307632640")</f>
        <v>0</v>
      </c>
      <c r="B2936" s="2">
        <v>42419.9515046296</v>
      </c>
      <c r="C2936">
        <v>3</v>
      </c>
      <c r="D2936">
        <v>4</v>
      </c>
      <c r="E2936" t="s">
        <v>341</v>
      </c>
    </row>
    <row r="2937" spans="1:5">
      <c r="A2937">
        <f>HYPERLINK("http://www.twitter.com/NYCHA/status/700757539483475968", "700757539483475968")</f>
        <v>0</v>
      </c>
      <c r="B2937" s="2">
        <v>42419.7938773148</v>
      </c>
      <c r="C2937">
        <v>1</v>
      </c>
      <c r="D2937">
        <v>0</v>
      </c>
      <c r="E2937" t="s">
        <v>2792</v>
      </c>
    </row>
    <row r="2938" spans="1:5">
      <c r="A2938">
        <f>HYPERLINK("http://www.twitter.com/NYCHA/status/700747109016842240", "700747109016842240")</f>
        <v>0</v>
      </c>
      <c r="B2938" s="2">
        <v>42419.7650925926</v>
      </c>
      <c r="C2938">
        <v>0</v>
      </c>
      <c r="D2938">
        <v>5</v>
      </c>
      <c r="E2938" t="s">
        <v>2368</v>
      </c>
    </row>
    <row r="2939" spans="1:5">
      <c r="A2939">
        <f>HYPERLINK("http://www.twitter.com/NYCHA/status/700682433172283392", "700682433172283392")</f>
        <v>0</v>
      </c>
      <c r="B2939" s="2">
        <v>42419.5866203704</v>
      </c>
      <c r="C2939">
        <v>1</v>
      </c>
      <c r="D2939">
        <v>1</v>
      </c>
      <c r="E2939" t="s">
        <v>2793</v>
      </c>
    </row>
    <row r="2940" spans="1:5">
      <c r="A2940">
        <f>HYPERLINK("http://www.twitter.com/NYCHA/status/700533843405615104", "700533843405615104")</f>
        <v>0</v>
      </c>
      <c r="B2940" s="2">
        <v>42419.1765972222</v>
      </c>
      <c r="C2940">
        <v>0</v>
      </c>
      <c r="D2940">
        <v>9</v>
      </c>
      <c r="E2940" t="s">
        <v>2794</v>
      </c>
    </row>
    <row r="2941" spans="1:5">
      <c r="A2941">
        <f>HYPERLINK("http://www.twitter.com/NYCHA/status/700445894471249921", "700445894471249921")</f>
        <v>0</v>
      </c>
      <c r="B2941" s="2">
        <v>42418.933900463</v>
      </c>
      <c r="C2941">
        <v>0</v>
      </c>
      <c r="D2941">
        <v>0</v>
      </c>
      <c r="E2941" t="s">
        <v>2795</v>
      </c>
    </row>
    <row r="2942" spans="1:5">
      <c r="A2942">
        <f>HYPERLINK("http://www.twitter.com/NYCHA/status/700440558330843139", "700440558330843139")</f>
        <v>0</v>
      </c>
      <c r="B2942" s="2">
        <v>42418.9191782407</v>
      </c>
      <c r="C2942">
        <v>0</v>
      </c>
      <c r="D2942">
        <v>3</v>
      </c>
      <c r="E2942" t="s">
        <v>2796</v>
      </c>
    </row>
    <row r="2943" spans="1:5">
      <c r="A2943">
        <f>HYPERLINK("http://www.twitter.com/NYCHA/status/700435471730667521", "700435471730667521")</f>
        <v>0</v>
      </c>
      <c r="B2943" s="2">
        <v>42418.9051388889</v>
      </c>
      <c r="C2943">
        <v>0</v>
      </c>
      <c r="D2943">
        <v>1</v>
      </c>
      <c r="E2943" t="s">
        <v>2797</v>
      </c>
    </row>
    <row r="2944" spans="1:5">
      <c r="A2944">
        <f>HYPERLINK("http://www.twitter.com/NYCHA/status/700435404525277184", "700435404525277184")</f>
        <v>0</v>
      </c>
      <c r="B2944" s="2">
        <v>42418.9049537037</v>
      </c>
      <c r="C2944">
        <v>0</v>
      </c>
      <c r="D2944">
        <v>2</v>
      </c>
      <c r="E2944" t="s">
        <v>2798</v>
      </c>
    </row>
    <row r="2945" spans="1:5">
      <c r="A2945">
        <f>HYPERLINK("http://www.twitter.com/NYCHA/status/700422835408392192", "700422835408392192")</f>
        <v>0</v>
      </c>
      <c r="B2945" s="2">
        <v>42418.8702662037</v>
      </c>
      <c r="C2945">
        <v>0</v>
      </c>
      <c r="D2945">
        <v>3</v>
      </c>
      <c r="E2945" t="s">
        <v>2799</v>
      </c>
    </row>
    <row r="2946" spans="1:5">
      <c r="A2946">
        <f>HYPERLINK("http://www.twitter.com/NYCHA/status/700409624298655744", "700409624298655744")</f>
        <v>0</v>
      </c>
      <c r="B2946" s="2">
        <v>42418.8338194444</v>
      </c>
      <c r="C2946">
        <v>2</v>
      </c>
      <c r="D2946">
        <v>0</v>
      </c>
      <c r="E2946" t="s">
        <v>2800</v>
      </c>
    </row>
    <row r="2947" spans="1:5">
      <c r="A2947">
        <f>HYPERLINK("http://www.twitter.com/NYCHA/status/700395281725202434", "700395281725202434")</f>
        <v>0</v>
      </c>
      <c r="B2947" s="2">
        <v>42418.7942361111</v>
      </c>
      <c r="C2947">
        <v>1</v>
      </c>
      <c r="D2947">
        <v>3</v>
      </c>
      <c r="E2947" t="s">
        <v>2801</v>
      </c>
    </row>
    <row r="2948" spans="1:5">
      <c r="A2948">
        <f>HYPERLINK("http://www.twitter.com/NYCHA/status/700384182573408256", "700384182573408256")</f>
        <v>0</v>
      </c>
      <c r="B2948" s="2">
        <v>42418.7636111111</v>
      </c>
      <c r="C2948">
        <v>0</v>
      </c>
      <c r="D2948">
        <v>4</v>
      </c>
      <c r="E2948" t="s">
        <v>2802</v>
      </c>
    </row>
    <row r="2949" spans="1:5">
      <c r="A2949">
        <f>HYPERLINK("http://www.twitter.com/NYCHA/status/700365627144458240", "700365627144458240")</f>
        <v>0</v>
      </c>
      <c r="B2949" s="2">
        <v>42418.7124074074</v>
      </c>
      <c r="C2949">
        <v>2</v>
      </c>
      <c r="D2949">
        <v>0</v>
      </c>
      <c r="E2949" t="s">
        <v>2803</v>
      </c>
    </row>
    <row r="2950" spans="1:5">
      <c r="A2950">
        <f>HYPERLINK("http://www.twitter.com/NYCHA/status/700331716137893888", "700331716137893888")</f>
        <v>0</v>
      </c>
      <c r="B2950" s="2">
        <v>42418.6188310185</v>
      </c>
      <c r="C2950">
        <v>3</v>
      </c>
      <c r="D2950">
        <v>3</v>
      </c>
      <c r="E2950" t="s">
        <v>2804</v>
      </c>
    </row>
    <row r="2951" spans="1:5">
      <c r="A2951">
        <f>HYPERLINK("http://www.twitter.com/NYCHA/status/700331293679214592", "700331293679214592")</f>
        <v>0</v>
      </c>
      <c r="B2951" s="2">
        <v>42418.617662037</v>
      </c>
      <c r="C2951">
        <v>1</v>
      </c>
      <c r="D2951">
        <v>0</v>
      </c>
      <c r="E2951" t="s">
        <v>2805</v>
      </c>
    </row>
    <row r="2952" spans="1:5">
      <c r="A2952">
        <f>HYPERLINK("http://www.twitter.com/NYCHA/status/700330387604709376", "700330387604709376")</f>
        <v>0</v>
      </c>
      <c r="B2952" s="2">
        <v>42418.615162037</v>
      </c>
      <c r="C2952">
        <v>0</v>
      </c>
      <c r="D2952">
        <v>5</v>
      </c>
      <c r="E2952" t="s">
        <v>2806</v>
      </c>
    </row>
    <row r="2953" spans="1:5">
      <c r="A2953">
        <f>HYPERLINK("http://www.twitter.com/NYCHA/status/700330308302938112", "700330308302938112")</f>
        <v>0</v>
      </c>
      <c r="B2953" s="2">
        <v>42418.6149421296</v>
      </c>
      <c r="C2953">
        <v>0</v>
      </c>
      <c r="D2953">
        <v>6</v>
      </c>
      <c r="E2953" t="s">
        <v>2807</v>
      </c>
    </row>
    <row r="2954" spans="1:5">
      <c r="A2954">
        <f>HYPERLINK("http://www.twitter.com/NYCHA/status/700320415609135104", "700320415609135104")</f>
        <v>0</v>
      </c>
      <c r="B2954" s="2">
        <v>42418.587650463</v>
      </c>
      <c r="C2954">
        <v>0</v>
      </c>
      <c r="D2954">
        <v>0</v>
      </c>
      <c r="E2954" t="s">
        <v>2709</v>
      </c>
    </row>
    <row r="2955" spans="1:5">
      <c r="A2955">
        <f>HYPERLINK("http://www.twitter.com/NYCHA/status/700320026935631872", "700320026935631872")</f>
        <v>0</v>
      </c>
      <c r="B2955" s="2">
        <v>42418.5865740741</v>
      </c>
      <c r="C2955">
        <v>0</v>
      </c>
      <c r="D2955">
        <v>1</v>
      </c>
      <c r="E2955" t="s">
        <v>2710</v>
      </c>
    </row>
    <row r="2956" spans="1:5">
      <c r="A2956">
        <f>HYPERLINK("http://www.twitter.com/NYCHA/status/700087525092753408", "700087525092753408")</f>
        <v>0</v>
      </c>
      <c r="B2956" s="2">
        <v>42417.9449884259</v>
      </c>
      <c r="C2956">
        <v>0</v>
      </c>
      <c r="D2956">
        <v>5</v>
      </c>
      <c r="E2956" t="s">
        <v>2808</v>
      </c>
    </row>
    <row r="2957" spans="1:5">
      <c r="A2957">
        <f>HYPERLINK("http://www.twitter.com/NYCHA/status/700084436470251520", "700084436470251520")</f>
        <v>0</v>
      </c>
      <c r="B2957" s="2">
        <v>42417.9364699074</v>
      </c>
      <c r="C2957">
        <v>0</v>
      </c>
      <c r="D2957">
        <v>3</v>
      </c>
      <c r="E2957" t="s">
        <v>2809</v>
      </c>
    </row>
    <row r="2958" spans="1:5">
      <c r="A2958">
        <f>HYPERLINK("http://www.twitter.com/NYCHA/status/700079851965960193", "700079851965960193")</f>
        <v>0</v>
      </c>
      <c r="B2958" s="2">
        <v>42417.9238194444</v>
      </c>
      <c r="C2958">
        <v>2</v>
      </c>
      <c r="D2958">
        <v>0</v>
      </c>
      <c r="E2958" t="s">
        <v>2810</v>
      </c>
    </row>
    <row r="2959" spans="1:5">
      <c r="A2959">
        <f>HYPERLINK("http://www.twitter.com/NYCHA/status/700039742637936640", "700039742637936640")</f>
        <v>0</v>
      </c>
      <c r="B2959" s="2">
        <v>42417.8131365741</v>
      </c>
      <c r="C2959">
        <v>2</v>
      </c>
      <c r="D2959">
        <v>1</v>
      </c>
      <c r="E2959" t="s">
        <v>2811</v>
      </c>
    </row>
    <row r="2960" spans="1:5">
      <c r="A2960">
        <f>HYPERLINK("http://www.twitter.com/NYCHA/status/700024901479092224", "700024901479092224")</f>
        <v>0</v>
      </c>
      <c r="B2960" s="2">
        <v>42417.7721875</v>
      </c>
      <c r="C2960">
        <v>2</v>
      </c>
      <c r="D2960">
        <v>1</v>
      </c>
      <c r="E2960" t="s">
        <v>2812</v>
      </c>
    </row>
    <row r="2961" spans="1:5">
      <c r="A2961">
        <f>HYPERLINK("http://www.twitter.com/NYCHA/status/700013290219560960", "700013290219560960")</f>
        <v>0</v>
      </c>
      <c r="B2961" s="2">
        <v>42417.7401388889</v>
      </c>
      <c r="C2961">
        <v>0</v>
      </c>
      <c r="D2961">
        <v>0</v>
      </c>
      <c r="E2961" t="s">
        <v>2813</v>
      </c>
    </row>
    <row r="2962" spans="1:5">
      <c r="A2962">
        <f>HYPERLINK("http://www.twitter.com/NYCHA/status/700002550028881921", "700002550028881921")</f>
        <v>0</v>
      </c>
      <c r="B2962" s="2">
        <v>42417.7105092593</v>
      </c>
      <c r="C2962">
        <v>1</v>
      </c>
      <c r="D2962">
        <v>0</v>
      </c>
      <c r="E2962" t="s">
        <v>2814</v>
      </c>
    </row>
    <row r="2963" spans="1:5">
      <c r="A2963">
        <f>HYPERLINK("http://www.twitter.com/NYCHA/status/699998016300830720", "699998016300830720")</f>
        <v>0</v>
      </c>
      <c r="B2963" s="2">
        <v>42417.6979976852</v>
      </c>
      <c r="C2963">
        <v>5</v>
      </c>
      <c r="D2963">
        <v>3</v>
      </c>
      <c r="E2963" t="s">
        <v>2815</v>
      </c>
    </row>
    <row r="2964" spans="1:5">
      <c r="A2964">
        <f>HYPERLINK("http://www.twitter.com/NYCHA/status/699981965613785090", "699981965613785090")</f>
        <v>0</v>
      </c>
      <c r="B2964" s="2">
        <v>42417.6537037037</v>
      </c>
      <c r="C2964">
        <v>0</v>
      </c>
      <c r="D2964">
        <v>2</v>
      </c>
      <c r="E2964" t="s">
        <v>2816</v>
      </c>
    </row>
    <row r="2965" spans="1:5">
      <c r="A2965">
        <f>HYPERLINK("http://www.twitter.com/NYCHA/status/699981929207173121", "699981929207173121")</f>
        <v>0</v>
      </c>
      <c r="B2965" s="2">
        <v>42417.653599537</v>
      </c>
      <c r="C2965">
        <v>0</v>
      </c>
      <c r="D2965">
        <v>2</v>
      </c>
      <c r="E2965" t="s">
        <v>2817</v>
      </c>
    </row>
    <row r="2966" spans="1:5">
      <c r="A2966">
        <f>HYPERLINK("http://www.twitter.com/NYCHA/status/699975901304508417", "699975901304508417")</f>
        <v>0</v>
      </c>
      <c r="B2966" s="2">
        <v>42417.6369675926</v>
      </c>
      <c r="C2966">
        <v>0</v>
      </c>
      <c r="D2966">
        <v>1</v>
      </c>
      <c r="E2966" t="s">
        <v>2818</v>
      </c>
    </row>
    <row r="2967" spans="1:5">
      <c r="A2967">
        <f>HYPERLINK("http://www.twitter.com/NYCHA/status/699972168499728384", "699972168499728384")</f>
        <v>0</v>
      </c>
      <c r="B2967" s="2">
        <v>42417.6266666667</v>
      </c>
      <c r="C2967">
        <v>2</v>
      </c>
      <c r="D2967">
        <v>1</v>
      </c>
      <c r="E2967" t="s">
        <v>2819</v>
      </c>
    </row>
    <row r="2968" spans="1:5">
      <c r="A2968">
        <f>HYPERLINK("http://www.twitter.com/NYCHA/status/699966064378175488", "699966064378175488")</f>
        <v>0</v>
      </c>
      <c r="B2968" s="2">
        <v>42417.6098263889</v>
      </c>
      <c r="C2968">
        <v>0</v>
      </c>
      <c r="D2968">
        <v>8</v>
      </c>
      <c r="E2968" t="s">
        <v>2820</v>
      </c>
    </row>
    <row r="2969" spans="1:5">
      <c r="A2969">
        <f>HYPERLINK("http://www.twitter.com/NYCHA/status/699958001189445632", "699958001189445632")</f>
        <v>0</v>
      </c>
      <c r="B2969" s="2">
        <v>42417.5875694444</v>
      </c>
      <c r="C2969">
        <v>0</v>
      </c>
      <c r="D2969">
        <v>0</v>
      </c>
      <c r="E2969" t="s">
        <v>2821</v>
      </c>
    </row>
    <row r="2970" spans="1:5">
      <c r="A2970">
        <f>HYPERLINK("http://www.twitter.com/NYCHA/status/699957573198417920", "699957573198417920")</f>
        <v>0</v>
      </c>
      <c r="B2970" s="2">
        <v>42417.5863888889</v>
      </c>
      <c r="C2970">
        <v>1</v>
      </c>
      <c r="D2970">
        <v>3</v>
      </c>
      <c r="E2970" t="s">
        <v>2714</v>
      </c>
    </row>
    <row r="2971" spans="1:5">
      <c r="A2971">
        <f>HYPERLINK("http://www.twitter.com/NYCHA/status/699717908906303488", "699717908906303488")</f>
        <v>0</v>
      </c>
      <c r="B2971" s="2">
        <v>42416.9250462963</v>
      </c>
      <c r="C2971">
        <v>0</v>
      </c>
      <c r="D2971">
        <v>32</v>
      </c>
      <c r="E2971" t="s">
        <v>2822</v>
      </c>
    </row>
    <row r="2972" spans="1:5">
      <c r="A2972">
        <f>HYPERLINK("http://www.twitter.com/NYCHA/status/699706257398177792", "699706257398177792")</f>
        <v>0</v>
      </c>
      <c r="B2972" s="2">
        <v>42416.8928935185</v>
      </c>
      <c r="C2972">
        <v>4</v>
      </c>
      <c r="D2972">
        <v>3</v>
      </c>
      <c r="E2972" t="s">
        <v>2823</v>
      </c>
    </row>
    <row r="2973" spans="1:5">
      <c r="A2973">
        <f>HYPERLINK("http://www.twitter.com/NYCHA/status/699673630247100416", "699673630247100416")</f>
        <v>0</v>
      </c>
      <c r="B2973" s="2">
        <v>42416.8028587963</v>
      </c>
      <c r="C2973">
        <v>6</v>
      </c>
      <c r="D2973">
        <v>3</v>
      </c>
      <c r="E2973" t="s">
        <v>2824</v>
      </c>
    </row>
    <row r="2974" spans="1:5">
      <c r="A2974">
        <f>HYPERLINK("http://www.twitter.com/NYCHA/status/699658537488793601", "699658537488793601")</f>
        <v>0</v>
      </c>
      <c r="B2974" s="2">
        <v>42416.7612152778</v>
      </c>
      <c r="C2974">
        <v>0</v>
      </c>
      <c r="D2974">
        <v>0</v>
      </c>
      <c r="E2974" t="s">
        <v>2825</v>
      </c>
    </row>
    <row r="2975" spans="1:5">
      <c r="A2975">
        <f>HYPERLINK("http://www.twitter.com/NYCHA/status/699654091841126401", "699654091841126401")</f>
        <v>0</v>
      </c>
      <c r="B2975" s="2">
        <v>42416.7489467593</v>
      </c>
      <c r="C2975">
        <v>0</v>
      </c>
      <c r="D2975">
        <v>0</v>
      </c>
      <c r="E2975" t="s">
        <v>2826</v>
      </c>
    </row>
    <row r="2976" spans="1:5">
      <c r="A2976">
        <f>HYPERLINK("http://www.twitter.com/NYCHA/status/699640497749491713", "699640497749491713")</f>
        <v>0</v>
      </c>
      <c r="B2976" s="2">
        <v>42416.7114351852</v>
      </c>
      <c r="C2976">
        <v>2</v>
      </c>
      <c r="D2976">
        <v>1</v>
      </c>
      <c r="E2976" t="s">
        <v>2827</v>
      </c>
    </row>
    <row r="2977" spans="1:5">
      <c r="A2977">
        <f>HYPERLINK("http://www.twitter.com/NYCHA/status/699607926558846976", "699607926558846976")</f>
        <v>0</v>
      </c>
      <c r="B2977" s="2">
        <v>42416.6215509259</v>
      </c>
      <c r="C2977">
        <v>0</v>
      </c>
      <c r="D2977">
        <v>1</v>
      </c>
      <c r="E2977" t="s">
        <v>2828</v>
      </c>
    </row>
    <row r="2978" spans="1:5">
      <c r="A2978">
        <f>HYPERLINK("http://www.twitter.com/NYCHA/status/699607822884061185", "699607822884061185")</f>
        <v>0</v>
      </c>
      <c r="B2978" s="2">
        <v>42416.6212615741</v>
      </c>
      <c r="C2978">
        <v>0</v>
      </c>
      <c r="D2978">
        <v>2</v>
      </c>
      <c r="E2978" t="s">
        <v>2829</v>
      </c>
    </row>
    <row r="2979" spans="1:5">
      <c r="A2979">
        <f>HYPERLINK("http://www.twitter.com/NYCHA/status/699595603291041793", "699595603291041793")</f>
        <v>0</v>
      </c>
      <c r="B2979" s="2">
        <v>42416.5875462963</v>
      </c>
      <c r="C2979">
        <v>2</v>
      </c>
      <c r="D2979">
        <v>3</v>
      </c>
      <c r="E2979" t="s">
        <v>2731</v>
      </c>
    </row>
    <row r="2980" spans="1:5">
      <c r="A2980">
        <f>HYPERLINK("http://www.twitter.com/NYCHA/status/699595190303092736", "699595190303092736")</f>
        <v>0</v>
      </c>
      <c r="B2980" s="2">
        <v>42416.586400463</v>
      </c>
      <c r="C2980">
        <v>1</v>
      </c>
      <c r="D2980">
        <v>1</v>
      </c>
      <c r="E2980" t="s">
        <v>2730</v>
      </c>
    </row>
    <row r="2981" spans="1:5">
      <c r="A2981">
        <f>HYPERLINK("http://www.twitter.com/NYCHA/status/699308245354221568", "699308245354221568")</f>
        <v>0</v>
      </c>
      <c r="B2981" s="2">
        <v>42415.7945833333</v>
      </c>
      <c r="C2981">
        <v>2</v>
      </c>
      <c r="D2981">
        <v>0</v>
      </c>
      <c r="E2981" t="s">
        <v>2570</v>
      </c>
    </row>
    <row r="2982" spans="1:5">
      <c r="A2982">
        <f>HYPERLINK("http://www.twitter.com/NYCHA/status/699278077868777472", "699278077868777472")</f>
        <v>0</v>
      </c>
      <c r="B2982" s="2">
        <v>42415.7113425926</v>
      </c>
      <c r="C2982">
        <v>1</v>
      </c>
      <c r="D2982">
        <v>3</v>
      </c>
      <c r="E2982" t="s">
        <v>2830</v>
      </c>
    </row>
    <row r="2983" spans="1:5">
      <c r="A2983">
        <f>HYPERLINK("http://www.twitter.com/NYCHA/status/699247721463603200", "699247721463603200")</f>
        <v>0</v>
      </c>
      <c r="B2983" s="2">
        <v>42415.6275694444</v>
      </c>
      <c r="C2983">
        <v>7</v>
      </c>
      <c r="D2983">
        <v>5</v>
      </c>
      <c r="E2983" t="s">
        <v>2831</v>
      </c>
    </row>
    <row r="2984" spans="1:5">
      <c r="A2984">
        <f>HYPERLINK("http://www.twitter.com/NYCHA/status/699232784460677124", "699232784460677124")</f>
        <v>0</v>
      </c>
      <c r="B2984" s="2">
        <v>42415.5863541667</v>
      </c>
      <c r="C2984">
        <v>2</v>
      </c>
      <c r="D2984">
        <v>2</v>
      </c>
      <c r="E2984" t="s">
        <v>2738</v>
      </c>
    </row>
    <row r="2985" spans="1:5">
      <c r="A2985">
        <f>HYPERLINK("http://www.twitter.com/NYCHA/status/698933611999924224", "698933611999924224")</f>
        <v>0</v>
      </c>
      <c r="B2985" s="2">
        <v>42414.7607986111</v>
      </c>
      <c r="C2985">
        <v>3</v>
      </c>
      <c r="D2985">
        <v>5</v>
      </c>
      <c r="E2985" t="s">
        <v>2832</v>
      </c>
    </row>
    <row r="2986" spans="1:5">
      <c r="A2986">
        <f>HYPERLINK("http://www.twitter.com/NYCHA/status/698905388503199744", "698905388503199744")</f>
        <v>0</v>
      </c>
      <c r="B2986" s="2">
        <v>42414.6829166667</v>
      </c>
      <c r="C2986">
        <v>1</v>
      </c>
      <c r="D2986">
        <v>0</v>
      </c>
      <c r="E2986" t="s">
        <v>2833</v>
      </c>
    </row>
    <row r="2987" spans="1:5">
      <c r="A2987">
        <f>HYPERLINK("http://www.twitter.com/NYCHA/status/698904179360800768", "698904179360800768")</f>
        <v>0</v>
      </c>
      <c r="B2987" s="2">
        <v>42414.6795833333</v>
      </c>
      <c r="C2987">
        <v>0</v>
      </c>
      <c r="D2987">
        <v>17</v>
      </c>
      <c r="E2987" t="s">
        <v>2834</v>
      </c>
    </row>
    <row r="2988" spans="1:5">
      <c r="A2988">
        <f>HYPERLINK("http://www.twitter.com/NYCHA/status/698902904275660800", "698902904275660800")</f>
        <v>0</v>
      </c>
      <c r="B2988" s="2">
        <v>42414.6760648148</v>
      </c>
      <c r="C2988">
        <v>1</v>
      </c>
      <c r="D2988">
        <v>0</v>
      </c>
      <c r="E2988" t="s">
        <v>2835</v>
      </c>
    </row>
    <row r="2989" spans="1:5">
      <c r="A2989">
        <f>HYPERLINK("http://www.twitter.com/NYCHA/status/698902445850816513", "698902445850816513")</f>
        <v>0</v>
      </c>
      <c r="B2989" s="2">
        <v>42414.6747916667</v>
      </c>
      <c r="C2989">
        <v>0</v>
      </c>
      <c r="D2989">
        <v>0</v>
      </c>
      <c r="E2989" t="s">
        <v>2836</v>
      </c>
    </row>
    <row r="2990" spans="1:5">
      <c r="A2990">
        <f>HYPERLINK("http://www.twitter.com/NYCHA/status/698900539942301696", "698900539942301696")</f>
        <v>0</v>
      </c>
      <c r="B2990" s="2">
        <v>42414.669537037</v>
      </c>
      <c r="C2990">
        <v>0</v>
      </c>
      <c r="D2990">
        <v>0</v>
      </c>
      <c r="E2990" t="s">
        <v>2837</v>
      </c>
    </row>
    <row r="2991" spans="1:5">
      <c r="A2991">
        <f>HYPERLINK("http://www.twitter.com/NYCHA/status/698871960600764416", "698871960600764416")</f>
        <v>0</v>
      </c>
      <c r="B2991" s="2">
        <v>42414.5906712963</v>
      </c>
      <c r="C2991">
        <v>1</v>
      </c>
      <c r="D2991">
        <v>2</v>
      </c>
      <c r="E2991" t="s">
        <v>2838</v>
      </c>
    </row>
    <row r="2992" spans="1:5">
      <c r="A2992">
        <f>HYPERLINK("http://www.twitter.com/NYCHA/status/698628273299914752", "698628273299914752")</f>
        <v>0</v>
      </c>
      <c r="B2992" s="2">
        <v>42413.9182175926</v>
      </c>
      <c r="C2992">
        <v>2</v>
      </c>
      <c r="D2992">
        <v>3</v>
      </c>
      <c r="E2992" t="s">
        <v>2839</v>
      </c>
    </row>
    <row r="2993" spans="1:5">
      <c r="A2993">
        <f>HYPERLINK("http://www.twitter.com/NYCHA/status/698585059197116416", "698585059197116416")</f>
        <v>0</v>
      </c>
      <c r="B2993" s="2">
        <v>42413.7989699074</v>
      </c>
      <c r="C2993">
        <v>2</v>
      </c>
      <c r="D2993">
        <v>0</v>
      </c>
      <c r="E2993" t="s">
        <v>2840</v>
      </c>
    </row>
    <row r="2994" spans="1:5">
      <c r="A2994">
        <f>HYPERLINK("http://www.twitter.com/NYCHA/status/698560903030161408", "698560903030161408")</f>
        <v>0</v>
      </c>
      <c r="B2994" s="2">
        <v>42413.7323148148</v>
      </c>
      <c r="C2994">
        <v>0</v>
      </c>
      <c r="D2994">
        <v>4</v>
      </c>
      <c r="E2994" t="s">
        <v>2841</v>
      </c>
    </row>
    <row r="2995" spans="1:5">
      <c r="A2995">
        <f>HYPERLINK("http://www.twitter.com/NYCHA/status/698560824676323332", "698560824676323332")</f>
        <v>0</v>
      </c>
      <c r="B2995" s="2">
        <v>42413.7320949074</v>
      </c>
      <c r="C2995">
        <v>0</v>
      </c>
      <c r="D2995">
        <v>2</v>
      </c>
      <c r="E2995" t="s">
        <v>2842</v>
      </c>
    </row>
    <row r="2996" spans="1:5">
      <c r="A2996">
        <f>HYPERLINK("http://www.twitter.com/NYCHA/status/698552991289315328", "698552991289315328")</f>
        <v>0</v>
      </c>
      <c r="B2996" s="2">
        <v>42413.7104861111</v>
      </c>
      <c r="C2996">
        <v>3</v>
      </c>
      <c r="D2996">
        <v>0</v>
      </c>
      <c r="E2996" t="s">
        <v>2843</v>
      </c>
    </row>
    <row r="2997" spans="1:5">
      <c r="A2997">
        <f>HYPERLINK("http://www.twitter.com/NYCHA/status/698522810168254464", "698522810168254464")</f>
        <v>0</v>
      </c>
      <c r="B2997" s="2">
        <v>42413.6271990741</v>
      </c>
      <c r="C2997">
        <v>5</v>
      </c>
      <c r="D2997">
        <v>4</v>
      </c>
      <c r="E2997" t="s">
        <v>2844</v>
      </c>
    </row>
    <row r="2998" spans="1:5">
      <c r="A2998">
        <f>HYPERLINK("http://www.twitter.com/NYCHA/status/698257810925215744", "698257810925215744")</f>
        <v>0</v>
      </c>
      <c r="B2998" s="2">
        <v>42412.8959375</v>
      </c>
      <c r="C2998">
        <v>6</v>
      </c>
      <c r="D2998">
        <v>5</v>
      </c>
      <c r="E2998" t="s">
        <v>2845</v>
      </c>
    </row>
    <row r="2999" spans="1:5">
      <c r="A2999">
        <f>HYPERLINK("http://www.twitter.com/NYCHA/status/698252768872681472", "698252768872681472")</f>
        <v>0</v>
      </c>
      <c r="B2999" s="2">
        <v>42412.882025463</v>
      </c>
      <c r="C2999">
        <v>1</v>
      </c>
      <c r="D2999">
        <v>1</v>
      </c>
      <c r="E2999" t="s">
        <v>2846</v>
      </c>
    </row>
    <row r="3000" spans="1:5">
      <c r="A3000">
        <f>HYPERLINK("http://www.twitter.com/NYCHA/status/698251520668798976", "698251520668798976")</f>
        <v>0</v>
      </c>
      <c r="B3000" s="2">
        <v>42412.878587963</v>
      </c>
      <c r="C3000">
        <v>2</v>
      </c>
      <c r="D3000">
        <v>6</v>
      </c>
      <c r="E3000" t="s">
        <v>2847</v>
      </c>
    </row>
    <row r="3001" spans="1:5">
      <c r="A3001">
        <f>HYPERLINK("http://www.twitter.com/NYCHA/status/698251516013109248", "698251516013109248")</f>
        <v>0</v>
      </c>
      <c r="B3001" s="2">
        <v>42412.8785648148</v>
      </c>
      <c r="C3001">
        <v>0</v>
      </c>
      <c r="D3001">
        <v>3</v>
      </c>
      <c r="E3001" t="s">
        <v>2848</v>
      </c>
    </row>
    <row r="3002" spans="1:5">
      <c r="A3002">
        <f>HYPERLINK("http://www.twitter.com/NYCHA/status/698250334876131328", "698250334876131328")</f>
        <v>0</v>
      </c>
      <c r="B3002" s="2">
        <v>42412.8753125</v>
      </c>
      <c r="C3002">
        <v>1</v>
      </c>
      <c r="D3002">
        <v>0</v>
      </c>
      <c r="E3002" t="s">
        <v>2849</v>
      </c>
    </row>
    <row r="3003" spans="1:5">
      <c r="A3003">
        <f>HYPERLINK("http://www.twitter.com/NYCHA/status/698248989926367232", "698248989926367232")</f>
        <v>0</v>
      </c>
      <c r="B3003" s="2">
        <v>42412.8715972222</v>
      </c>
      <c r="C3003">
        <v>0</v>
      </c>
      <c r="D3003">
        <v>1</v>
      </c>
      <c r="E3003" t="s">
        <v>2850</v>
      </c>
    </row>
    <row r="3004" spans="1:5">
      <c r="A3004">
        <f>HYPERLINK("http://www.twitter.com/NYCHA/status/698247743937110016", "698247743937110016")</f>
        <v>0</v>
      </c>
      <c r="B3004" s="2">
        <v>42412.8681597222</v>
      </c>
      <c r="C3004">
        <v>0</v>
      </c>
      <c r="D3004">
        <v>0</v>
      </c>
      <c r="E3004" t="s">
        <v>2851</v>
      </c>
    </row>
    <row r="3005" spans="1:5">
      <c r="A3005">
        <f>HYPERLINK("http://www.twitter.com/NYCHA/status/698246480713351168", "698246480713351168")</f>
        <v>0</v>
      </c>
      <c r="B3005" s="2">
        <v>42412.8646759259</v>
      </c>
      <c r="C3005">
        <v>1</v>
      </c>
      <c r="D3005">
        <v>0</v>
      </c>
      <c r="E3005" t="s">
        <v>2852</v>
      </c>
    </row>
    <row r="3006" spans="1:5">
      <c r="A3006">
        <f>HYPERLINK("http://www.twitter.com/NYCHA/status/698235351593308162", "698235351593308162")</f>
        <v>0</v>
      </c>
      <c r="B3006" s="2">
        <v>42412.8339699074</v>
      </c>
      <c r="C3006">
        <v>0</v>
      </c>
      <c r="D3006">
        <v>0</v>
      </c>
      <c r="E3006" t="s">
        <v>2853</v>
      </c>
    </row>
    <row r="3007" spans="1:5">
      <c r="A3007">
        <f>HYPERLINK("http://www.twitter.com/NYCHA/status/698224701055836160", "698224701055836160")</f>
        <v>0</v>
      </c>
      <c r="B3007" s="2">
        <v>42412.8045717593</v>
      </c>
      <c r="C3007">
        <v>0</v>
      </c>
      <c r="D3007">
        <v>5</v>
      </c>
      <c r="E3007" t="s">
        <v>2854</v>
      </c>
    </row>
    <row r="3008" spans="1:5">
      <c r="A3008">
        <f>HYPERLINK("http://www.twitter.com/NYCHA/status/698224623083790336", "698224623083790336")</f>
        <v>0</v>
      </c>
      <c r="B3008" s="2">
        <v>42412.8043634259</v>
      </c>
      <c r="C3008">
        <v>0</v>
      </c>
      <c r="D3008">
        <v>3</v>
      </c>
      <c r="E3008" t="s">
        <v>2855</v>
      </c>
    </row>
    <row r="3009" spans="1:5">
      <c r="A3009">
        <f>HYPERLINK("http://www.twitter.com/NYCHA/status/698224474014031872", "698224474014031872")</f>
        <v>0</v>
      </c>
      <c r="B3009" s="2">
        <v>42412.8039467593</v>
      </c>
      <c r="C3009">
        <v>0</v>
      </c>
      <c r="D3009">
        <v>3</v>
      </c>
      <c r="E3009" t="s">
        <v>2856</v>
      </c>
    </row>
    <row r="3010" spans="1:5">
      <c r="A3010">
        <f>HYPERLINK("http://www.twitter.com/NYCHA/status/698220920440279041", "698220920440279041")</f>
        <v>0</v>
      </c>
      <c r="B3010" s="2">
        <v>42412.7941435185</v>
      </c>
      <c r="C3010">
        <v>1</v>
      </c>
      <c r="D3010">
        <v>4</v>
      </c>
      <c r="E3010" t="s">
        <v>2857</v>
      </c>
    </row>
    <row r="3011" spans="1:5">
      <c r="A3011">
        <f>HYPERLINK("http://www.twitter.com/NYCHA/status/698205027928772608", "698205027928772608")</f>
        <v>0</v>
      </c>
      <c r="B3011" s="2">
        <v>42412.7502893519</v>
      </c>
      <c r="C3011">
        <v>1</v>
      </c>
      <c r="D3011">
        <v>0</v>
      </c>
      <c r="E3011" t="s">
        <v>2858</v>
      </c>
    </row>
    <row r="3012" spans="1:5">
      <c r="A3012">
        <f>HYPERLINK("http://www.twitter.com/NYCHA/status/698189585315135488", "698189585315135488")</f>
        <v>0</v>
      </c>
      <c r="B3012" s="2">
        <v>42412.7076736111</v>
      </c>
      <c r="C3012">
        <v>1</v>
      </c>
      <c r="D3012">
        <v>0</v>
      </c>
      <c r="E3012" t="s">
        <v>2859</v>
      </c>
    </row>
    <row r="3013" spans="1:5">
      <c r="A3013">
        <f>HYPERLINK("http://www.twitter.com/NYCHA/status/698187744053432321", "698187744053432321")</f>
        <v>0</v>
      </c>
      <c r="B3013" s="2">
        <v>42412.7025925926</v>
      </c>
      <c r="C3013">
        <v>0</v>
      </c>
      <c r="D3013">
        <v>3</v>
      </c>
      <c r="E3013" t="s">
        <v>2860</v>
      </c>
    </row>
    <row r="3014" spans="1:5">
      <c r="A3014">
        <f>HYPERLINK("http://www.twitter.com/NYCHA/status/698168205391634432", "698168205391634432")</f>
        <v>0</v>
      </c>
      <c r="B3014" s="2">
        <v>42412.6486805556</v>
      </c>
      <c r="C3014">
        <v>0</v>
      </c>
      <c r="D3014">
        <v>2</v>
      </c>
      <c r="E3014" t="s">
        <v>2861</v>
      </c>
    </row>
    <row r="3015" spans="1:5">
      <c r="A3015">
        <f>HYPERLINK("http://www.twitter.com/NYCHA/status/698165557447806976", "698165557447806976")</f>
        <v>0</v>
      </c>
      <c r="B3015" s="2">
        <v>42412.6413657407</v>
      </c>
      <c r="C3015">
        <v>0</v>
      </c>
      <c r="D3015">
        <v>2</v>
      </c>
      <c r="E3015" t="s">
        <v>2862</v>
      </c>
    </row>
    <row r="3016" spans="1:5">
      <c r="A3016">
        <f>HYPERLINK("http://www.twitter.com/NYCHA/status/698160526698766338", "698160526698766338")</f>
        <v>0</v>
      </c>
      <c r="B3016" s="2">
        <v>42412.6274884259</v>
      </c>
      <c r="C3016">
        <v>1</v>
      </c>
      <c r="D3016">
        <v>0</v>
      </c>
      <c r="E3016" t="s">
        <v>2863</v>
      </c>
    </row>
    <row r="3017" spans="1:5">
      <c r="A3017">
        <f>HYPERLINK("http://www.twitter.com/NYCHA/status/698160322792783872", "698160322792783872")</f>
        <v>0</v>
      </c>
      <c r="B3017" s="2">
        <v>42412.6269212963</v>
      </c>
      <c r="C3017">
        <v>4</v>
      </c>
      <c r="D3017">
        <v>6</v>
      </c>
      <c r="E3017" t="s">
        <v>2864</v>
      </c>
    </row>
    <row r="3018" spans="1:5">
      <c r="A3018">
        <f>HYPERLINK("http://www.twitter.com/NYCHA/status/698159492379369472", "698159492379369472")</f>
        <v>0</v>
      </c>
      <c r="B3018" s="2">
        <v>42412.6246296296</v>
      </c>
      <c r="C3018">
        <v>0</v>
      </c>
      <c r="D3018">
        <v>3</v>
      </c>
      <c r="E3018" t="s">
        <v>2865</v>
      </c>
    </row>
    <row r="3019" spans="1:5">
      <c r="A3019">
        <f>HYPERLINK("http://www.twitter.com/NYCHA/status/698159355942801408", "698159355942801408")</f>
        <v>0</v>
      </c>
      <c r="B3019" s="2">
        <v>42412.6242592593</v>
      </c>
      <c r="C3019">
        <v>0</v>
      </c>
      <c r="D3019">
        <v>1</v>
      </c>
      <c r="E3019" t="s">
        <v>2866</v>
      </c>
    </row>
    <row r="3020" spans="1:5">
      <c r="A3020">
        <f>HYPERLINK("http://www.twitter.com/NYCHA/status/698157375799349248", "698157375799349248")</f>
        <v>0</v>
      </c>
      <c r="B3020" s="2">
        <v>42412.6187962963</v>
      </c>
      <c r="C3020">
        <v>0</v>
      </c>
      <c r="D3020">
        <v>7</v>
      </c>
      <c r="E3020" t="s">
        <v>2867</v>
      </c>
    </row>
    <row r="3021" spans="1:5">
      <c r="A3021">
        <f>HYPERLINK("http://www.twitter.com/NYCHA/status/698152522834427904", "698152522834427904")</f>
        <v>0</v>
      </c>
      <c r="B3021" s="2">
        <v>42412.6054050926</v>
      </c>
      <c r="C3021">
        <v>3</v>
      </c>
      <c r="D3021">
        <v>0</v>
      </c>
      <c r="E3021" t="s">
        <v>2868</v>
      </c>
    </row>
    <row r="3022" spans="1:5">
      <c r="A3022">
        <f>HYPERLINK("http://www.twitter.com/NYCHA/status/698146608807075840", "698146608807075840")</f>
        <v>0</v>
      </c>
      <c r="B3022" s="2">
        <v>42412.5890856481</v>
      </c>
      <c r="C3022">
        <v>0</v>
      </c>
      <c r="D3022">
        <v>6</v>
      </c>
      <c r="E3022" t="s">
        <v>2869</v>
      </c>
    </row>
    <row r="3023" spans="1:5">
      <c r="A3023">
        <f>HYPERLINK("http://www.twitter.com/NYCHA/status/698145656691503105", "698145656691503105")</f>
        <v>0</v>
      </c>
      <c r="B3023" s="2">
        <v>42412.5864583333</v>
      </c>
      <c r="C3023">
        <v>2</v>
      </c>
      <c r="D3023">
        <v>0</v>
      </c>
      <c r="E3023" t="s">
        <v>2750</v>
      </c>
    </row>
    <row r="3024" spans="1:5">
      <c r="A3024">
        <f>HYPERLINK("http://www.twitter.com/NYCHA/status/697913112872275969", "697913112872275969")</f>
        <v>0</v>
      </c>
      <c r="B3024" s="2">
        <v>42411.9447569444</v>
      </c>
      <c r="C3024">
        <v>0</v>
      </c>
      <c r="D3024">
        <v>34</v>
      </c>
      <c r="E3024" t="s">
        <v>2870</v>
      </c>
    </row>
    <row r="3025" spans="1:5">
      <c r="A3025">
        <f>HYPERLINK("http://www.twitter.com/NYCHA/status/697913005682642948", "697913005682642948")</f>
        <v>0</v>
      </c>
      <c r="B3025" s="2">
        <v>42411.9444560185</v>
      </c>
      <c r="C3025">
        <v>0</v>
      </c>
      <c r="D3025">
        <v>6</v>
      </c>
      <c r="E3025" t="s">
        <v>2871</v>
      </c>
    </row>
    <row r="3026" spans="1:5">
      <c r="A3026">
        <f>HYPERLINK("http://www.twitter.com/NYCHA/status/697906889200369664", "697906889200369664")</f>
        <v>0</v>
      </c>
      <c r="B3026" s="2">
        <v>42411.9275810185</v>
      </c>
      <c r="C3026">
        <v>1</v>
      </c>
      <c r="D3026">
        <v>2</v>
      </c>
      <c r="E3026" t="s">
        <v>2872</v>
      </c>
    </row>
    <row r="3027" spans="1:5">
      <c r="A3027">
        <f>HYPERLINK("http://www.twitter.com/NYCHA/status/697900853320142848", "697900853320142848")</f>
        <v>0</v>
      </c>
      <c r="B3027" s="2">
        <v>42411.9109259259</v>
      </c>
      <c r="C3027">
        <v>0</v>
      </c>
      <c r="D3027">
        <v>4</v>
      </c>
      <c r="E3027" t="s">
        <v>2873</v>
      </c>
    </row>
    <row r="3028" spans="1:5">
      <c r="A3028">
        <f>HYPERLINK("http://www.twitter.com/NYCHA/status/697873645201448964", "697873645201448964")</f>
        <v>0</v>
      </c>
      <c r="B3028" s="2">
        <v>42411.8358449074</v>
      </c>
      <c r="C3028">
        <v>1</v>
      </c>
      <c r="D3028">
        <v>0</v>
      </c>
      <c r="E3028" t="s">
        <v>2874</v>
      </c>
    </row>
    <row r="3029" spans="1:5">
      <c r="A3029">
        <f>HYPERLINK("http://www.twitter.com/NYCHA/status/697870498944958464", "697870498944958464")</f>
        <v>0</v>
      </c>
      <c r="B3029" s="2">
        <v>42411.8271643519</v>
      </c>
      <c r="C3029">
        <v>0</v>
      </c>
      <c r="D3029">
        <v>3</v>
      </c>
      <c r="E3029" t="s">
        <v>2875</v>
      </c>
    </row>
    <row r="3030" spans="1:5">
      <c r="A3030">
        <f>HYPERLINK("http://www.twitter.com/NYCHA/status/697843395608375296", "697843395608375296")</f>
        <v>0</v>
      </c>
      <c r="B3030" s="2">
        <v>42411.7523726852</v>
      </c>
      <c r="C3030">
        <v>0</v>
      </c>
      <c r="D3030">
        <v>0</v>
      </c>
      <c r="E3030" t="s">
        <v>2876</v>
      </c>
    </row>
    <row r="3031" spans="1:5">
      <c r="A3031">
        <f>HYPERLINK("http://www.twitter.com/NYCHA/status/697839707250651140", "697839707250651140")</f>
        <v>0</v>
      </c>
      <c r="B3031" s="2">
        <v>42411.7421990741</v>
      </c>
      <c r="C3031">
        <v>0</v>
      </c>
      <c r="D3031">
        <v>4</v>
      </c>
      <c r="E3031" t="s">
        <v>2877</v>
      </c>
    </row>
    <row r="3032" spans="1:5">
      <c r="A3032">
        <f>HYPERLINK("http://www.twitter.com/NYCHA/status/697828669922877440", "697828669922877440")</f>
        <v>0</v>
      </c>
      <c r="B3032" s="2">
        <v>42411.7117361111</v>
      </c>
      <c r="C3032">
        <v>1</v>
      </c>
      <c r="D3032">
        <v>1</v>
      </c>
      <c r="E3032" t="s">
        <v>2878</v>
      </c>
    </row>
    <row r="3033" spans="1:5">
      <c r="A3033">
        <f>HYPERLINK("http://www.twitter.com/NYCHA/status/697817399287005184", "697817399287005184")</f>
        <v>0</v>
      </c>
      <c r="B3033" s="2">
        <v>42411.6806365741</v>
      </c>
      <c r="C3033">
        <v>0</v>
      </c>
      <c r="D3033">
        <v>2</v>
      </c>
      <c r="E3033" t="s">
        <v>2879</v>
      </c>
    </row>
    <row r="3034" spans="1:5">
      <c r="A3034">
        <f>HYPERLINK("http://www.twitter.com/NYCHA/status/697817348481359872", "697817348481359872")</f>
        <v>0</v>
      </c>
      <c r="B3034" s="2">
        <v>42411.6804976852</v>
      </c>
      <c r="C3034">
        <v>0</v>
      </c>
      <c r="D3034">
        <v>3</v>
      </c>
      <c r="E3034" t="s">
        <v>2880</v>
      </c>
    </row>
    <row r="3035" spans="1:5">
      <c r="A3035">
        <f>HYPERLINK("http://www.twitter.com/NYCHA/status/697798039482822656", "697798039482822656")</f>
        <v>0</v>
      </c>
      <c r="B3035" s="2">
        <v>42411.6272106481</v>
      </c>
      <c r="C3035">
        <v>0</v>
      </c>
      <c r="D3035">
        <v>1</v>
      </c>
      <c r="E3035" t="s">
        <v>2881</v>
      </c>
    </row>
    <row r="3036" spans="1:5">
      <c r="A3036">
        <f>HYPERLINK("http://www.twitter.com/NYCHA/status/697797776453804032", "697797776453804032")</f>
        <v>0</v>
      </c>
      <c r="B3036" s="2">
        <v>42411.6264930556</v>
      </c>
      <c r="C3036">
        <v>1</v>
      </c>
      <c r="D3036">
        <v>0</v>
      </c>
      <c r="E3036" t="s">
        <v>2882</v>
      </c>
    </row>
    <row r="3037" spans="1:5">
      <c r="A3037">
        <f>HYPERLINK("http://www.twitter.com/NYCHA/status/697783679364497409", "697783679364497409")</f>
        <v>0</v>
      </c>
      <c r="B3037" s="2">
        <v>42411.5875925926</v>
      </c>
      <c r="C3037">
        <v>0</v>
      </c>
      <c r="D3037">
        <v>0</v>
      </c>
      <c r="E3037" t="s">
        <v>2759</v>
      </c>
    </row>
    <row r="3038" spans="1:5">
      <c r="A3038">
        <f>HYPERLINK("http://www.twitter.com/NYCHA/status/697783321712001024", "697783321712001024")</f>
        <v>0</v>
      </c>
      <c r="B3038" s="2">
        <v>42411.5865972222</v>
      </c>
      <c r="C3038">
        <v>0</v>
      </c>
      <c r="D3038">
        <v>0</v>
      </c>
      <c r="E3038" t="s">
        <v>2760</v>
      </c>
    </row>
    <row r="3039" spans="1:5">
      <c r="A3039">
        <f>HYPERLINK("http://www.twitter.com/NYCHA/status/697647421413842944", "697647421413842944")</f>
        <v>0</v>
      </c>
      <c r="B3039" s="2">
        <v>42411.2115856481</v>
      </c>
      <c r="C3039">
        <v>0</v>
      </c>
      <c r="D3039">
        <v>8</v>
      </c>
      <c r="E3039" t="s">
        <v>2883</v>
      </c>
    </row>
    <row r="3040" spans="1:5">
      <c r="A3040">
        <f>HYPERLINK("http://www.twitter.com/NYCHA/status/697566991880712197", "697566991880712197")</f>
        <v>0</v>
      </c>
      <c r="B3040" s="2">
        <v>42410.9896412037</v>
      </c>
      <c r="C3040">
        <v>1</v>
      </c>
      <c r="D3040">
        <v>0</v>
      </c>
      <c r="E3040" t="s">
        <v>2884</v>
      </c>
    </row>
    <row r="3041" spans="1:5">
      <c r="A3041">
        <f>HYPERLINK("http://www.twitter.com/NYCHA/status/697560638999109632", "697560638999109632")</f>
        <v>0</v>
      </c>
      <c r="B3041" s="2">
        <v>42410.9721180556</v>
      </c>
      <c r="C3041">
        <v>0</v>
      </c>
      <c r="D3041">
        <v>8</v>
      </c>
      <c r="E3041" t="s">
        <v>2885</v>
      </c>
    </row>
    <row r="3042" spans="1:5">
      <c r="A3042">
        <f>HYPERLINK("http://www.twitter.com/NYCHA/status/697547480452435968", "697547480452435968")</f>
        <v>0</v>
      </c>
      <c r="B3042" s="2">
        <v>42410.9357986111</v>
      </c>
      <c r="C3042">
        <v>0</v>
      </c>
      <c r="D3042">
        <v>0</v>
      </c>
      <c r="E3042" t="s">
        <v>2886</v>
      </c>
    </row>
    <row r="3043" spans="1:5">
      <c r="A3043">
        <f>HYPERLINK("http://www.twitter.com/NYCHA/status/697541103562711042", "697541103562711042")</f>
        <v>0</v>
      </c>
      <c r="B3043" s="2">
        <v>42410.9182060185</v>
      </c>
      <c r="C3043">
        <v>5</v>
      </c>
      <c r="D3043">
        <v>4</v>
      </c>
      <c r="E3043" t="s">
        <v>2887</v>
      </c>
    </row>
    <row r="3044" spans="1:5">
      <c r="A3044">
        <f>HYPERLINK("http://www.twitter.com/NYCHA/status/697520832755712000", "697520832755712000")</f>
        <v>0</v>
      </c>
      <c r="B3044" s="2">
        <v>42410.8622685185</v>
      </c>
      <c r="C3044">
        <v>0</v>
      </c>
      <c r="D3044">
        <v>3</v>
      </c>
      <c r="E3044" t="s">
        <v>2888</v>
      </c>
    </row>
    <row r="3045" spans="1:5">
      <c r="A3045">
        <f>HYPERLINK("http://www.twitter.com/NYCHA/status/697514665337823232", "697514665337823232")</f>
        <v>0</v>
      </c>
      <c r="B3045" s="2">
        <v>42410.8452546296</v>
      </c>
      <c r="C3045">
        <v>1</v>
      </c>
      <c r="D3045">
        <v>1</v>
      </c>
      <c r="E3045" t="s">
        <v>2889</v>
      </c>
    </row>
    <row r="3046" spans="1:5">
      <c r="A3046">
        <f>HYPERLINK("http://www.twitter.com/NYCHA/status/697512882695749632", "697512882695749632")</f>
        <v>0</v>
      </c>
      <c r="B3046" s="2">
        <v>42410.8403356482</v>
      </c>
      <c r="C3046">
        <v>2</v>
      </c>
      <c r="D3046">
        <v>0</v>
      </c>
      <c r="E3046" t="s">
        <v>2890</v>
      </c>
    </row>
    <row r="3047" spans="1:5">
      <c r="A3047">
        <f>HYPERLINK("http://www.twitter.com/NYCHA/status/697511069628108802", "697511069628108802")</f>
        <v>0</v>
      </c>
      <c r="B3047" s="2">
        <v>42410.8353240741</v>
      </c>
      <c r="C3047">
        <v>1</v>
      </c>
      <c r="D3047">
        <v>2</v>
      </c>
      <c r="E3047" t="s">
        <v>2891</v>
      </c>
    </row>
    <row r="3048" spans="1:5">
      <c r="A3048">
        <f>HYPERLINK("http://www.twitter.com/NYCHA/status/697491681726373894", "697491681726373894")</f>
        <v>0</v>
      </c>
      <c r="B3048" s="2">
        <v>42410.7818287037</v>
      </c>
      <c r="C3048">
        <v>1</v>
      </c>
      <c r="D3048">
        <v>0</v>
      </c>
      <c r="E3048" t="s">
        <v>2892</v>
      </c>
    </row>
    <row r="3049" spans="1:5">
      <c r="A3049">
        <f>HYPERLINK("http://www.twitter.com/NYCHA/status/697490714830233600", "697490714830233600")</f>
        <v>0</v>
      </c>
      <c r="B3049" s="2">
        <v>42410.7791550926</v>
      </c>
      <c r="C3049">
        <v>0</v>
      </c>
      <c r="D3049">
        <v>9</v>
      </c>
      <c r="E3049" t="s">
        <v>2893</v>
      </c>
    </row>
    <row r="3050" spans="1:5">
      <c r="A3050">
        <f>HYPERLINK("http://www.twitter.com/NYCHA/status/697480858027081728", "697480858027081728")</f>
        <v>0</v>
      </c>
      <c r="B3050" s="2">
        <v>42410.7519560185</v>
      </c>
      <c r="C3050">
        <v>1</v>
      </c>
      <c r="D3050">
        <v>2</v>
      </c>
      <c r="E3050" t="s">
        <v>2894</v>
      </c>
    </row>
    <row r="3051" spans="1:5">
      <c r="A3051">
        <f>HYPERLINK("http://www.twitter.com/NYCHA/status/697470194319499264", "697470194319499264")</f>
        <v>0</v>
      </c>
      <c r="B3051" s="2">
        <v>42410.7225347222</v>
      </c>
      <c r="C3051">
        <v>2</v>
      </c>
      <c r="D3051">
        <v>4</v>
      </c>
      <c r="E3051" t="s">
        <v>2895</v>
      </c>
    </row>
    <row r="3052" spans="1:5">
      <c r="A3052">
        <f>HYPERLINK("http://www.twitter.com/NYCHA/status/697432174283329536", "697432174283329536")</f>
        <v>0</v>
      </c>
      <c r="B3052" s="2">
        <v>42410.6176157407</v>
      </c>
      <c r="C3052">
        <v>9</v>
      </c>
      <c r="D3052">
        <v>6</v>
      </c>
      <c r="E3052" t="s">
        <v>2896</v>
      </c>
    </row>
    <row r="3053" spans="1:5">
      <c r="A3053">
        <f>HYPERLINK("http://www.twitter.com/NYCHA/status/697421317470081025", "697421317470081025")</f>
        <v>0</v>
      </c>
      <c r="B3053" s="2">
        <v>42410.587662037</v>
      </c>
      <c r="C3053">
        <v>1</v>
      </c>
      <c r="D3053">
        <v>1</v>
      </c>
      <c r="E3053" t="s">
        <v>2730</v>
      </c>
    </row>
    <row r="3054" spans="1:5">
      <c r="A3054">
        <f>HYPERLINK("http://www.twitter.com/NYCHA/status/697420926607106048", "697420926607106048")</f>
        <v>0</v>
      </c>
      <c r="B3054" s="2">
        <v>42410.5865856481</v>
      </c>
      <c r="C3054">
        <v>0</v>
      </c>
      <c r="D3054">
        <v>0</v>
      </c>
      <c r="E3054" t="s">
        <v>2759</v>
      </c>
    </row>
    <row r="3055" spans="1:5">
      <c r="A3055">
        <f>HYPERLINK("http://www.twitter.com/NYCHA/status/697169159763927040", "697169159763927040")</f>
        <v>0</v>
      </c>
      <c r="B3055" s="2">
        <v>42409.8918402778</v>
      </c>
      <c r="C3055">
        <v>0</v>
      </c>
      <c r="D3055">
        <v>11</v>
      </c>
      <c r="E3055" t="s">
        <v>2897</v>
      </c>
    </row>
    <row r="3056" spans="1:5">
      <c r="A3056">
        <f>HYPERLINK("http://www.twitter.com/NYCHA/status/697168809258516481", "697168809258516481")</f>
        <v>0</v>
      </c>
      <c r="B3056" s="2">
        <v>42409.8908680556</v>
      </c>
      <c r="C3056">
        <v>0</v>
      </c>
      <c r="D3056">
        <v>2</v>
      </c>
      <c r="E3056" t="s">
        <v>2898</v>
      </c>
    </row>
    <row r="3057" spans="1:5">
      <c r="A3057">
        <f>HYPERLINK("http://www.twitter.com/NYCHA/status/697140794206121984", "697140794206121984")</f>
        <v>0</v>
      </c>
      <c r="B3057" s="2">
        <v>42409.8135648148</v>
      </c>
      <c r="C3057">
        <v>0</v>
      </c>
      <c r="D3057">
        <v>0</v>
      </c>
      <c r="E3057" t="s">
        <v>2899</v>
      </c>
    </row>
    <row r="3058" spans="1:5">
      <c r="A3058">
        <f>HYPERLINK("http://www.twitter.com/NYCHA/status/697118114882920448", "697118114882920448")</f>
        <v>0</v>
      </c>
      <c r="B3058" s="2">
        <v>42409.7509837963</v>
      </c>
      <c r="C3058">
        <v>1</v>
      </c>
      <c r="D3058">
        <v>2</v>
      </c>
      <c r="E3058" t="s">
        <v>2900</v>
      </c>
    </row>
    <row r="3059" spans="1:5">
      <c r="A3059">
        <f>HYPERLINK("http://www.twitter.com/NYCHA/status/697104152166604800", "697104152166604800")</f>
        <v>0</v>
      </c>
      <c r="B3059" s="2">
        <v>42409.7124537037</v>
      </c>
      <c r="C3059">
        <v>0</v>
      </c>
      <c r="D3059">
        <v>1</v>
      </c>
      <c r="E3059" t="s">
        <v>2901</v>
      </c>
    </row>
    <row r="3060" spans="1:5">
      <c r="A3060">
        <f>HYPERLINK("http://www.twitter.com/NYCHA/status/697074219100827649", "697074219100827649")</f>
        <v>0</v>
      </c>
      <c r="B3060" s="2">
        <v>42409.629849537</v>
      </c>
      <c r="C3060">
        <v>0</v>
      </c>
      <c r="D3060">
        <v>1</v>
      </c>
      <c r="E3060" t="s">
        <v>2902</v>
      </c>
    </row>
    <row r="3061" spans="1:5">
      <c r="A3061">
        <f>HYPERLINK("http://www.twitter.com/NYCHA/status/697065963628425217", "697065963628425217")</f>
        <v>0</v>
      </c>
      <c r="B3061" s="2">
        <v>42409.6070717593</v>
      </c>
      <c r="C3061">
        <v>0</v>
      </c>
      <c r="D3061">
        <v>8</v>
      </c>
      <c r="E3061" t="s">
        <v>2903</v>
      </c>
    </row>
    <row r="3062" spans="1:5">
      <c r="A3062">
        <f>HYPERLINK("http://www.twitter.com/NYCHA/status/697065953281052673", "697065953281052673")</f>
        <v>0</v>
      </c>
      <c r="B3062" s="2">
        <v>42409.607037037</v>
      </c>
      <c r="C3062">
        <v>0</v>
      </c>
      <c r="D3062">
        <v>2</v>
      </c>
      <c r="E3062" t="s">
        <v>2904</v>
      </c>
    </row>
    <row r="3063" spans="1:5">
      <c r="A3063">
        <f>HYPERLINK("http://www.twitter.com/NYCHA/status/697061479481212929", "697061479481212929")</f>
        <v>0</v>
      </c>
      <c r="B3063" s="2">
        <v>42409.5946990741</v>
      </c>
      <c r="C3063">
        <v>0</v>
      </c>
      <c r="D3063">
        <v>1</v>
      </c>
      <c r="E3063" t="s">
        <v>2648</v>
      </c>
    </row>
    <row r="3064" spans="1:5">
      <c r="A3064">
        <f>HYPERLINK("http://www.twitter.com/NYCHA/status/697058887820775424", "697058887820775424")</f>
        <v>0</v>
      </c>
      <c r="B3064" s="2">
        <v>42409.5875462963</v>
      </c>
      <c r="C3064">
        <v>2</v>
      </c>
      <c r="D3064">
        <v>1</v>
      </c>
      <c r="E3064" t="s">
        <v>2730</v>
      </c>
    </row>
    <row r="3065" spans="1:5">
      <c r="A3065">
        <f>HYPERLINK("http://www.twitter.com/NYCHA/status/697058420919246848", "697058420919246848")</f>
        <v>0</v>
      </c>
      <c r="B3065" s="2">
        <v>42409.58625</v>
      </c>
      <c r="C3065">
        <v>0</v>
      </c>
      <c r="D3065">
        <v>3</v>
      </c>
      <c r="E3065" t="s">
        <v>2649</v>
      </c>
    </row>
    <row r="3066" spans="1:5">
      <c r="A3066">
        <f>HYPERLINK("http://www.twitter.com/NYCHA/status/696885419074576384", "696885419074576384")</f>
        <v>0</v>
      </c>
      <c r="B3066" s="2">
        <v>42409.1088657407</v>
      </c>
      <c r="C3066">
        <v>8</v>
      </c>
      <c r="D3066">
        <v>4</v>
      </c>
      <c r="E3066" t="s">
        <v>2905</v>
      </c>
    </row>
    <row r="3067" spans="1:5">
      <c r="A3067">
        <f>HYPERLINK("http://www.twitter.com/NYCHA/status/696792389223059456", "696792389223059456")</f>
        <v>0</v>
      </c>
      <c r="B3067" s="2">
        <v>42408.8521527778</v>
      </c>
      <c r="C3067">
        <v>0</v>
      </c>
      <c r="D3067">
        <v>3</v>
      </c>
      <c r="E3067" t="s">
        <v>2906</v>
      </c>
    </row>
    <row r="3068" spans="1:5">
      <c r="A3068">
        <f>HYPERLINK("http://www.twitter.com/NYCHA/status/696785708036530177", "696785708036530177")</f>
        <v>0</v>
      </c>
      <c r="B3068" s="2">
        <v>42408.8337152778</v>
      </c>
      <c r="C3068">
        <v>3</v>
      </c>
      <c r="D3068">
        <v>1</v>
      </c>
      <c r="E3068" t="s">
        <v>2907</v>
      </c>
    </row>
    <row r="3069" spans="1:5">
      <c r="A3069">
        <f>HYPERLINK("http://www.twitter.com/NYCHA/status/696766897430388736", "696766897430388736")</f>
        <v>0</v>
      </c>
      <c r="B3069" s="2">
        <v>42408.7818055556</v>
      </c>
      <c r="C3069">
        <v>1</v>
      </c>
      <c r="D3069">
        <v>1</v>
      </c>
      <c r="E3069" t="s">
        <v>2908</v>
      </c>
    </row>
    <row r="3070" spans="1:5">
      <c r="A3070">
        <f>HYPERLINK("http://www.twitter.com/NYCHA/status/696751660035653633", "696751660035653633")</f>
        <v>0</v>
      </c>
      <c r="B3070" s="2">
        <v>42408.7397569444</v>
      </c>
      <c r="C3070">
        <v>0</v>
      </c>
      <c r="D3070">
        <v>1</v>
      </c>
      <c r="E3070" t="s">
        <v>2909</v>
      </c>
    </row>
    <row r="3071" spans="1:5">
      <c r="A3071">
        <f>HYPERLINK("http://www.twitter.com/NYCHA/status/696720128654909440", "696720128654909440")</f>
        <v>0</v>
      </c>
      <c r="B3071" s="2">
        <v>42408.6527430556</v>
      </c>
      <c r="C3071">
        <v>1</v>
      </c>
      <c r="D3071">
        <v>0</v>
      </c>
      <c r="E3071" t="s">
        <v>2910</v>
      </c>
    </row>
    <row r="3072" spans="1:5">
      <c r="A3072">
        <f>HYPERLINK("http://www.twitter.com/NYCHA/status/696710108726878208", "696710108726878208")</f>
        <v>0</v>
      </c>
      <c r="B3072" s="2">
        <v>42408.6250925926</v>
      </c>
      <c r="C3072">
        <v>2</v>
      </c>
      <c r="D3072">
        <v>3</v>
      </c>
      <c r="E3072" t="s">
        <v>2911</v>
      </c>
    </row>
    <row r="3073" spans="1:5">
      <c r="A3073">
        <f>HYPERLINK("http://www.twitter.com/NYCHA/status/696705472339046400", "696705472339046400")</f>
        <v>0</v>
      </c>
      <c r="B3073" s="2">
        <v>42408.6123032407</v>
      </c>
      <c r="C3073">
        <v>1</v>
      </c>
      <c r="D3073">
        <v>0</v>
      </c>
      <c r="E3073" t="s">
        <v>2912</v>
      </c>
    </row>
    <row r="3074" spans="1:5">
      <c r="A3074">
        <f>HYPERLINK("http://www.twitter.com/NYCHA/status/696705358845370372", "696705358845370372")</f>
        <v>0</v>
      </c>
      <c r="B3074" s="2">
        <v>42408.6119907407</v>
      </c>
      <c r="C3074">
        <v>0</v>
      </c>
      <c r="D3074">
        <v>1</v>
      </c>
      <c r="E3074" t="s">
        <v>2913</v>
      </c>
    </row>
    <row r="3075" spans="1:5">
      <c r="A3075">
        <f>HYPERLINK("http://www.twitter.com/NYCHA/status/696695976585793537", "696695976585793537")</f>
        <v>0</v>
      </c>
      <c r="B3075" s="2">
        <v>42408.586099537</v>
      </c>
      <c r="C3075">
        <v>0</v>
      </c>
      <c r="D3075">
        <v>0</v>
      </c>
      <c r="E3075" t="s">
        <v>2662</v>
      </c>
    </row>
    <row r="3076" spans="1:5">
      <c r="A3076">
        <f>HYPERLINK("http://www.twitter.com/NYCHA/status/696035762266116097", "696035762266116097")</f>
        <v>0</v>
      </c>
      <c r="B3076" s="2">
        <v>42406.7642592593</v>
      </c>
      <c r="C3076">
        <v>2</v>
      </c>
      <c r="D3076">
        <v>2</v>
      </c>
      <c r="E3076" t="s">
        <v>2914</v>
      </c>
    </row>
    <row r="3077" spans="1:5">
      <c r="A3077">
        <f>HYPERLINK("http://www.twitter.com/NYCHA/status/696021905128685568", "696021905128685568")</f>
        <v>0</v>
      </c>
      <c r="B3077" s="2">
        <v>42406.7260185185</v>
      </c>
      <c r="C3077">
        <v>3</v>
      </c>
      <c r="D3077">
        <v>3</v>
      </c>
      <c r="E3077" t="s">
        <v>2915</v>
      </c>
    </row>
    <row r="3078" spans="1:5">
      <c r="A3078">
        <f>HYPERLINK("http://www.twitter.com/NYCHA/status/696016130608074752", "696016130608074752")</f>
        <v>0</v>
      </c>
      <c r="B3078" s="2">
        <v>42406.7100810185</v>
      </c>
      <c r="C3078">
        <v>0</v>
      </c>
      <c r="D3078">
        <v>1</v>
      </c>
      <c r="E3078" t="s">
        <v>2916</v>
      </c>
    </row>
    <row r="3079" spans="1:5">
      <c r="A3079">
        <f>HYPERLINK("http://www.twitter.com/NYCHA/status/696008313163616258", "696008313163616258")</f>
        <v>0</v>
      </c>
      <c r="B3079" s="2">
        <v>42406.6885069444</v>
      </c>
      <c r="C3079">
        <v>3</v>
      </c>
      <c r="D3079">
        <v>4</v>
      </c>
      <c r="E3079" t="s">
        <v>2917</v>
      </c>
    </row>
    <row r="3080" spans="1:5">
      <c r="A3080">
        <f>HYPERLINK("http://www.twitter.com/NYCHA/status/695971036228141057", "695971036228141057")</f>
        <v>0</v>
      </c>
      <c r="B3080" s="2">
        <v>42406.5856481481</v>
      </c>
      <c r="C3080">
        <v>1</v>
      </c>
      <c r="D3080">
        <v>3</v>
      </c>
      <c r="E3080" t="s">
        <v>2793</v>
      </c>
    </row>
    <row r="3081" spans="1:5">
      <c r="A3081">
        <f>HYPERLINK("http://www.twitter.com/NYCHA/status/695420697191981056", "695420697191981056")</f>
        <v>0</v>
      </c>
      <c r="B3081" s="2">
        <v>42405.0670023148</v>
      </c>
      <c r="C3081">
        <v>0</v>
      </c>
      <c r="D3081">
        <v>24</v>
      </c>
      <c r="E3081" t="s">
        <v>2918</v>
      </c>
    </row>
    <row r="3082" spans="1:5">
      <c r="A3082">
        <f>HYPERLINK("http://www.twitter.com/NYCHA/status/695417501975351296", "695417501975351296")</f>
        <v>0</v>
      </c>
      <c r="B3082" s="2">
        <v>42405.0581828704</v>
      </c>
      <c r="C3082">
        <v>0</v>
      </c>
      <c r="D3082">
        <v>3</v>
      </c>
      <c r="E3082" t="s">
        <v>2919</v>
      </c>
    </row>
    <row r="3083" spans="1:5">
      <c r="A3083">
        <f>HYPERLINK("http://www.twitter.com/NYCHA/status/695412837603094528", "695412837603094528")</f>
        <v>0</v>
      </c>
      <c r="B3083" s="2">
        <v>42405.0453125</v>
      </c>
      <c r="C3083">
        <v>0</v>
      </c>
      <c r="D3083">
        <v>4</v>
      </c>
      <c r="E3083" t="s">
        <v>2920</v>
      </c>
    </row>
    <row r="3084" spans="1:5">
      <c r="A3084">
        <f>HYPERLINK("http://www.twitter.com/NYCHA/status/695412810306580480", "695412810306580480")</f>
        <v>0</v>
      </c>
      <c r="B3084" s="2">
        <v>42405.0452314815</v>
      </c>
      <c r="C3084">
        <v>0</v>
      </c>
      <c r="D3084">
        <v>3</v>
      </c>
      <c r="E3084" t="s">
        <v>2921</v>
      </c>
    </row>
    <row r="3085" spans="1:5">
      <c r="A3085">
        <f>HYPERLINK("http://www.twitter.com/NYCHA/status/695412491048759296", "695412491048759296")</f>
        <v>0</v>
      </c>
      <c r="B3085" s="2">
        <v>42405.0443518519</v>
      </c>
      <c r="C3085">
        <v>0</v>
      </c>
      <c r="D3085">
        <v>5</v>
      </c>
      <c r="E3085" t="s">
        <v>2922</v>
      </c>
    </row>
    <row r="3086" spans="1:5">
      <c r="A3086">
        <f>HYPERLINK("http://www.twitter.com/NYCHA/status/695412207635402752", "695412207635402752")</f>
        <v>0</v>
      </c>
      <c r="B3086" s="2">
        <v>42405.0435763889</v>
      </c>
      <c r="C3086">
        <v>0</v>
      </c>
      <c r="D3086">
        <v>7</v>
      </c>
      <c r="E3086" t="s">
        <v>2923</v>
      </c>
    </row>
    <row r="3087" spans="1:5">
      <c r="A3087">
        <f>HYPERLINK("http://www.twitter.com/NYCHA/status/695412155689009154", "695412155689009154")</f>
        <v>0</v>
      </c>
      <c r="B3087" s="2">
        <v>42405.0434259259</v>
      </c>
      <c r="C3087">
        <v>0</v>
      </c>
      <c r="D3087">
        <v>24</v>
      </c>
      <c r="E3087" t="s">
        <v>2924</v>
      </c>
    </row>
    <row r="3088" spans="1:5">
      <c r="A3088">
        <f>HYPERLINK("http://www.twitter.com/NYCHA/status/695412049950560256", "695412049950560256")</f>
        <v>0</v>
      </c>
      <c r="B3088" s="2">
        <v>42405.0431365741</v>
      </c>
      <c r="C3088">
        <v>0</v>
      </c>
      <c r="D3088">
        <v>9</v>
      </c>
      <c r="E3088" t="s">
        <v>2925</v>
      </c>
    </row>
    <row r="3089" spans="1:5">
      <c r="A3089">
        <f>HYPERLINK("http://www.twitter.com/NYCHA/status/695404984880353280", "695404984880353280")</f>
        <v>0</v>
      </c>
      <c r="B3089" s="2">
        <v>42405.0236458333</v>
      </c>
      <c r="C3089">
        <v>0</v>
      </c>
      <c r="D3089">
        <v>8</v>
      </c>
      <c r="E3089" t="s">
        <v>2926</v>
      </c>
    </row>
    <row r="3090" spans="1:5">
      <c r="A3090">
        <f>HYPERLINK("http://www.twitter.com/NYCHA/status/695404747369504768", "695404747369504768")</f>
        <v>0</v>
      </c>
      <c r="B3090" s="2">
        <v>42405.0229861111</v>
      </c>
      <c r="C3090">
        <v>0</v>
      </c>
      <c r="D3090">
        <v>13</v>
      </c>
      <c r="E3090" t="s">
        <v>2927</v>
      </c>
    </row>
    <row r="3091" spans="1:5">
      <c r="A3091">
        <f>HYPERLINK("http://www.twitter.com/NYCHA/status/695404731787644928", "695404731787644928")</f>
        <v>0</v>
      </c>
      <c r="B3091" s="2">
        <v>42405.0229398148</v>
      </c>
      <c r="C3091">
        <v>0</v>
      </c>
      <c r="D3091">
        <v>12</v>
      </c>
      <c r="E3091" t="s">
        <v>2928</v>
      </c>
    </row>
    <row r="3092" spans="1:5">
      <c r="A3092">
        <f>HYPERLINK("http://www.twitter.com/NYCHA/status/695403373093257218", "695403373093257218")</f>
        <v>0</v>
      </c>
      <c r="B3092" s="2">
        <v>42405.0191898148</v>
      </c>
      <c r="C3092">
        <v>0</v>
      </c>
      <c r="D3092">
        <v>16</v>
      </c>
      <c r="E3092" t="s">
        <v>2929</v>
      </c>
    </row>
    <row r="3093" spans="1:5">
      <c r="A3093">
        <f>HYPERLINK("http://www.twitter.com/NYCHA/status/695403282320130048", "695403282320130048")</f>
        <v>0</v>
      </c>
      <c r="B3093" s="2">
        <v>42405.0189467593</v>
      </c>
      <c r="C3093">
        <v>0</v>
      </c>
      <c r="D3093">
        <v>14</v>
      </c>
      <c r="E3093" t="s">
        <v>2930</v>
      </c>
    </row>
    <row r="3094" spans="1:5">
      <c r="A3094">
        <f>HYPERLINK("http://www.twitter.com/NYCHA/status/695400706140844033", "695400706140844033")</f>
        <v>0</v>
      </c>
      <c r="B3094" s="2">
        <v>42405.0118287037</v>
      </c>
      <c r="C3094">
        <v>0</v>
      </c>
      <c r="D3094">
        <v>7</v>
      </c>
      <c r="E3094" t="s">
        <v>2931</v>
      </c>
    </row>
    <row r="3095" spans="1:5">
      <c r="A3095">
        <f>HYPERLINK("http://www.twitter.com/NYCHA/status/695388965386387456", "695388965386387456")</f>
        <v>0</v>
      </c>
      <c r="B3095" s="2">
        <v>42404.9794328704</v>
      </c>
      <c r="C3095">
        <v>0</v>
      </c>
      <c r="D3095">
        <v>1</v>
      </c>
      <c r="E3095" t="s">
        <v>2932</v>
      </c>
    </row>
    <row r="3096" spans="1:5">
      <c r="A3096">
        <f>HYPERLINK("http://www.twitter.com/NYCHA/status/695385249530810368", "695385249530810368")</f>
        <v>0</v>
      </c>
      <c r="B3096" s="2">
        <v>42404.9691782407</v>
      </c>
      <c r="C3096">
        <v>0</v>
      </c>
      <c r="D3096">
        <v>60</v>
      </c>
      <c r="E3096" t="s">
        <v>2933</v>
      </c>
    </row>
    <row r="3097" spans="1:5">
      <c r="A3097">
        <f>HYPERLINK("http://www.twitter.com/NYCHA/status/695373844882677763", "695373844882677763")</f>
        <v>0</v>
      </c>
      <c r="B3097" s="2">
        <v>42404.9377083333</v>
      </c>
      <c r="C3097">
        <v>1</v>
      </c>
      <c r="D3097">
        <v>2</v>
      </c>
      <c r="E3097" t="s">
        <v>2934</v>
      </c>
    </row>
    <row r="3098" spans="1:5">
      <c r="A3098">
        <f>HYPERLINK("http://www.twitter.com/NYCHA/status/695369781084450816", "695369781084450816")</f>
        <v>0</v>
      </c>
      <c r="B3098" s="2">
        <v>42404.9264930556</v>
      </c>
      <c r="C3098">
        <v>0</v>
      </c>
      <c r="D3098">
        <v>0</v>
      </c>
      <c r="E3098" t="s">
        <v>2935</v>
      </c>
    </row>
    <row r="3099" spans="1:5">
      <c r="A3099">
        <f>HYPERLINK("http://www.twitter.com/NYCHA/status/695364605116153856", "695364605116153856")</f>
        <v>0</v>
      </c>
      <c r="B3099" s="2">
        <v>42404.9122106481</v>
      </c>
      <c r="C3099">
        <v>0</v>
      </c>
      <c r="D3099">
        <v>0</v>
      </c>
      <c r="E3099" t="s">
        <v>2936</v>
      </c>
    </row>
    <row r="3100" spans="1:5">
      <c r="A3100">
        <f>HYPERLINK("http://www.twitter.com/NYCHA/status/695363302033993728", "695363302033993728")</f>
        <v>0</v>
      </c>
      <c r="B3100" s="2">
        <v>42404.9086226852</v>
      </c>
      <c r="C3100">
        <v>0</v>
      </c>
      <c r="D3100">
        <v>20</v>
      </c>
      <c r="E3100" t="s">
        <v>2937</v>
      </c>
    </row>
    <row r="3101" spans="1:5">
      <c r="A3101">
        <f>HYPERLINK("http://www.twitter.com/NYCHA/status/695358386695573504", "695358386695573504")</f>
        <v>0</v>
      </c>
      <c r="B3101" s="2">
        <v>42404.8950578704</v>
      </c>
      <c r="C3101">
        <v>3</v>
      </c>
      <c r="D3101">
        <v>2</v>
      </c>
      <c r="E3101" t="s">
        <v>2938</v>
      </c>
    </row>
    <row r="3102" spans="1:5">
      <c r="A3102">
        <f>HYPERLINK("http://www.twitter.com/NYCHA/status/695352164269461506", "695352164269461506")</f>
        <v>0</v>
      </c>
      <c r="B3102" s="2">
        <v>42404.8778819444</v>
      </c>
      <c r="C3102">
        <v>2</v>
      </c>
      <c r="D3102">
        <v>2</v>
      </c>
      <c r="E3102" t="s">
        <v>2939</v>
      </c>
    </row>
    <row r="3103" spans="1:5">
      <c r="A3103">
        <f>HYPERLINK("http://www.twitter.com/NYCHA/status/695348003066892288", "695348003066892288")</f>
        <v>0</v>
      </c>
      <c r="B3103" s="2">
        <v>42404.866400463</v>
      </c>
      <c r="C3103">
        <v>0</v>
      </c>
      <c r="D3103">
        <v>0</v>
      </c>
      <c r="E3103" t="s">
        <v>2940</v>
      </c>
    </row>
    <row r="3104" spans="1:5">
      <c r="A3104">
        <f>HYPERLINK("http://www.twitter.com/NYCHA/status/695321667984318464", "695321667984318464")</f>
        <v>0</v>
      </c>
      <c r="B3104" s="2">
        <v>42404.7937268519</v>
      </c>
      <c r="C3104">
        <v>1</v>
      </c>
      <c r="D3104">
        <v>1</v>
      </c>
      <c r="E3104" t="s">
        <v>2941</v>
      </c>
    </row>
    <row r="3105" spans="1:5">
      <c r="A3105">
        <f>HYPERLINK("http://www.twitter.com/NYCHA/status/695263458305138688", "695263458305138688")</f>
        <v>0</v>
      </c>
      <c r="B3105" s="2">
        <v>42404.6331018519</v>
      </c>
      <c r="C3105">
        <v>0</v>
      </c>
      <c r="D3105">
        <v>0</v>
      </c>
      <c r="E3105" t="s">
        <v>2942</v>
      </c>
    </row>
    <row r="3106" spans="1:5">
      <c r="A3106">
        <f>HYPERLINK("http://www.twitter.com/NYCHA/status/695261086824714240", "695261086824714240")</f>
        <v>0</v>
      </c>
      <c r="B3106" s="2">
        <v>42404.6265625</v>
      </c>
      <c r="C3106">
        <v>1</v>
      </c>
      <c r="D3106">
        <v>2</v>
      </c>
      <c r="E3106" t="s">
        <v>2943</v>
      </c>
    </row>
    <row r="3107" spans="1:5">
      <c r="A3107">
        <f>HYPERLINK("http://www.twitter.com/NYCHA/status/695246443678932992", "695246443678932992")</f>
        <v>0</v>
      </c>
      <c r="B3107" s="2">
        <v>42404.5861458333</v>
      </c>
      <c r="C3107">
        <v>0</v>
      </c>
      <c r="D3107">
        <v>1</v>
      </c>
      <c r="E3107" t="s">
        <v>2710</v>
      </c>
    </row>
    <row r="3108" spans="1:5">
      <c r="A3108">
        <f>HYPERLINK("http://www.twitter.com/NYCHA/status/694995445316259841", "694995445316259841")</f>
        <v>0</v>
      </c>
      <c r="B3108" s="2">
        <v>42403.8935300926</v>
      </c>
      <c r="C3108">
        <v>0</v>
      </c>
      <c r="D3108">
        <v>0</v>
      </c>
      <c r="E3108" t="s">
        <v>2944</v>
      </c>
    </row>
    <row r="3109" spans="1:5">
      <c r="A3109">
        <f>HYPERLINK("http://www.twitter.com/NYCHA/status/694991110217793536", "694991110217793536")</f>
        <v>0</v>
      </c>
      <c r="B3109" s="2">
        <v>42403.8815625</v>
      </c>
      <c r="C3109">
        <v>0</v>
      </c>
      <c r="D3109">
        <v>0</v>
      </c>
      <c r="E3109" t="s">
        <v>2945</v>
      </c>
    </row>
    <row r="3110" spans="1:5">
      <c r="A3110">
        <f>HYPERLINK("http://www.twitter.com/NYCHA/status/694964838255169538", "694964838255169538")</f>
        <v>0</v>
      </c>
      <c r="B3110" s="2">
        <v>42403.8090625</v>
      </c>
      <c r="C3110">
        <v>0</v>
      </c>
      <c r="D3110">
        <v>11</v>
      </c>
      <c r="E3110" t="s">
        <v>2946</v>
      </c>
    </row>
    <row r="3111" spans="1:5">
      <c r="A3111">
        <f>HYPERLINK("http://www.twitter.com/NYCHA/status/694946281295343616", "694946281295343616")</f>
        <v>0</v>
      </c>
      <c r="B3111" s="2">
        <v>42403.7578587963</v>
      </c>
      <c r="C3111">
        <v>2</v>
      </c>
      <c r="D3111">
        <v>4</v>
      </c>
      <c r="E3111" t="s">
        <v>1555</v>
      </c>
    </row>
    <row r="3112" spans="1:5">
      <c r="A3112">
        <f>HYPERLINK("http://www.twitter.com/NYCHA/status/694924859273580548", "694924859273580548")</f>
        <v>0</v>
      </c>
      <c r="B3112" s="2">
        <v>42403.69875</v>
      </c>
      <c r="C3112">
        <v>1</v>
      </c>
      <c r="D3112">
        <v>0</v>
      </c>
      <c r="E3112" t="s">
        <v>2947</v>
      </c>
    </row>
    <row r="3113" spans="1:5">
      <c r="A3113">
        <f>HYPERLINK("http://www.twitter.com/NYCHA/status/694899160705818624", "694899160705818624")</f>
        <v>0</v>
      </c>
      <c r="B3113" s="2">
        <v>42403.6278356481</v>
      </c>
      <c r="C3113">
        <v>0</v>
      </c>
      <c r="D3113">
        <v>0</v>
      </c>
      <c r="E3113" t="s">
        <v>2948</v>
      </c>
    </row>
    <row r="3114" spans="1:5">
      <c r="A3114">
        <f>HYPERLINK("http://www.twitter.com/NYCHA/status/694898809097318400", "694898809097318400")</f>
        <v>0</v>
      </c>
      <c r="B3114" s="2">
        <v>42403.6268634259</v>
      </c>
      <c r="C3114">
        <v>1</v>
      </c>
      <c r="D3114">
        <v>0</v>
      </c>
      <c r="E3114" t="s">
        <v>2949</v>
      </c>
    </row>
    <row r="3115" spans="1:5">
      <c r="A3115">
        <f>HYPERLINK("http://www.twitter.com/NYCHA/status/694895714183299072", "694895714183299072")</f>
        <v>0</v>
      </c>
      <c r="B3115" s="2">
        <v>42403.6183217593</v>
      </c>
      <c r="C3115">
        <v>0</v>
      </c>
      <c r="D3115">
        <v>3</v>
      </c>
      <c r="E3115" t="s">
        <v>2950</v>
      </c>
    </row>
    <row r="3116" spans="1:5">
      <c r="A3116">
        <f>HYPERLINK("http://www.twitter.com/NYCHA/status/694884045445054464", "694884045445054464")</f>
        <v>0</v>
      </c>
      <c r="B3116" s="2">
        <v>42403.5861226852</v>
      </c>
      <c r="C3116">
        <v>0</v>
      </c>
      <c r="D3116">
        <v>1</v>
      </c>
      <c r="E3116" t="s">
        <v>2951</v>
      </c>
    </row>
    <row r="3117" spans="1:5">
      <c r="A3117">
        <f>HYPERLINK("http://www.twitter.com/NYCHA/status/694648333734957057", "694648333734957057")</f>
        <v>0</v>
      </c>
      <c r="B3117" s="2">
        <v>42402.9356828704</v>
      </c>
      <c r="C3117">
        <v>0</v>
      </c>
      <c r="D3117">
        <v>3</v>
      </c>
      <c r="E3117" t="s">
        <v>2952</v>
      </c>
    </row>
    <row r="3118" spans="1:5">
      <c r="A3118">
        <f>HYPERLINK("http://www.twitter.com/NYCHA/status/694648267221647360", "694648267221647360")</f>
        <v>0</v>
      </c>
      <c r="B3118" s="2">
        <v>42402.9354976852</v>
      </c>
      <c r="C3118">
        <v>0</v>
      </c>
      <c r="D3118">
        <v>7</v>
      </c>
      <c r="E3118" t="s">
        <v>2953</v>
      </c>
    </row>
    <row r="3119" spans="1:5">
      <c r="A3119">
        <f>HYPERLINK("http://www.twitter.com/NYCHA/status/694604893211004928", "694604893211004928")</f>
        <v>0</v>
      </c>
      <c r="B3119" s="2">
        <v>42402.8158101852</v>
      </c>
      <c r="C3119">
        <v>6</v>
      </c>
      <c r="D3119">
        <v>3</v>
      </c>
      <c r="E3119" t="s">
        <v>2954</v>
      </c>
    </row>
    <row r="3120" spans="1:5">
      <c r="A3120">
        <f>HYPERLINK("http://www.twitter.com/NYCHA/status/694596325669761026", "694596325669761026")</f>
        <v>0</v>
      </c>
      <c r="B3120" s="2">
        <v>42402.7921643518</v>
      </c>
      <c r="C3120">
        <v>3</v>
      </c>
      <c r="D3120">
        <v>4</v>
      </c>
      <c r="E3120" t="s">
        <v>2955</v>
      </c>
    </row>
    <row r="3121" spans="1:5">
      <c r="A3121">
        <f>HYPERLINK("http://www.twitter.com/NYCHA/status/694562460611842050", "694562460611842050")</f>
        <v>0</v>
      </c>
      <c r="B3121" s="2">
        <v>42402.6987152778</v>
      </c>
      <c r="C3121">
        <v>0</v>
      </c>
      <c r="D3121">
        <v>3</v>
      </c>
      <c r="E3121" t="s">
        <v>2956</v>
      </c>
    </row>
    <row r="3122" spans="1:5">
      <c r="A3122">
        <f>HYPERLINK("http://www.twitter.com/NYCHA/status/694561974575861760", "694561974575861760")</f>
        <v>0</v>
      </c>
      <c r="B3122" s="2">
        <v>42402.6973726852</v>
      </c>
      <c r="C3122">
        <v>0</v>
      </c>
      <c r="D3122">
        <v>5</v>
      </c>
      <c r="E3122" t="s">
        <v>2957</v>
      </c>
    </row>
    <row r="3123" spans="1:5">
      <c r="A3123">
        <f>HYPERLINK("http://www.twitter.com/NYCHA/status/694521768321662977", "694521768321662977")</f>
        <v>0</v>
      </c>
      <c r="B3123" s="2">
        <v>42402.5864236111</v>
      </c>
      <c r="C3123">
        <v>0</v>
      </c>
      <c r="D3123">
        <v>0</v>
      </c>
      <c r="E3123" t="s">
        <v>2958</v>
      </c>
    </row>
    <row r="3124" spans="1:5">
      <c r="A3124">
        <f>HYPERLINK("http://www.twitter.com/NYCHA/status/694517133095600128", "694517133095600128")</f>
        <v>0</v>
      </c>
      <c r="B3124" s="2">
        <v>42402.5736342593</v>
      </c>
      <c r="C3124">
        <v>6</v>
      </c>
      <c r="D3124">
        <v>6</v>
      </c>
      <c r="E3124" t="s">
        <v>2959</v>
      </c>
    </row>
    <row r="3125" spans="1:5">
      <c r="A3125">
        <f>HYPERLINK("http://www.twitter.com/NYCHA/status/694311022690189312", "694311022690189312")</f>
        <v>0</v>
      </c>
      <c r="B3125" s="2">
        <v>42402.0048842593</v>
      </c>
      <c r="C3125">
        <v>0</v>
      </c>
      <c r="D3125">
        <v>3</v>
      </c>
      <c r="E3125" t="s">
        <v>2960</v>
      </c>
    </row>
    <row r="3126" spans="1:5">
      <c r="A3126">
        <f>HYPERLINK("http://www.twitter.com/NYCHA/status/694310909087498246", "694310909087498246")</f>
        <v>0</v>
      </c>
      <c r="B3126" s="2">
        <v>42402.0045717593</v>
      </c>
      <c r="C3126">
        <v>0</v>
      </c>
      <c r="D3126">
        <v>1</v>
      </c>
      <c r="E3126" t="s">
        <v>2961</v>
      </c>
    </row>
    <row r="3127" spans="1:5">
      <c r="A3127">
        <f>HYPERLINK("http://www.twitter.com/NYCHA/status/694283238437752832", "694283238437752832")</f>
        <v>0</v>
      </c>
      <c r="B3127" s="2">
        <v>42401.9282060185</v>
      </c>
      <c r="C3127">
        <v>0</v>
      </c>
      <c r="D3127">
        <v>5</v>
      </c>
      <c r="E3127" t="s">
        <v>2962</v>
      </c>
    </row>
    <row r="3128" spans="1:5">
      <c r="A3128">
        <f>HYPERLINK("http://www.twitter.com/NYCHA/status/694235045448552449", "694235045448552449")</f>
        <v>0</v>
      </c>
      <c r="B3128" s="2">
        <v>42401.7952199074</v>
      </c>
      <c r="C3128">
        <v>0</v>
      </c>
      <c r="D3128">
        <v>6</v>
      </c>
      <c r="E3128" t="s">
        <v>2963</v>
      </c>
    </row>
    <row r="3129" spans="1:5">
      <c r="A3129">
        <f>HYPERLINK("http://www.twitter.com/NYCHA/status/694234566991691778", "694234566991691778")</f>
        <v>0</v>
      </c>
      <c r="B3129" s="2">
        <v>42401.793900463</v>
      </c>
      <c r="C3129">
        <v>0</v>
      </c>
      <c r="D3129">
        <v>4</v>
      </c>
      <c r="E3129" t="s">
        <v>2964</v>
      </c>
    </row>
    <row r="3130" spans="1:5">
      <c r="A3130">
        <f>HYPERLINK("http://www.twitter.com/NYCHA/status/694206400084467713", "694206400084467713")</f>
        <v>0</v>
      </c>
      <c r="B3130" s="2">
        <v>42401.7161805556</v>
      </c>
      <c r="C3130">
        <v>0</v>
      </c>
      <c r="D3130">
        <v>1</v>
      </c>
      <c r="E3130" t="s">
        <v>2965</v>
      </c>
    </row>
    <row r="3131" spans="1:5">
      <c r="A3131">
        <f>HYPERLINK("http://www.twitter.com/NYCHA/status/694203757647810560", "694203757647810560")</f>
        <v>0</v>
      </c>
      <c r="B3131" s="2">
        <v>42401.7088888889</v>
      </c>
      <c r="C3131">
        <v>0</v>
      </c>
      <c r="D3131">
        <v>6</v>
      </c>
      <c r="E3131" t="s">
        <v>2966</v>
      </c>
    </row>
    <row r="3132" spans="1:5">
      <c r="A3132">
        <f>HYPERLINK("http://www.twitter.com/NYCHA/status/694196467439943681", "694196467439943681")</f>
        <v>0</v>
      </c>
      <c r="B3132" s="2">
        <v>42401.6887731481</v>
      </c>
      <c r="C3132">
        <v>2</v>
      </c>
      <c r="D3132">
        <v>5</v>
      </c>
      <c r="E3132" t="s">
        <v>2967</v>
      </c>
    </row>
    <row r="3133" spans="1:5">
      <c r="A3133">
        <f>HYPERLINK("http://www.twitter.com/NYCHA/status/694189778854645760", "694189778854645760")</f>
        <v>0</v>
      </c>
      <c r="B3133" s="2">
        <v>42401.6703125</v>
      </c>
      <c r="C3133">
        <v>3</v>
      </c>
      <c r="D3133">
        <v>0</v>
      </c>
      <c r="E3133" t="s">
        <v>2968</v>
      </c>
    </row>
    <row r="3134" spans="1:5">
      <c r="A3134">
        <f>HYPERLINK("http://www.twitter.com/NYCHA/status/694167304729403392", "694167304729403392")</f>
        <v>0</v>
      </c>
      <c r="B3134" s="2">
        <v>42401.6082986111</v>
      </c>
      <c r="C3134">
        <v>0</v>
      </c>
      <c r="D3134">
        <v>2</v>
      </c>
      <c r="E3134" t="s">
        <v>2969</v>
      </c>
    </row>
    <row r="3135" spans="1:5">
      <c r="A3135">
        <f>HYPERLINK("http://www.twitter.com/NYCHA/status/694159766990536704", "694159766990536704")</f>
        <v>0</v>
      </c>
      <c r="B3135" s="2">
        <v>42401.5874884259</v>
      </c>
      <c r="C3135">
        <v>0</v>
      </c>
      <c r="D3135">
        <v>0</v>
      </c>
      <c r="E3135" t="s">
        <v>2737</v>
      </c>
    </row>
    <row r="3136" spans="1:5">
      <c r="A3136">
        <f>HYPERLINK("http://www.twitter.com/NYCHA/status/694159226416041984", "694159226416041984")</f>
        <v>0</v>
      </c>
      <c r="B3136" s="2">
        <v>42401.5860069444</v>
      </c>
      <c r="C3136">
        <v>0</v>
      </c>
      <c r="D3136">
        <v>0</v>
      </c>
      <c r="E3136" t="s">
        <v>2738</v>
      </c>
    </row>
    <row r="3137" spans="1:5">
      <c r="A3137">
        <f>HYPERLINK("http://www.twitter.com/NYCHA/status/694144023548837888", "694144023548837888")</f>
        <v>0</v>
      </c>
      <c r="B3137" s="2">
        <v>42401.5440509259</v>
      </c>
      <c r="C3137">
        <v>1</v>
      </c>
      <c r="D3137">
        <v>2</v>
      </c>
      <c r="E3137" t="s">
        <v>2970</v>
      </c>
    </row>
    <row r="3138" spans="1:5">
      <c r="A3138">
        <f>HYPERLINK("http://www.twitter.com/NYCHA/status/693449205080309761", "693449205080309761")</f>
        <v>0</v>
      </c>
      <c r="B3138" s="2">
        <v>42399.626712963</v>
      </c>
      <c r="C3138">
        <v>1</v>
      </c>
      <c r="D3138">
        <v>3</v>
      </c>
      <c r="E3138" t="s">
        <v>1963</v>
      </c>
    </row>
    <row r="3139" spans="1:5">
      <c r="A3139">
        <f>HYPERLINK("http://www.twitter.com/NYCHA/status/693244869154840577", "693244869154840577")</f>
        <v>0</v>
      </c>
      <c r="B3139" s="2">
        <v>42399.0628587963</v>
      </c>
      <c r="C3139">
        <v>6</v>
      </c>
      <c r="D3139">
        <v>6</v>
      </c>
      <c r="E3139" t="s">
        <v>2971</v>
      </c>
    </row>
    <row r="3140" spans="1:5">
      <c r="A3140">
        <f>HYPERLINK("http://www.twitter.com/NYCHA/status/693184916318765056", "693184916318765056")</f>
        <v>0</v>
      </c>
      <c r="B3140" s="2">
        <v>42398.8974189815</v>
      </c>
      <c r="C3140">
        <v>4</v>
      </c>
      <c r="D3140">
        <v>4</v>
      </c>
      <c r="E3140" t="s">
        <v>2972</v>
      </c>
    </row>
    <row r="3141" spans="1:5">
      <c r="A3141">
        <f>HYPERLINK("http://www.twitter.com/NYCHA/status/693184377463898112", "693184377463898112")</f>
        <v>0</v>
      </c>
      <c r="B3141" s="2">
        <v>42398.8959259259</v>
      </c>
      <c r="C3141">
        <v>3</v>
      </c>
      <c r="D3141">
        <v>1</v>
      </c>
      <c r="E3141" t="s">
        <v>2973</v>
      </c>
    </row>
    <row r="3142" spans="1:5">
      <c r="A3142">
        <f>HYPERLINK("http://www.twitter.com/NYCHA/status/693183002952765440", "693183002952765440")</f>
        <v>0</v>
      </c>
      <c r="B3142" s="2">
        <v>42398.8921412037</v>
      </c>
      <c r="C3142">
        <v>0</v>
      </c>
      <c r="D3142">
        <v>0</v>
      </c>
      <c r="E3142" t="s">
        <v>2974</v>
      </c>
    </row>
    <row r="3143" spans="1:5">
      <c r="A3143">
        <f>HYPERLINK("http://www.twitter.com/NYCHA/status/693174436669841408", "693174436669841408")</f>
        <v>0</v>
      </c>
      <c r="B3143" s="2">
        <v>42398.8684953704</v>
      </c>
      <c r="C3143">
        <v>0</v>
      </c>
      <c r="D3143">
        <v>1</v>
      </c>
      <c r="E3143" t="s">
        <v>2975</v>
      </c>
    </row>
    <row r="3144" spans="1:5">
      <c r="A3144">
        <f>HYPERLINK("http://www.twitter.com/NYCHA/status/693160751956103168", "693160751956103168")</f>
        <v>0</v>
      </c>
      <c r="B3144" s="2">
        <v>42398.8307407407</v>
      </c>
      <c r="C3144">
        <v>0</v>
      </c>
      <c r="D3144">
        <v>0</v>
      </c>
      <c r="E3144" t="s">
        <v>2976</v>
      </c>
    </row>
    <row r="3145" spans="1:5">
      <c r="A3145">
        <f>HYPERLINK("http://www.twitter.com/NYCHA/status/693147309882884098", "693147309882884098")</f>
        <v>0</v>
      </c>
      <c r="B3145" s="2">
        <v>42398.7936458333</v>
      </c>
      <c r="C3145">
        <v>0</v>
      </c>
      <c r="D3145">
        <v>1</v>
      </c>
      <c r="E3145" t="s">
        <v>2977</v>
      </c>
    </row>
    <row r="3146" spans="1:5">
      <c r="A3146">
        <f>HYPERLINK("http://www.twitter.com/NYCHA/status/693146978428030976", "693146978428030976")</f>
        <v>0</v>
      </c>
      <c r="B3146" s="2">
        <v>42398.7927314815</v>
      </c>
      <c r="C3146">
        <v>2</v>
      </c>
      <c r="D3146">
        <v>2</v>
      </c>
      <c r="E3146" t="s">
        <v>2978</v>
      </c>
    </row>
    <row r="3147" spans="1:5">
      <c r="A3147">
        <f>HYPERLINK("http://www.twitter.com/NYCHA/status/693129706326081536", "693129706326081536")</f>
        <v>0</v>
      </c>
      <c r="B3147" s="2">
        <v>42398.7450694444</v>
      </c>
      <c r="C3147">
        <v>0</v>
      </c>
      <c r="D3147">
        <v>0</v>
      </c>
      <c r="E3147" t="s">
        <v>2979</v>
      </c>
    </row>
    <row r="3148" spans="1:5">
      <c r="A3148">
        <f>HYPERLINK("http://www.twitter.com/NYCHA/status/693122874211696641", "693122874211696641")</f>
        <v>0</v>
      </c>
      <c r="B3148" s="2">
        <v>42398.7262152778</v>
      </c>
      <c r="C3148">
        <v>3</v>
      </c>
      <c r="D3148">
        <v>2</v>
      </c>
      <c r="E3148" t="s">
        <v>2980</v>
      </c>
    </row>
    <row r="3149" spans="1:5">
      <c r="A3149">
        <f>HYPERLINK("http://www.twitter.com/NYCHA/status/693086809409077250", "693086809409077250")</f>
        <v>0</v>
      </c>
      <c r="B3149" s="2">
        <v>42398.6266898148</v>
      </c>
      <c r="C3149">
        <v>2</v>
      </c>
      <c r="D3149">
        <v>1</v>
      </c>
      <c r="E3149" t="s">
        <v>2981</v>
      </c>
    </row>
    <row r="3150" spans="1:5">
      <c r="A3150">
        <f>HYPERLINK("http://www.twitter.com/NYCHA/status/693086532815691777", "693086532815691777")</f>
        <v>0</v>
      </c>
      <c r="B3150" s="2">
        <v>42398.6259375</v>
      </c>
      <c r="C3150">
        <v>0</v>
      </c>
      <c r="D3150">
        <v>1</v>
      </c>
      <c r="E3150" t="s">
        <v>2982</v>
      </c>
    </row>
    <row r="3151" spans="1:5">
      <c r="A3151">
        <f>HYPERLINK("http://www.twitter.com/NYCHA/status/693086093403668480", "693086093403668480")</f>
        <v>0</v>
      </c>
      <c r="B3151" s="2">
        <v>42398.6247222222</v>
      </c>
      <c r="C3151">
        <v>0</v>
      </c>
      <c r="D3151">
        <v>2</v>
      </c>
      <c r="E3151" t="s">
        <v>2983</v>
      </c>
    </row>
    <row r="3152" spans="1:5">
      <c r="A3152">
        <f>HYPERLINK("http://www.twitter.com/NYCHA/status/693072127520563200", "693072127520563200")</f>
        <v>0</v>
      </c>
      <c r="B3152" s="2">
        <v>42398.5861805556</v>
      </c>
      <c r="C3152">
        <v>0</v>
      </c>
      <c r="D3152">
        <v>0</v>
      </c>
      <c r="E3152" t="s">
        <v>2984</v>
      </c>
    </row>
    <row r="3153" spans="1:5">
      <c r="A3153">
        <f>HYPERLINK("http://www.twitter.com/NYCHA/status/692817606303207424", "692817606303207424")</f>
        <v>0</v>
      </c>
      <c r="B3153" s="2">
        <v>42397.8838310185</v>
      </c>
      <c r="C3153">
        <v>0</v>
      </c>
      <c r="D3153">
        <v>40</v>
      </c>
      <c r="E3153" t="s">
        <v>2985</v>
      </c>
    </row>
    <row r="3154" spans="1:5">
      <c r="A3154">
        <f>HYPERLINK("http://www.twitter.com/NYCHA/status/692814748019245058", "692814748019245058")</f>
        <v>0</v>
      </c>
      <c r="B3154" s="2">
        <v>42397.8759490741</v>
      </c>
      <c r="C3154">
        <v>0</v>
      </c>
      <c r="D3154">
        <v>2</v>
      </c>
      <c r="E3154" t="s">
        <v>2986</v>
      </c>
    </row>
    <row r="3155" spans="1:5">
      <c r="A3155">
        <f>HYPERLINK("http://www.twitter.com/NYCHA/status/692806192532459521", "692806192532459521")</f>
        <v>0</v>
      </c>
      <c r="B3155" s="2">
        <v>42397.852337963</v>
      </c>
      <c r="C3155">
        <v>0</v>
      </c>
      <c r="D3155">
        <v>4</v>
      </c>
      <c r="E3155" t="s">
        <v>2987</v>
      </c>
    </row>
    <row r="3156" spans="1:5">
      <c r="A3156">
        <f>HYPERLINK("http://www.twitter.com/NYCHA/status/692802069141569536", "692802069141569536")</f>
        <v>0</v>
      </c>
      <c r="B3156" s="2">
        <v>42397.8409606482</v>
      </c>
      <c r="C3156">
        <v>1</v>
      </c>
      <c r="D3156">
        <v>0</v>
      </c>
      <c r="E3156" t="s">
        <v>2988</v>
      </c>
    </row>
    <row r="3157" spans="1:5">
      <c r="A3157">
        <f>HYPERLINK("http://www.twitter.com/NYCHA/status/692779635092910080", "692779635092910080")</f>
        <v>0</v>
      </c>
      <c r="B3157" s="2">
        <v>42397.7790509259</v>
      </c>
      <c r="C3157">
        <v>0</v>
      </c>
      <c r="D3157">
        <v>2</v>
      </c>
      <c r="E3157" t="s">
        <v>2989</v>
      </c>
    </row>
    <row r="3158" spans="1:5">
      <c r="A3158">
        <f>HYPERLINK("http://www.twitter.com/NYCHA/status/692746492227031044", "692746492227031044")</f>
        <v>0</v>
      </c>
      <c r="B3158" s="2">
        <v>42397.6876041667</v>
      </c>
      <c r="C3158">
        <v>2</v>
      </c>
      <c r="D3158">
        <v>2</v>
      </c>
      <c r="E3158" t="s">
        <v>2990</v>
      </c>
    </row>
    <row r="3159" spans="1:5">
      <c r="A3159">
        <f>HYPERLINK("http://www.twitter.com/NYCHA/status/692744580249313280", "692744580249313280")</f>
        <v>0</v>
      </c>
      <c r="B3159" s="2">
        <v>42397.6823263889</v>
      </c>
      <c r="C3159">
        <v>0</v>
      </c>
      <c r="D3159">
        <v>1</v>
      </c>
      <c r="E3159" t="s">
        <v>2991</v>
      </c>
    </row>
    <row r="3160" spans="1:5">
      <c r="A3160">
        <f>HYPERLINK("http://www.twitter.com/NYCHA/status/692739899334791168", "692739899334791168")</f>
        <v>0</v>
      </c>
      <c r="B3160" s="2">
        <v>42397.6694097222</v>
      </c>
      <c r="C3160">
        <v>1</v>
      </c>
      <c r="D3160">
        <v>1</v>
      </c>
      <c r="E3160" t="s">
        <v>2992</v>
      </c>
    </row>
    <row r="3161" spans="1:5">
      <c r="A3161">
        <f>HYPERLINK("http://www.twitter.com/NYCHA/status/692728885662867456", "692728885662867456")</f>
        <v>0</v>
      </c>
      <c r="B3161" s="2">
        <v>42397.6390162037</v>
      </c>
      <c r="C3161">
        <v>2</v>
      </c>
      <c r="D3161">
        <v>5</v>
      </c>
      <c r="E3161" t="s">
        <v>2993</v>
      </c>
    </row>
    <row r="3162" spans="1:5">
      <c r="A3162">
        <f>HYPERLINK("http://www.twitter.com/NYCHA/status/692724371094376448", "692724371094376448")</f>
        <v>0</v>
      </c>
      <c r="B3162" s="2">
        <v>42397.6265509259</v>
      </c>
      <c r="C3162">
        <v>7</v>
      </c>
      <c r="D3162">
        <v>1</v>
      </c>
      <c r="E3162" t="s">
        <v>2994</v>
      </c>
    </row>
    <row r="3163" spans="1:5">
      <c r="A3163">
        <f>HYPERLINK("http://www.twitter.com/NYCHA/status/692721718020947968", "692721718020947968")</f>
        <v>0</v>
      </c>
      <c r="B3163" s="2">
        <v>42397.6192361111</v>
      </c>
      <c r="C3163">
        <v>0</v>
      </c>
      <c r="D3163">
        <v>0</v>
      </c>
      <c r="E3163" t="s">
        <v>2995</v>
      </c>
    </row>
    <row r="3164" spans="1:5">
      <c r="A3164">
        <f>HYPERLINK("http://www.twitter.com/NYCHA/status/692721165685628928", "692721165685628928")</f>
        <v>0</v>
      </c>
      <c r="B3164" s="2">
        <v>42397.6177083333</v>
      </c>
      <c r="C3164">
        <v>0</v>
      </c>
      <c r="D3164">
        <v>2</v>
      </c>
      <c r="E3164" t="s">
        <v>2996</v>
      </c>
    </row>
    <row r="3165" spans="1:5">
      <c r="A3165">
        <f>HYPERLINK("http://www.twitter.com/NYCHA/status/692709732751122433", "692709732751122433")</f>
        <v>0</v>
      </c>
      <c r="B3165" s="2">
        <v>42397.5861574074</v>
      </c>
      <c r="C3165">
        <v>0</v>
      </c>
      <c r="D3165">
        <v>1</v>
      </c>
      <c r="E3165" t="s">
        <v>2997</v>
      </c>
    </row>
    <row r="3166" spans="1:5">
      <c r="A3166">
        <f>HYPERLINK("http://www.twitter.com/NYCHA/status/692694235200524288", "692694235200524288")</f>
        <v>0</v>
      </c>
      <c r="B3166" s="2">
        <v>42397.5433912037</v>
      </c>
      <c r="C3166">
        <v>0</v>
      </c>
      <c r="D3166">
        <v>1</v>
      </c>
      <c r="E3166" t="s">
        <v>2977</v>
      </c>
    </row>
    <row r="3167" spans="1:5">
      <c r="A3167">
        <f>HYPERLINK("http://www.twitter.com/NYCHA/status/692505313199677445", "692505313199677445")</f>
        <v>0</v>
      </c>
      <c r="B3167" s="2">
        <v>42397.0220717593</v>
      </c>
      <c r="C3167">
        <v>1</v>
      </c>
      <c r="D3167">
        <v>2</v>
      </c>
      <c r="E3167" t="s">
        <v>2998</v>
      </c>
    </row>
    <row r="3168" spans="1:5">
      <c r="A3168">
        <f>HYPERLINK("http://www.twitter.com/NYCHA/status/692503718382669828", "692503718382669828")</f>
        <v>0</v>
      </c>
      <c r="B3168" s="2">
        <v>42397.0176736111</v>
      </c>
      <c r="C3168">
        <v>5</v>
      </c>
      <c r="D3168">
        <v>7</v>
      </c>
      <c r="E3168" t="s">
        <v>2999</v>
      </c>
    </row>
    <row r="3169" spans="1:5">
      <c r="A3169">
        <f>HYPERLINK("http://www.twitter.com/NYCHA/status/692497296253173760", "692497296253173760")</f>
        <v>0</v>
      </c>
      <c r="B3169" s="2">
        <v>42396.9999537037</v>
      </c>
      <c r="C3169">
        <v>0</v>
      </c>
      <c r="D3169">
        <v>1</v>
      </c>
      <c r="E3169" t="s">
        <v>3000</v>
      </c>
    </row>
    <row r="3170" spans="1:5">
      <c r="A3170">
        <f>HYPERLINK("http://www.twitter.com/NYCHA/status/692485801624625152", "692485801624625152")</f>
        <v>0</v>
      </c>
      <c r="B3170" s="2">
        <v>42396.9682291667</v>
      </c>
      <c r="C3170">
        <v>4</v>
      </c>
      <c r="D3170">
        <v>3</v>
      </c>
      <c r="E3170" t="s">
        <v>3001</v>
      </c>
    </row>
    <row r="3171" spans="1:5">
      <c r="A3171">
        <f>HYPERLINK("http://www.twitter.com/NYCHA/status/692479766453161986", "692479766453161986")</f>
        <v>0</v>
      </c>
      <c r="B3171" s="2">
        <v>42396.9515740741</v>
      </c>
      <c r="C3171">
        <v>0</v>
      </c>
      <c r="D3171">
        <v>8</v>
      </c>
      <c r="E3171" t="s">
        <v>3002</v>
      </c>
    </row>
    <row r="3172" spans="1:5">
      <c r="A3172">
        <f>HYPERLINK("http://www.twitter.com/NYCHA/status/692475434139787267", "692475434139787267")</f>
        <v>0</v>
      </c>
      <c r="B3172" s="2">
        <v>42396.9396180556</v>
      </c>
      <c r="C3172">
        <v>0</v>
      </c>
      <c r="D3172">
        <v>5</v>
      </c>
      <c r="E3172" t="s">
        <v>3003</v>
      </c>
    </row>
    <row r="3173" spans="1:5">
      <c r="A3173">
        <f>HYPERLINK("http://www.twitter.com/NYCHA/status/692439682894970880", "692439682894970880")</f>
        <v>0</v>
      </c>
      <c r="B3173" s="2">
        <v>42396.8409606482</v>
      </c>
      <c r="C3173">
        <v>0</v>
      </c>
      <c r="D3173">
        <v>1</v>
      </c>
      <c r="E3173" t="s">
        <v>921</v>
      </c>
    </row>
    <row r="3174" spans="1:5">
      <c r="A3174">
        <f>HYPERLINK("http://www.twitter.com/NYCHA/status/692408503542124544", "692408503542124544")</f>
        <v>0</v>
      </c>
      <c r="B3174" s="2">
        <v>42396.7549305556</v>
      </c>
      <c r="C3174">
        <v>0</v>
      </c>
      <c r="D3174">
        <v>0</v>
      </c>
      <c r="E3174" t="s">
        <v>3004</v>
      </c>
    </row>
    <row r="3175" spans="1:5">
      <c r="A3175">
        <f>HYPERLINK("http://www.twitter.com/NYCHA/status/692407684071559168", "692407684071559168")</f>
        <v>0</v>
      </c>
      <c r="B3175" s="2">
        <v>42396.752662037</v>
      </c>
      <c r="C3175">
        <v>1</v>
      </c>
      <c r="D3175">
        <v>2</v>
      </c>
      <c r="E3175" t="s">
        <v>3005</v>
      </c>
    </row>
    <row r="3176" spans="1:5">
      <c r="A3176">
        <f>HYPERLINK("http://www.twitter.com/NYCHA/status/692393832093257730", "692393832093257730")</f>
        <v>0</v>
      </c>
      <c r="B3176" s="2">
        <v>42396.7144444444</v>
      </c>
      <c r="C3176">
        <v>0</v>
      </c>
      <c r="D3176">
        <v>0</v>
      </c>
      <c r="E3176" t="s">
        <v>3004</v>
      </c>
    </row>
    <row r="3177" spans="1:5">
      <c r="A3177">
        <f>HYPERLINK("http://www.twitter.com/NYCHA/status/692369349961719809", "692369349961719809")</f>
        <v>0</v>
      </c>
      <c r="B3177" s="2">
        <v>42396.6468865741</v>
      </c>
      <c r="C3177">
        <v>2</v>
      </c>
      <c r="D3177">
        <v>2</v>
      </c>
      <c r="E3177" t="s">
        <v>3006</v>
      </c>
    </row>
    <row r="3178" spans="1:5">
      <c r="A3178">
        <f>HYPERLINK("http://www.twitter.com/NYCHA/status/692361554344448000", "692361554344448000")</f>
        <v>0</v>
      </c>
      <c r="B3178" s="2">
        <v>42396.6253703704</v>
      </c>
      <c r="C3178">
        <v>0</v>
      </c>
      <c r="D3178">
        <v>1</v>
      </c>
      <c r="E3178" t="s">
        <v>3007</v>
      </c>
    </row>
    <row r="3179" spans="1:5">
      <c r="A3179">
        <f>HYPERLINK("http://www.twitter.com/NYCHA/status/692358948117221376", "692358948117221376")</f>
        <v>0</v>
      </c>
      <c r="B3179" s="2">
        <v>42396.6181828704</v>
      </c>
      <c r="C3179">
        <v>0</v>
      </c>
      <c r="D3179">
        <v>0</v>
      </c>
      <c r="E3179" t="s">
        <v>3008</v>
      </c>
    </row>
    <row r="3180" spans="1:5">
      <c r="A3180">
        <f>HYPERLINK("http://www.twitter.com/NYCHA/status/692355672323837952", "692355672323837952")</f>
        <v>0</v>
      </c>
      <c r="B3180" s="2">
        <v>42396.6091435185</v>
      </c>
      <c r="C3180">
        <v>1</v>
      </c>
      <c r="D3180">
        <v>1</v>
      </c>
      <c r="E3180" t="s">
        <v>3009</v>
      </c>
    </row>
    <row r="3181" spans="1:5">
      <c r="A3181">
        <f>HYPERLINK("http://www.twitter.com/NYCHA/status/692347407837831169", "692347407837831169")</f>
        <v>0</v>
      </c>
      <c r="B3181" s="2">
        <v>42396.5863310185</v>
      </c>
      <c r="C3181">
        <v>1</v>
      </c>
      <c r="D3181">
        <v>1</v>
      </c>
      <c r="E3181" t="s">
        <v>3010</v>
      </c>
    </row>
    <row r="3182" spans="1:5">
      <c r="A3182">
        <f>HYPERLINK("http://www.twitter.com/NYCHA/status/692345262652706816", "692345262652706816")</f>
        <v>0</v>
      </c>
      <c r="B3182" s="2">
        <v>42396.5804166667</v>
      </c>
      <c r="C3182">
        <v>0</v>
      </c>
      <c r="D3182">
        <v>0</v>
      </c>
      <c r="E3182" t="s">
        <v>3011</v>
      </c>
    </row>
    <row r="3183" spans="1:5">
      <c r="A3183">
        <f>HYPERLINK("http://www.twitter.com/NYCHA/status/692344286617145344", "692344286617145344")</f>
        <v>0</v>
      </c>
      <c r="B3183" s="2">
        <v>42396.5777199074</v>
      </c>
      <c r="C3183">
        <v>0</v>
      </c>
      <c r="D3183">
        <v>3</v>
      </c>
      <c r="E3183" t="s">
        <v>3012</v>
      </c>
    </row>
    <row r="3184" spans="1:5">
      <c r="A3184">
        <f>HYPERLINK("http://www.twitter.com/NYCHA/status/692339035881246720", "692339035881246720")</f>
        <v>0</v>
      </c>
      <c r="B3184" s="2">
        <v>42396.5632291667</v>
      </c>
      <c r="C3184">
        <v>0</v>
      </c>
      <c r="D3184">
        <v>0</v>
      </c>
      <c r="E3184" t="s">
        <v>3013</v>
      </c>
    </row>
    <row r="3185" spans="1:5">
      <c r="A3185">
        <f>HYPERLINK("http://www.twitter.com/NYCHA/status/692203542992568321", "692203542992568321")</f>
        <v>0</v>
      </c>
      <c r="B3185" s="2">
        <v>42396.1893402778</v>
      </c>
      <c r="C3185">
        <v>0</v>
      </c>
      <c r="D3185">
        <v>4</v>
      </c>
      <c r="E3185" t="s">
        <v>3014</v>
      </c>
    </row>
    <row r="3186" spans="1:5">
      <c r="A3186">
        <f>HYPERLINK("http://www.twitter.com/NYCHA/status/692201835482996737", "692201835482996737")</f>
        <v>0</v>
      </c>
      <c r="B3186" s="2">
        <v>42396.1846296296</v>
      </c>
      <c r="C3186">
        <v>0</v>
      </c>
      <c r="D3186">
        <v>1</v>
      </c>
      <c r="E3186" t="s">
        <v>3015</v>
      </c>
    </row>
    <row r="3187" spans="1:5">
      <c r="A3187">
        <f>HYPERLINK("http://www.twitter.com/NYCHA/status/692170118865010690", "692170118865010690")</f>
        <v>0</v>
      </c>
      <c r="B3187" s="2">
        <v>42396.0971064815</v>
      </c>
      <c r="C3187">
        <v>0</v>
      </c>
      <c r="D3187">
        <v>4</v>
      </c>
      <c r="E3187" t="s">
        <v>3016</v>
      </c>
    </row>
    <row r="3188" spans="1:5">
      <c r="A3188">
        <f>HYPERLINK("http://www.twitter.com/NYCHA/status/692162689989251072", "692162689989251072")</f>
        <v>0</v>
      </c>
      <c r="B3188" s="2">
        <v>42396.0766087963</v>
      </c>
      <c r="C3188">
        <v>0</v>
      </c>
      <c r="D3188">
        <v>4</v>
      </c>
      <c r="E3188" t="s">
        <v>3017</v>
      </c>
    </row>
    <row r="3189" spans="1:5">
      <c r="A3189">
        <f>HYPERLINK("http://www.twitter.com/NYCHA/status/692154307794321408", "692154307794321408")</f>
        <v>0</v>
      </c>
      <c r="B3189" s="2">
        <v>42396.0534837963</v>
      </c>
      <c r="C3189">
        <v>2</v>
      </c>
      <c r="D3189">
        <v>8</v>
      </c>
      <c r="E3189" t="s">
        <v>811</v>
      </c>
    </row>
    <row r="3190" spans="1:5">
      <c r="A3190">
        <f>HYPERLINK("http://www.twitter.com/NYCHA/status/692147371258597380", "692147371258597380")</f>
        <v>0</v>
      </c>
      <c r="B3190" s="2">
        <v>42396.0343402778</v>
      </c>
      <c r="C3190">
        <v>0</v>
      </c>
      <c r="D3190">
        <v>1</v>
      </c>
      <c r="E3190" t="s">
        <v>3018</v>
      </c>
    </row>
    <row r="3191" spans="1:5">
      <c r="A3191">
        <f>HYPERLINK("http://www.twitter.com/NYCHA/status/692146286443761664", "692146286443761664")</f>
        <v>0</v>
      </c>
      <c r="B3191" s="2">
        <v>42396.0313425926</v>
      </c>
      <c r="C3191">
        <v>1</v>
      </c>
      <c r="D3191">
        <v>0</v>
      </c>
      <c r="E3191" t="s">
        <v>3019</v>
      </c>
    </row>
    <row r="3192" spans="1:5">
      <c r="A3192">
        <f>HYPERLINK("http://www.twitter.com/NYCHA/status/692145043373703168", "692145043373703168")</f>
        <v>0</v>
      </c>
      <c r="B3192" s="2">
        <v>42396.0279166667</v>
      </c>
      <c r="C3192">
        <v>1</v>
      </c>
      <c r="D3192">
        <v>0</v>
      </c>
      <c r="E3192" t="s">
        <v>3020</v>
      </c>
    </row>
    <row r="3193" spans="1:5">
      <c r="A3193">
        <f>HYPERLINK("http://www.twitter.com/NYCHA/status/692144273404383233", "692144273404383233")</f>
        <v>0</v>
      </c>
      <c r="B3193" s="2">
        <v>42396.025787037</v>
      </c>
      <c r="C3193">
        <v>0</v>
      </c>
      <c r="D3193">
        <v>0</v>
      </c>
      <c r="E3193" t="s">
        <v>3021</v>
      </c>
    </row>
    <row r="3194" spans="1:5">
      <c r="A3194">
        <f>HYPERLINK("http://www.twitter.com/NYCHA/status/692144009041547265", "692144009041547265")</f>
        <v>0</v>
      </c>
      <c r="B3194" s="2">
        <v>42396.0250578704</v>
      </c>
      <c r="C3194">
        <v>0</v>
      </c>
      <c r="D3194">
        <v>2</v>
      </c>
      <c r="E3194" t="s">
        <v>3022</v>
      </c>
    </row>
    <row r="3195" spans="1:5">
      <c r="A3195">
        <f>HYPERLINK("http://www.twitter.com/NYCHA/status/692143270294614016", "692143270294614016")</f>
        <v>0</v>
      </c>
      <c r="B3195" s="2">
        <v>42396.0230208333</v>
      </c>
      <c r="C3195">
        <v>1</v>
      </c>
      <c r="D3195">
        <v>4</v>
      </c>
      <c r="E3195" t="s">
        <v>3023</v>
      </c>
    </row>
    <row r="3196" spans="1:5">
      <c r="A3196">
        <f>HYPERLINK("http://www.twitter.com/NYCHA/status/692143119568084992", "692143119568084992")</f>
        <v>0</v>
      </c>
      <c r="B3196" s="2">
        <v>42396.0226041667</v>
      </c>
      <c r="C3196">
        <v>2</v>
      </c>
      <c r="D3196">
        <v>3</v>
      </c>
      <c r="E3196" t="s">
        <v>3024</v>
      </c>
    </row>
    <row r="3197" spans="1:5">
      <c r="A3197">
        <f>HYPERLINK("http://www.twitter.com/NYCHA/status/692140615757340673", "692140615757340673")</f>
        <v>0</v>
      </c>
      <c r="B3197" s="2">
        <v>42396.0156944444</v>
      </c>
      <c r="C3197">
        <v>1</v>
      </c>
      <c r="D3197">
        <v>0</v>
      </c>
      <c r="E3197" t="s">
        <v>3025</v>
      </c>
    </row>
    <row r="3198" spans="1:5">
      <c r="A3198">
        <f>HYPERLINK("http://www.twitter.com/NYCHA/status/692140348404015104", "692140348404015104")</f>
        <v>0</v>
      </c>
      <c r="B3198" s="2">
        <v>42396.0149652778</v>
      </c>
      <c r="C3198">
        <v>1</v>
      </c>
      <c r="D3198">
        <v>3</v>
      </c>
      <c r="E3198" t="s">
        <v>3026</v>
      </c>
    </row>
    <row r="3199" spans="1:5">
      <c r="A3199">
        <f>HYPERLINK("http://www.twitter.com/NYCHA/status/692140182959722496", "692140182959722496")</f>
        <v>0</v>
      </c>
      <c r="B3199" s="2">
        <v>42396.0145023148</v>
      </c>
      <c r="C3199">
        <v>2</v>
      </c>
      <c r="D3199">
        <v>3</v>
      </c>
      <c r="E3199" t="s">
        <v>3027</v>
      </c>
    </row>
    <row r="3200" spans="1:5">
      <c r="A3200">
        <f>HYPERLINK("http://www.twitter.com/NYCHA/status/692140097823707136", "692140097823707136")</f>
        <v>0</v>
      </c>
      <c r="B3200" s="2">
        <v>42396.0142708333</v>
      </c>
      <c r="C3200">
        <v>2</v>
      </c>
      <c r="D3200">
        <v>0</v>
      </c>
      <c r="E3200" t="s">
        <v>3028</v>
      </c>
    </row>
    <row r="3201" spans="1:5">
      <c r="A3201">
        <f>HYPERLINK("http://www.twitter.com/NYCHA/status/692139987056365569", "692139987056365569")</f>
        <v>0</v>
      </c>
      <c r="B3201" s="2">
        <v>42396.0139583333</v>
      </c>
      <c r="C3201">
        <v>2</v>
      </c>
      <c r="D3201">
        <v>3</v>
      </c>
      <c r="E3201" t="s">
        <v>3029</v>
      </c>
    </row>
  </sheetData>
  <hyperlinks>
    <hyperlink ref="E836" r:id="rId1"/>
    <hyperlink ref="E1289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2016-12-12T19:27:31Z</dcterms:created>
  <dcterms:modified xsi:type="dcterms:W3CDTF">2016-12-12T19:27:31Z</dcterms:modified>
</cp:coreProperties>
</file>