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<sst xmlns="http://schemas.openxmlformats.org/spreadsheetml/2006/main" count="3205" uniqueCount="3202">
  <si>
    <t>link</t>
  </si>
  <si>
    <t>created_at</t>
  </si>
  <si>
    <t>fav</t>
  </si>
  <si>
    <t>rt</t>
  </si>
  <si>
    <t>text</t>
  </si>
  <si>
    <t>RT @CentralParkNYC: Save the Date! The Central Park Ice Festival will be held February 11. Details here: https://t.co/JRxtBE2CJO https://t.…</t>
  </si>
  <si>
    <t>@JuanRosa_NYC @MarkLevineNYC @dennyfarrell We will continue to monitor the deer to make sure that no one is harassing or feeding it. (3/3)</t>
  </si>
  <si>
    <t>@JuanRosa_NYC @NY4P @MarkLevineNYC @dennyfarrell @EspaillatNY @galeabrewer @LizRittr It appears to be healthy and uninjured. (2/3)</t>
  </si>
  <si>
    <t>@JuanRosa_NYC @NY4P @MarkLevineNYC @dennyfarrell @EspaillatNY @galeabrewer @LizRittr We have been monitoring this deer for a few days. (1/3)</t>
  </si>
  <si>
    <t>@TheotherKellyB Hi Kelly, looping in @nyc311 to help.</t>
  </si>
  <si>
    <t>@stormhur @NYCMayor We will continue to monitor the deer to make sure that no one is harassing or feeding it. (2/2)</t>
  </si>
  <si>
    <t>@stormhur @NYCMayor Hi! We have been monitoring this deer for a few days. It appears to be healthy and uninjured. (1/2)</t>
  </si>
  <si>
    <t>@WhitneyBritt We will continue to monitor the deer to make sure that no one is harassing or feeding it. (2/2)</t>
  </si>
  <si>
    <t>@WhitneyBritt Hi Whitney, we have been monitoring this deer for a few days. It appears to be healthy and uninjured. (1/2)</t>
  </si>
  <si>
    <t>Help protect the homes of NYC's endangered shorebirds—the piping plover, at this volunteer event:… https://t.co/1Y1uGRKdJs</t>
  </si>
  <si>
    <t>RT @nycHealthy: Need some #MondayMotivation for working out? Check out these FREE indoor fitness classes: https://t.co/E5SXXqJKyp https://t…</t>
  </si>
  <si>
    <t>Join us at Holiday on the Hudson tomorrow night for caroling, swing dancing, and of course, a tree lighting!… https://t.co/G1KDZcBmDt</t>
  </si>
  <si>
    <t>@womanship We will continue to monitor the deer to make sure that no one is harassing or feeding it.</t>
  </si>
  <si>
    <t>@womanship Thanks for your concern. We have been monitoring this deer for a few days. It appears to be healthy and uninjured.</t>
  </si>
  <si>
    <t>Shop for gifts for the park lover in your life at our booth at the Union Square Holiday Market:… https://t.co/wewFtsdVnb</t>
  </si>
  <si>
    <t>We're offering free Learn to Swim lessons for kids during Winter Recess. For registration info, visit… https://t.co/GG25FmNgXp</t>
  </si>
  <si>
    <t>Happy Friday, NYC! Here's a list of fun things to do this weekend: https://t.co/yh9wIkkZM4 https://t.co/PqJjj6WPut</t>
  </si>
  <si>
    <t>LIVE on #Periscope: Remembering#JohnLennonatStrawberry Fields in Central Park #imagine https://t.co/PXY48bB2mA</t>
  </si>
  <si>
    <t>We're looking for volunteers to help us care for young trees in Forest Park. Sign up here: https://t.co/XRXzmrEr7G https://t.co/tpY1JufHMY</t>
  </si>
  <si>
    <t>More than 8K NYC street trees are American elms. Find one near you on our Street Tree Map at https://t.co/fWR58ezgry https://t.co/7CwL0rFYl6</t>
  </si>
  <si>
    <t>Today, we remember #JohnLennon. At 5pm, join us live on https://t.co/IWbP4OFCYu from his memorial at Strawberry Fie… https://t.co/qNMxV5D4jT</t>
  </si>
  <si>
    <t>LIVE on #Periscope: Bryant Park in Midtown Manhattan is Transformed into a Winter Village for the #Holidays. https://t.co/CbUkVBXeBV</t>
  </si>
  <si>
    <t>On Sunday, our Urban Park Rangers will lead a free hike through @CentralParkNYC! To join, sign up here:… https://t.co/1xPelwnbX1</t>
  </si>
  <si>
    <t>At 6 p.m., come to Washington Square Park for the annual tree lighting at the arch! https://t.co/dyQO3ShSqj https://t.co/xjWIzBmGVq</t>
  </si>
  <si>
    <t>What park animal are you most like? Take this quiz to find out: https://t.co/x4Rh2QPp8v https://t.co/ozu4bIoZqy</t>
  </si>
  <si>
    <t>RT @CentralParkNYC: The chimes of the Delacorte Clock are ringing in the holiday season... #centralparkmoments https://t.co/GgCxgq3Gfe</t>
  </si>
  <si>
    <t>LIVE on #Periscope: Holiday Wreaths on display in Central Park https://t.co/bdRVS51ySC</t>
  </si>
  <si>
    <t>Want to have your art displayed at @SocratesPark? Apply to the Emerging Artist Fellowship at… https://t.co/1eE9NMWnQH</t>
  </si>
  <si>
    <t>Teens can join our free RecYouth program &amp;amp; learn game design, film, coding &amp;amp; more. See their work &amp;amp; get info on Fri. https://t.co/u72Jjdp0fh</t>
  </si>
  <si>
    <t>This Saturday, join the Urban Park Rangers on a free tour of the monuments of @prospect_park!… https://t.co/Majvf6Y0uG</t>
  </si>
  <si>
    <t>We asked New Yorkers to create unique wreaths for our annual show. See the best at our opening tomorrow! https://t.co/VbgftgLTOA</t>
  </si>
  <si>
    <t>If you see injured wildlife in a park, give it some distance and call 311. (2/2)</t>
  </si>
  <si>
    <t>Ranger Rob rescued this red-tailed hawk found hurt. After recovering, it was released into Central Park last week.… https://t.co/4wRffWjZJW</t>
  </si>
  <si>
    <t>Find a free exercise class that fits your schedule: https://t.co/6oQ5b5nwaf. There's no class registration; just sh… https://t.co/3I0AEGslNW</t>
  </si>
  <si>
    <t>Become a lifeguard and help keep New Yorkers safe at our beaches and pools next summer: https://t.co/sMBDgf2L8z https://t.co/1DuqfQIcgL</t>
  </si>
  <si>
    <t>LIVE on #Periscope: Holiday Tree Lighting in Astoria Park, Queens, NY https://t.co/cfFPEm3OtD</t>
  </si>
  <si>
    <t>We're looking for volunteers to help with this weekend's Green Neighborhood projects. Sign up here:… https://t.co/sMo6wr5zPV</t>
  </si>
  <si>
    <t>Meet the artists of this year's Whimsical Winter Wonder exhibit at the opening reception this Saturday!… https://t.co/Swpa8jQidA</t>
  </si>
  <si>
    <t>Visit our booth at the Union Square Holiday Market to shop for Parks-themed gifts, from tote bags to park signs!… https://t.co/YzqupUqNWs</t>
  </si>
  <si>
    <t>RT @LakesideBKLYN: #Hockey clinics, house leagues, &amp;amp; open sessions for all ages. #HockeyFanatics, we've got you covered: https://t.co/TR1o2…</t>
  </si>
  <si>
    <t>Happy Friday, NYC! Here are some fun things to do this weekend: https://t.co/GwJAqVBp02 https://t.co/cXstLBlNEk</t>
  </si>
  <si>
    <t>LIVE on #Periscope: Glowing Hammocks at Worth Square in the Flatiron with @nyc_dot and @FlatIronNY #Art https://t.co/8wWnBmoL5e</t>
  </si>
  <si>
    <t>Celebrate the holiday season at an upcoming tree lighting in the park! Here's the schedule: https://t.co/tzcaeCZ2wh https://t.co/uHm9WRbavH</t>
  </si>
  <si>
    <t>We're proud to bring this new open space to the Village. Head to 7th Avenue and W. 12th Street to see @AIDSMemPark. https://t.co/0orqJq8UIl</t>
  </si>
  <si>
    <t>NYC has more than 685K street trees and now you can learn about every single one on the NYC Street Tree Map at… https://t.co/EJl1lzRdzL</t>
  </si>
  <si>
    <t>LIVE on #Periscope: Up close look at the Panorama of NYC @QueensMuseum in Flushing Meadows Corona Park https://t.co/6YQO6nB61I</t>
  </si>
  <si>
    <t>@SHOWTIME___nyc We want your help! Call or email our @PFPNYC outreach coordinator, Kirsti Bambridge here: https://t.co/I0JliDWsbM</t>
  </si>
  <si>
    <t>@eJam Sorry to hear. Please share this with @nyc311 as well w/ the exact location, so they can help determine the jurisdiction and response.</t>
  </si>
  <si>
    <t>What's your biggest wish? Visit @DyckmanFarm over the holidays to share your wish at this interactive well--and see… https://t.co/65HM41zXi1</t>
  </si>
  <si>
    <t>@pfrishauf @ydanis And thank you for attending and sharing your ideas!</t>
  </si>
  <si>
    <t>@AliciaMcElhaney @ProjectHEALnyc Thanks for sharing--and volunteering! If anyone wants to get started, check here: https://t.co/LDlG0uMClS</t>
  </si>
  <si>
    <t>Holiday festivals and local tree lightings start soon, and Santa's a special guest! Visit https://t.co/jqeBFzCzXU t… https://t.co/2uV7fx7Pwv</t>
  </si>
  <si>
    <t>It's #GivingTuesday! Make this year’s gift special. Dedicate a bench to your loved one: https://t.co/sKy6kRw8fG &amp;amp; h… https://t.co/c7MmVsVA9G</t>
  </si>
  <si>
    <t>What amenities would you like to see in @freshkillspark? Share your ideas at the community meeting on November 30:… https://t.co/QchQSHO9Vs</t>
  </si>
  <si>
    <t>Educators/PTA Members: bring our Urban Park Rangers to your school to teach nature and NYC history:… https://t.co/r9amnuTVJz</t>
  </si>
  <si>
    <t>This could be your office view next summer! Become a lifeguard and help keep NYers safe at our beaches and pools:… https://t.co/0VLYzw8CBk</t>
  </si>
  <si>
    <t>Last chance to see "My Father's Son", a photo exhibit of NYC public spaces in the 1950s vs. today.… https://t.co/KfOS1Ba5qN</t>
  </si>
  <si>
    <t>Tonight, come to Dante Park's tree lighting at @WintersEve, New York's largest holiday fest! https://t.co/Rl9UVbqacQ https://t.co/FsqsITVIIg</t>
  </si>
  <si>
    <t>RT @nyc311: Kids ages 8-17 can join @NYCParks #free Millennium Basketball Winter League thru Jan. 20,2017. 1st come, 1st serve: https://t.c…</t>
  </si>
  <si>
    <t>What amenities would you like to see in St. Mary's Park? Share your thoughts with us at the community meeting:… https://t.co/SlJl4jhypq</t>
  </si>
  <si>
    <t>Know someone who wants to be an NYC lifeguard next summer? Qualifying tests start on December 1:… https://t.co/dRRNIFyEZI</t>
  </si>
  <si>
    <t>Work off all that turkey and stuffing on these #BlackFriday hikes with our Urban Park Rangers:… https://t.co/WKPJurXP0l</t>
  </si>
  <si>
    <t>RT @NYCMayorsOffice: Can't wait for sunny afternoons in North Brooklyn. The final piece is in place. #HeresOurPark https://t.co/FWSleCx75z</t>
  </si>
  <si>
    <t>Cuteness alert! Here are 13 baby animals we're thankful for this year: https://t.co/LNOTAPRgBt https://t.co/fSQlYlo8yd</t>
  </si>
  <si>
    <t>Happy Thanksgiving Eve! From ice skating to leaf peeping, here are some fun things to do this Thanksgiving weekend:… https://t.co/V2Br6vrxt6</t>
  </si>
  <si>
    <t>This Saturday, join our park rangers on a hike to the most scenic spots in Inwood Hill Park: https://t.co/PFokTZXUwN https://t.co/PNYGZ2LgXc</t>
  </si>
  <si>
    <t>How would you make Highbridge Park better? Share your ideas at the community input meeting on November 28:… https://t.co/OWqAmDWjWL</t>
  </si>
  <si>
    <t>On #BlackFriday, unwind from shopping with a free Ranger-led hiking adventure through NYC's hidden gems:… https://t.co/vMtC9tQrD4</t>
  </si>
  <si>
    <t>RT @NYCMayorsOffice: 🚨 Great news! NYC has acquired the last parcel of land needed to complete Bushwick Inlet Park. https://t.co/HAdVwB8w5q</t>
  </si>
  <si>
    <t>LIVE on #Periscope: Experts guide us through the bountiful Greenmarket at Union Square Park. https://t.co/62W6UoChM3</t>
  </si>
  <si>
    <t>Tune in to https://t.co/PmAhZP0yeW at 10am today for a live pre-Thanksgiving Day tour of the markets in Union Squar… https://t.co/sYlof4jkT8</t>
  </si>
  <si>
    <t>How well do you know NYC's World's Fair history? Put your knowledge to the test at this Sunday's scavenger hunt:… https://t.co/YP7bSlGVgz</t>
  </si>
  <si>
    <t>LIVE on #Periscope: Behind the scenes at Flushing Meadows Corona Park Pool &amp;amp; Rink in Queens https://t.co/TBOSLpDm2d</t>
  </si>
  <si>
    <t>Too cold to work out outside? Join a rec center and get access to gyms, indoor pools, and fitness classes across NY… https://t.co/lNaxFpcLZM</t>
  </si>
  <si>
    <t>@sys_somboun Hi, please file a tree service request at https://t.co/NC9jVR8O9S. @nyc311 will help us track your request.</t>
  </si>
  <si>
    <t>RT @nycgov: Join @NYCMayor Bill de Blasio LIVE on Facebook at 11am – https://t.co/LgBkqF2iLe https://t.co/LSyOFhufne</t>
  </si>
  <si>
    <t>RT @Biedersam: Peace and unity at Adam Yauch Park with @DanielSquadron @NYCParks @NydiaVelazquez @bradlander https://t.co/eRb8OXU7I9</t>
  </si>
  <si>
    <t>Sara D.'s basketball courts got an upgrade and a cool new design by world-renowned pop-artist Kaws!… https://t.co/vCgaEg6hnM</t>
  </si>
  <si>
    <t>There are parrots in Green-Wood Cemetery? Join a tour with our Rangers and learn more about birds living there: https://t.co/NQq3WaE6xr</t>
  </si>
  <si>
    <t>Fall colors are peaking at Silver Lake Park #onStatenIsland! Plan a visit and experience 200 acres of autumn charm:… https://t.co/t7O78ZGvmb</t>
  </si>
  <si>
    <t>Happy Friday, NYC! Here are some fun things to do this weekend: https://t.co/GwJAqVBp02 https://t.co/mXEasxmAOP</t>
  </si>
  <si>
    <t>This could be your kid! Registration is open for our @juniorknicks basketball league for boys and girls. Sign up at… https://t.co/vQibmdWDCA</t>
  </si>
  <si>
    <t>We're celebrating Native American heritage with a pow-wow, arts and crafts, and more at Sunset Park this Saturday!… https://t.co/JKmhHIrfNw</t>
  </si>
  <si>
    <t>The holidays are officially here—the Union Square Holiday Market opened today! https://t.co/ShnSugqBtO</t>
  </si>
  <si>
    <t>It's #NationalTakeAHikeDay! You don't need to go upstate to enjoy it. Explore these hiking trails right here in NYC… https://t.co/9XPieW6Fds</t>
  </si>
  <si>
    <t>This brilliant 10-year-old girl wants a rain garden in Astoria Park. Read her proposal from last night's community… https://t.co/CPCgUkVTFG</t>
  </si>
  <si>
    <t>LIVE on #Periscope: Join us as we explore Kissena Park's beautiful fall scenery on #NationalTakeAHikeDay https://t.co/DxxTxvZAx8</t>
  </si>
  <si>
    <t>@akingmccarty @APAlliance If you can't make it to tonight's meeting, visit https://t.co/iWMHGaDwmW later. We still want to hear from you!</t>
  </si>
  <si>
    <t>This injured hawk was rescued and released into Central Park thanks to our Rangers. If you see injured wildlife, ke… https://t.co/Z0MWtEPCTz</t>
  </si>
  <si>
    <t>RT @bryantparknyc: If you're a shaky skater, have no fear! We have adorable penguin skate aids &amp;amp; offer group or private skate lessons: http…</t>
  </si>
  <si>
    <t>How would you spend $30M to improve Astoria Park? Share your ideas at tonight's community visioning meeting:… https://t.co/5HvF4VLCfn</t>
  </si>
  <si>
    <t>RT @ChelseaClinton: Thank you to @NYCParks for all your work every day &amp;amp; thank you to all the volunteers who conducted our tree census http…</t>
  </si>
  <si>
    <t>@ChelseaClinton Thanks to you, and to everyone who gave their time to  help us understand our street trees and how they benefit New Yorkers.</t>
  </si>
  <si>
    <t>NYC has 12.5% more street trees than 10 years ago, and now you can see every single one on our new Street Tree Map. https://t.co/55dDuOUXcr</t>
  </si>
  <si>
    <t>Whooooo's hanging out in @PelhamBayPark this time of year? Owls! Go looking for them with our park rangers. Sign up… https://t.co/6wTSKEx5Oz</t>
  </si>
  <si>
    <t>We're looking for girls and boys ages 8-17 to join our free Junior Knicks basketball teams. Sign up here:… https://t.co/eSfsRvV2eK</t>
  </si>
  <si>
    <t>Discover Marine Park's best nature viewing spots on our new hiking trails map: https://t.co/NC5DyU39Hj https://t.co/0C2qLuo7AH</t>
  </si>
  <si>
    <t>Run the Fall Flat 5K through Willowbrook Park's lovely fall scenery to help support @sigreenbelt parks:… https://t.co/PiyoKWdTTh</t>
  </si>
  <si>
    <t>RT @nycHealthy: Even when the weather is dreary, you still can #MakeNYCYourGym! Find free indoor fitness classes from @ShapeUpNYC: https://…</t>
  </si>
  <si>
    <t>LIVE on #Periscope: Tour Central Park's Hallett Nature Sanctuary, a newly restored and reopened woodland preserve i… https://t.co/PkijGcms3w</t>
  </si>
  <si>
    <t>Brooklyn's Harry Maze Playground reopens with new ball courts, a walking track, and an outdoor gym.… https://t.co/hMLPJtyX5p</t>
  </si>
  <si>
    <t>Looking to give back to NYC this week, and don't know where to start? Here are some opportunities:… https://t.co/IIAl9IbNBy</t>
  </si>
  <si>
    <t>Tell us what you'd like to see in NYC's Anchor Parks. Share your ideas at an upcoming community visioning meeting:… https://t.co/FuYJvByabi</t>
  </si>
  <si>
    <t>Learn ballet, salsa, belly dancing, Korean dance, and more with @ShapeUpNYC! Find free classes at… https://t.co/2lctkakoeo</t>
  </si>
  <si>
    <t>@lowwwbrau Hi Seth, we're looping in @nyc311 to help.</t>
  </si>
  <si>
    <t>RT @BxRiverAlliance: Explore the #BronxRiver &amp;amp; learn about the history &amp;amp; future of #NYC's only freshwater river, via @NYCParks&amp;gt; https://t.c…</t>
  </si>
  <si>
    <t>LIVE on #Periscope: A #veteransday look back at the Battle of Brooklyn from Old Stone House in Washington Park https://t.co/3uT7L3rIt9</t>
  </si>
  <si>
    <t>From ice skating to fall leaf-peeping, here are some fun things to do in NYC Parks this weekend:… https://t.co/Ou471z8hrc</t>
  </si>
  <si>
    <t>@victoriabatha You can visit https://t.co/2vpYhSfPBu soon to find this tree. You can mark it as a favorite, and care for it as it grows.</t>
  </si>
  <si>
    <t>@victoriabatha You're welcome. We know that a single tree can mean so much to a block, a community, and a city.</t>
  </si>
  <si>
    <t>Enjoy NYC's beautiful fall scenery! We recommend exploring these hiking trails this fall: https://t.co/kn9AofkCkF https://t.co/Evazpr63FK</t>
  </si>
  <si>
    <t>How would you improve this side of Van Cortlandt Park? Share your ideas at tonight's #PWBNYC meetup:… https://t.co/zsh2Ja5Wc6</t>
  </si>
  <si>
    <t>Some of our street trees are known for their unique size, species, or history. Learn about these great trees at… https://t.co/ToZb8WsE2d</t>
  </si>
  <si>
    <t>Use our new street tree map to learn all about the trees on your block and how you can help care for them:… https://t.co/RYznhARjAW</t>
  </si>
  <si>
    <t>RT @mitchell_silver: Inspiration from the next generation. @NYCParks #ElectionDay https://t.co/AYKsxSsE5A</t>
  </si>
  <si>
    <t>@elaborateskeim Hi Seth, please contact our permit office: https://t.co/Wyvn8v9qYu.</t>
  </si>
  <si>
    <t>LIVE on #Periscope: Art &amp;amp; Elections at Lefferts Historic House, Prospect Park #Brooklyn #ElectionDay https://t.co/mTGAz80SrC</t>
  </si>
  <si>
    <t>What's the name of the tree outside your window? Find it on the Street Tree Map to learn about its species and size… https://t.co/rCvr7fcOZV</t>
  </si>
  <si>
    <t>.@NYCSchools are out for #ElectionDay. Bring the kids for a fun day out at our free Fall Field Day festival:… https://t.co/KrUQ0USIXC</t>
  </si>
  <si>
    <t>@shegotgame Happy to help. Can you DM us your specific issue?</t>
  </si>
  <si>
    <t>Learn about the culture of the Lenape people on our Urban Park Rangers' next adventure in Inwood Hill Park:… https://t.co/6yEiDArz9V</t>
  </si>
  <si>
    <t>@ataylo35 Hi Andrew, drones are prohibited in most parks. Check our model aircraft page for permitted locations: https://t.co/HyHQAYn03l</t>
  </si>
  <si>
    <t>On #ElectionDay, visit this artwork featuring past presidential election losers: https://t.co/7E54O9arYN. https://t.co/OnPSrmvW9M</t>
  </si>
  <si>
    <t>@Daniel_A_Solow @eric_ulrich @RLEspinal @NYCWater The map only displays NYC street trees for now. But we do love mapping things,so more soon</t>
  </si>
  <si>
    <t>@Daniel_A_Solow @eric_ulrich @RLEspinal These trees aren’t actually considered street trees—they’re under the jurisdiction of @NYCWater. 1/2</t>
  </si>
  <si>
    <t>Inspired by the @nycmarathon? Find some of the best places to go for a run in NYC: https://t.co/nGFCPJ2nPh.… https://t.co/XwrQounxGc</t>
  </si>
  <si>
    <t>@JGoldny @NYC_DOT @NYCMayorsOffice @StephenLevin33 Hi Josh, looping in @nyc311 to help.</t>
  </si>
  <si>
    <t>@amhabermann Hi Ashley, please report this to 311 at https://t.co/i5Mi2dfqp4 or DM @nyc311.</t>
  </si>
  <si>
    <t>LIVE on #Periscope: Cheering for marathoners from Marcus Garvey Park in Harlem#NYCMarathon https://t.co/scOCODfR5J</t>
  </si>
  <si>
    <t>@Raquel_817 Hi there! Mapping the streets took 2 years, 2300 volunteers, and 11093 miles of walking--but we're always looking to do more!</t>
  </si>
  <si>
    <t>@TiffanyAndLupus Hi there! Glad you like it! This map only displays all of NYC's street trees. But we do love mapping things, so more soon!</t>
  </si>
  <si>
    <t>Come together with a community group to care for trees in your neighborhood: https://t.co/J5N6fr4YKI https://t.co/YTIw6Q0ipS</t>
  </si>
  <si>
    <t>Use the NYC Street Tree Map to care for a tree, record your work, and report trees in need of attention:… https://t.co/HlaKoNUv13</t>
  </si>
  <si>
    <t>@ChinatownBranch Thanks! Once you sign up for the tree map, you can report incorrect species &amp;amp; diameter, as well as… https://t.co/lJK9VgnACf</t>
  </si>
  <si>
    <t>@backyardbeyond Great question! Once you sign up for the tree map, you  can report incorrect species &amp;amp; diameter, as… https://t.co/yutsPiGegC</t>
  </si>
  <si>
    <t>The info is thanks to our #nyctreescount volunteers who helped count and map our trees for nearly two years! https://t.co/su43XoPVbm</t>
  </si>
  <si>
    <t>@annie__hart But here's a gift (from an ARS fan!)--our new map of all 21,611 ginkgos in NYC. Happy exploring! https://t.co/IaLQCHsnkZ</t>
  </si>
  <si>
    <t>@annie__hart Hi there! Our foresters say that the fruit is likely delayed due to this year's warm weather and drought.</t>
  </si>
  <si>
    <t>@joncewalker Thanks so much for helping out. Please pass on our thanks to your son! #nyctreescount</t>
  </si>
  <si>
    <t>@sfxmaven Thanks so much for helping out with #nyctreescount! We couldn't have done this without your help.</t>
  </si>
  <si>
    <t>Every street tree benefits the city. Click on a tree at https://t.co/2vpYhSfPBu to find out exactly how much. https://t.co/Y7gIDiBhvs</t>
  </si>
  <si>
    <t>@johnjannuzzi Thanks for the Moment! https://t.co/lC4HzKk2mu 🌳🍃🌳</t>
  </si>
  <si>
    <t>@ryankanno @janakinsman @CLINT Stay tuned! We'll be releasing the code base for the map this spring.</t>
  </si>
  <si>
    <t>LIVE on #Periscope: Leaf peeping in Greenpoint, Brooklyn using the new NYC Street Tree Map w/@treesny https://t.co/cqQm1DC5Br</t>
  </si>
  <si>
    <t>NYC's largest street tree is this pin oak in Queens. Check it out on the new NYC Street Tree Map:… https://t.co/K3upFCCk3v</t>
  </si>
  <si>
    <t>The most common NYC street tree species is the London plane. You can find every single one right here:… https://t.co/klXBqAOFGm</t>
  </si>
  <si>
    <t>685,781 street trees, 209 tree species, 5 boroughs, 1 map. Get to know all about NYC's street trees:… https://t.co/09phFsE0kB</t>
  </si>
  <si>
    <t>RT @mitchell_silver: #NYC's Treemap is now live. Fall in love as you care for your local tree and have a #Treemance. https://t.co/nhBrFzawy…</t>
  </si>
  <si>
    <t>Introducing our new, interactive NYC Street Tree Map—the urban forest at your fingertips: https://t.co/2vpYhSfPBu https://t.co/brW3nJAs7s</t>
  </si>
  <si>
    <t>At our survival skills workshops, you can learn how to build shelter, purify water, and make fire:… https://t.co/2FP41gHHzo</t>
  </si>
  <si>
    <t>RT @nyc311: NYC trees are beautiful during #Autumn. Find the best spots to see the changing #leaves with @NYCParks: https://t.co/C1rHR8he8L…</t>
  </si>
  <si>
    <t>Get an inside look at the historic Fort Totten battery on a free tour with our park rangers. Sign up here:… https://t.co/BFDelYlPQF</t>
  </si>
  <si>
    <t>@autumnalexa You can also track our progress on this capital project at https://t.co/YqA8LLo9dc. (2/2)</t>
  </si>
  <si>
    <t>@autumnalexa Hi! Von King Park is currently in the second step of our process. Learn more here: https://t.co/fseopZlDUA. (1/2)</t>
  </si>
  <si>
    <t>RT @NYCDDC: Check out this map of current projects that will protect NYC from floods and other emergencies: https://t.co/baOAq6Rmsm https:/…</t>
  </si>
  <si>
    <t>Mindful contact with nature improves your mood and relieves stress. Check #NYCWell for more tips.… https://t.co/v2IniBNbJF</t>
  </si>
  <si>
    <t>LIVE on #Periscope: The Cube returns to Astor Place! https://t.co/IxUQ1U6k5B</t>
  </si>
  <si>
    <t>We're making @fortgreenepark's northern edge more open and welcoming. Share your ideas at tonight's #PWBNYC meetup!… https://t.co/7CooBolKyv</t>
  </si>
  <si>
    <t>Discover the view from Hunter Island, a wild natural area found just minutes from Orchard Beach in @PelhamBayPark.… https://t.co/64i0CelmNa</t>
  </si>
  <si>
    <t>RT @NYCMayoralPhoto: Welcome back to the neighborhood! "The ⬛️Alamo" has returned to Astor Place. https://t.co/TRy8M10Pun</t>
  </si>
  <si>
    <t>@annie__hart Hey! We'll ask our tree experts, but stay tuned to our account on Friday--we have a great answer coming to this question!</t>
  </si>
  <si>
    <t>Explore Van Cortlandt Park in the fall on a hike with our park rangers this Saturday. Sign up here:… https://t.co/P0OKCh1ux0</t>
  </si>
  <si>
    <t>@elaborateskeim Check out Bushwick Inlet Park in Brooklyn: https://t.co/RPbG2IdkDL https://t.co/bsQfTHxNdO</t>
  </si>
  <si>
    <t>Edgar Allan Poe wrote "Annabel Lee",  "The Bells" &amp;amp; "Eureka" at this cottage, now in a BX park:… https://t.co/YIjb7VaSHB</t>
  </si>
  <si>
    <t>Join a sack race and play bean bag musical chairs, giant soccer, &amp;amp; pillow polo at Fall Field Day on Election Day!… https://t.co/3aCg94Xwxt</t>
  </si>
  <si>
    <t>RT @NYCService: Apply for $1000 + services from @NYCParks, @NYCSanitation &amp;amp; other city agencies to show how much you #LoveYourBlock https:/…</t>
  </si>
  <si>
    <t>Help us plant trees in Conference House Park on Sunday! Sign up here: https://t.co/bO2lvXffhi https://t.co/89KvfWCEZv</t>
  </si>
  <si>
    <t>Don't throw out your Halloween pumpkins. Recycle them at Pumpkin Smash to help nourish parks:… https://t.co/orYaG8eOhE</t>
  </si>
  <si>
    <t>LIVE on #Periscope: Happy Halloween from Williamsbridge Oval's Haunted House in the Bronx! https://t.co/viFwUdxZ98</t>
  </si>
  <si>
    <t>RT @NYPDnews: 🎃🎃 Excited for Halloween? We are too! Celebrate safely with these tips 🎃🎃 https://t.co/0grdJwNA0V</t>
  </si>
  <si>
    <t>Discover autumn's pretty colors while keeping fit. Go hiking at these fave fall parks: https://t.co/kn9AofkCkF… https://t.co/KJiaJKkSiD</t>
  </si>
  <si>
    <t>Happy Halloween! 🎃 From haunted houses to pumpkin parties, here's where to celebrate in our parks today:… https://t.co/RdHQ0RStgv</t>
  </si>
  <si>
    <t>LIVE on #Periscope: The Great PUPkin Dog Costume Contest in Ft Greene Park #Brooklyn #Halloween https://t.co/Xc9cmNmb0P</t>
  </si>
  <si>
    <t>Do the time warp at tomorrow's screening of Rocky Horror Picture Show at McCarren Park. Wear your Halloween costume… https://t.co/mmu61HVnsA</t>
  </si>
  <si>
    <t>Little brown bats are the most common species of bats found in NY &amp;amp; eat up to 600 insects/hr! Learn more at… https://t.co/E4gxDVjy13</t>
  </si>
  <si>
    <t>Just like @NYCFC, our Ocean Breeze Track team keeps NYers moving. That's why we're proud to #SupportYourCity. Good… https://t.co/cFi141gZIq</t>
  </si>
  <si>
    <t>Move over, #Caturday. Make way for the annual Halloween dog costume contest at @fortgreenepark this Saturday!… https://t.co/Q3tlQd2GXs</t>
  </si>
  <si>
    <t>.@bryantparknyc's ice skating rink opens at noon tomorrow! Admission is free. Bring your own skates or rent a pair!… https://t.co/8pA6WVrN2E</t>
  </si>
  <si>
    <t>RT @NYCMayorsOffice: We're celebrating @NYCFC's inspiring march to the playoffs AND the NYC employees who make this city run. #SupportYourC…</t>
  </si>
  <si>
    <t>Happy 130th birthday to the Statue of Liberty! Check out this view of Lady Liberty from Bush Terminal Park in Brook… https://t.co/TnpdIjB7bk</t>
  </si>
  <si>
    <t>Happy Friday, NYC! Here are some fun things to do this weekend: https://t.co/GwJAqVBp02 https://t.co/B2trUNAppH</t>
  </si>
  <si>
    <t>RT @nyc311: NYC artists: apply to have your art displayed in a @NYCParks &amp;amp; get a $10,000 grant. Apply before 11/13 deadline: https://t.co/3…</t>
  </si>
  <si>
    <t>Create a wreath using unique materials for a chance to be featured in our Wreath Interpretations show:… https://t.co/gn7SDrhbIg</t>
  </si>
  <si>
    <t>We're having a 2-day Halloween Fest #onStatenIsland w/scary movie showings, haunted trails, pumpkin picking, &amp;amp; more… https://t.co/u1ktP9E4PZ</t>
  </si>
  <si>
    <t>Get a glimpse of 1950s NYC at this new, free admission photo exhibit in the historic Arsenal in @CentralParkNYC:… https://t.co/IbSpStCZXI</t>
  </si>
  <si>
    <t>RT @nycgo: Fall colors @HRTown on Staten Island. #SeeYourCity 📷: @NYC_PH0T0 via Instagram https://t.co/pXHm49V0FT</t>
  </si>
  <si>
    <t>Ice skating season at @prospect_park starts this Friday! https://t.co/fafGtVAHDZ</t>
  </si>
  <si>
    <t>LIVE on #Periscope: Experience Fall's Stunning Colors at the Ridgewood Reservoir in Highland Park, Queens #fallfoli… https://t.co/UyOJjmBR0w</t>
  </si>
  <si>
    <t>It's #NationalPumpkinDay! Get your pumpkins ready for Halloween at these fun events: https://t.co/l3y7PqJO6F https://t.co/H6gPC6h56Z</t>
  </si>
  <si>
    <t>RT @nyc311: Beautify your neighborhood park. Report park areas or equipment in need of cleaning or repair online here: https://t.co/59317JL…</t>
  </si>
  <si>
    <t>Is Conference House Park haunted? Find out on this nighttime hike with our park rangers on October 29:… https://t.co/edGVqHiRO9</t>
  </si>
  <si>
    <t>Here are the best parks to see fall foliage in NYC: https://t.co/ZfWHMIQHpx https://t.co/apZRQhI8Xp</t>
  </si>
  <si>
    <t>Bring your jack-o'-lanterns to @CentralParkNYC's Pumpkin Flotilla on Sunday &amp;amp; watch it float across the Harlem Meer… https://t.co/QrvY2YKnV6</t>
  </si>
  <si>
    <t>Is your kid the next NBA star? Registration is now open for our basketball league for boys and girls ages 8-17:… https://t.co/J9ZnjOlPSd</t>
  </si>
  <si>
    <t>Happy 85th birthday to the George Washington Bridge! This spectacular view is from the nearby J. Hood Wright Park. https://t.co/xXf6cXm5L6</t>
  </si>
  <si>
    <t>RT @randallsisland: Register today for our Run the River 5k race on Saturday, October 29th! https://t.co/S7rFcqBWCF https://t.co/lNGNvbbz0V</t>
  </si>
  <si>
    <t>@PatrickNYC1 @NYPD30Pct Hi Patrick, thanks for letting us know. Looping in @nyc311 to help.</t>
  </si>
  <si>
    <t>RT @CentralParkNYC: Take an iconic turn on the ice at Wollman Rink! It's now open for the season: https://t.co/zYtTK6yBnL https://t.co/GtPN…</t>
  </si>
  <si>
    <t>RT @NYCFirstLady: With #NYCWell, confidential, high-quality mental health support is a click or a call away--no matter where you live or ho…</t>
  </si>
  <si>
    <t>We're all ready for Halloween! Find out about upcoming parades, dog costume contests, haunted tours, fests, &amp;amp; more:… https://t.co/33Rf9Qkgl6</t>
  </si>
  <si>
    <t>Help us build better parks for all New Yorkers. Share your ideas with us: https://t.co/NmR9v6gXKx https://t.co/y3fkubdBF6</t>
  </si>
  <si>
    <t>Use this map to find free fitness classes, from African dance to yoga, near you: https://t.co/6oQ5b5nwaf… https://t.co/c7H1rgnMpJ</t>
  </si>
  <si>
    <t>@MCG2000 Hi Miriam, please report this to 311 at https://t.co/i5Mi2dfqp4, or DM @nyc311.</t>
  </si>
  <si>
    <t>We're looking for volunteers to help us plant trees in Brookville Park this Saturday. Sign up here:… https://t.co/Ubex7cGPED</t>
  </si>
  <si>
    <t>There are just 2 Sundays left before Alley Pond Park's obstacle course closes for the winter:… https://t.co/mGQIwPmngx</t>
  </si>
  <si>
    <t>Meet your neighbors. Visit https://t.co/efdLTEPG5C to learn more about how we manage NYC’s urban wildlife. https://t.co/Ll3gfPQoHS</t>
  </si>
  <si>
    <t>RT @NYCService: Do you #LoveYourBlock? Here's your chance to prove it! Apply for a #LoveYourBlock grant today at https://t.co/J34k2TTv9O #S…</t>
  </si>
  <si>
    <t>This Saturday, help plant 5,000 daffodil bulbs along LIC's waterfront at Hunter's Point South Park and Gantry Plaza… https://t.co/8g9fuHuA5V</t>
  </si>
  <si>
    <t>Fall has arrived in @CentralParkNYC! Sign up for our park rangers' fall foliage photo scavenger hunt in the park:… https://t.co/uIgEP9iqO3</t>
  </si>
  <si>
    <t>Tweet your fave #tbt park memories using #NYCParksMemories! ⚡️ “#NYCParksMemories: Share Your Story” by @NYCParks
https://t.co/E7dzZ7So0g</t>
  </si>
  <si>
    <t>RT @nyc311: Check out all of @NYCParks free #Halloween events this month like spooky movie showings, haunted tours &amp;amp; more: https://t.co/mOY…</t>
  </si>
  <si>
    <t>On this free tour, learn how the High Bridge brought water to Manhattan, as part of NYC's first water supply system… https://t.co/wgV1SLNr47</t>
  </si>
  <si>
    <t>.@BklynBrdgPark's Pier 3 is underway! Here's what's coming to the park's final pier to be converted to parkland:… https://t.co/uSronZBE5m</t>
  </si>
  <si>
    <t>You've heard of haunted houses. How about this haunted fort? Enter, if you dare, during our free nighttime tours:… https://t.co/AthUV6Soms</t>
  </si>
  <si>
    <t>@BeltzerNYC We're happy to see so many people who care! Visit https://t.co/iWMHGaDwmW to find more opportunities to share your thoughts.</t>
  </si>
  <si>
    <t>We're looking for volunteers to help us plant trees in Cunningham Park. Sign up here: https://t.co/cDQdaFWMq7 https://t.co/rvq5ooiTHJ</t>
  </si>
  <si>
    <t>LIVE on #Periscope: Welcome to the Queens County Farm Museum, NY's longest continuously working farm. https://t.co/Eqytgemymg</t>
  </si>
  <si>
    <t>@HealthStudent @Costa4NY Hi, can you please report this to: https://t.co/csonJPeB4c with time/date/location? We'll investigate. Thanks.</t>
  </si>
  <si>
    <t>Tell us about your parks! We're discussing designs for 10 parks across the city the next 2 weeks. Visit… https://t.co/RdlFMjAvLJ</t>
  </si>
  <si>
    <t>There are still some Fall Stewardship Day opportunities left. Get together with friends &amp;amp; care for our forests!… https://t.co/jMR3ZCfE91</t>
  </si>
  <si>
    <t>With @UniqloUSA, we're supporting emerging artists in 10 local parks. Join an upcoming info session on Thurs. at… https://t.co/xTnt8YTOZj</t>
  </si>
  <si>
    <t>Congratulations to you both on this special day! We hope that your lives are filled with many more… https://t.co/FIhwoCgfHM</t>
  </si>
  <si>
    <t>@SKirbynyc @CentralParkNYC Sorry to hear that! You can reach out to @nyc311 when you see a violation of park rules: https://t.co/jIZxrozMSv</t>
  </si>
  <si>
    <t>#Harlem! We want to hear from you tonight about our Edgecombe Ave. &amp;amp; 145th St park borders. Visit… https://t.co/YTEImvO7k1</t>
  </si>
  <si>
    <t>@JohnBruno101 Thanks so much! We'll be happy to pass on the compliments to our staff members for their hard work. Best to you and your pup!</t>
  </si>
  <si>
    <t>Join us tomorrow for the opening of My Father's Son, where @mitchell_silver shares his #nycparksmemories in photos.… https://t.co/mPPcT1SloX</t>
  </si>
  <si>
    <t>Here's to many years of trees to come! #nycparksmemories https://t.co/00QfCbvqpS</t>
  </si>
  <si>
    <t>@wendeeyah We're sorry to hear this! Can you please report this to @nyc311 as well? We'll look into the issue. https://t.co/6ZM0fHarXl</t>
  </si>
  <si>
    <t>It's starting to look like fall here in Starlight Park at the Bronx River Greenway 🍂 https://t.co/lVOufaYlXL https://t.co/XU295d3e7q</t>
  </si>
  <si>
    <t>Add this spot to your list of parks to explore next: the Half Moon Overlook in Spuyten Duyvil Shorefront Park… https://t.co/um6q6PMTke</t>
  </si>
  <si>
    <t>Find your way through this fun, three-acre corn maze by moonlight at @hhtnyc's @queensfarm on Oct. 15 &amp;amp; 22!… https://t.co/07xE2gsIj3</t>
  </si>
  <si>
    <t>@YoureNicDris Hi there! There was a citywide issue that appears to be resolved. Visit https://t.co/D6sYebkGMm to try again and apply!</t>
  </si>
  <si>
    <t>Join neighbors coming together to plant flower bulbs, tend to trees, and clean up playgrounds in local parks:… https://t.co/gp3Nxh2NGj</t>
  </si>
  <si>
    <t>@nafisa_masud Hi Nafisa, for questions about park safety, please email our Press Office at pressoffice@parks.nyc.gov.</t>
  </si>
  <si>
    <t>Brownsville's Powell Playground gets a makeover—new full court basketball courts, new sitting areas, better handbal… https://t.co/Fx6hdqZPWs</t>
  </si>
  <si>
    <t>Happy Friday, NYC! Here are some fun things to do this weekend: https://t.co/GwJAqVBp02 https://t.co/wutngjuhAj</t>
  </si>
  <si>
    <t>Get in the Halloween spirit at @prospect_park's Michael Jackson Thriller-themed roller disco party this Friday!… https://t.co/09j8au9icz</t>
  </si>
  <si>
    <t>We're looking for artists to craft original, handmade wreaths—using unconventional materials—for our wreath exhibit… https://t.co/z2hqZRAgEV</t>
  </si>
  <si>
    <t>Share your ideas for the future design of @prospect_park's eastern edge at our #pwbnyc community meeting tonight:… https://t.co/u7rR68KZYS</t>
  </si>
  <si>
    <t>Tweet your #tbt park memories using #NYCParksMemories and we'll share the best ones! - Thanks for sharing,… https://t.co/2wLG3H56JT</t>
  </si>
  <si>
    <t>Step inside the Prison Ship Martyrs Monument, NYS Pavilion, Little Red Lighthouse, &amp;amp; historic homes at @OHNY Weeken… https://t.co/3wd5kzz2eH</t>
  </si>
  <si>
    <t>This Saturday, come to Van Cortlandt Park for free canoe rides on the lake with the @friendsofvcp!… https://t.co/pxfjRPfJ4m</t>
  </si>
  <si>
    <t>Head out on these hikes with our Urban Park Rangers to the best spots to see fall foliage in NYC:… https://t.co/R4URzLqgHj</t>
  </si>
  <si>
    <t>Celebrate fall with apple cider pressing, pumpkin picking, farms tours, &amp;amp; more at these upcoming fall festivals:… https://t.co/3evs29CZ7E</t>
  </si>
  <si>
    <t>RT @CentralParkNYC: Our one-time-only tour of the newly renovated boat landings on 10/13 is sure to sell out! Snag the last few spots: http…</t>
  </si>
  <si>
    <t>We're bringing pillow polo, giant soccer, bean bag musical chairs, &amp;amp; more games to Fall Field Day on Election Day!… https://t.co/sqz48ceqZe</t>
  </si>
  <si>
    <t>Thanks for the wonderful #NYCParksMemories, @BilldeBlasio and @Chirlane! https://t.co/3fDGstvFtk</t>
  </si>
  <si>
    <t>@PhilipPapaelias Hi Philip, could you DM us the exact location? We'll need the location info to check the schedule.</t>
  </si>
  <si>
    <t>Visit @nydosas in Washington Square Park or other participating street vendors to #NoshTheVote today! https://t.co/mDd5TuZnm4</t>
  </si>
  <si>
    <t>LIVE on #Periscope: 
Visiting Wave Hill's public gardens with views of the Hudson River from The Bronx take 2 https://t.co/OcIBxXoo3F</t>
  </si>
  <si>
    <t>LIVE on #Periscope: 
Visiting Wave Hill's public gardens with views of the Hudson River from The Bronx. https://t.co/5tq7uh0qBO</t>
  </si>
  <si>
    <t>@whatever137 We still love it too! We took this photo just last week. https://t.co/GBV8L3bcHJ</t>
  </si>
  <si>
    <t>Thanks, @VCerulloNYC! Where was your favorite slide growing up? Use #NYCParksMemories to let us know! https://t.co/yF1PxYqKHu</t>
  </si>
  <si>
    <t>@snjacobs Thanks for giving a hoot!</t>
  </si>
  <si>
    <t>Whooo wants to see an owl up close? Join us at Raptor Fest tomorrow by the Unisphere to meet birds of prey. Visit… https://t.co/nyvZQT43Um</t>
  </si>
  <si>
    <t>@koneill_94 Hi there! Our friends @CentralParkNYC recommend calling the Central Park Police Precinct at (212) 570-4820. Good luck!</t>
  </si>
  <si>
    <t>Fall walks, free movies, and raptors galore are all this weekend. Visit https://t.co/Zo7lI7ythg to check out our be… https://t.co/Bo3fbGpqyg</t>
  </si>
  <si>
    <t>Challenge your friends and family at our obstacle course, featuring a climbing wall, cat walk, zip line, &amp;amp; more:… https://t.co/ibmRpxNdTK</t>
  </si>
  <si>
    <t>RT @NYCDDC: Art is everywhere! Find public art and monuments near you with this guide from @NYCParks: https://t.co/i4oaWKxZQe https://t.co/…</t>
  </si>
  <si>
    <t>RT @highlinenyc: Just announced! @HighLineArtnyc will be installing #ZoeLeonard's #Iwantapresident on the High Line https://t.co/XRjotBgv23…</t>
  </si>
  <si>
    <t>@littleredhead33 Hi Marie, you can report this to 311 at https://t.co/i5Mi2dfqp4, or DM @nyc311.</t>
  </si>
  <si>
    <t>Sign up for free archery lessons with the Urban Park Rangers: https://t.co/GPYuvvWP5P https://t.co/aK2IyuY9H9</t>
  </si>
  <si>
    <t>Before it became a park or where Batman stories were created, this was Edgar Allan Poe's home:… https://t.co/t3bcFXtXAx</t>
  </si>
  <si>
    <t>Do you have a #tbt of you in an NYC park? Tweet your memory of it with #NYCParksMemories and we'll share our favori… https://t.co/5Dn0p2iHEu</t>
  </si>
  <si>
    <t>Need help with your art portfolio? Get feedback from a group of amazing art experts at @WaveHill on Oct. 14:… https://t.co/SEIALIXOtQ</t>
  </si>
  <si>
    <t>Our fall water exercise classes for @NYCSeniors start on Tuesday, October 11. View locations and times at… https://t.co/PJWumprCJi</t>
  </si>
  <si>
    <t>LIVE on #Periscope: Scarecrows &amp;amp; Pumpkins at the New York Botanical Garden in the Bronx https://t.co/O6KAbI3XqH</t>
  </si>
  <si>
    <t>Download the new @prospect_park app &amp;amp; discover park treasures like a tree with "knees" and the park's highest point… https://t.co/UihC4u02eH</t>
  </si>
  <si>
    <t>Thanks @nisenson for sharing this wonderful memory of @CentralParkNYC! Do you have a fave NYC park memory? Tell us… https://t.co/v7cQvuqbJp</t>
  </si>
  <si>
    <t>On Oct. 22, join us at Fall Stewardship Day to help fix up nature trails in forests around the city. Sign up here:… https://t.co/AkW4WBHEer</t>
  </si>
  <si>
    <t>Become a Roof Raiser Volunteer and help @hhtnyc care for NYC's historic houses and their collections:… https://t.co/LjVV5H2pR9</t>
  </si>
  <si>
    <t>RT @CentralParkNYC: To celebrate the completion of reconstruction on historic boat landings along the shorelin… https://t.co/jdwYV0WvYM htt…</t>
  </si>
  <si>
    <t>On Saturday, our Rangers and friends are bringing owls, hawks, &amp;amp; other raptors to this free fest at the Unisphere:… https://t.co/FyjJMXbOvO</t>
  </si>
  <si>
    <t>@marco_lobregat - @CentralParkNYC has some really good tips and a map! Check it out: https://t.co/oOh8njdFAy.</t>
  </si>
  <si>
    <t>It's #WorldAnimalDay! Learn all about our park pals, from the cute little squirrels to the majestic hawks!… https://t.co/KXh7qGqE31</t>
  </si>
  <si>
    <t>@MelissaNYoung Our works are not loaned, except for our temporary public art. To learn more, visit https://t.co/YdtBRPIGRc (2/2)</t>
  </si>
  <si>
    <t>@MelissaNYoung Hi Melissa, our monuments are commissioned through charitable donations and public funds. (1/2)</t>
  </si>
  <si>
    <t>Thanks, Nilka, for sharing your #nycparksmemories! Who else has a story? https://t.co/SmjhGLJlJu</t>
  </si>
  <si>
    <t>Is exercise difficult for you? Try our water exercise therapy classes: https://t.co/yQSdda3MaJ https://t.co/5b2QTHMxDj</t>
  </si>
  <si>
    <t>RT @CentralParkNYC: Central Park in Autumn is a must-see attraction! Take a colorful self-guided tour on our October #MonthlyMile: https://…</t>
  </si>
  <si>
    <t>Registration is now open for our fall Learn to Swim classes. We offer classes for adults and kids! Sign up here:… https://t.co/LSF1BDRBzv</t>
  </si>
  <si>
    <t>RT @nycHealthy: Just getting up and moving for 30 minutes every day—even in short bouts—can make a difference for your health! #MondayMotiv…</t>
  </si>
  <si>
    <t>@tinkelwoman @shawniquica lol https://t.co/a6wx9ri3Kw</t>
  </si>
  <si>
    <t>We're looking for volunteers to help us plant trees in @PelhamBayPark! To sign up, visit https://t.co/0gFLdMYScQ https://t.co/sAyrMH24T4</t>
  </si>
  <si>
    <t>Watch Halloween movies in the park at Shocktober Fest in Brooklyn! Here's the schedule: https://t.co/8ayj5qCgNP https://t.co/jHTrkvaTUz</t>
  </si>
  <si>
    <t>Celebrating #NationalBoyfriendDay? Check out these fall date ideas: https://t.co/lnnRYF8oQ2 https://t.co/G4tJexSnXV</t>
  </si>
  <si>
    <t>Whether it's a first date or just a perfect day, share your fave park memories &amp;amp; photos using #nycparksmemories &amp;amp; w… https://t.co/P294j07Xvb</t>
  </si>
  <si>
    <t>@adriel_reyes @NYCSanitation Hi Adriel, please report this to 311 at https://t.co/i5Mi2dfqp4, or DM @nyc311. Thank you.</t>
  </si>
  <si>
    <t>@lipatjandrey Hi, please call 911 to report a natural gas odor.</t>
  </si>
  <si>
    <t>LIVE on #Periscope: Let's Dance! Tonight at Lakeside Rink in @ProspectPark: Lola Star's Dreamland Roller Disco Part… https://t.co/ntURqV7YcK</t>
  </si>
  <si>
    <t>Check out the best places in New York City for a romantic adventure this fall: https://t.co/lnnRYF8oQ2 https://t.co/SsE6kJYO4e</t>
  </si>
  <si>
    <t>At this free Ranger workshop, you'll learn basic wilderness survival skills used in the olden days:… https://t.co/fYHg9eaaFc</t>
  </si>
  <si>
    <t>Tonight, join us as we go live from the David Bowie tribute roller disco party at @LakesideBKLYN in @prospect_park:… https://t.co/kxmgRe3Zvq</t>
  </si>
  <si>
    <t>Submit your creative wreath design for a chance to have it displayed in our annual Wreath Interpretations show:… https://t.co/tBjpwTT9cl</t>
  </si>
  <si>
    <t>Join a Parks Youth Swim Team and represent your borough at the championships! Register for try outs at… https://t.co/AzZC8iOFb3</t>
  </si>
  <si>
    <t>The Empire State Building and the Chrysler Building were NYC's tallest back when this photo was taken at Rainey Par… https://t.co/k79f1IwCrw</t>
  </si>
  <si>
    <t>Every neighborhood deserves access to great parks and that's why we're proud to support @fphnyc and building… https://t.co/2mmtXcJY5V</t>
  </si>
  <si>
    <t>Some of Bklyn's largest and oldest trees live in @fortgreenepark. Meet them on your next visit via the tree trail:… https://t.co/V6R0zdGqFT</t>
  </si>
  <si>
    <t>Join a rec center and get access to indoor pools, running tracks, fitness classes, ball courts, and more across NYC… https://t.co/IbttlWEepS</t>
  </si>
  <si>
    <t>Are you an artist? Win $10,000 and have your artwork displayed in an NYC park! Apply by November 13:… https://t.co/jmQrrp9hi6</t>
  </si>
  <si>
    <t>Due to the inclement weather, @randallsisland's Harvest Festival this Saturday is canceled. https://t.co/oJ6mLkAu06</t>
  </si>
  <si>
    <t>Join a free tour of @randallsisland's Urban Farm at the Harvest Fest, featuring kite flying, pumpkin painting &amp;amp; mor… https://t.co/1oWXqkTjuJ</t>
  </si>
  <si>
    <t>LIVE on #Periscope: Exploring the Salt Marsh on Randall’s Island  https://t.co/ekuChkK3fo</t>
  </si>
  <si>
    <t>Save the date: see hawks, owls, and falcons up close at Raptor Fest on Saturday, October 8! https://t.co/h6gQdHgA9y https://t.co/YeayW70WRq</t>
  </si>
  <si>
    <t>At Inwood Hill Park, you can visit Manhattan's only natural forest &amp;amp; a rock formation that's about 50,000 years old… https://t.co/c1kMTjMJFr</t>
  </si>
  <si>
    <t>Register to vote today at our recreation centers! Find one near you: https://t.co/5Cjp5MNB1g https://t.co/pRgoNkbNeY</t>
  </si>
  <si>
    <t>RT @NYCMayorsOffice: HAPPENING NOW: Bronx explosion press conf. at @nyphospital w/ Mayor @BilldeBlasio, @FDNY Comm Nigro &amp;amp; @NYPDONeill: htt…</t>
  </si>
  <si>
    <t>We added 9 additional parks to our #parkequity initiative to build better parks in underserved nabes. Take a look:… https://t.co/t4qrT2sxhq</t>
  </si>
  <si>
    <t>Help us plant trees and spread wildflower seeds along our newest hiking trail in the Bronx River Forest! Sign up at… https://t.co/YBSNVWmjEg</t>
  </si>
  <si>
    <t>See historic places and some of NYC's most beautiful views on a run through these parks: https://t.co/nGFCPJ2nPh… https://t.co/nkHzgVJip2</t>
  </si>
  <si>
    <t>@Berboobie @CentralParkNYC Give it a try! You might be surprised by what you see...</t>
  </si>
  <si>
    <t>We're bringing telescopes to @CentralParkNYC this Saturday night so you can see stars and planets up close!… https://t.co/AYj6j9om0d</t>
  </si>
  <si>
    <t>This fall, venture out into NYC's forests with our park rangers to see the beautiful colors of the season:… https://t.co/5wl1sFVqhv</t>
  </si>
  <si>
    <t>Celebrate fall with cider pressing, pony rides, and free tours of NYC's oldest house at the Breukelen Country Fair!… https://t.co/31IknO5hAR</t>
  </si>
  <si>
    <t>#IDNYCForAll NYers who❤️ to run! @IDNYC benefits now include a 1 year courtesy membership for those new to @nyrr:… https://t.co/6dt2I6f8HC</t>
  </si>
  <si>
    <t>Join our Urban Park Ranger programs and learn all about NYC's amazing history, wildlife, and beautiful scenery:… https://t.co/DqmJ30t7q3</t>
  </si>
  <si>
    <t>Happy Friday, NYC! Here are some fun things to do this weekend: https://t.co/GwJAqVBp02 https://t.co/1rzm6cHiML</t>
  </si>
  <si>
    <t>This autumn, head out on these hiking trails to see some of the best of NYC's fall foliage: https://t.co/kn9AofkCkF… https://t.co/V84tMFVzWJ</t>
  </si>
  <si>
    <t>Want to create art for Parks? We're teaming up with @UniqloUSA to grant $200K to the best art for these 10 parks:… https://t.co/qxm8e87KTv</t>
  </si>
  <si>
    <t>This time last year, we were getting ready for @pontifex's historic visit to @CentralParkNYC on Sept. 25, 2015.… https://t.co/RCnLOCwi3S</t>
  </si>
  <si>
    <t>RT @NYCDDC: Take a trip to Historic Richmond Town and scoop up some nice apple cider!  https://t.co/GDw7gP25pm  #FirstDayofFall https://t.c…</t>
  </si>
  <si>
    <t>Happy #FirstDayofFall!🍂🍁🍂Find the best places to see fall foliage and enjoy the season's festivities:… https://t.co/ttmHYFYH1i</t>
  </si>
  <si>
    <t>.@photovillenyc opens today at @BklynBrdgPark! See amazing photography from around the world on view in 55+ shippin… https://t.co/2ELcxYUxm9</t>
  </si>
  <si>
    <t>@SenatorParker @ShapeUpNYC Yes! Visit https://t.co/6oQ5b5nwaf to find free programs near you. Please share with your constituents!</t>
  </si>
  <si>
    <t>Join free dance and exercise classes at our Fitness Fiesta with @ShapeUpNYC this Saturday in East Harlem.… https://t.co/CiNkKzsHo3</t>
  </si>
  <si>
    <t>Use this map to find NYC's tallest tree, an obstacle course, and more on your next hike through Alley Pond Park:… https://t.co/D88sbQojTQ</t>
  </si>
  <si>
    <t>RT @IDNYC: Hundreds of vols are out today helping make #IDNYCForAll New Yorkers. Have you signed up? https://t.co/uz2hD55pwA https://t.co/r…</t>
  </si>
  <si>
    <t>Twice a day at 4:30 the new Peace Clock at Trygve Lie Plaza forms the peace sign. https://t.co/Tcgr2FxWgO https://t.co/bRi0nSDbdd</t>
  </si>
  <si>
    <t>Go canoeing on the Bronx River with the @BxRiverAlliance this Saturday at Concrete Plant Park:… https://t.co/P5mUsXTUZR</t>
  </si>
  <si>
    <t>Our rec centers offer free youth programs after school, and memberships for kids are free. Join today!… https://t.co/DbcFH7ZIe0</t>
  </si>
  <si>
    <t>Step inside @hhtnyc‘s Little Red Lighthouse in Fort Washington Park at the festival this Saturday:… https://t.co/rOSG41ifVz</t>
  </si>
  <si>
    <t>Meet Nadia and Azul, @TheBronxZoo‘s newest baby tigers! Stop by and say hello. https://t.co/GSD5j7xJSo</t>
  </si>
  <si>
    <t>LIVE on #Periscope: Back at the Birthplace of Hip-Hop w DJ Kool Herc + other Original Emcees in Cedar Park, the Bro… https://t.co/praPZ6VUye</t>
  </si>
  <si>
    <t>Meet @TinaCharles31 and her mentor, Deputy Chief of Bronx Recreation Karen Pedrosa. Good luck to #Tina4MVP &amp;amp; the… https://t.co/4GiqqNrvXQ</t>
  </si>
  <si>
    <t>This week's free movie nights: Minions, The Jungle Book, Rent, School of Rock, Captain America: Civil War, and more… https://t.co/O4nzcdFgVP</t>
  </si>
  <si>
    <t>RT @NYPDnews: #HappeningNow: Mayor @BilldeBlasio &amp;amp; @NYPDONeill update NYers on Chelsea explosion &amp;amp; suspect. Watch LIVE https://t.co/BKA0Sa4…</t>
  </si>
  <si>
    <t>Find free, indoor fitness classes near you at https://t.co/6oQ5b5nwaf. #mondaymotivation https://t.co/H9PKu7dweu</t>
  </si>
  <si>
    <t>RT @CentralParkNYC: #TupeloTurn2016: Week One. We're tracking this black tupelo week by week to chronicle #FallFoliage in Central Park! htt…</t>
  </si>
  <si>
    <t>RT @NotifyNYC: #alert The following individual is wanted in regards to the Chelsea explosion: Ahmad Khan Rahami, 28 year old male. https://…</t>
  </si>
  <si>
    <t>@wtbryce Hi, please report this to 311 at https://t.co/i5Mi2dfqp4, or DM @nyc311.</t>
  </si>
  <si>
    <t>LIVE on #Periscope: Medieval Festival in Fort Tryon Park: Celebrating the spirit of the Middle Ages in one of Upper… https://t.co/w3vZhtAQEp</t>
  </si>
  <si>
    <t>Please follow @NYCMayorsOffice @NYPDnews @FDNY @nycoem for #Chelsea updates. https://t.co/2oF1ErDjFP</t>
  </si>
  <si>
    <t>LIVE on #Periscope: Dr. Jane Goodall plants a survivor tree in Van Cortlandt Park in The Bronx w/ @janegoodallinst https://t.co/Kd7OUORzlN</t>
  </si>
  <si>
    <t>Hike through three Bronx forests on a 1.5-mile trek through the John Muir Trail: https://t.co/RMiGyDADhF https://t.co/CSzdncUSw7</t>
  </si>
  <si>
    <t>Highbridge Pool becomes a dance floor tmrw for the return of @UPCArts_NYC Danza Heights Fest https://t.co/FmfHNUI5rP https://t.co/Qs6SNEpgSS</t>
  </si>
  <si>
    <t>@Warpublican You can report problems with streetlights or park lights to @nyc311. Visit https://t.co/6XDbBWMCkv to make a request.</t>
  </si>
  <si>
    <t>Get involved to help New Yorkers sign up for their free @IDNYC and learn about the benefits! https://t.co/Rpl5QGaTbH https://t.co/y5r9sG9rwH</t>
  </si>
  <si>
    <t>Happy Friday, NYC! Here are some fun things to do this weekend: https://t.co/GwJAqVBp02 https://t.co/3fFVDv6h1u</t>
  </si>
  <si>
    <t>Poseidon's Parade is this Saturday! It's like the Mermaid Parade but at Rockaway Boardwalk. https://t.co/Bl4yhMRknn https://t.co/tCZB0Q3mw3</t>
  </si>
  <si>
    <t>Brooklyn's J.J. Byrne Playground in 1934, when the elevated Fifth Avenue Line stopped at Third Street. #tbt https://t.co/Ip2B6lrIpl</t>
  </si>
  <si>
    <t>@BAMstutz Our staff inspects and installs nets. If you see a hoop in need of a net, please report it to @nyc311: https://t.co/i5Mi2dfqp4</t>
  </si>
  <si>
    <t>@stavieb We recommend the building owner filing a Tree Work Permit &amp;amp; performing the work w/the help of a contractor: https://t.co/2kQoijg0h9</t>
  </si>
  <si>
    <t>@tinkelwoman @ChappellTracker Agreed. Wear it to Medieval Fest this Sunday at Fort Tryon Park! https://t.co/bW4jSxy7nY</t>
  </si>
  <si>
    <t>Here's where to go hiking in NYC this fall: https://t.co/kn9AofkCkF https://t.co/oQgorMeSJo</t>
  </si>
  <si>
    <t>RT @NaturalAreasNYC: We're restoring street trees in Canarsie, BK on 9/24! Volunteer, then get a behind the scenes tour of the Eco Park! ht…</t>
  </si>
  <si>
    <t>@notfroggie @NYCMayorsOffice @NYCDisabilities Hi, visit https://t.co/6AWjmPcyeC for more info-you need one of a few ID cards to enroll.</t>
  </si>
  <si>
    <t>RT @NYCMayorsOffice: Commissioner Calise &amp;amp; @NYCDisabilities team up with @NYCParks to offer $25 memberships to people with disabilities. ht…</t>
  </si>
  <si>
    <t>Find fun fitness classes, like belly dancing and capoeira, in a park near you: https://t.co/6oQ5b5nwaf https://t.co/i5kExtJ1V9</t>
  </si>
  <si>
    <t>We're looking for volunteers to help us fix up nature trails in Marine Park. Sign up here: https://t.co/4GoHEF57os https://t.co/eOn9pXEc9B</t>
  </si>
  <si>
    <t>LIVE on #Periscope: Growing     Oysters in Brooklyn at Bush Terminal Park with @billionoysterproject https://t.co/4kAZFWNO1m</t>
  </si>
  <si>
    <t>Join us on Facebook in 10 minutes to see a living oyster reef right here in NYC. https://t.co/kGFlfVsKoW for more. https://t.co/GiorRlrxtT</t>
  </si>
  <si>
    <t>Celebrate the spirit of the Middle Ages at Medieval Fest, Sunday in The Cloisters' backyard! https://t.co/bW4jSxy7nY https://t.co/NhGPLzbsCa</t>
  </si>
  <si>
    <t>Our rec center memberships are $25 for people with disabilities. Find out how you can join: https://t.co/oYi1uyP0Ss https://t.co/lZRpVr3hYc</t>
  </si>
  <si>
    <t>@sctt Hi Scott, please visit https://t.co/HyHQAYn03l for more info about Model Aircraft Fields.</t>
  </si>
  <si>
    <t>Happy 1st birthday to @MTA's 34th St - Hudson Yards subway station and its beautiful park pal at @HYHKAlliance! https://t.co/FeX0PNt1wS</t>
  </si>
  <si>
    <t>Sign up to compete in the Fresh Chef Contest at GreenThumb's Harvest Fair this Saturday: https://t.co/zbliYEBoNU https://t.co/sppQ1IHNsn</t>
  </si>
  <si>
    <t>On Sunday, 8 miles of trails at @freshkillspark will open for you to explore from 11am - 4pm https://t.co/jFeY7gteuo https://t.co/hFGcphXM3R</t>
  </si>
  <si>
    <t>RT @bryantparknyc: Start polishing your dancing boots, Bryant Park Square Dance is coming! Sept 23 &amp;amp; 24. https://t.co/QLsPoPulLm https://t.…</t>
  </si>
  <si>
    <t>@salpuccino Hi, please report this to 311 at https://t.co/i5Mi2dfqp4, or DM @nyc311. Thank you!</t>
  </si>
  <si>
    <t>@triathlee Hi! This is the Flushing Meadows Corona Park Pool in Queens. For more info about this pool, visit https://t.co/JWNXd57Zk8.</t>
  </si>
  <si>
    <t>@k72ndst @DarciePosz @BronxTravel Great catch! You can learn a little more about the story of these heroes here: https://t.co/YxJ5qbiqH4</t>
  </si>
  <si>
    <t>RT @CentralParkNYC: Thursday 9/15: #MakeCentralParkYourGym! Get moving w/ @drjordanmetzl @exhalespa &amp;amp; @intenSati https://t.co/FCC8ChWCtG ht…</t>
  </si>
  <si>
    <t>Swim year-round at our indoor pools! Find one near you and become a member: https://t.co/Olr6xtsghx https://t.co/Ftm7EXhdVY</t>
  </si>
  <si>
    <t>This week's movies: Ghost, Roll Bounce, Pitch Perfect 2, Honey, I Shrunk the Kids, &amp;amp; more: https://t.co/awVc46KcVn https://t.co/LfzxyFGAq8</t>
  </si>
  <si>
    <t>RT @prospect_park: The Prospect Park Alliance has completed restoring Dog Beach! Come check out the new features with your best friend! htt…</t>
  </si>
  <si>
    <t>@ManuelVilla1859  Hi, could you provide us with more info by submitting a tree service request at https://t.co/kFdFm0XLgB? Thank you!</t>
  </si>
  <si>
    <t>@y5k_mat Hi, please report this to 311 at https://t.co/i5Mi2dfqp4, or DM @nyc311. Thank you.</t>
  </si>
  <si>
    <t>RT @nyc311: Today is the last day to take a dip in a @NYCParks outdoor pool/beach. Find pool: https://t.co/akMJ0m0wav &amp;amp; beach: https://t.co…</t>
  </si>
  <si>
    <t>RT @BilldeBlasio: September 11, 2001 touched every single NYer, but the terrorists did not prevail, because 15 years later we are strong, a…</t>
  </si>
  <si>
    <t>Monday at De Witt Clinton Park, be the first to see @NBCTimeless and @NBCBlindspot Season 2! https://t.co/tt7M8Pfu83 https://t.co/au8IcqYXfq</t>
  </si>
  <si>
    <t>Head to Poe Park to check out this exhibit that celebrates diversity in the world of ballet https://t.co/hX7sKE0fEv https://t.co/tzdmMwwoOw</t>
  </si>
  <si>
    <t>Be safe while at the beach.  Make sure there’s a lifeguard present before you get in the water. https://t.co/VkvrzMe0zS</t>
  </si>
  <si>
    <t>.@prospect_park's upcoming themed roller disco parties: Purple Rain, Madonna vs Janet &amp;amp; more https://t.co/G5ReQt6IbP https://t.co/JtoGonKhRL</t>
  </si>
  <si>
    <t>Happy Friday, NYC! Here's a list of fun things to do this weekend: https://t.co/GwJAqVBp02 https://t.co/2Mno2PSFjX</t>
  </si>
  <si>
    <t>@jlalfermann Yes, it is! Here's what it looks like now. More info about Astoria Pool at https://t.co/oWcYrkfVP1 https://t.co/T8ru4Ibwn4</t>
  </si>
  <si>
    <t>Who wants to go on a road trip? On 9/24, our Rangers will lead a free birding tour thru BK https://t.co/ChfQ7E4HI2 https://t.co/OWtpZrjbWr</t>
  </si>
  <si>
    <t>Many NYers came out Astoria in 1936 to enjoy the new pool &amp;amp; view of the new bridge, which both opened that year #tbt https://t.co/VGFU1fswbE</t>
  </si>
  <si>
    <t>For the first time, this year, our larger pools will remain open through Sunday, Sept. 11: https://t.co/TyPEj6FuXw https://t.co/EXNYOZfTOW</t>
  </si>
  <si>
    <t>Beach season has been extended. All NYC beaches, except Cedar Grove &amp;amp; Wolfe's Pond, will remain open through Sunday! https://t.co/L1qky0iAN2</t>
  </si>
  <si>
    <t>RT @highlinenyc: Discover the challenges of designing &amp;amp; maintaining a grassland garden on the High Line: https://t.co/bpGRiwyXXc https://t.…</t>
  </si>
  <si>
    <t>Registration opens on Saturday for our popular Turn 2 Baseball Clinics, founded by Derek Jeter. For more info, visit https://t.co/ynC3HjJEsp</t>
  </si>
  <si>
    <t>@puffbobby Hi there! We require permits for any activity with 20 guests or more. Visit https://t.co/zJ956NR2XS for more permit FAQs!</t>
  </si>
  <si>
    <t>LIVE on #Periscope: Hiking Inwood Hill Park with the Urban Park Rangers on Manhattan's northern tip. https://t.co/ukOlkQ551l</t>
  </si>
  <si>
    <t>Through our #parkequity program, we're building better parks in areas in need. Take a look: https://t.co/WucXG9saMz https://t.co/luRI24jnKx</t>
  </si>
  <si>
    <t>This week's free movie nights: Men in Black 3, Pokémon, The Blues Brothers, Zootopia, &amp;amp; more https://t.co/RDCYr9ttAP https://t.co/AvXq91l9p0</t>
  </si>
  <si>
    <t>Take your run where the pros race, at free open run nights at Icahn Stadium, @randallsisland https://t.co/SUbPM2zV1x https://t.co/HRCoKvE7Yr</t>
  </si>
  <si>
    <t>We're looking for volunteers to help care for young trees in Soundview. Sign up here: https://t.co/VEEkupHjIz https://t.co/srSkMxEY1e</t>
  </si>
  <si>
    <t>Save the date: Dress in a costume &amp;amp; head to the 32nd Medieval Fest in Ft Tryon Park on 9/18. https://t.co/bW4jSxy7nY https://t.co/QQr7sqcwOR</t>
  </si>
  <si>
    <t>Due to life-threatening rip currents from #Hermine, beaches will remain closed to swimming on Wednesday, Sept. 7. https://t.co/b2SFMp63ry</t>
  </si>
  <si>
    <t>Camp overnight in @prospect_park next weekend! We'll bring the tents. Sign up here: https://t.co/KHedy99SHi https://t.co/4D3iK069z2</t>
  </si>
  <si>
    <t>@JoeGarlandNY Hi Joe, do you have a service request number from 311? Please DM us your SR # and/or the name of the park/location.</t>
  </si>
  <si>
    <t>@JKalifowitz Sure! We're happy to help.</t>
  </si>
  <si>
    <t>@franckclodung Hi, please report this to 311 at https://t.co/i5Mi2dfqp4, or DM @nyc311.</t>
  </si>
  <si>
    <t>@jnovatnack @prospect_park Hi, could you provide us with more info by filing a tree service request at https://t.co/kFdFm0XLgB? Thank you!</t>
  </si>
  <si>
    <t>RT @BklynBrdgPark: Soar your kite through the sky at our Kite Festival, SAT 9/10 at 11am https://t.co/QWkeLO0RAN ©Hoyer https://t.co/yniQt5…</t>
  </si>
  <si>
    <t>Due to life-threatening rip currents from  #Hermine, beaches will remain closed to swimming on Tuesday. https://t.co/2rXnIK8zGp</t>
  </si>
  <si>
    <t>RT @NotifyNYC: Ahead of #Hermine, @nycparks beaches will be closed to swimming/bathing/surfing on Monday, 9/5. Info: https://t.co/rts7z1iH8…</t>
  </si>
  <si>
    <t>RT @BilldeBlasio: Due to life-threatening rip tides, NYC beaches are closed to swimming, surfing, and bathing today. Please do not enter th…</t>
  </si>
  <si>
    <t>RT @NYCMayorsOffice: We’re tracking Hermine for you. Follow @NotifyNYC for updates, prepare a Go bag, charge your phones, check in on frien…</t>
  </si>
  <si>
    <t>RT @NotifyNYC: Ahead of #Hermine, @nycparks beaches will be closed to swimming on Sunday, 9/4. For more, visit https://t.co/rts7z1iH8S or c…</t>
  </si>
  <si>
    <t>@amarisrw @NYCMayorsOffice Beaches will be open for swimming tomorrow, and closed beginning Sunday, 9/4.</t>
  </si>
  <si>
    <t>@_octocode Hi, our outdoor pools will be accessible as weather allows. Follow @NotifyNYC or visit us at https://t.co/TyPEj6X6m6 for updates.</t>
  </si>
  <si>
    <t>Come to Coney Island Boardwalk tonight for the last of this summer's Friday night fireworks show! https://t.co/Dp5vyw8zOR</t>
  </si>
  <si>
    <t>Meet the artist behind this B'klyn-shaped garden representing immigrants living in the boro https://t.co/pY20owcJz8 https://t.co/pdb6qVFlI2</t>
  </si>
  <si>
    <t>RT @CentralParkNYC: The ambience of Bethesda Arcade after dark is magical—the Minton Tiles are illuminated suc… https://t.co/qIqcNyy1be htt…</t>
  </si>
  <si>
    <t>@eveostay @bradlander Our larger pools will remain open for general swimming through September 11: https://t.co/TyPEj6X6m6. (2/2)</t>
  </si>
  <si>
    <t>@eveostay @bradlander Hi Steve, our lap swim program ends today. To learn more about lap swim hours, visit https://t.co/yprULmgIKE. (1/2)</t>
  </si>
  <si>
    <t>@JoeGarlandNY Hi, do you have a service request number from 311? Please DM us your service request # and/or the name of the park/location.</t>
  </si>
  <si>
    <t>LIVE on #Periscope: Hiking Conference House Park w/the Urban Park Rangers as our guide to the park’s Revolutionary … https://t.co/hDCNiyPZnM</t>
  </si>
  <si>
    <t>There's still time left to sign up your kids for our free Afterschool Program: https://t.co/uAoEFGRnx0 https://t.co/ucMZNjMQgy</t>
  </si>
  <si>
    <t>Summer is winding down. Make the most of its last few weeks with our Summer Bucket List: https://t.co/TAyiJepxQg https://t.co/gR5ymiZp17</t>
  </si>
  <si>
    <t>Check out this photo of South Beach, Staten Island in the 1940s, before the Verrazano-Narrows Bridge was built #tbt https://t.co/mqBroHaovz</t>
  </si>
  <si>
    <t>@NYCPunter Hi, could you provide us more info by filing a tree service request at https://t.co/kFdFm1fm89? Thanks so much!</t>
  </si>
  <si>
    <t>@agent_ayesha Hi, please report this to 311 at https://t.co/i5Mi2dx1gC, or DM @nyc311.</t>
  </si>
  <si>
    <t>Hello, September! Here's a look at this month's upcoming events and programs: https://t.co/6xJ8gX6w98 https://t.co/qZLdNYHca6</t>
  </si>
  <si>
    <t>RT @MadeinNY: Summer may be coming to an end, but Movies Under the Stars w @NYCParks are still going strong! Full schedule: https://t.co/OU…</t>
  </si>
  <si>
    <t>@BastienLaurent @greenthumbgrows Yes, @greenthumbgrows is a division within @nycparks. You can email pressoffice@parks.nyc.gov for more.</t>
  </si>
  <si>
    <t>Help @ny4p plant daffodils in your neighborhood as a living memorial to September 11. Request free bulbs today! https://t.co/gplfygJenA</t>
  </si>
  <si>
    <t>Many of our beaches will remain open through Sept. 11. Keep the summer fun going! More at https://t.co/9EFQuZ2aMs https://t.co/5EtMnSlcE4</t>
  </si>
  <si>
    <t>Good news! Our larger pools will remain open through Sunday, September 11. More info at https://t.co/TyPEj6X6m6 https://t.co/q44vI3Uulv</t>
  </si>
  <si>
    <t>Start getting your team together for the annual Bocce Tournament on Saturday, September 10! https://t.co/gU26UV9ytU https://t.co/B4I2ytSdyt</t>
  </si>
  <si>
    <t>@jenjeno07 Hi Jen, thanks so much for bringing this to our attention. The link is working now: https://t.co/jS5tWwPJgj.</t>
  </si>
  <si>
    <t>@AnthonyBialy Hi Anthony, please file a rodent complaint with 311 at https://t.co/7QPpk4aBVS, or DM @nyc311.</t>
  </si>
  <si>
    <t>@aldepal Hi, we extended the pool season for our larger pools. Lasker Pool will remain open through Sept 11. More at https://t.co/TyPEj6X6m6</t>
  </si>
  <si>
    <t>@JeseniaDeMoyaC @nyuniversity Hi there! Please email your questions to pressoffice@parks.nyc.gov. Thanks!</t>
  </si>
  <si>
    <t>Head out to the historic 79th Street Boat Basin A-Dock at Riverside Park! It was damaged in Sandy; now restored. https://t.co/Bk3x94DBCv</t>
  </si>
  <si>
    <t>RT @mitchell_silver: Absolutely love the unexpected moments in #nycparks. Go to a park or public space if you want experience NYC. https://…</t>
  </si>
  <si>
    <t>Planning to barbecue in the park this weekend? Here's where grilling is allowed: https://t.co/rtlvyqV3kr ©EFrossard https://t.co/s8LqmEqpJN</t>
  </si>
  <si>
    <t>This cute baby deer at the @prospectparkzoo turns one month old on Friday! Stop by and say hello. https://t.co/vlk37icXJh</t>
  </si>
  <si>
    <t>From movie nights to canoeing, here are some ideas for your next date: https://t.co/Azot6iljTI https://t.co/0IxNwDFj25</t>
  </si>
  <si>
    <t>RT @nycHealthy: Biking in NYC is a fun way for the whole family to stay active! Get the #bikenyc map: https://t.co/09PsxFYFam https://t.co/…</t>
  </si>
  <si>
    <t>@jsanc623 @News12BX @fox5ny Hi, please file a rodent complaint with 311 at https://t.co/7QPpk3T0xi, or DM @nyc311.</t>
  </si>
  <si>
    <t>.@hhtnyc is looking for volunteers to help care for its historic houses &amp;amp; their collections https://t.co/iBqHu9MdDD https://t.co/2x0uFNJDyG</t>
  </si>
  <si>
    <t>Save the date! The Harvest Fair on Sept 17 will feature a chef contest, cooking demos &amp;amp; more https://t.co/zbliYEBoNU https://t.co/anwceMrvTr</t>
  </si>
  <si>
    <t>Registration for our free Afterschool program starts today! For more info, visit https://t.co/uAoEFGRnx0 https://t.co/rdMrmzj2JX</t>
  </si>
  <si>
    <t>This week's movie nights: Jurassic World, Iron Man 3, He Got Game, West Side Story, &amp;amp; more: https://t.co/RDCYr9ttAP https://t.co/s4FjTfzD4R</t>
  </si>
  <si>
    <t>RT @BklynBrdgPark: Ever bouldered under a #bridge? Give it a shot at DUMBO Boulders! @cliffsclimbing ©EFrossard https://t.co/oO6Dy0p2O1 htt…</t>
  </si>
  <si>
    <t>@allamapriya Hi! Registration has closed for the Aug. 25 event. You can register for the Oct. 8 volunteer event at https://t.co/0gFLdMYScQ</t>
  </si>
  <si>
    <t>Join our park rangers on an overnight camping adventure in @PelhamBayPark! Sign up here: https://t.co/DQakaq9DDV https://t.co/nCztKTF4lE</t>
  </si>
  <si>
    <t>Be safe at the beach. Swim only when lifeguards are around and never leave kids unattended. https://t.co/uy2Z4BLiYs https://t.co/E1rLNLzS7r</t>
  </si>
  <si>
    <t>We hope you have a ball on #NationalDogDay. Find a dog run near you at https://t.co/hvVNIWtNO2 https://t.co/V43BXVViMK</t>
  </si>
  <si>
    <t>Use this map to find monuments, art exhibits, and other famous artwork in a park near you: https://t.co/c1tZKoo2HK https://t.co/G2vqCC9CVs</t>
  </si>
  <si>
    <t>Happy Friday, NYC! Here are some fun things to do this weekend: https://t.co/GwJAqVBp02 https://t.co/PyubPIf5vx</t>
  </si>
  <si>
    <t>LIVE on #Periscope: Nation Parks Service Centennial from #Hamilton Grange #NPS100 https://t.co/EimiX0A3WT</t>
  </si>
  <si>
    <t>@GraceAlden Oh no. Unfortunately, the movie screening was yesterday. Visit us at https://t.co/awVc46KcVn for more upcoming movies in parks.</t>
  </si>
  <si>
    <t>You're all invited to the Silent Disco Party this Friday night at Hunter's Point South Park! https://t.co/VpZUwV91X8 https://t.co/vG0NOlwnBM</t>
  </si>
  <si>
    <t>Take a look at how the Bronx River transformed from an "open sewer" to a freshwater haven: https://t.co/gd92HgVQUC https://t.co/YRRxOM19oE</t>
  </si>
  <si>
    <t>Check out @StudioMuseum's #inHarlem, a new art exhibit opening in Harlem parks today! https://t.co/eUeMMggCyK https://t.co/l3PMGIjBEM</t>
  </si>
  <si>
    <t>Registration is now open for free archery lessons with the Urban Park Rangers! Sign up here: https://t.co/qfuh6wOdlv https://t.co/MfpFWR0X0E</t>
  </si>
  <si>
    <t>Looking for a way to celebrate #NPS100 today? #FindYourPark right here in NYC: https://t.co/yLVwDluDSI https://t.co/kV0ZoBEMy8</t>
  </si>
  <si>
    <t>@SHOWTIME___nyc Reach out to our friends at @PfPNYC to learn how can help improve your park: https://t.co/mkBXLHmP6j. (2/2)</t>
  </si>
  <si>
    <t>@SHOWTIME___nyc There are currently no projects scheduled at this playground. (1/2)</t>
  </si>
  <si>
    <t>@stephemcneal Hi Stephanie, please file a rodent complaint with 311 at https://t.co/7QPpk4aBVS, or DM @nyc311.</t>
  </si>
  <si>
    <t>See @PublicTheaterNY's free performances of Hamlet at our rec centers! Reserve your tickets: https://t.co/zfg51mw9sC https://t.co/QbOlAjRH09</t>
  </si>
  <si>
    <t>@BrooklynSpoke Hi, can you please DM us details of this incident, including time, date, location? Thanks.</t>
  </si>
  <si>
    <t>Work out like a triathlete: find places to swim, bike, and run at our parks: https://t.co/NqiRuRRe9y https://t.co/8Tp7fQGjbi</t>
  </si>
  <si>
    <t>Join the @BxRiverAlliance's bike ride along the entire Bronx River, from Soundview Park to the Kensico Dam. https://t.co/enmFRjjVrf</t>
  </si>
  <si>
    <t>Join us at the Washington Square Arch today at 7:45 p.m. for the premiere screening of @natgeowild's new show. https://t.co/4XLW7mGDGu</t>
  </si>
  <si>
    <t>RT @NYCulture: Did you know #Harlem is home to fantastic #PublicArt? See for yourself at #NYCultureOnWheels https://t.co/63kZ6ERWmb https:/…</t>
  </si>
  <si>
    <t>We're looking for volunteers to help care for the Bronx River Forest. Sign up here: https://t.co/BenkX7XfGY https://t.co/bmJucEuPgT</t>
  </si>
  <si>
    <t>These five "Anchor Parks" will receive $30 million each in major upgrades: https://t.co/fW8u4ZvH5j https://t.co/yHlxlzmOgD</t>
  </si>
  <si>
    <t>LIVE on #Periscope: The Mayor's Backyard: A Tour of Gracie Mansion's Garden https://t.co/JrZTtfty2q</t>
  </si>
  <si>
    <t>We're offering free tech workshops, from game design to DJing, for kids and teens: https://t.co/FRcT5yb1Vh https://t.co/bhFhOapwhf</t>
  </si>
  <si>
    <t>Last chance to check out "SPF16", a free exhibit of pool and beach photos: https://t.co/vFIgQ9RmHh https://t.co/IFzNwolpUG</t>
  </si>
  <si>
    <t>Camp overnight in Inwood Hill Park with our park rangers. We'll bring the tents! Sign up at https://t.co/PqExlzF2Nf https://t.co/LsiUmXkEsH</t>
  </si>
  <si>
    <t>RT @prospect_park: The goats are back in Prospect Park! Learn more about their work with the Alliance: https://t.co/5GnYO9gouT https://t.co…</t>
  </si>
  <si>
    <t>Learn about these cute baby pandas at the world premiere of @natgeowild's 'Mission Critical' https://t.co/WAhQ4wFCkT https://t.co/p8xX9TudVM</t>
  </si>
  <si>
    <t>Before summer ends, cross these 10 things to do off your Summer Bucket List: https://t.co/TAyiJepxQg https://t.co/bTqMg8NaqI</t>
  </si>
  <si>
    <t>#5WordFitnessPlan: Take the first step today https://t.co/6oQ5b5nwaf https://t.co/noKziQ0BtK</t>
  </si>
  <si>
    <t>This week's movie nights: The Breakfast Club, Some Like It Hot, House Party, Jaws, &amp;amp; more: https://t.co/RDCYr9ttAP https://t.co/aPD2nyFNjF</t>
  </si>
  <si>
    <t>RT @nycgo: Fun Things to Do In NYC on Labor Day Weekend https://t.co/cmWC2Wo5qh https://t.co/jretKRHmc9</t>
  </si>
  <si>
    <t>@newman_ca @jdawsey1 https://t.co/fQY6wPtfi3</t>
  </si>
  <si>
    <t>RT @SummerStreets: Good morning, NYC! #citisummerstreets are open! https://t.co/IidaLQ6mHQ</t>
  </si>
  <si>
    <t>@thestarrkendall Hi, please submit a tree service request at https://t.co/kFdFm0XLgB. If there's any immediate danger, please call 911.</t>
  </si>
  <si>
    <t>Enjoy this view from above Washington Square Park on a beautiful summer day. https://t.co/pBZI2HBm8W</t>
  </si>
  <si>
    <t>Say hello to the @BronxZoo's newborn sea lion pups! https://t.co/1BOfeiucgk</t>
  </si>
  <si>
    <t>It's #WorldPhotoDay! Take a look at some of the best places to capture NYC's lovely scenery: https://t.co/QIfvIrzjBI https://t.co/WriAqLxNoY</t>
  </si>
  <si>
    <t>@darinself https://t.co/3mkCGtn9jy</t>
  </si>
  <si>
    <t>Happy Friday, NYC. Here are some fun things to do this weekend: https://t.co/GwJAqVBp02 https://t.co/6vvk4nEBdp</t>
  </si>
  <si>
    <t>@missmarty70 @nycHealthy You can report standing water online here: https://t.co/4HtlTY24IU or DM @nyc311 and they’ll file for you.</t>
  </si>
  <si>
    <t>Check out "When I Grow Up", a look at hopes &amp;amp; dreams of kids affected by humanitarian crises https://t.co/MKsWB0LK12 https://t.co/NtgOVqY3bC</t>
  </si>
  <si>
    <t>RT @SummerStreets: Check out the great time we had last Sat at #CitiSummerStreets! Don't miss your last chance to join in the fun 8/20! htt…</t>
  </si>
  <si>
    <t>Where to spot hawks? Try Pelham Bay Park, BX. Register today for our hawk watch on Sept 4: https://t.co/PPpFPccyDm https://t.co/ddzLGWZMIX</t>
  </si>
  <si>
    <t>This week marks 80 years since Red Hook Pool first opened. Here's what the park looked like before the pool! #tbt https://t.co/27cXoSmGzE</t>
  </si>
  <si>
    <t>RT @nycgo: Check out the new Arthur Ashe Stadium roof and other insider tips for the 2016 @usopen! https://t.co/X7L9BjpDVo https://t.co/g8C…</t>
  </si>
  <si>
    <t>Our Adaptive Flag Football program starts Aug. 27. Find out how you can join the league: https://t.co/K0WCSHV4U6 https://t.co/JFmd22DXPG</t>
  </si>
  <si>
    <t>These waterfront parks have some of the best views of NYC's bridges: https://t.co/XZamFHE6SE https://t.co/XFSsQmkq9p</t>
  </si>
  <si>
    <t>RT @nyc311: Take an NYC #staycation! Kayaking, horseback riding, &amp;amp; hiking are some of many @NYCParks activities available: https://t.co/YaB…</t>
  </si>
  <si>
    <t>@b_duquette thanks for alerting us! Could you provide us w/more info at https://t.co/kFdFm0XLgB? If there's any immediate danger, call 911.</t>
  </si>
  <si>
    <t>Happy 80th birthday to Red Hook Pool, which first opened OTD in 1936. Plan a visit: https://t.co/2BvrlxzajW https://t.co/8lVwHrOaiK</t>
  </si>
  <si>
    <t>Strengthen communities, become a leader, and discover NYC in a new way! Apply to be a #NYCCivicCorps member: https://t.co/O7F02aZhj9</t>
  </si>
  <si>
    <t>Bring the kids to the Bronx's sports jamboree, featuring relay races, lacrosse, basketball, soccer, &amp;amp; more! https://t.co/a81vEXRDmQ</t>
  </si>
  <si>
    <t>RT @BklynBrdgPark: See the brilliant #photography of @United_Photo’s THE FENCE throughout BBP. ©EFrossard https://t.co/MFyhjoMQAT https://t…</t>
  </si>
  <si>
    <t>Here's how you can request to have a free tree planted on your block: https://t.co/VDu8D7WIZv https://t.co/TM85EbDDiL</t>
  </si>
  <si>
    <t>LIVE on #Periscope: Sailing on the Bronx River w @rtbbronx https://t.co/go9y2dP6v7</t>
  </si>
  <si>
    <t>@CuteMonsterDad @NYCMayorsOffice Hi, please report this to 311 at https://t.co/i5Mi2dfqp4 or DM @nyc311 for help filing your service request</t>
  </si>
  <si>
    <t>LIVE on #Periscope: Boat building on the Bronx River in Hunts Point Riverside Park w @rtbbronx https://t.co/A0IEwNUEQP</t>
  </si>
  <si>
    <t>Add the Bronx River to your staycation list, for canoeing, exploring historic sites, &amp;amp; more! https://t.co/lVOufaYlXL https://t.co/dtwuabXao1</t>
  </si>
  <si>
    <t>#BeatTheHeat without skipping today's workout.  Find free, indoor fitness classes near you: https://t.co/6oQ5b5nwaf https://t.co/vKONrNvf9I</t>
  </si>
  <si>
    <t>@Glenn__Kenny Hi, Red Hook Pool was closed late Thursday for treatment due to unsanitary conditions. The pool reopened on Saturday at 11 am</t>
  </si>
  <si>
    <t>This week's free movie nights: Ferris Bueller's Day Off, Grease, Batman v Superman, &amp;amp; more: https://t.co/RDCYr9ttAP https://t.co/heQze50cYB</t>
  </si>
  <si>
    <t>If you're heading outside today, remember to wear sunscreen &amp;amp; drink plenty of water (even if you don't feel thirsty) https://t.co/H62TcEtunM</t>
  </si>
  <si>
    <t>@urbaninsideout @afinelyne The new design includes a sand box, interactive water spray features, and game tables. (2/2)</t>
  </si>
  <si>
    <t>@urbaninsideout @afinelyne Hi! We're happy you like the new look. The playground was indeed designed by our very own staff! (1/2)</t>
  </si>
  <si>
    <t>Register now for Saturday's water slide at @SummerStreets in Foley Square! https://t.co/eTtylBWWGE</t>
  </si>
  <si>
    <t>@HUMBLE_LIBRA Hi Tiana, check out our job listings at https://t.co/YC2Ob018vv.</t>
  </si>
  <si>
    <t>Hi, thanks for bringing this to our attention. @nyc311, could you help @ophelia_rose file a report?</t>
  </si>
  <si>
    <t>RT @NYCDDC: See how we are making a better connection for pedestrians @ the new Astor Place. #DDCFeature https://t.co/LYAD5Wu1B8 https://t.…</t>
  </si>
  <si>
    <t>@beckermania1 Hi Michael, please report this to 311 at https://t.co/i5Mi2dfqp4, or DM @nyc311. Thank you.</t>
  </si>
  <si>
    <t>RT @NYCMayorsOffice: ☀️ Sun’s out and the heat index is way up! Stay safe today NYC. To find a cooling center call 311 or visit https://t.c…</t>
  </si>
  <si>
    <t>Outdoor pool hours are extended to 8pm tonight! #BeatTheHeat: find a free outdoor pool: https://t.co/TyPEj6X6m6 https://t.co/Kjsgyo0Psn</t>
  </si>
  <si>
    <t>LIVE on #Periscope: Walking to the waterfall in the Ravine Prospect Park #Brooklyn https://t.co/Rs8Dk0OmHP</t>
  </si>
  <si>
    <t>@illa_elle Thanks! Follow @BxRiverAlliance to see more stories like this every day!</t>
  </si>
  <si>
    <t>@lowereast2014 Hi, this is the wonderful Floating Pool in Barretto Point Park, The Bronx. More here: https://t.co/A3ShsExMsh</t>
  </si>
  <si>
    <t>Coming at 3pm: a  @periscopetv walk behind this @prospect_park waterfall with @mitchell_silver. Follow us to watch! https://t.co/qUkWgbDPXB</t>
  </si>
  <si>
    <t>Take a look at how the Bronx River's waterfront transformed over the years: https://t.co/gd92HgVQUC https://t.co/oq7snkgzEy</t>
  </si>
  <si>
    <t>Calling all bocce players! Challenge players from around NYC at our annual Bocce Tournament: https://t.co/gU26UV9ytU https://t.co/bRqkETzoxY</t>
  </si>
  <si>
    <t>Happy Friday, NYC! Here are some fun things to do this weekend: https://t.co/GwJAqVBp02 https://t.co/EVlyxvxnc8</t>
  </si>
  <si>
    <t>Learn all about some of the most famous fountains in NYC's parks: https://t.co/ZJZKWx4noI https://t.co/BehqvtxKOr</t>
  </si>
  <si>
    <t>We're looking for volunteers to help care for street trees, forests, and nature trails: https://t.co/0gFLdMYScQ https://t.co/ZNUJhGGNmG</t>
  </si>
  <si>
    <t>Sign up your kids for our free flag football league for ages 8 - 17: https://t.co/iZJ0RANiUW https://t.co/C3JwZmDbuz</t>
  </si>
  <si>
    <t>43 years ago OTD, DJ Kool Herc &amp;amp; Cindy Campbell's party at 1520 Sedgwick Avenue and Cedar Park birthed hip hop #tbt https://t.co/idIyUqhqxy</t>
  </si>
  <si>
    <t>There's still time to jump in! Join us at Fisher Pool, or at any of our 55 outdoor pools: https://t.co/TyPEj6X6m6 https://t.co/OoUE64gaWf</t>
  </si>
  <si>
    <t>@starrysoles @ShapeUpNYC Hi! Applicants will be notified tomorrow.</t>
  </si>
  <si>
    <t>@sugarpond Hi! Could you please DM us a photo of the tree and the address?</t>
  </si>
  <si>
    <t>@JonathanLBush @mitchell_silver Great to hear, Jonathan! Learn more about our Community Parks Initiative at https://t.co/MJ3S56hdHL.</t>
  </si>
  <si>
    <t>RT @NYC_DOT: Staycation-ing? #bikenyc to the #Bronx &amp;amp; tag us in a pic of your summer fun! https://t.co/7O2arlYxjj @NYCParks https://t.co/T7…</t>
  </si>
  <si>
    <t>@DrMarkMelrose Hi there! We turned the spray showers off briefly while it was raining. They're back on now. Thanks for checking!</t>
  </si>
  <si>
    <t>It looks like it will be rainy out for a few days. Join a free, indoor fitness class: https://t.co/6oQ5b5nwaf https://t.co/iFBs31mkjL</t>
  </si>
  <si>
    <t>From the Unisphere to the Puerto Rican Sun, here are all the artworks you can find in Parks: https://t.co/c1tZKoo2HK https://t.co/9BIbHLZZGL</t>
  </si>
  <si>
    <t>Go canoeing in the Hudson River with our Urban Park Rangers on August 27. Sign up here:  https://t.co/lqOPi0vpbU https://t.co/x39lH0MwWp</t>
  </si>
  <si>
    <t>Contemporary artists display thrilling photos of our pools &amp;amp; beaches at this free exhibit: https://t.co/qcXL4wJQF5 https://t.co/w0C6FOzfp7</t>
  </si>
  <si>
    <t>Explore NYC's only freshwater river with the @BronxRiverAlliance this Saturday! https://t.co/S4w6dmERSD https://t.co/Ev7wcxfB1d</t>
  </si>
  <si>
    <t>Camp overnight in @CentralParkNYC with our Urban Park Rangers next Saturday! Sign up here: https://t.co/wzL4u5ibEy https://t.co/DLp7oQpAtZ</t>
  </si>
  <si>
    <t>Here's how to sign up your team, coworkers, or friends to lead a Parks volunteer project: https://t.co/IAOodx8RjZ https://t.co/HmeG2Dh0ZT</t>
  </si>
  <si>
    <t>Learn how we're investing in underserved neighborhoods with the Community Parks Initiative: https://t.co/MJ3S56hdHL https://t.co/svLhgtGBc7</t>
  </si>
  <si>
    <t>RT @PfPNYC: Don't forget to sign up for tonight's Getting $ for Your Green Space in #Manhattan https://t.co/Hw1vAc3QBu https://t.co/GO1l6hH…</t>
  </si>
  <si>
    <t>@MsAllen215 Hi! Please report this to 311 at https://t.co/i5Mi2dfqp4, or DM @nyc311. Thank you.</t>
  </si>
  <si>
    <t>Find free outdoor fitness classes, from yoga to African dance: https://t.co/LyZSKSsmqP #mondaymotivation https://t.co/IUeOpl5gw6</t>
  </si>
  <si>
    <t>Happy 80th birthday to Jackie Robinson Pool, which first opened OTD in 1936! Plan a visit: https://t.co/QvPMaKk5bl https://t.co/JS6KY8mhzq</t>
  </si>
  <si>
    <t>Registration is now open for this Saturday's water slide at @SummerStreets in Foley Square: https://t.co/dYkRP35onq https://t.co/D9xPrcYXXs</t>
  </si>
  <si>
    <t>This week's movie nights: Grease, Inside Out, Selma, August Rush, E.T., Drumline, &amp;amp; more: https://t.co/RDCYr9ttAP https://t.co/pMwcebu2w7</t>
  </si>
  <si>
    <t>RT @CentralParkNYC: Can you tell where in the Park these films were shot? Take our #CPCFilmFest Quiz: https://t.co/Gv53CwS7DH https://t.co/…</t>
  </si>
  <si>
    <t>This weekend, head to the #BronxRiver and see a different side of NYC. Visit https://t.co/XFzsHOd47w for ideas. https://t.co/8L7XZSjyo7</t>
  </si>
  <si>
    <t>Check out our newest improved playground! Cardozo Plgd is in Far Rockaway. Find it at https://t.co/OrrTitceCh https://t.co/xfscmQrl7p</t>
  </si>
  <si>
    <t>When you head to our beaches and pools, swim where lifeguards are present. More tips at: https://t.co/uy2Z4BLiYs https://t.co/5IRZnAVkPH</t>
  </si>
  <si>
    <t>Pose for joy! Yoga returns to Rockaway Beach tomorrow morning. Visit https://t.co/jELUPLc03R for details. https://t.co/B75msUXR78</t>
  </si>
  <si>
    <t>Visit https://t.co/Zo7lI7ythg to see the best events taking place in our parks this weekend. https://t.co/MKozoEIeyh</t>
  </si>
  <si>
    <t>You can still see traces of NYC's first-ever water supply system in some parks. Take a look: https://t.co/kPgquxjdzG https://t.co/rhHHWve6Zs</t>
  </si>
  <si>
    <t>Overwhelmed by NYC's bustle? Escape to these getaway parks that are perfect for a staycation https://t.co/4Cu2GnLjBh https://t.co/P1guPPPIjX</t>
  </si>
  <si>
    <t>Registration is now open for our youth flag football league. Sign up here: https://t.co/iZJ0RANiUW https://t.co/oetaJagLIz</t>
  </si>
  <si>
    <t>Enter the lottery for your chance to hike &amp;amp; paddle through Marine Park on a Ranger-led tour: https://t.co/G6V0SGBWp6 https://t.co/HQevPuMKXm</t>
  </si>
  <si>
    <t>RT @BxRiverAlliance: Discover the only fresh water river in #NYC on 8/13 at A Day in the Life of the #BronxRiver! https://t.co/JLauqtrfpj h…</t>
  </si>
  <si>
    <t>RT @BklynBrdgPark: The folks from @BillionOyster Project were at BBP today installing new #oyster cabinets! https://t.co/QxgCAPCIq5 https:/…</t>
  </si>
  <si>
    <t>.@SummerStreets kicks off on Aug 6! Nearly 7 miles of streets from Brooklyn Bridge to Central Park will be car-free! https://t.co/lSlcUGjVf9</t>
  </si>
  <si>
    <t>LIVE on #Periscope: Hiking Van Cortlandt Park along the Old Croton Aquaduct in the Bronx w NYC Parks' Urban Park Ra… https://t.co/NtUgpioTWS</t>
  </si>
  <si>
    <t>To help keep kids active, we're hosting games &amp;amp; fitness activities at playgrounds across NYC https://t.co/u2HLLVGqQN https://t.co/VAAPLBUGo5</t>
  </si>
  <si>
    <t>You don't need to go upstate to camp out in a park. Sign up for free camping events in NYC: https://t.co/M8RbBoxYWt https://t.co/R8YTzoQ6bD</t>
  </si>
  <si>
    <t>RT @nycHealthy: Biking in NYC is a fun way to stay active while improving your health! 🚲 Get the map: https://t.co/09PsxFYFam https://t.co/…</t>
  </si>
  <si>
    <t>The 26th Hong Kong Dragon Boat Festival is this weekend at Flushing Meadows Corona Park! https://t.co/jfhgmwpj5K https://t.co/YLumBbSXdR</t>
  </si>
  <si>
    <t>This cross country clinic offers free, full day programs to help train young runners: https://t.co/esdMYX1POc https://t.co/TKtOXHeYO0</t>
  </si>
  <si>
    <t>Some trees are more well-known than others. Find out why &amp;amp; if there's a famous tree near you https://t.co/dczxGtu6g6 https://t.co/LD7GtI4CWZ</t>
  </si>
  <si>
    <t>Plan a visit to Brooklyn's Kaiser Park. Locals love the view and access to the shore: https://t.co/GQxKY71BNj https://t.co/uEDIoCZH3K</t>
  </si>
  <si>
    <t>Our beach volleyball tournament is this Saturday at Coney Island Beach! Sign up to compete: https://t.co/vt4soSbx2p https://t.co/ocFLqPMc0y</t>
  </si>
  <si>
    <t>Rec center memberships are just $25/year for seniors, vets, and people with disabilities: https://t.co/oYi1uyP0Ss https://t.co/xKHF2gX35H</t>
  </si>
  <si>
    <t>Try out our adventure course for free this Sunday! Sign up today only at https://t.co/dqB5HdGakr https://t.co/rLhAlEYOnY</t>
  </si>
  <si>
    <t>Get to practicing. Our chin-up and pull-up contest is this Sunday at Coney Island Beach! https://t.co/dasN4GbtFw https://t.co/ZaA8BeF0GR</t>
  </si>
  <si>
    <t>This week's free movies: The Sandlot, Jurassic World, Creed, The Royal Tenenbaums, &amp;amp; more: https://t.co/RDCYr9ttAP https://t.co/qblmTn5Skr</t>
  </si>
  <si>
    <t>It's #NationalGirlfriendDay! Celebrate with these cute summer date ideas: https://t.co/Azot6iljTI https://t.co/Q13AdTSWBX</t>
  </si>
  <si>
    <t>RT @NYCSchools: Find #FreeSummerMeals being served at participating schools, pools,@NYCParks, libraries, trucks &amp;amp; @NYCHA locations → https:…</t>
  </si>
  <si>
    <t>@bereasonable2 Hi! Please report this to 311 at https://t.co/Bccxz6gabz or DM @nyc311. Thank you.</t>
  </si>
  <si>
    <t>@nlfreeman888 Lap swim takes place on Mondays through Fridays. Early Bird: 7 am - 830 am; Night Owl: 7 pm - 830 pm https://t.co/yprULmgIKE</t>
  </si>
  <si>
    <t>City Island's Belden Point gets a new look with park benches, flower beds, and access to this beautiful view. https://t.co/BPs6dMLvcB</t>
  </si>
  <si>
    <t>Use this new map to find monuments and art in NYC's parks: https://t.co/c1tZKoo2HK https://t.co/uhjda35qEu</t>
  </si>
  <si>
    <t>Only a few days left to sign up for this summer's free Learn to Swim classes: https://t.co/o0i7AaMNKl https://t.co/CJp2BApXZX</t>
  </si>
  <si>
    <t>Happy Friday! Here are some fun things to do this weekend: https://t.co/GwJAqVBp02 https://t.co/YBS9MWeusi</t>
  </si>
  <si>
    <t>LIVE on #Periscope: Looking for the yellow submarine in Coney Island Creek with the Urban Park Rangers https://t.co/6kMClikSpC</t>
  </si>
  <si>
    <t>RT @highlinenyc: Take an @NYCParks survey &amp;amp; help shape the future of parks: https://t.co/PvitC3jjMQ</t>
  </si>
  <si>
    <t>Orchard Beach in July, 1937. This summer marks 80 years since Orchard Beach first opened. https://t.co/KphbYcxWkv https://t.co/XGidLiRqnH</t>
  </si>
  <si>
    <t>Register today for a tour of Flushing Meadows Corona Park's World's Fair history by bike: https://t.co/PEgJCnhXt3 https://t.co/CLPI1lGVcM</t>
  </si>
  <si>
    <t>Registration is now open for this summer's youth street hockey program: https://t.co/zLaQ7hOuCB https://t.co/10jQ5oYlE3</t>
  </si>
  <si>
    <t>Dance for joy! Seinfeld episodes are coming to Hunter's Point South Park tonight: https://t.co/GcGSp9537v https://t.co/7Rs0jzpbxj</t>
  </si>
  <si>
    <t>It's hot out. Find cool ways to #BeatTheHeat at the park: https://t.co/seJ4rBWIFl https://t.co/jrEaKFAEA0</t>
  </si>
  <si>
    <t>RT @CentralParkNYC: The official Central Park app has an interactive GPS map to help you find iconic locations. https://t.co/JTupz2jSUm htt…</t>
  </si>
  <si>
    <t>Join our lantern tour of the Little Red Lighthouse.  Take a look inside &amp;amp; check out the view https://t.co/J314CU5Zk7 https://t.co/SN5eXnORGU</t>
  </si>
  <si>
    <t>The first-ever little penguin chick hatched at the @BronxZoo! Hello, little one. https://t.co/xTSVoBNLh3</t>
  </si>
  <si>
    <t>@tinkelwoman @centralparkzoo @CentralParkNYC https://t.co/O915pXMJc1</t>
  </si>
  <si>
    <t>We all need this right now. Find a spray shower in a park near you: https://t.co/tXWJLrGpcK. #BeatTheHeat https://t.co/888jgVjU2K</t>
  </si>
  <si>
    <t>Look who's hanging out by the entrance to @centralparkzoo. Welcome to @CentralParkNYC, Pikachu! #pokemongo https://t.co/PggqMsLteU</t>
  </si>
  <si>
    <t>Drink plenty of water (even if you don't feel thirsty) and wear sunscreen. Find more tips at https://t.co/Iynn5PabFt https://t.co/DgF17BmLsh</t>
  </si>
  <si>
    <t>RT @nycoem: Pets are affected by extreme heat, too! Make sure you keep these family members safe. #BeatTheHeat https://t.co/sioJk3ZGR0</t>
  </si>
  <si>
    <t>RT @freshkillspark: Freshkills Park and the @NYCParks #ParksWithoutBorders approach https://t.co/fTysvZ8Ehj @TCLFdotORG https://t.co/joaoVc…</t>
  </si>
  <si>
    <t>Last chance to sign up for our park rangers' overnight camping adventure at Fort Totten Park https://t.co/5abIxd7zV5 https://t.co/wR8pFYKt4p</t>
  </si>
  <si>
    <t>Here's the schedule of upcoming canoeing and kayaking events at NYC's parks: https://t.co/6i9txMcsEj https://t.co/QiTbctkclS</t>
  </si>
  <si>
    <t>Stay cool! Take the kids to a playground with a spray shower. Find one near you: https://t.co/tXWJLrGpcK https://t.co/oiUMYfVRgW</t>
  </si>
  <si>
    <t>If you're heading to the pool, here's what you'll need to know before you go: https://t.co/TyPEj6X6m6 https://t.co/JRId6GBy4R</t>
  </si>
  <si>
    <t>RT @nycoem: It's another hot day in NYC. Stay hydrated by drinking water (even if you do not feel thirsty). #BeatTheHeat https://t.co/c2bfR…</t>
  </si>
  <si>
    <t>@localecologist Hi! Please report this to 311 at https://t.co/i5Mi2dfqp4, or DM @nyc311. Thank you.</t>
  </si>
  <si>
    <t>@Sam2071 John Jay Pool is temporarily closed due to the inclement weather, which we anticipate will last through lap swim.</t>
  </si>
  <si>
    <t>@Sam2071 Your best bet is to call the pool before you go. Visit https://t.co/tA423Mx5CX to find your pool and call the listed number. Enjoy!</t>
  </si>
  <si>
    <t>There's still time left to sign up for free Learn to Swim classes: https://t.co/o0i7AaMNKl https://t.co/gh8j9Ge4Ay</t>
  </si>
  <si>
    <t>Skate to some of your favorite songs at @BklynBrdgPark's roller skating rink at Pier 2: https://t.co/Dxrvuf8nNB https://t.co/MVMqIa4J7H</t>
  </si>
  <si>
    <t>Happy 80th birthday to Orchard Beach, which first opened OTD in 1936. Plan a visit: https://t.co/KphbYcxWkv https://t.co/jW6KOxAw5P</t>
  </si>
  <si>
    <t>@JustLivingBK Hi! Please report this to 311 at https://t.co/i5Mi2dfqp4, or DM @nyc311.</t>
  </si>
  <si>
    <t>@SharaAshleyZ Hi, please report this to 311 at https://t.co/i5Mi2dfqp4, or DM @nyc311. Thank you.</t>
  </si>
  <si>
    <t>This week's free movie nights: Mamma Mia, Love &amp;amp; Basketball, Zootopia, The Shining, &amp;amp; more: https://t.co/RDCYr9ttAP https://t.co/041RIaOhwV</t>
  </si>
  <si>
    <t>Too hot to work out outside? Find free, indoor fitness classes near you: https://t.co/6oQ5b5nwaf https://t.co/hOGB0bGda2</t>
  </si>
  <si>
    <t>Want to camp out in @PelhamBayPark w/our park rangers? Sign up here: https://t.co/qMXb7gicAK. We'll provide tents! https://t.co/TRKbB3AAT5</t>
  </si>
  <si>
    <t>Be safe while at the pool and beach. Swim only when lifeguards are around and never leave kids unattended. https://t.co/AdT6zMYolI</t>
  </si>
  <si>
    <t>#BeatTheHeat: wear sunscreen &amp;amp; drink plenty of fluids (even if you're not thirsty). More at https://t.co/seJ4rBWIFl https://t.co/oaiXPbFa7r</t>
  </si>
  <si>
    <t>Here at Sunset Park Pool, we offer lap swim hours, learn to swim classes, &amp;amp; senior programs: https://t.co/Kk9gt4ySP4 https://t.co/xCraGCdH8h</t>
  </si>
  <si>
    <t>RT @nyc311: Cool down while having a blast! Find a spray shower in @NYCParks  or playground near you: https://t.co/a9VB3RZKOi https://t.co/…</t>
  </si>
  <si>
    <t>Happy Friday, NYC! Here are some fun things to do this weekend: https://t.co/GwJAqVBp02 https://t.co/v321rIKUqW</t>
  </si>
  <si>
    <t>RT @AssociatedPress: Thanks, @mitchell_silver! Get the behind-the-scenes scoop on how our @NYCParks 360-degree video came together. https:/…</t>
  </si>
  <si>
    <t>Join our park rangers on an overnight camping adventure at Wolfe's Pond Park #onStatenIsland https://t.co/l7PL18R35M https://t.co/Kp34g7PFfn</t>
  </si>
  <si>
    <t>Explore some of the most beautiful woodland areas right here in New York City: https://t.co/xhyUzTKZ7g https://t.co/rCECpBBTMR</t>
  </si>
  <si>
    <t>RT @nyc311: Think your neighborhood needs more public spaces to sit? Request a #CityBench from @NYC_DOT: https://t.co/j1zoKbEGUA</t>
  </si>
  <si>
    <t>.@ShapeUpNYC is looking for fitness instructors! Apply today to join the training program: https://t.co/JVywUBdrzS https://t.co/FaOCqkGUJA</t>
  </si>
  <si>
    <t>@Lucia_Spina Hi! Please report this to 311 at https://t.co/zZW2UvIEME or DM @nyc311.</t>
  </si>
  <si>
    <t>Happy 163rd birthday, @CentralParkNYC! 🎉💚 https://t.co/FVeVGddOzR</t>
  </si>
  <si>
    <t>RT @NY4P: How are you using your parks? @NYCParks wants to know! Take a quick survey &amp;amp; share your thoughts. https://t.co/FllEdT1u5m</t>
  </si>
  <si>
    <t>RT @MadeinNY: We've got free films in @NYCParks in *all five boroughs* tonight! Visit https://t.co/OUWtyllooz for more details. https://t.c…</t>
  </si>
  <si>
    <t>Join our park rangers on a free birding adventure by canoe in Jamaica Bay. Sign up here: https://t.co/pArhYt4fj2 https://t.co/BjxIOAE5nG</t>
  </si>
  <si>
    <t>Happy 80th birthday to Sunset Park Pool, which opened OTD in 1936! https://t.co/tpbgtaabe2 https://t.co/1bqqS6Rk98</t>
  </si>
  <si>
    <t>LIVE on #Periscope: Let’s go inside Bronx River House in Starlight Park to preview one of NYC’s greenest buildings … https://t.co/IwCpRCIW3O</t>
  </si>
  <si>
    <t>@nyc311 @kristenrapp Thanks for reporting this issue. We’re working on finding long-term solutions for the slow drainage at this site.</t>
  </si>
  <si>
    <t>Interested in bringing your restaurant, cafe, or snack bar to the Allen Street Mall? Visit https://t.co/gDtXo1J1JT. https://t.co/aNFgEQ3Zj4</t>
  </si>
  <si>
    <t>RT @CentralParkNYC: Please be aware: you may hear simulated explosions/gunshots at the Delacorte during the run of Troilus and Cressida. ht…</t>
  </si>
  <si>
    <t>Find out how you can have your artwork displayed in an NYC park: https://t.co/RNKjYUQlCa https://t.co/GYoqqKmJwl</t>
  </si>
  <si>
    <t>Dance the night away to live fiddle music at these square dancing parties w/@NYCityStompers: https://t.co/gwrPLiBxdv https://t.co/KB8iZZdScg</t>
  </si>
  <si>
    <t>Last chance to sign up for our free, overnight camping adventure in Inwood Hill Park: https://t.co/7WcV594DDX. https://t.co/7QiV19zejx</t>
  </si>
  <si>
    <t>Become a fitness instructor. Sign up for @ShapeUpNYC's 12-week training program: https://t.co/JVywUBdrzS https://t.co/QyRUXf3g9P</t>
  </si>
  <si>
    <t>RT @CentralParkNYC: Central Park is turning 163 on July 21st! Help us party by using #hbdcentralpark to share your pictures and stories. ht…</t>
  </si>
  <si>
    <t>@PrettyGirlCase Hi! For more information about hours for vehicle traffic, please visit @prospect_park at https://t.co/IMZuSQjjDy.</t>
  </si>
  <si>
    <t>@warrbo This oak tree split in half earlier this month and we had to remove the remaining portion to keep the public safe.</t>
  </si>
  <si>
    <t>There's still time left to join our youth swim teams across NYC: https://t.co/FfKu6OW7yw https://t.co/3jUC6d7zbv</t>
  </si>
  <si>
    <t>Join @nyrr's free walk, jog, or run club at Baisley Pond Park, Queens on Wednesdays: https://t.co/SRE6YUTLpw https://t.co/bxQh8lGwRR</t>
  </si>
  <si>
    <t>Remembering Nelson Mandela's historic visit to NYC in 1990: https://t.co/kPVi2YN5hn 📷: Malcolm Pinckney #MandelaDay https://t.co/PrLiEwalUN</t>
  </si>
  <si>
    <t>This week's free movie nights: E.T., Purple Rain, Finding Nemo, Selena, Zootopia, &amp;amp; more: https://t.co/RDCYr9ttAP. https://t.co/avWIB6WAJB</t>
  </si>
  <si>
    <t>It's hot out. Drink plenty of fluids and wear sunscreen. Find more ways to #BeatTheHeat: https://t.co/7LX21fXEQl https://t.co/4JBw1dIzlW</t>
  </si>
  <si>
    <t>@KittyRunkin Are you looking to reserve a tennis court at McCarren Park?</t>
  </si>
  <si>
    <t>@leslieann_b Hi! Please report this to 311 here: https://t.co/i5Mi2dfqp4 or DM @nyc311.</t>
  </si>
  <si>
    <t>LIVE on #Periscope: Coney Island: Above the Boardwalk  https://t.co/tJTyfUbwVk</t>
  </si>
  <si>
    <t>Tomorrow is #CityofWaterDay! Come out and celebrate 520 miles of @OurWaterfront: https://t.co/Fjw0ImVBnb https://t.co/yKi0uL92iT</t>
  </si>
  <si>
    <t>#BeatTheHeat: Wear sunscreen, drink plenty of fluids, and find fun ways to stay cool: https://t.co/7LX21fXEQl https://t.co/fA9rg2AvGz</t>
  </si>
  <si>
    <t>Go for a swim at the Floating Pool, with a one-of-a-kind view of Manhattan's skyline: https://t.co/YMwzeD4GJ8 https://t.co/VZtjv2rhVd</t>
  </si>
  <si>
    <t>Happy Friday, NYC! Here are some fun things to do this weekend: https://t.co/GwJAqVBp02 https://t.co/1wCIEMgwdg</t>
  </si>
  <si>
    <t>@Ro_Hill Hi! It's still on as of now, but please check our event listing at https://t.co/LFKeU4WYRo before you leave. Enjoy the movie!</t>
  </si>
  <si>
    <t>Get lost in a good book at the Uni Project's pop-up reading rooms. @FindtheUni in a park: https://t.co/Fku7ErYM4l https://t.co/pWZZT6kYnr</t>
  </si>
  <si>
    <t>Here's where you should take your date this summer: https://t.co/Azot6iljTI https://t.co/nTAIPoy4lv</t>
  </si>
  <si>
    <t>It's #NationalHotDogDay! Grab a hot dog from a food cart in a park near you: https://t.co/IKKs28nZXf https://t.co/m8nWpYC8xD</t>
  </si>
  <si>
    <t>@DoubleNW Hi! Please DM us your permit number and contact info, as well as the name of the park. Thank you.</t>
  </si>
  <si>
    <t>Happy 80th birthday to Highbridge Pool, which first opened OTD in 1936! Plan a visit: https://t.co/lu4asnpPTG https://t.co/25d2TkNECy</t>
  </si>
  <si>
    <t>RT @nycgo: #GetOutToRun at a weekly @nyrr Open Run! It's free and there's one at a park near you! https://t.co/A0Id3fv5XQ</t>
  </si>
  <si>
    <t>Plan a trip to Manhattan Beach. It's in Brooklyn, and there are dozens of picnic tables! https://t.co/WwiASOxo67 https://t.co/wRLxv1cphq</t>
  </si>
  <si>
    <t>Check out how kids used lunch table art to sound off on social issues: https://t.co/D9esGlXKeH. See it in our parks! https://t.co/NOQiBrHiOH</t>
  </si>
  <si>
    <t>Meet @thequeenszoo's newborn owls. Burrowing owls are active during the day but, like most of us, avoid midday heat. https://t.co/eWxVV6GnVz</t>
  </si>
  <si>
    <t>Help us care for street trees and natural areas across NYC. Sign up to become a volunteer: https://t.co/0gFLdMYScQ https://t.co/0qWDdrz4Zn</t>
  </si>
  <si>
    <t>Camp overnight in Alley Pond Park with our park rangers on 7/23. We'll bring tents! Sign up: https://t.co/axzUaQiVVu https://t.co/Qvo5l5P94N</t>
  </si>
  <si>
    <t>@micaelad Hi! Please report overgrown grass to 311 here: https://t.co/zZW2UvIEME, or DM @nyc311. Thank you!</t>
  </si>
  <si>
    <t>LIVE on #Periscope: Manhattanhenge at Hunter's Point South Park https://t.co/6LptWzUwRJ</t>
  </si>
  <si>
    <t>Bklyn's Heckscher Plgd reopens with a new multi-sport field, a walking track, workout equipment, &amp;amp; upgraded courts. https://t.co/eKKVPmKyVp</t>
  </si>
  <si>
    <t>RT @NYCSchools: Download the new SchoolFood App for IOS &amp;amp; Android to find #FreeSummerMeals → https://t.co/yeIlIDQIAZ https://t.co/YcHTCEIRSd</t>
  </si>
  <si>
    <t>Gotta Ketchum all! See you in the parks! #PokemonGO https://t.co/yUArERYndV</t>
  </si>
  <si>
    <t>This is what McCarren Pool looks like from above. See more at our SPF16 art exhibit: https://t.co/XARH8piYdC https://t.co/KaalDnBQn8</t>
  </si>
  <si>
    <t>Join our park rangers on a free canoe trip around the Orchard Beach Lagoon. Sign up here: https://t.co/tbEbl3LrNC https://t.co/vi2xMmRJuJ</t>
  </si>
  <si>
    <t>@tedshumaker There is! You can visit https://t.co/IQDKhvOuTA to purchase single-play passes online. (Allow about a week for processing).</t>
  </si>
  <si>
    <t>Throughout the summer, we're offering free sports clinics for kids &amp;amp; teens across NYC: https://t.co/eQn2abOORP https://t.co/DhFxtjV9i5</t>
  </si>
  <si>
    <t>RT @nycgo: Lasker Pool, in the northeast corner of Central Park Conservancy. #SeeYourCity 📷: bklyn_block/IG https://t.co/DVJ2YG7NFO</t>
  </si>
  <si>
    <t>RT @NYCMayorsOffice: We ❤️ NYC. #Manhattanhenge https://t.co/AbdxisYZcH</t>
  </si>
  <si>
    <t>RT @highlinenyc: Swing by the High Line tonight at 8:20 PM for #Manhattanhenge: https://t.co/alq13zJhYt #HighLineSunset https://t.co/kYleoF…</t>
  </si>
  <si>
    <t>@triathlee Hi! You can write to our commissioner's office here: https://t.co/YcRUjttcy5.</t>
  </si>
  <si>
    <t>Enter the lottery for free Learn to Swim classes at our free outdoor pools: https://t.co/o0i7AaMNKl https://t.co/4nHKidxAGa</t>
  </si>
  <si>
    <t>Try out our obstacle course in Queens! Sign up for this Sunday's free program: https://t.co/fHiMwccLR5 https://t.co/3jBBYGrq8t</t>
  </si>
  <si>
    <t>Want to lead your own fitness classes? Join @ShapeUpNYC's instructor training program: https://t.co/JVywUBdrzS https://t.co/zmYhXGdWIa</t>
  </si>
  <si>
    <t>This week's free movies: Star Wars: The Force Awakens, Back to the Future, Basquiat, &amp;amp; more: https://t.co/RDCYr9ttAP https://t.co/B6NbkmL8pX</t>
  </si>
  <si>
    <t>From yoga to Zumba, find outdoor fitness classes in parks across NYC: https://t.co/J5HtU9eoYI #mondaymotivation https://t.co/3QKAKlvKke</t>
  </si>
  <si>
    <t>@BigTomNYC @NYPD45Pct Hi! Please report this to 311 here: https://t.co/y69eqpYAuY, or DM @nyc311. Thank you!</t>
  </si>
  <si>
    <t>@MysTiffy Hi! Please report this to 311 here: https://t.co/i5Mi2dfqp4, or DM @nyc311.</t>
  </si>
  <si>
    <t>RT @CentralParkNYC: #PokemonGO is bringing gamers to the Park in droves! Apparently, we have an Arbok? #gottacatchemall @PokemonGoNews http…</t>
  </si>
  <si>
    <t>Thanks to @billionoyster for growing oysters to restore NYC's parks and harbors! https://t.co/OfdlfPruJR</t>
  </si>
  <si>
    <t>Have you visited Rockaway Boardwalk? The entire boardwalk opened last weekend for the first time since Sandy https://t.co/CxlDQTvpGf</t>
  </si>
  <si>
    <t>What NYC beach are you? Take our quiz to find out: https://t.co/h7hTKugfuH https://t.co/tz4PG8ofW7</t>
  </si>
  <si>
    <t>Join our youth swim teams! Here's where you can sign up: https://t.co/FfKu6OW7yw https://t.co/7CSZKSAWLG</t>
  </si>
  <si>
    <t>Join our park rangers on a hiking adventure through Forest Park, Queens this Saturday: https://t.co/4iPq95xo1F https://t.co/HEzIqLt7Hy</t>
  </si>
  <si>
    <t>@ljwex Hi! Yes. Astoria Pool is open seven days a week from 11am - 7pm, with a break for cleaning between 3pm &amp;amp; 4pm https://t.co/TZIhLSW2hw</t>
  </si>
  <si>
    <t>@nick_gorski @NYC_DOT @nyc311 Hi! You can submit a 311 service request here: https://t.co/zZW2Uvr3o4 or DM @nyc311.</t>
  </si>
  <si>
    <t>Happy Friday, NYC! Here's a list of fun things to do this weekend in NYC's parks: https://t.co/GwJAqVBp02 https://t.co/dl6AzGYdYb</t>
  </si>
  <si>
    <t>RT @nycgo: This summer, you can hear live music of all kinds across New York for free. Find a show with our guide! https://t.co/YDPxuHJdzS</t>
  </si>
  <si>
    <t>Take a look around the Little Red Lighthouse at our free open house on Sunday! https://t.co/ruHfPKxHr0 https://t.co/ohIiBv3VcE</t>
  </si>
  <si>
    <t>@wcmacmillan Lap swim may be canceled during severe weather or rain. Please call ahead for updates at (212) 387-7687.</t>
  </si>
  <si>
    <t>Lyons Pool #onStatenIsland first opened OTD 80 years ago! Plan a visit: https://t.co/Bynky0tfFg https://t.co/aXGOWnQbZ8</t>
  </si>
  <si>
    <t>@wcmacmillan Hi! We'll try our best to accommodate lap swimmers tonight; however, if the pool becomes crowded lap swim may be canceled.</t>
  </si>
  <si>
    <t>@tsnafus Hi Tim, we'll try our best to accommodate lap swimmers tonight; however, if the pool becomes crowded lap swim may be canceled.</t>
  </si>
  <si>
    <t>@politachi Hi! We'll try our best to accommodate lap swimmers tonight; however, if the pool becomes crowded lap swim may be canceled.</t>
  </si>
  <si>
    <t>Be safe while at the pool and beach. Remember to swim only when lifeguards are around &amp;amp; never leave kids unattended. https://t.co/2kECpi3eFJ</t>
  </si>
  <si>
    <t>It's hot out. Drink plenty of fluids and wear sunscreen. Find more ways to #BeatTheHeat: https://t.co/7LX21fXEQl https://t.co/STYeEcDGWt</t>
  </si>
  <si>
    <t>Our outdoor pool hours are extended to 8pm tonight! #BeatTheHeat: find a free outdoor pool: https://t.co/TyPEj6X6m6 https://t.co/lapoctFF9c</t>
  </si>
  <si>
    <t>LIVE on #Periscope: A Park that was once a Concrete Plant on the Bronx River.  https://t.co/RoaQ6d8cP4</t>
  </si>
  <si>
    <t>Going live from Concrete Plant Park on the Bronx River at 10am on https://t.co/IWbP4OFCYu https://t.co/Aka2mT4FKk</t>
  </si>
  <si>
    <t>RT @freshkillspark: There's an #osprey family at the park! 📷: Malcom Pinckney, @nycparks. #wildlifewednesday https://t.co/P3LhVX7Mug</t>
  </si>
  <si>
    <t>Volunteer with our stewardship team to help care for Marine Park's salt marsh. Sign up here: https://t.co/PoPH7PYDz9 https://t.co/IlMU04xDrU</t>
  </si>
  <si>
    <t>@tinkelwoman @ChappellTracker Recreational drone users may safely operate their aircraft in these designated areas: https://t.co/HyHQAYn03l.</t>
  </si>
  <si>
    <t>During the summer, we offer free water exercise classes and swim lessons for @NYCSeniors: https://t.co/5D0QfjXqh9 https://t.co/MgdY9X9lDf</t>
  </si>
  <si>
    <t>It's a good day for a spray shower. Find one near you: https://t.co/BgMcaxFB3j. #BeatTheHeat https://t.co/DhTtAuRGhG</t>
  </si>
  <si>
    <t>@SprocketmanNYC @Amtrak Hi! Please report this to @nyc311 at https://t.co/i5Mi2dfqp4.</t>
  </si>
  <si>
    <t>@lilykesselman The pool is currently letting in a second group of pool patrons for the rest of the a.m. session, which ends at 3 p.m. (2/2)</t>
  </si>
  <si>
    <t>@lilykesselman The Floating Pool reached capacity today. On very hot days, we split sessions to allow more people to use the pool. (1/2)</t>
  </si>
  <si>
    <t>RT @nyc311: Keep cool in @NYCParks free public pools. Check rules &amp;amp; regs &amp;amp; know what to bring: https://t.co/akMJ0m0wav https://t.co/mnBeUGy…</t>
  </si>
  <si>
    <t>From family camping to swimming lessons, find free activities for your kids this summer: https://t.co/DxdXYK158I https://t.co/qU6mHADAmb</t>
  </si>
  <si>
    <t>RT @BklynBrdgPark: Have you heard about our adorable #goats? Meet Eyebrows, Minnie, Hector, and Horatio! https://t.co/IDMJwaSSNX https://t.…</t>
  </si>
  <si>
    <t>Coming up this month: Little Red Lighthouse Open House, City of Water Day, and much more: https://t.co/6xJ8gX6w98 https://t.co/mZPZSprNWy</t>
  </si>
  <si>
    <t>Explore NYC with a park ranger. Sign up for free camping events, tours, canoe trips, &amp;amp; more: https://t.co/M8RbBoxYWt https://t.co/b4kJyJWR7k</t>
  </si>
  <si>
    <t>Want to become a fitness instructor for @ShapeUpNYC? Apply to our training program: https://t.co/JVywUBdrzS https://t.co/vZWgxGlqB7</t>
  </si>
  <si>
    <t>Learn about our free summer swim programs, including water aerobics and lap swim: https://t.co/LReFPuadEh https://t.co/iBy0XARIVY</t>
  </si>
  <si>
    <t>This week's movies in parks: Grease, Ferris Bueller's Day Off, Love Jones, Minions, &amp;amp; more: https://t.co/awVc46KcVn https://t.co/A3hd58MUlf</t>
  </si>
  <si>
    <t>Astoria Pool first opened OTD 80 years ago! Plan a visit: https://t.co/TZIhLSW2hw. https://t.co/Q4HHsIPuOB</t>
  </si>
  <si>
    <t>@mrajtheartist @MarkGjonaj80 @EspaillatNY Hi, please report this to @nyc311 at https://t.co/i5Mi2dfqp4. Thank you.</t>
  </si>
  <si>
    <t>RT @NYCMayorsOffice: Severe weather is expected in NYC through tonight. A Tornado Watch is in effect until 10 PM. Get forecast updates: htt…</t>
  </si>
  <si>
    <t>The entire Rockaway Boardwalk will be open for the first time since Sandy, just in time for #FourthofJulyWeekend! https://t.co/ye9VR6wZed</t>
  </si>
  <si>
    <t>@CondonJean Hi! Regular swimming operations will take effect starting Saturday, July 2, with the re-opening of the entire Rockaway Boardwalk</t>
  </si>
  <si>
    <t>The pools are open! Find out about locations, hours, swim programs, and what to bring: https://t.co/TyPEj6X6m6. https://t.co/mYdUh47Aiv</t>
  </si>
  <si>
    <t>@cmtamacas Hi Carmen, use of vaporizers is not allowed in parks, playgrounds, and beaches. More info at https://t.co/6NRJYBrKBT</t>
  </si>
  <si>
    <t>@BeNeXuS @bryantparknyc Hi, please report violations of park rules to @nyc311 at https://t.co/y69eqpYAuY.</t>
  </si>
  <si>
    <t>Go island hopping by canoe off the coast of @PelhamBayPark with our park rangers. Sign up at https://t.co/yBPemSipSE https://t.co/gvwPlK8eOe</t>
  </si>
  <si>
    <t>Happy Friday, NYC! Here are some fun things to do this #FourthOfJulyWeekend: https://t.co/GwJAqVSZRA https://t.co/ltGeOQxAjY</t>
  </si>
  <si>
    <t>Help us learn more about how you use our parks. Tell us at https://t.co/GFHem7BBcy.</t>
  </si>
  <si>
    <t>Here are some ideas for your next date outdoors: https://t.co/Azot6iljTI https://t.co/JwDPiqrhtw</t>
  </si>
  <si>
    <t>Camp overnight in Blue Heron Park with our park rangers! Sign up at https://t.co/QzaQMN17z6. We'll bring the tents! https://t.co/PdsEvahCfq</t>
  </si>
  <si>
    <t>Learn about parks that played key roles in our fight for Independence 240 years ago: https://t.co/1PIOf4P3dN https://t.co/RrayfUjIGe</t>
  </si>
  <si>
    <t>Tonight, come to Astoria Park for a free concert w/@QueensSymphony, followed by fireworks! https://t.co/Ls42oFoxNw https://t.co/m8ZY9n8WkX</t>
  </si>
  <si>
    <t>@andrewayala007 The plumbing issue was fixed, and the morning sessions will be from 11:00 a.m. until pool cleaning time at 3:00 p.m. (2/2)</t>
  </si>
  <si>
    <t>@andrewayala007 We’re sorry to hear about your experience. There was a temporary plumbing issue at D&amp;amp;D pool that delayed Opening Day. (1/2)</t>
  </si>
  <si>
    <t>Join our park rangers on a canoe trip to White Island, where only birds &amp;amp; wild flowers live: https://t.co/U8mqgtI1ai https://t.co/mucjjfmAm9</t>
  </si>
  <si>
    <t>Check out our #4thofJuly guide for the best spots to see fireworks, barbecue outdoors &amp;amp; more https://t.co/W9p9GVI1jy https://t.co/95eaAR1Kiu</t>
  </si>
  <si>
    <t>Learn about the history behind some of NYC's most iconic fountains: https://t.co/lq6uTQg0Ja https://t.co/D2JCGQYGsz</t>
  </si>
  <si>
    <t>@theskint Hi! Yes, a screening of The Way We Were is scheduled for tonight at Prospect Park: https://t.co/uhZjTJXBuE.</t>
  </si>
  <si>
    <t>Tonight, come to Fort Totten Park for a free concert, followed by fireworks off the coast! https://t.co/4ZE0NIiqzS https://t.co/dhipneC28q</t>
  </si>
  <si>
    <t>Find out about lap swim hours at our free outdoor pools: https://t.co/85Ezdbz01k. Select a pool near you &amp;amp; sign up. https://t.co/ZiuDiqgLgS</t>
  </si>
  <si>
    <t>Our free outdoor pools are open! Find a pool near you: https://t.co/TyPEj6X6m6 https://t.co/UaycMdu4gE</t>
  </si>
  <si>
    <t>Our free outdoor pools re-open for the summer tomorrow! Find a pool near you: https://t.co/TyPEj6X6m6 https://t.co/X2d42SHkqQ</t>
  </si>
  <si>
    <t>Keep your kids busy this summer. Find free summer programs and activities in our parks: https://t.co/DxdXYK158I https://t.co/Fta6O5AZYU</t>
  </si>
  <si>
    <t>@nyraider56 Hi, please report this to @nyc311 at https://t.co/i5Mi2dfqp4.</t>
  </si>
  <si>
    <t>Learn how to canoe, then try out your new skills on the lake at Van Cortlandt Park. Sign up: https://t.co/EvznohqBQR https://t.co/sjktQl6toT</t>
  </si>
  <si>
    <t>Our new exhibit shows the personality of our beaches &amp;amp; pools through the lens of 12 photogs https://t.co/XARH8piYdC https://t.co/FiFgXqzPLP</t>
  </si>
  <si>
    <t>The Bx is kicking of #FourthofJuly weekend w/fireworks &amp;amp; an Empanada Eating Contest on 6/30! https://t.co/q3iE0NZQ9Q https://t.co/fTSsmPqx9A</t>
  </si>
  <si>
    <t>LIVE on #Periscope: Bronx River Revitalization Tour https://t.co/nCSUYBxMOJ</t>
  </si>
  <si>
    <t>LIVE on #Periscope: Inside The Cage:  Basketball at the famous West 4th Street Courts https://t.co/dOgMMiYD8H</t>
  </si>
  <si>
    <t>Some of basketball's greatest played at the West 4th Street Courts. Join a live tour at 6pm: https://t.co/IWbP4OFCYu https://t.co/ZeA0STOo8G</t>
  </si>
  <si>
    <t>Contribute to this citywide poem using a vintage typewriter: https://t.co/0cU3UZE7cx https://t.co/sb5bjuC5ZV</t>
  </si>
  <si>
    <t>This summer is the 80th birthday of the city's largest pools! Check them out this Wednesday: https://t.co/TyPEj6X6m6 https://t.co/xs3NOJUrIw</t>
  </si>
  <si>
    <t>@radlerkoenigin @QueensMuseum Yesterday, the fountain was turned off during the Only in Queens Fest &amp;amp; was turned back on approx 5:30pm (3/3)</t>
  </si>
  <si>
    <t>@radlerkoenigin @QueensMuseum The fountain will operate daily from about 10:30 a.m. to 8:30 p.m. through late October. (2/3)</t>
  </si>
  <si>
    <t>@radlerkoenigin @QueensMuseum Hi, the fountain at the Unisphere was being repaired. The repairs are complete. (1/3)</t>
  </si>
  <si>
    <t>This week's free movie nights in parks: Ant-Man, The Wiz, Minions, Jurassic World, &amp;amp; more: https://t.co/awVc46sBwN https://t.co/ZUqKwRidUy</t>
  </si>
  <si>
    <t>@txcoc76 Hi! The MLK Jr. Summer Concert Series at Wingate Park has not yet been announced. For updates, visit https://t.co/ZCCkuX3PMW.</t>
  </si>
  <si>
    <t>@scrandall07 @NYCMayorsOffice Hi, please report this to @nyc311 at: https://t.co/i5Mi2dx1gC. Thank you.</t>
  </si>
  <si>
    <t>@Shaipe1 Hi! Do you have a service request confirmation number? Could you DM it to us?</t>
  </si>
  <si>
    <t>Camp overnight in Willowbrook Park, Staten Island with our Urban Park Rangers. Sign up here: https://t.co/M8RbBoxYWt https://t.co/5WP4WT2cr3</t>
  </si>
  <si>
    <t>RT @NYCMayorsOffice: Making sure we look our best for #NYCPride, @NYCParks touches up the Gay Liberation monument at Christopher Park. 👏 ht…</t>
  </si>
  <si>
    <t>RT @mitchell_silver: The Battery Oval is now open. 3 acres of lawn under majestic trees with 125 movable chairs. @nycparks #NYC https://t.c…</t>
  </si>
  <si>
    <t>Head to Queens to see this beautiful view of the sunset from Astoria Park. https://t.co/VtbbWpv5hG</t>
  </si>
  <si>
    <t>Celebrate the opening of The Battery Oval at @thebatterynyc's fair this weekend! https://t.co/eXpn8RiJ91</t>
  </si>
  <si>
    <t>Be safe at the beach. Swim only when lifeguards are around and never leave kids unattended. https://t.co/uy2Z4BLiYs https://t.co/s0148GXMUB</t>
  </si>
  <si>
    <t>RT @BklynBrdgPark: The BBP family just got bigger (and furrier) with the arrival of 4 berm-trimming #goats! https://t.co/WHAnTf2yva https:/…</t>
  </si>
  <si>
    <t>NYC's Christopher Park becomes the first-ever national monument for LGBT rights. #Pride2016 https://t.co/aTknPkxfO6</t>
  </si>
  <si>
    <t>RT @WhiteHouse: "Our national parks should reflect the full story of our country." —@POTUS announces Stonewall National Monument: https://t…</t>
  </si>
  <si>
    <t>Happy Friday, NYC! Here are some fun things to do this weekend: https://t.co/GwJAqVBp02 https://t.co/ZfP94goECL</t>
  </si>
  <si>
    <t>@NYCParks Learn more about the Gay Liberation monument at https://t.co/hVydhdyhtf.</t>
  </si>
  <si>
    <t>LIVE on #Periscope: NYC Parks getting ready to celebrate #Pride at Christopher Park in Greenwich Village https://t.co/5l6jWT36c4</t>
  </si>
  <si>
    <t>RT @NYCSeniors: Get free #tech help with #Android, #Apple and other #gadgets in #Williamsburg. #seniors https://t.co/xDZHZ1mQ66</t>
  </si>
  <si>
    <t>There's still time left to sign up for our free overnight camping adventure in NYC's largest park! https://t.co/yliM0VKMAJ</t>
  </si>
  <si>
    <t>This artwork's vapor changes colors to correspond in real-time to the global value of gold: https://t.co/ixm7g9Sn8P. https://t.co/Qo2fPjU3HZ</t>
  </si>
  <si>
    <t>@hannahcashews Hi Hannah, please contact our Permit Office at https://t.co/VOWqAwuccW.</t>
  </si>
  <si>
    <t>LIVE on #Periscope: Looking for marine life at Marine Park with the Urban Park Rangers in #Brooklyn https://t.co/f6Cp6APflF</t>
  </si>
  <si>
    <t>Want to camp overnight in Marine Park? Sign up at https://t.co/nlXpa93iZD. We'll provide the tents! https://t.co/MIjhtdfZlX</t>
  </si>
  <si>
    <t>#tbt: The view of Fort Washington Park &amp;amp; George Washington Bridge in 1939. Can you spot the Little Red Lighthouse? https://t.co/ja6aF0ipXK</t>
  </si>
  <si>
    <t>Unlock the secrets of @randallsisland at the Treasure Hunt this Saturday: https://t.co/KRxADVzqF2. https://t.co/MGbW7PKf8R</t>
  </si>
  <si>
    <t>RT @CentralParkNYC: You can officially Save the Dates for our Summer Film Festival!  https://t.co/8LyVrb44OS https://t.co/L443ciKEe6</t>
  </si>
  <si>
    <t>@parkan @blackmad @nycgob Hi! This is the Floating Pool at Barretto Point Park in the Bronx. Learn more about it at https://t.co/p04EaPFNeq.</t>
  </si>
  <si>
    <t>The #OnlyinQueens Fest on 6/26 features World's Fair tours &amp;amp; a @SummerStage concert w/@Ginuwine, Kid 'n Play, &amp;amp; more https://t.co/1uiAS5othG</t>
  </si>
  <si>
    <t>Join this @BronxHistory walking tour from Edgar Allan Poe's cottage to the High Bridge: https://t.co/tyJo5ZqiR0 https://t.co/JsD71DrFwv</t>
  </si>
  <si>
    <t>Celebrate #GayPrideMonth at a 'Born This Way' roller skating party, @NYCPride March, &amp;amp; more: https://t.co/hWRyP3zL9z https://t.co/iAwcqXKM7E</t>
  </si>
  <si>
    <t>Camp overnight on the grounds of this old, Civil War-era fort in Queens. Register at https://t.co/wqS0q07vUt. https://t.co/3MyqBnWSWl</t>
  </si>
  <si>
    <t>Sign up for free archery lessons with the Urban Park Rangers: https://t.co/ghrZ1aHt9N. https://t.co/ppa3Wv9Ur6</t>
  </si>
  <si>
    <t>Our free outdoor pools open in 1 week! Find a pool near you &amp;amp; learn about our swim programs: https://t.co/TyPEj6X6m6 https://t.co/Ju4aq1Y4PI</t>
  </si>
  <si>
    <t>La Isla Bonita Festival: 7/10  https://t.co/TMOKqLAqtx</t>
  </si>
  <si>
    <t>Explore @randallsisland's natural salt marshes on a free canoe trip with our park rangers: https://t.co/eUjCw7IMbG. https://t.co/k5PxmOKQIX</t>
  </si>
  <si>
    <t>Camp overnight in Pelham Bay Park with our Urban Park Rangers next weekend. Sign up at https://t.co/M8RbBoPzO1. https://t.co/1eq25keQV4</t>
  </si>
  <si>
    <t>On Sunday, 700 acres of @freshkillspark will open for you to explore: https://t.co/zMr87CLlL2 https://t.co/vnLaWtaxh4</t>
  </si>
  <si>
    <t>Join @CentralParkNYC's gardener on a special tour of the Hallett Nature Sanctuary on 6/28: https://t.co/YRI1LtWAPZ https://t.co/anhP8BR38m</t>
  </si>
  <si>
    <t>Here's the schedule for free kayaking at @BklynBrdgPark: https://t.co/a6KPDpEERD. ©Frossard https://t.co/unS5dv9aqU</t>
  </si>
  <si>
    <t>RT @nyc311: Keep your kids active &amp;amp; creative w/@NYCParks’ Kids in Motion program for free!  See parks &amp;amp; times: https://t.co/jpCk2vIHqA</t>
  </si>
  <si>
    <t>It's #YogaDay! Celebrate at this free yoga class in Inwood Hill Park this evening: https://t.co/uFjFDNiNuv. https://t.co/NwqQtkUHMg</t>
  </si>
  <si>
    <t>Tonight, the @nyphil comes to Van Cortlandt Park! Stay for the fireworks after the show. https://t.co/mNiCEc3uaj https://t.co/UlaXg9e9p1</t>
  </si>
  <si>
    <t>@EnviroSpence @NYCSanitation Hi! Please report this to @nyc311 at https://t.co/i5Mi2dfqp4. Thank you.</t>
  </si>
  <si>
    <t>Tomorrow night, Washington Square Park will fill up with music. Check it out: https://t.co/8uhsePlvuG. https://t.co/IR711qbtGB</t>
  </si>
  <si>
    <t>We're celebrating summer '16 with a free exhibit of pool &amp;amp; beach photos at The Arsenal https://t.co/vFIgQ9RmHh https://t.co/BVvt67WihP</t>
  </si>
  <si>
    <t>.@SocratesPark is kicking off summer with Brazilian BBQ, dance, art workshops, &amp;amp; more tmrw! https://t.co/sLsmGkjMN6 https://t.co/ftjw6WvVDf</t>
  </si>
  <si>
    <t>It's officially the #FirstDayofSummer! Plan your best summer yet with this fun guide: https://t.co/on4yeg9mi3 https://t.co/VKrB4swPG3</t>
  </si>
  <si>
    <t>From beach yoga to capoeira, find outdoor fitness classes in parks across NYC: https://t.co/J5HtU9eoYI https://t.co/NEYnugejO2</t>
  </si>
  <si>
    <t>This week's free movies: Ferris Bueller's Day Off, Chicago, Avengers, Selena, Creed &amp;amp; more https://t.co/awVc46KcVn https://t.co/fDEgPxMOus</t>
  </si>
  <si>
    <t>Join us in @CentralParkNYC  today at Adventures NYC for free rock climbing, kayaking, &amp;amp; more https://t.co/F0QDThua65 https://t.co/5czOEycRoq</t>
  </si>
  <si>
    <t>You can now rent a bike or specialty cycle from @wheelfunrentals at South Beach and Midland Beach #onStatenIsland. https://t.co/2hkr20j9LF</t>
  </si>
  <si>
    <t>Be safe while at the beach. Swim only when lifeguards are around. https://t.co/uy2Z4BLiYs https://t.co/TDcO9yk2tI</t>
  </si>
  <si>
    <t>Adventures NYC is tomorrow! Activities include kayaking, wheelchair basketball, yoga, &amp;amp; more https://t.co/F0QDThua65 https://t.co/wIg6IOjMwK</t>
  </si>
  <si>
    <t>It's #NationalFlipFlopDay. Put on your flip flops and celebrate with a day at the beach. https://t.co/sq4g2q2jkK</t>
  </si>
  <si>
    <t>RT @WonderWheelPark: #ConeyIsland's first Friday Night #Fireworks of the Summer are this Friday, June 17! Karaoke on the Boardwalk 7-11pm h…</t>
  </si>
  <si>
    <t>Happy Friday, NYC! Here's a list of fun things to do in our parks this weekend: https://t.co/GwJAqVBp02 https://t.co/box4GhWMOi</t>
  </si>
  <si>
    <t>Come to a themed roller disco party in the park! Here's the schedule: https://t.co/ZBSGwQWeky https://t.co/lGMw7p3ODv</t>
  </si>
  <si>
    <t>Rec center memberships for veterans and people with disabilities are just $25! Learn more: https://t.co/oYi1uyP0Ss https://t.co/DzBpzoBDes</t>
  </si>
  <si>
    <t>We're kicking off summer w/free yoga, rock climbing, obstacle races &amp;amp; more at Adventures NYC https://t.co/F0QDThua65 https://t.co/YtXzhG45f0</t>
  </si>
  <si>
    <t>For decades, @nyphil concerts in parks have been a must-see. Thousands came to the @CentralParkNYC show in 1966 #tbt https://t.co/8RbLAws5Xz</t>
  </si>
  <si>
    <t>RT @greatbigstory: #NBAFinals Game 6 is tonight, but ball is always life in NYC thanks to the @NYCParks blacksmiths who handmake hoops.
htt…</t>
  </si>
  <si>
    <t>RT @nyc311: You can go canoeing, sailing &amp;amp; kayaking in @NYCParks on a beautiful waterway. Check out the schedule here:https://t.co/aY0Z5x2L…</t>
  </si>
  <si>
    <t>#FathersDay is right around the corner. Here's where to celebrate with dad at Parks: https://t.co/S7ls9KS6UY https://t.co/xBxuOs7zYs</t>
  </si>
  <si>
    <t>On Saturday, join a special tour of the historic Hessian Hut at @DyckmanFarm: https://t.co/9fenFQ8m04 https://t.co/4WUOAySSBv</t>
  </si>
  <si>
    <t>We're offering free adapted swim programs for people with disabilities. For more info, visit https://t.co/yQSdda3MaJ https://t.co/xJ8i10lmpy</t>
  </si>
  <si>
    <t>The  @nyphil's free concerts in parks with fireworks kick off tonight in @CentralParkNYC! https://t.co/6WSn69MI46 https://t.co/O96zpVEvm1</t>
  </si>
  <si>
    <t>.@singforhope's Pop-Up Pianos are back in our parks! Find one to play on: https://t.co/raV4ZiF9zg. https://t.co/URHtnw3dBs</t>
  </si>
  <si>
    <t>Camp overnight in the park with our Urban Park Rangers. We'll bring the tents! Sign up at https://t.co/Ea8zbZWcvP. https://t.co/Y6Y9gMweax</t>
  </si>
  <si>
    <t>Head to the 58th Annual Washington Square Music Fest on Tuesday nights through June 28! https://t.co/YK8QWIySjw https://t.co/rszdIb1OKt</t>
  </si>
  <si>
    <t>@hardearntv @NYCMayorsOffice @NYCCouncil @NotifyNYC @nycgov @NYCPA Please report this to @NYCWater by phone/email: https://t.co/UkNk7nJc0y</t>
  </si>
  <si>
    <t>@hardearntv @NYCMayorsOffice @NYCCouncil @NotifyNYC @nycgov @NYCPA Hi! @NYCWater designs, builds, and maintains our city's bioswales. (1/2)</t>
  </si>
  <si>
    <t>LIVE on #Periscope: Playing the @singforhope piano in the newly re-opened gardens at Brooklyn's historic @LottHouse… https://t.co/NpivAual9b</t>
  </si>
  <si>
    <t>This week's free movies in the park: Ali, The Lego Movie, Crooklyn, Rocky, Ant-Man, &amp;amp; more: https://t.co/awVc46KcVn https://t.co/cVr0BT5UE6</t>
  </si>
  <si>
    <t>Registration is now open for our free summer Learn to Swim classes! Enter the lottery here: https://t.co/o0i7AaMNKl. https://t.co/upETsmA3Hw</t>
  </si>
  <si>
    <t>Enjoy rock climbing, kayaking, &amp;amp; more at our free fest in @CentralParkNYC this Saturday! https://t.co/F0QDThua65 https://t.co/RMBCXdpbHj</t>
  </si>
  <si>
    <t>Give dad a gift he’ll remember this #FathersDay. Dedicate a bench &amp;amp; help care for his park: https://t.co/sKy6kRexo8 https://t.co/2LAuzV0Xgl</t>
  </si>
  <si>
    <t>@eric_ulrich @sistaspark @YPGoldfeder We needed to wait until construction was completed on the section before starting these work items 2/2</t>
  </si>
  <si>
    <t>@eric_ulrich @sistaspark @YPGoldfeder Hi! We're sending a crew to add sand to match the grade of the street, and then add Mobi-Mats. (1/2)</t>
  </si>
  <si>
    <t>Yes, this is New York City. Plan a visit to Wolfe's Pond Park (and beach) #onStatenIsland: https://t.co/qqSvdCv5VU https://t.co/zPxmWKT8dC</t>
  </si>
  <si>
    <t>Explore more than 10,000 acres of natural areas in NYC's parks: https://t.co/P7bnMSs7K0. https://t.co/d1jHVd9BHq</t>
  </si>
  <si>
    <t>Want to go kayaking in @freshkillspark? Come to Discovery Day on June 26! Sign up at https://t.co/zMr87CLlL2. https://t.co/N8IRHTNMSW</t>
  </si>
  <si>
    <t>@NYCNeighbordog @nycgov @ABC7NY The private park within Ruppert Towers is not a City-owned park. (2/2)</t>
  </si>
  <si>
    <t>@NYCNeighbordog @nycgov @ABC7NY Ruppert Park at https://t.co/rNu73LeRe3 will continue to operate as a public park. (1/2)</t>
  </si>
  <si>
    <t>Find out how you can help care for street trees and natural areas in neighborhoods in need: https://t.co/Rx5dtBRtLX https://t.co/hfW3OEvBGZ</t>
  </si>
  <si>
    <t>@NYCNeighbordog @nycgov @ABC7NY Are you referring to Ruppert Park here: https://t.co/rNu73LeRe3?</t>
  </si>
  <si>
    <t>@LoganMacrae Hi! Please report this to @nyc311 at https://t.co/i5Mi2dfqp4.</t>
  </si>
  <si>
    <t>@amyvirshup Hi! Please report this to @nyc311 at https://t.co/i5Mi2dfqp4.</t>
  </si>
  <si>
    <t>Enjoy the beach safely. Swim only when lifeguards are around &amp;amp; never leave kids unattended. https://t.co/uy2Z4BLiYs https://t.co/WcwCBYOyWk</t>
  </si>
  <si>
    <t>Learn all about Washington Sq Park—join a tour or stop by the Welcome Wagon on Saturdays! https://t.co/8QmNcNWRSL https://t.co/XOIzNHHvWp</t>
  </si>
  <si>
    <t>Happy Friday, NYC! Here's a list of fun things to do in our parks this weekend: https://t.co/GwJAqVBp02 https://t.co/bq7KwEZb75</t>
  </si>
  <si>
    <t>Find out which NYC beach is most like you. Take the quiz: https://t.co/KMTOqLcs8h https://t.co/YLd35YsXKw</t>
  </si>
  <si>
    <t>Discover our waterfront parks, from @SocratesPark to Queensbridge Park, at LIC's Bike Parade https://t.co/dhZviF7Oev https://t.co/3iS0jLgLlR</t>
  </si>
  <si>
    <t>Come to Sunset Park's free salsa party, featuring live music &amp;amp; a screening of "El Cantante"! https://t.co/CsrM75uapN https://t.co/ZExlwWtQEj</t>
  </si>
  <si>
    <t>The High Bridge is NYC's oldest standing bridge. It connects Manhattan &amp;amp; the BX. Here's a throwback from 1940. #tbt https://t.co/NX0D1eQPPF</t>
  </si>
  <si>
    <t>OTD last year, the High Bridge reopened to the public after closing for more than 40 years. https://t.co/0gj6TK3ykA https://t.co/NghnFM6qHj</t>
  </si>
  <si>
    <t>Plant trees in Shoelace Park with the @BxRiverAlliance this Saturday! https://t.co/d39HSPyL9L https://t.co/XG8kTsZElJ</t>
  </si>
  <si>
    <t>Enjoy international cuisine, a Pow Wow, dancing, &amp;amp; more at Drums Along the Hudson on Sunday! https://t.co/JaZWlIH80z https://t.co/9OgOeezUGU</t>
  </si>
  <si>
    <t>Make some new winged friends. Learn how to make a bird feeder at a free workshop. Sign up: https://t.co/j46699pJ2R https://t.co/0qVeNLLkVM</t>
  </si>
  <si>
    <t>Camp overnight in Alley Pond Park with our park rangers. We'll bring the tents! Sign up at https://t.co/RWkgJIwve5 https://t.co/aDCJxtQ4K0</t>
  </si>
  <si>
    <t>RT @GloriaSteinem: Tomorrow @NYCParks will dedicate a circle in Brower Park to the woman most worthy of dedication -- the wonderful Shirley…</t>
  </si>
  <si>
    <t>RT @bryantparknyc: Exciting news! We're thrilled to welcome @rootspicnic this October for a jam-packed 2-day event: https://t.co/v1QSAZ5JVI</t>
  </si>
  <si>
    <t>Help us spruce up Inwood Hill Park's natural forest this Saturday! Sign up here: https://t.co/wRWzErus6M https://t.co/JMXmsOQdMh</t>
  </si>
  <si>
    <t>Join our park rangers on a canoe adventure in Marine Park, Brooklyn this Sunday: https://t.co/aw10idKnOC. https://t.co/BroW2g1rXo</t>
  </si>
  <si>
    <t>This year at Adventures NYC: rock climbing, stand-up paddleboarding, obstacle races, &amp;amp; more! https://t.co/F0QDThua65 https://t.co/k5LYahpHAw</t>
  </si>
  <si>
    <t>@TrackStarTonio @thafunnyjuan88 Hi! Please file a report with @nyc311 at https://t.co/i5Mi2dfqp4. Thank you.</t>
  </si>
  <si>
    <t>This week's free movies in the park: Space Jam, Men in Black 3, El Cantante, Creed, &amp;amp; more: https://t.co/awVc46KcVn https://t.co/pQCJ8e5uFm</t>
  </si>
  <si>
    <t>Plan a relaxing day out at Brooklyn's Sunset Park, a beautiful neighborhood park with a view. (📷: Daniel Avila) https://t.co/10rLVLm2H9</t>
  </si>
  <si>
    <t>The @NuyoricanPoets are hosting master classes and open mics in our parks. More info here: https://t.co/brTQiqEStd https://t.co/UvaWxq9mts</t>
  </si>
  <si>
    <t>RT @BklynBrdgPark: Summer Swim Lessons in the Pop-Up Pool have returned! Sign up your little ones today: https://t.co/KVvtR4GUQ6 ©Hoyer htt…</t>
  </si>
  <si>
    <t>Check out @NaturalAreasNYC's new map of forests, wetlands, &amp;amp; other natural areas in parks: https://t.co/P7bnMSs7K0 https://t.co/whGhPOMJGl</t>
  </si>
  <si>
    <t>Dancing is a fun way to keep fit. Find a dance class in a park near you: https://t.co/LBEy2nxVtZ. #mondaymotivation https://t.co/5CPajO1N23</t>
  </si>
  <si>
    <t>RT @GovBallNYC: Due to severe weather &amp;amp; likelihood of lightning in the area, GOVBALLNYC is officially cancelled for DAY 3.MORE INFO: https:…</t>
  </si>
  <si>
    <t>RT @galeabrewer: Great to see so many #datascience pros dedicated to improving our @NYCParks! Thanks @CivicHall @BetaNYC @nyctreescount #Tr…</t>
  </si>
  <si>
    <t>Tomorrow is #NationalTrailsDay! Explore NYC's natural beauty on these hiking trails: https://t.co/A4AfuJAgNT https://t.co/RaaPBOgGta</t>
  </si>
  <si>
    <t>Take a ride on the SeaGlass Carousel at @thebatterynyc. Plan your visit at https://t.co/2fimua1J8t. https://t.co/aoSHEvS5xW</t>
  </si>
  <si>
    <t>Want to have your art displayed in an NYC park? Here's what you'll need to know: https://t.co/lTwTxCP9zK https://t.co/AGNl87RRum</t>
  </si>
  <si>
    <t>RT @LakesideBKLYN: TONIGHT is going to be EPIC. Grab your tix now --&amp;gt; https://t.co/ciV8r7lfTe #dreamlandrollerdisco https://t.co/I5ATCwl2fp</t>
  </si>
  <si>
    <t>Happy Friday, NYC! Here are 16 fun things to do this weekend: https://t.co/GwJAqVBp02 https://t.co/ixhqsqE4Lc</t>
  </si>
  <si>
    <t>@ShannonAyalaNY @mitchell_silver Hi Shannon, thanks for bringing this to our attention. We'll take a look.</t>
  </si>
  <si>
    <t>@GreasepaintAnni @NYC @RiversideParkNY Hi! Please report this to @NYC_Dot at https://t.co/vSL51YF2PS. Thank you.</t>
  </si>
  <si>
    <t>Ride a trolley to @Bartow_Pell for an evening of live music &amp;amp; a chance to explore the estate https://t.co/uDR870UVJ1 https://t.co/6YXUPP5S4J</t>
  </si>
  <si>
    <t>Here's the schedule for free kayaking off South Beach this summer: https://t.co/jHbK14A7O2 https://t.co/OiB8X0AgxF</t>
  </si>
  <si>
    <t>RT @nycgo: The NYCgo Guide to June: https://t.co/BIiph9LQfH Don't miss these NYC events! https://t.co/gAMCwnfulv</t>
  </si>
  <si>
    <t>#tbt: Brooklyn's Manhattan Beach in 1958. Learn more about this beach &amp;amp; the park's history: https://t.co/203oIDnmCG https://t.co/RlWB1LAwk5</t>
  </si>
  <si>
    <t>RT @nycforward: Data scientists, developers + designers help #NYC trees @ TreesCount! #DataJam 6/4 RSVP: 
https://t.co/HGFkc7xF9M https://t…</t>
  </si>
  <si>
    <t>RT @IDNYC: Have an IDNYC with @nycveterans designation? @NYCParks rec center memberships now only $25! https://t.co/Ri7BGwcE8G https://t.co…</t>
  </si>
  <si>
    <t>@Megan_Sikora CPC doesn't put trash cans in plgds for sanitary reasons. Instead, we encourage NYers to "carry in, carry out" their debris.</t>
  </si>
  <si>
    <t>@Megan_Sikora Hi there! We work with our friends @CentralParkNYC to keep our parks clean: there are cans just outside Diana Ross Plgd.</t>
  </si>
  <si>
    <t>Say hi to new @nycgo visitors! Black-bellied whistling ducks, rare to NYC, were spotted in Marine Park this weekend. https://t.co/UfvsJznBqI</t>
  </si>
  <si>
    <t>@AirlineFlyer Thanks for writing. There's a maintenance issue that we're fixing, but the fountain should be back on by the end of the week.</t>
  </si>
  <si>
    <t>On Saturday, join our park rangers on a free tour of Manhattan's Little Red Lighthouse. https://t.co/AtNqiNEV6G https://t.co/5ZTv1treYh</t>
  </si>
  <si>
    <t>Sign up today only for a chance to camp overnight in @CentralParkNYC: https://t.co/fXBi0wi6M4. We'll bring tents! https://t.co/oaAHjdoK3f</t>
  </si>
  <si>
    <t>Starting today, rec center memberships for @nycveterans &amp;amp; @NYCDisabilities are $25/year! https://t.co/oYi1uyP0Ss https://t.co/LMzRG0jEWP</t>
  </si>
  <si>
    <t>Coming up in June: Adventures NYC, family camping, Coney Island fireworks, and more! https://t.co/BZO5ufqpuQ https://t.co/wAozClc5yW</t>
  </si>
  <si>
    <t>It's #GlobalRunningDay! Celebrate with a run in the park: https://t.co/hbAQ3aYpoP https://t.co/b0F4aJoi3t</t>
  </si>
  <si>
    <t>Our rec centers are having an open house tomorrow! Try them out for free. Visit https://t.co/tVLm7XI266 for more. https://t.co/HI4oTv05cM</t>
  </si>
  <si>
    <t>Join us and @BetaNYC at the TreesCount! #DataJam on June 4, and work with our new tree data. https://t.co/5rBGz6wUqV https://t.co/ycXtSTdduP</t>
  </si>
  <si>
    <t>June 1 is #GlobalRunningDay! Celebrate with @nyrr at these free open runs in parks tomorrow: https://t.co/J2aM5Z2zbj https://t.co/o6EkwTRWFq</t>
  </si>
  <si>
    <t>This week's free movies in the park: Minions, Creed, Captain America, Ray, Toy Story &amp;amp; more! https://t.co/awVc46KcVn https://t.co/phEw9NMUVm</t>
  </si>
  <si>
    <t>Help us restore @soundviewpark's salt marsh by planting cordgrass on June 11. Sign up here: https://t.co/vsDlODdGV6. https://t.co/M81xmY4OBJ</t>
  </si>
  <si>
    <t>LIVE on #Periscope: Let's meet the goats who are doing some landscaping in #ProspectPark #Brooklyn. #save https://t.co/Brx5CMEiFC</t>
  </si>
  <si>
    <t>Watch these goats in @prospect_park live on https://t.co/IWbP4OFCYu at 10:15am today. https://t.co/Kdx9ZiRAGv</t>
  </si>
  <si>
    <t>Honor our heroes this #MemorialDay with a visit to war monuments in NYC's parks: https://t.co/r02mFcQ0VH. https://t.co/ydfxuCIZze</t>
  </si>
  <si>
    <t>New York City's beaches are officially open for the summer! https://t.co/Q9EtfQW8ze</t>
  </si>
  <si>
    <t>RT @NotifyNYC: Due to construction, swimming is limited at B.116th St,QN until July. Beaches fully open at B.86th St,B.97th St &amp;amp; B.106th St…</t>
  </si>
  <si>
    <t>RT @NYCService: Is your neighborhood a green neighborhood? Volunteer with the @NYCParks Stewardship Team this season https://t.co/0XY7ChK3h9</t>
  </si>
  <si>
    <t>Fingers crossed, we'll see the #Manhattanhenge at sunset on Sunday and Monday! Where's your favorite spot to see it? https://t.co/eMF8Y5zXVA</t>
  </si>
  <si>
    <t>@OneStyleataTime Construction near the Overlook is expected to be completed in June. To track this project, visit https://t.co/LHwlA90ck3.</t>
  </si>
  <si>
    <t>Celebrate 30 yrs of @SocratesPark - visit its new Landmark art exhibit: https://t.co/zL1LQT1xI4 (photo by Nate Dorr) https://t.co/Qh8X9Ciwzn</t>
  </si>
  <si>
    <t>Firing up the grill this #MemorialDayWeekend? Here's where barbecuing is allowed in parks: https://t.co/rtlvyqV3kr https://t.co/lEKxWjTqDW</t>
  </si>
  <si>
    <t>How cute! This baby river otter, born on Valentine's Day, makes his debut at the @prospectparkzoo. Say hi! https://t.co/DcNAY9Eo26</t>
  </si>
  <si>
    <t>@DanielOffner All City beaches, including Rockaway Beach, open tomorrow for swimming.</t>
  </si>
  <si>
    <t>Beaches open tomorrow! Swim only where lifeguards are present &amp;amp; never leave kids unattended. https://t.co/JjmdTr321Y https://t.co/XdFdUZKQnk</t>
  </si>
  <si>
    <t>Happy Friday, NYC! Here are 30 fun things to do this #MemorialDayWeekend: https://t.co/GwJAqVBp02 https://t.co/cDSTe93UMf</t>
  </si>
  <si>
    <t>RT @NYCSanitation: Wondering what happens to the food scraps we collect? It can be turned into compost &amp;amp; used by @NYCParks in planters. htt…</t>
  </si>
  <si>
    <t>RT @nyc311: Take care of your neighborhood trees. Report tree graffiti, bikes chained to trees, &amp;amp; other tree damage: https://t.co/DXThC66K0r</t>
  </si>
  <si>
    <t>The Uni Project brings pop-up reading rooms and fun kids activities to parks. @FindtheUni at https://t.co/Fku7ErYM4l https://t.co/CrWUVazEWM</t>
  </si>
  <si>
    <t>Enjoy rock climbing, mountain biking, &amp;amp; more at Adventures NYC in @CentralParkNYC on June 18 https://t.co/J3pDGapdtu https://t.co/S6ZkaEslVO</t>
  </si>
  <si>
    <t>@fredmagovern @nycgov In case of rain, some movies may be canceled or moved indoors. Please check https://t.co/Gc4M9iA6NZ for updates.</t>
  </si>
  <si>
    <t>Here's what you need to know about water safety before our beaches open this weekend: https://t.co/uZhXrcAJjV https://t.co/iM48t4R0Hd</t>
  </si>
  <si>
    <t>@MsGoingPlaces Hi! Please DM us your full name and registration email and we'll check for you.</t>
  </si>
  <si>
    <t>Restoring our forests to mitigate climate change is a #OneNYC &amp;amp; @globalnyc goal. Learn more: https://t.co/H6HDSNSf8C https://t.co/uAHbv15C2K</t>
  </si>
  <si>
    <t>We're looking for scientists, designers, &amp;amp; experts to help us w/our tree data at the TreesCount! #DataJam on June 4. https://t.co/5rBGz6wUqV</t>
  </si>
  <si>
    <t>Join us at our hawk watch in the Bronx's Pelham Bay Park on June 4. Sign up here: https://t.co/mDRphqzdvI. https://t.co/QcvWDSbCQp</t>
  </si>
  <si>
    <t>@PS174Q @NYCSchools Always great to see the @CPFNYC #PuppetMobile in action!</t>
  </si>
  <si>
    <t>Here are the 8 parks selected for the Parks Without Borders Initiative: https://t.co/tTT5GrqJv2 https://t.co/is5x8zdYdx</t>
  </si>
  <si>
    <t>@david_weisner Hi David, beaches are currently closed for swimming, but they will re-open this weekend! More at: https://t.co/YtOrzRfipR.</t>
  </si>
  <si>
    <t>Camp overnight in Marine Park next weekend with our park rangers. Sign up today only at https://t.co/6ZjM0Xx3Z7. https://t.co/jiEmKpQdxr</t>
  </si>
  <si>
    <t>@ThatDudeEP Riverside Park should be listed, but call your permit office at https://t.co/DZ8icVhknB if you're having trouble applying.</t>
  </si>
  <si>
    <t>@ThatDudeEP Hi, to reserve one of our courts, please visit us at https://t.co/VPtgGYmzem.</t>
  </si>
  <si>
    <t>It's a beautiful day out for a lunch break in the park. https://t.co/c2ToElok5Q</t>
  </si>
  <si>
    <t>Join our park rangers on a free tour of this historic fort in Queens. Sign up today only: https://t.co/wjiN6YaU08 https://t.co/3JTTsmMaxY</t>
  </si>
  <si>
    <t>@AliceMaryGrier Hi Alice, our outdoor pools will re-open on Wednesday, June 29. Our beaches will re-open for the season on Saturday, May 28.</t>
  </si>
  <si>
    <t>The Brooklyn Bridge opened OTD in 1883. Enjoy it from @BklynBrdgPark! https://t.co/ojWDsuEGgz</t>
  </si>
  <si>
    <t>#ItsOfficiallySummerWhen the beaches open for the season. Join us this weekend! https://t.co/rXxfgIGres</t>
  </si>
  <si>
    <t>We’re also using the Parks Without Borders approach to improve our park designs across NYC: https://t.co/etrwrJsUNc https://t.co/te68ffa0g7</t>
  </si>
  <si>
    <t>We received more than 6100 votes in 692 parks – a third of the parks in the city. #pwbnyc</t>
  </si>
  <si>
    <t>With your help we picked 8 parks that most benefit from this approach. Here are the winners: https://t.co/N25MgnHpUP https://t.co/If87yk4g1K</t>
  </si>
  <si>
    <t>To do so, we're improving park entrances, edges, and park-adjacent spaces, and adding more comfortable amenities. #pwbnyc</t>
  </si>
  <si>
    <t>Through Parks Without Borders, part of the @NYCMayorsOffice's #OneNYC plan, we’re making parks more accessible and vibrant. #pwbnyc</t>
  </si>
  <si>
    <t>RT @CenterNYC: I wish my park had... Tweet with the hashtag #PWBNYC to tell us what you'd like to see in your park! https://t.co/5WIij7hNL0</t>
  </si>
  <si>
    <t>LIVE on #Periscope: Tour Washington Square Park with its designer #pwbnyc #save https://t.co/HRjw5F9aB3</t>
  </si>
  <si>
    <t>Our benches are smarter with @nycforward thinking from @mysoofa. Find out more at https://t.co/c8c7MvSOzq #PWBNYC https://t.co/PK2jqWuWCG</t>
  </si>
  <si>
    <t>RT @mitchell_silver: 8 parks to share $40 million "Parks Without Borders" transformation will be announced today. #pwbnyc https://t.co/Skbq…</t>
  </si>
  <si>
    <t>@i_luvnachos Hi, please submit a tree service request at https://t.co/un87rKh7xh. If there's any immediate danger, please call 911.</t>
  </si>
  <si>
    <t>Watch live now from the Parks Without Borders Summit: https://t.co/H1ps93fIQU. Use #PWBNYC to join the conversation. https://t.co/k5WOtwHvvO</t>
  </si>
  <si>
    <t>This week's free movie nights in parks: Happy Feet, When Harry Met Sally, Jumanji, &amp;amp; more! https://t.co/yvh9CJ8alm https://t.co/1Y9qjQdhT5</t>
  </si>
  <si>
    <t>Tomorrow, join us as we discuss the future of urban parks at the #PWBNYC Summit. Tune in at https://t.co/H1ps93fIQU. https://t.co/vberMgw156</t>
  </si>
  <si>
    <t>@_melissa_lyons Hi there, can you please DM us your details, including application request #, borough, &amp;amp; contact info? Thanks.</t>
  </si>
  <si>
    <t>Help plant flowers, paint benches, &amp;amp; clean up the park at these #ItsMyPark volunteer events: https://t.co/1hIB5l3H9S https://t.co/8OQGFqYa5C</t>
  </si>
  <si>
    <t>@DanoNYC Can you please DM us details of your experience or email us here: https://t.co/csonJPeB4c? We’ll investigate. Thanks.</t>
  </si>
  <si>
    <t>@NYCdani @NYCMayorsOffice In general, our spray showers turn on when the temp reaches 80 degrees or higher. More at: https://t.co/5UowzXvoUB</t>
  </si>
  <si>
    <t>We're teaching kids how to play soccer, basketball, football &amp;amp; more! Find a program near you https://t.co/oZtrFs3GZB https://t.co/eS9RdVKfEl</t>
  </si>
  <si>
    <t>@NoHo_NY @SelldorfArch Welcome to NYC, trees! You can get some tree care tips here to help get involved: https://t.co/w3eba4LMmJ</t>
  </si>
  <si>
    <t>Join a running group at @NYRR's free open runs in the park: https://t.co/hkbfglG4pl https://t.co/j4zzoZukOm</t>
  </si>
  <si>
    <t>LIVE on #Periscope: Time for another spectacular #SundaySunset, this time from @HudsonRiverPark #save https://t.co/G63HhiqGHN</t>
  </si>
  <si>
    <t>Here's the sunset from Chelsea Waterside Park. Join us at 8:10 on https://t.co/EwUHtWKXkf.nycparks for a live view. https://t.co/P8ASSFVktk</t>
  </si>
  <si>
    <t>NYC's natural world is full of surprises. Discover this waterfall in The Ravine at @prospect_park. https://t.co/gNEsGuWeu3</t>
  </si>
  <si>
    <t>Check out Big Bling, @MadSqParkNYC's new art installation by Martin Puryear. https://t.co/H4zKnWwm61 https://t.co/17vFq4XxhV</t>
  </si>
  <si>
    <t>@Jack_Manhattan Hi! This is an ailanthus, star of A Tree Grows in Brooklyn. You can learn more at @USDA https://t.co/8BACXMOUVH</t>
  </si>
  <si>
    <t>@tarikoregan Hi, can you DM or send us where you found this? While we love poetry, we want to make sure this sign is more clear to users!</t>
  </si>
  <si>
    <t>Today on 5/20 we're celebrating NYC's 520 miles of coastline. Find ways to enjoy it: https://t.co/htrkxaNPH5 #nyc520 https://t.co/o8wGmMU9kz</t>
  </si>
  <si>
    <t>Happy Friday, NYC! Here are some fun things to do this weekend: https://t.co/GwJAqVBp02 https://t.co/LKIC9w29xe</t>
  </si>
  <si>
    <t>We're having a Silent Disco Party this Friday in Sunset Park, 5-9 p.m! See you there. https://t.co/3dJGncxKPF https://t.co/fJbgZbizwn</t>
  </si>
  <si>
    <t>@JohnDruzba @NYCMayorsOffice @Amtrak Hi John, please report this to @nyc311 at https://t.co/i5Mi2dfqp4.</t>
  </si>
  <si>
    <t>Malcolm X was born OTD in 1925. El Shabazz Plgd in Bklyn is named in his honor. Learn more: https://t.co/mA46tWXR3l https://t.co/EvqyJvJMWS</t>
  </si>
  <si>
    <t>Here's where you can find mountain bike trails in NYC's parks: https://t.co/moa4xXwUac https://t.co/c6sPaKweZo</t>
  </si>
  <si>
    <t>Look for hawks in High Rock Park with our Urban Park Rangers this Sunday. https://t.co/OtCmcpxfzO https://t.co/h3LTErRiWK</t>
  </si>
  <si>
    <t>The Bronx's first playground opened in St. Mary's Park in 1914. This photo of the park was taken in 1941. #tbt https://t.co/W4aUADdh76</t>
  </si>
  <si>
    <t>Join our park rangers on a history bike tour through @Prospect_Park. Register at https://t.co/gJ6STz0Kfb https://t.co/NRtfycFO3x</t>
  </si>
  <si>
    <t>Say hi to baby Felipe, a newborn oryx at @StatenIslandZoo. The oryx has been extinct in the wild since the mid-80s. https://t.co/2A392Qk7p5</t>
  </si>
  <si>
    <t>Camp overnight in Van Cortlandt Park with our park rangers next Saturday. Sign up here: https://t.co/Sp3pkA3qXv. https://t.co/1yjYX76VIc</t>
  </si>
  <si>
    <t>It’s another beautiful day of blue skies and sunshine at @UnionSquareNY. https://t.co/ciXkf1ZwTK</t>
  </si>
  <si>
    <t>More than 152 bird species live on @randallsisland. Explore it at Saturday's Birding Bonanza https://t.co/kXnjifOxn9 https://t.co/BHV2tmkwkw</t>
  </si>
  <si>
    <t>RT @PublicTheaterNY: Race you to the Delacorte! #ShakespeareinthePark starts next week! https://t.co/zmI8H89ns9 https://t.co/CFN62psL9c</t>
  </si>
  <si>
    <t>@shawndharrisny Hi Shawn, please report damaged flags in the park to @nyc311 at https://t.co/i5Mi2dfqp4. Thank you!</t>
  </si>
  <si>
    <t>This week's free movies in the park: Divergent, Dreamgirls, Cloverfield, Big, &amp;amp; more! https://t.co/awVc46KcVn https://t.co/amhAteLi6D</t>
  </si>
  <si>
    <t>Help us care for street trees, forests, and waterfronts in neighborhoods in need. Sign up at https://t.co/Rx5dtBRtLX https://t.co/pWavpvrtpq</t>
  </si>
  <si>
    <t>Come to the Arsenal Gallery to see how two artists use natural plant coloring to create art. https://t.co/XARH8piYdC https://t.co/oQrJU68XRl</t>
  </si>
  <si>
    <t>RT @NYCService: Volunteer with @NYCParks on June 18 for Adventures NYC @CentralParkNYC! Register at https://t.co/6IdSIOC07e</t>
  </si>
  <si>
    <t>@ironclawskates Thanks for sending this report-we'll take a look. Please also share with @nyc311 w/time and location:https://t.co/6ZM0fHarXl</t>
  </si>
  <si>
    <t>RT @CentralParkNYC: This weekend, 11 healthy ducklings were born in a nest near the Dana Discovery Center. #BirdsofCentralPark https://t.co…</t>
  </si>
  <si>
    <t>@yuespi @tbfld Thanks for informing us. Please report this w/location to @nyc311 as well.</t>
  </si>
  <si>
    <t>Another Boogie Down Booth that plays music in the park opens in the Bronx tomorrow! https://t.co/KbLZh7YhNj https://t.co/MHpYuPRw7l</t>
  </si>
  <si>
    <t>What's next for NYC Parks? Join the discussion at our #PWBNYC Summit w/@CenterNYC on May 24. https://t.co/2FzELFltNM https://t.co/cceuEyiaEs</t>
  </si>
  <si>
    <t>Outdoor yoga classes at @bryantparknyc return tomorrow! Here's the schedule: https://t.co/e09j0CF6DX https://t.co/dtt5RJIJyp</t>
  </si>
  <si>
    <t>LIVE on #Periscope: Saturday afternoon in Tompkins Square Park #save https://t.co/4uyE9KzZeK</t>
  </si>
  <si>
    <t>LIVE on #Periscope: Diaz y Flores Community Garden in the East Village https://t.co/zbnn0nX00b</t>
  </si>
  <si>
    <t>This baby opossum curled up for a nap in our Urban Park Ranger's hands. https://t.co/ZWmUoASTH0</t>
  </si>
  <si>
    <t>Check out how this artist at @FLUXArtFair uses boomboxes to bring communities together https://t.co/Au3wQ0z8Y3 https://t.co/hw8vFV5Yhg</t>
  </si>
  <si>
    <t>Our beaches open in 15 days! https://t.co/ZcSCjHRFlQ</t>
  </si>
  <si>
    <t>Join @aidswalkny on 5/15 for a great fundraising walk! Also: no cycling along the route in @centralparknyc that day! https://t.co/gDYtYoaRBP</t>
  </si>
  <si>
    <t>Happy Friday, NYC! Here are 10 fun things to do this weekend: https://t.co/GwJAqVBp02 https://t.co/NzGgW8YyKk</t>
  </si>
  <si>
    <t>@DesireeCBailey Hi Desiree, please report this to @NYC_DOT at https://t.co/twhHuUbwpc. Thank you.</t>
  </si>
  <si>
    <t>Learn how to canoe at these free basic canoeing adventures with our Urban Park Rangers: https://t.co/arKSkrSSZ7. https://t.co/vrumtfCrN4</t>
  </si>
  <si>
    <t>At Ridgewood Reservoir, experts have spotted more than 127 bird species. Explore it w/our park rangers on Saturday. https://t.co/1loeIDBvVU</t>
  </si>
  <si>
    <t>The current City Hall Park fountain stood in Crotona Park for 79 years before moving back to City Hall in 1999 #tbt https://t.co/v5JtxWYV76</t>
  </si>
  <si>
    <t>RT @BklynBrdgPark: .@janescarousel has switched to spring hours! Check out their expanded schedule: https://t.co/QXekkafw30 ©JSchaer https:…</t>
  </si>
  <si>
    <t>@mdseeley @BilldeBlasio @MMViverito @NYCCouncil Hi Mark, please report overgrown grass to @nyc311 at https://t.co/zZW2UvIEME. Thank you!</t>
  </si>
  <si>
    <t>City Hall Park's historic fountain turned back on today. Our parks are the place to be as the weather warms up! https://t.co/5DXSE4rnTR</t>
  </si>
  <si>
    <t>Join us for s'mores, games, &amp;amp; storytelling around a campfire at Alley Pond Park. Sign up today. https://t.co/JS5rJj0GXd</t>
  </si>
  <si>
    <t>Explore this park by Gravesend Bay, where sunken barges have been taken over by nature. Sign up to join our hike. https://t.co/QA70PQ4HN1</t>
  </si>
  <si>
    <t>NYC is more than a "concrete jungle". Learn how @NaturalAreasNYC helps preserve these areas: https://t.co/gGmcmDGsRS https://t.co/y1nwPOCPg5</t>
  </si>
  <si>
    <t>On May 21, join our park rangers on a hike to Hunter Island for an amazing view of the sunset. Sign up today! https://t.co/zyGFUKxAHZ</t>
  </si>
  <si>
    <t>Join NYers coming together to help fix up local parks. Find an #ItsMyPark volunteer event: https://t.co/1hIB5l3H9S. https://t.co/UKIYc9kAEj</t>
  </si>
  <si>
    <t>@philipsturner Hi Philip, please submit a tree service request here: https://t.co/JT8rk244Gs.</t>
  </si>
  <si>
    <t>At the 28th Fleet Show with @NYCDCAS, check out greener tools we're using to care for parks https://t.co/DG1SItZ417 https://t.co/CdxNP9pfs6</t>
  </si>
  <si>
    <t>We're looking for volunteers to help us plant trees in Brooklyn's largest park! Sign up at https://t.co/l26ZhfIJFz. https://t.co/MnirEx8ZrT</t>
  </si>
  <si>
    <t>RT @nyc311: See overgrown grass/weeds in a park? Highway? Sidewalk blocking pedestrians’ path? Request removal here: https://t.co/mwUbod7frk</t>
  </si>
  <si>
    <t>The clouds are parting for another beautiful sunny day at Fort Washington Park, just under George Washington Bridge. https://t.co/umTucWZjMm</t>
  </si>
  <si>
    <t>This week's free movies in the park: Jurassic World, Casablanca, Creed, Minions, &amp;amp; more! https://t.co/pNFkMUo4nX https://t.co/Rg9tR5HNXz</t>
  </si>
  <si>
    <t>Want to know when any capital project is complete? Our tracker https://t.co/CHtiygnpE9 is part of the #nycdigital playbook.</t>
  </si>
  <si>
    <t>Audition for Shakespeare in the Park with the @PublicTheaterNY at Brownsville Rec Center tomorrow from 6 - 8 p.m.! https://t.co/qb8nmiTHW7</t>
  </si>
  <si>
    <t>Earthworms have no lungs, no eyes, and no ears, but they have five hearts. https://t.co/MtEclPlRJp</t>
  </si>
  <si>
    <t>RT @NewSchoolTEDC: Join us on May 24 with @NYCParks &amp;amp; @CenterNYC for Parks Without Borders Summit @TheNewSchool https://t.co/hxfnypx63I</t>
  </si>
  <si>
    <t>@earlyelliott Hi Jess, please report this to @nyc311 at https://t.co/Bccxz6gabz.</t>
  </si>
  <si>
    <t>@SteveRaaen Hi! Adam Yauch grew up playing in this playground. In 2013, we renamed the park in his honor. More at https://t.co/spOW6jmR1e.</t>
  </si>
  <si>
    <t>@SusieTVaddict Hi Susan, please report this to @nyc311 at https://t.co/i5Mi2dfqp4. Thank you!</t>
  </si>
  <si>
    <t>You can now rent a bike or specialty cycle from @wheelfunrentals on the north side of Flushing Meadows Corona Park. https://t.co/f2ymXDCYuW</t>
  </si>
  <si>
    <t>Find free dance and exercise classes near you: https://t.co/6oQ5b5nwaf #mondaymotivation https://t.co/M1YArfhSk2</t>
  </si>
  <si>
    <t>RT @nycgov: We're committed to creating a more equitable city. Here's how we're improving #nycdigital: https://t.co/eZVa1H0eSt https://t.co…</t>
  </si>
  <si>
    <t>@salawm @QueensMKA Thanks so much for helping out! If you're looking for more volunteer events like this, visit https://t.co/8moj0UzSFD.</t>
  </si>
  <si>
    <t>Happy Friday, NYC! Here's a list of fun things to do in NYC's parks this weekend: https://t.co/GwJAqVBp02 https://t.co/BekOs0ZwYp</t>
  </si>
  <si>
    <t>These flowers in Marcus Garvey Park are bringing much needed cheer to this gloomy week. https://t.co/YMYntMtmNE</t>
  </si>
  <si>
    <t>Try out Alley Pond Park's obstacle course for free this Sunday! https://t.co/rXb8b8gmBW https://t.co/7BY9nvvmGM</t>
  </si>
  <si>
    <t>Bring mom to a #MothersDay celebration in the park this weekend. https://t.co/apJquGfXDF https://t.co/aL5UOZYpt7</t>
  </si>
  <si>
    <t>Rain messing up your workout routine? Join free indoor fitness classes near you: https://t.co/6oQ5b5nwaf https://t.co/GVkUmVNNQB</t>
  </si>
  <si>
    <t>Today's the 100th year of the Migratory Bird Treaty! Watch @mitchell_silver and @USFWSNortheast celebrate #BirdYear. https://t.co/Yj8Xm8V78A</t>
  </si>
  <si>
    <t>Check out @martincreed's Understanding, presented by the @PublicArtFund, at @BklynBrdgPark https://t.co/kyP5IF5lXi https://t.co/pH1N6Czkgq</t>
  </si>
  <si>
    <t>Join us at the Parks Without Borders Summit on May 24 to discuss the future of NYC's parks &amp;amp; public spaces. https://t.co/iHjhcbftj0 #pwbnyc</t>
  </si>
  <si>
    <t>#tbt: A huge crowd came out to see this basketball game at Hamilton Fish Park in 1911. https://t.co/g0gLnEobft</t>
  </si>
  <si>
    <t>@GiGiLifeFitness @ASPCA @NYCMayorsOffice Hi, please report this to @nyc311 by DM or at https://t.co/Bccxz6gabz.</t>
  </si>
  <si>
    <t>RT @nycgov: Art, in an immersive cultural experience. @FriezeNewYork at Randall’s Island Park, May 5-8. Photos by @mikappleton https://t.co…</t>
  </si>
  <si>
    <t>On May 15, get a sneak peek of @freshkillspark, the world's largest landfill to park project https://t.co/pbajL0qEcg https://t.co/8WvppXRAlj</t>
  </si>
  <si>
    <t>RT @nyc311: Happy #CincoDeMayo! Join @NYCParks for a celebration of Mexican culture from 4-7PM at #SunsetPark Rec. Center: https://t.co/CEm…</t>
  </si>
  <si>
    <t>@sophmonstaah Hi, thanks for letting us know. We passed this on to our staff. Please report this to @nyc311 as well: https://t.co/i5Mi2dfqp4</t>
  </si>
  <si>
    <t>Celebrate urban activist Jane Jacobs' 100th birthday at a neighborhood tour in her honor: https://t.co/lxdz7GUqEG https://t.co/SuF1zM9SxO</t>
  </si>
  <si>
    <t>Today, we remember Beastie Boys' Adam Yauch, who passed away OTD in 2012. This park in Bklyn is named in his honor. https://t.co/Sbx34JXiox</t>
  </si>
  <si>
    <t>RT @nycgo: Celebrating National Travel &amp;amp; Tourism Week with a visit to @BklynBotanic Garden! #NTTW16 #SeeYourCity https://t.co/l13wX5AtdN</t>
  </si>
  <si>
    <t>Meet birds, turtles, skunks, and more at Urban Wildlife Appreciation Day this Saturday! https://t.co/4LGaOZ0f4l https://t.co/0rggcmmCF8</t>
  </si>
  <si>
    <t>@gardentopiary It is! The Unisphere is located in the northern half of Flushing Meadows Corona Park. Learn more at https://t.co/rFl0xN5Czk</t>
  </si>
  <si>
    <t>A bed of flowers! This is just one of many artworks at the @fluxartfair, which opened today in Marcus Garvey Park. https://t.co/Vi5NHkmL0c</t>
  </si>
  <si>
    <t>RT @MadeinNY: We're partnering with @NYCParks to bring 300+ free movies to parks around NYC this summer! Get all the details: https://t.co/…</t>
  </si>
  <si>
    <t>Help us plant trees #onStatenIsland this Saturday. Sign up at https://t.co/IZBfxIZHCQ. https://t.co/5mZ98SfPwU</t>
  </si>
  <si>
    <t>Learn about NYC's World's Fair history on a free walking tour this Sunday! https://t.co/Cd5LGXohqz https://t.co/M2B8Vg6uce</t>
  </si>
  <si>
    <t>RT @BklynBrdgPark: Take an @NYCxDESIGN tour tmrw of the upcoming Pier 5 Uplands, our nxt section to open! RSVP: https://t.co/P0prJPuIIa htt…</t>
  </si>
  <si>
    <t>Coming up in May: canoeing programs, Urban Wildlife Appreciation Day, beach opening, &amp;amp; more https://t.co/zJlZEzj2lV https://t.co/wRReT4dFUA</t>
  </si>
  <si>
    <t>RT @NYCYouth: Looking for an #Internship? @NYCParks offers a variety of internships in various departments within the Agency. https://t.co/…</t>
  </si>
  <si>
    <t>Give mom a gift she’ll remember this #MothersDay. Dedicate a bench &amp;amp; help care for her park https://t.co/sKy6kRexo8 https://t.co/KCBVhfWYfB</t>
  </si>
  <si>
    <t>Try out a new way to keep fit. Join free exercise classes, from salsa to kickboxing: https://t.co/6oQ5b5nwaf https://t.co/d1rDbpY20F</t>
  </si>
  <si>
    <t>Today, we joined @nycedc #onStatenIsland to cut the ribbon at Stapleton's new waterfront park. Come check it out! https://t.co/eJ3JWQSkLw</t>
  </si>
  <si>
    <t>Join us for a live preview of @fluxartfair in Marcus Garvey Park #Harlem at 11am on https://t.co/qVj20N8BRU. https://t.co/6LuaBdEANa</t>
  </si>
  <si>
    <t>Today, we joined @NYCDDC to open a new, therapeutic horse riding arena #onStatenIsland! https://t.co/BrR8wMRUBQ https://t.co/wTzZM62FuN</t>
  </si>
  <si>
    <t>Happy Friday, NYC. Here's a list of fun things to do this weekend: https://t.co/GwJAqVBp02 https://t.co/w4TKEa7tub</t>
  </si>
  <si>
    <t>Just how long is NYC's coastline? Follow @NaturalAreasNYC to learn more about our city's natural wonders. https://t.co/8YIIqTFm4p</t>
  </si>
  <si>
    <t>The Whitestone Bridge opened OTD in 1939. The bridge connects Ferry Point Park, Bronx &amp;amp; Francis Lewis Park, Queens. https://t.co/N6g3ajg4R6</t>
  </si>
  <si>
    <t>Show your kids some of our favorite games from the 60s &amp;amp; 70s at Street Games fest tomorrow: https://t.co/3BWQNse1Sm https://t.co/mWQC7LnpSY</t>
  </si>
  <si>
    <t>Help us plant trees in NYC. Sign up for an upcoming tree planting event at https://t.co/8moj0UzSFD. #ArborDay https://t.co/Lv1MMoJvnE</t>
  </si>
  <si>
    <t>Are you near a great tree? Find some of the most notable trees in NYC: https://t.co/hFmV6LMVIY #ArborDay https://t.co/C5PWWpSfRb</t>
  </si>
  <si>
    <t>Take a look at some of NYC's most photogenic woodland areas: https://t.co/srY5nsl80C #ArborDay https://t.co/HBswTAR1JT</t>
  </si>
  <si>
    <t>LIVE on #Periscope: Checking out Ft. Greene Park's new Tree Trail on Arbor Day w/Urban Park Ranger Chris Wood #Broo… https://t.co/NBYDqz5wyZ</t>
  </si>
  <si>
    <t>Happy Arbor Day! Join us live on https://t.co/qVj20N8BRU at 10:15am to preview the new Ft. Greene Park Tree Trail w/the Urban Park Rangers.</t>
  </si>
  <si>
    <t>Celebrate Prince at these parties and a screening of Purple Rain tomorrow in Brooklyn: https://t.co/cHPMymplNB. https://t.co/j2rQS0RgjF</t>
  </si>
  <si>
    <t>Join the Queens Trails Club and help fix up hiking trails in parks across Queens. https://t.co/4hkF9INz8j https://t.co/aqf262I3rT</t>
  </si>
  <si>
    <t>@MegRhi Thanks for bringing this to our attention. We’ll have it repaired. You can visit @nyc311 online to check the status of this issue.</t>
  </si>
  <si>
    <t>@theladypaige Here's a list of our upcoming volunteer tree plantings: https://t.co/8moj0UzSFD. Thanks so much @tass_boogie for helping out!</t>
  </si>
  <si>
    <t>Take your workout outdoors. Find fitness programs in parks across the city: https://t.co/3U8ahPJLHw https://t.co/HVnL5VmjXt</t>
  </si>
  <si>
    <t>Race in a box car, learn how to skateboard, play stickball, &amp;amp; more at Street Games on 4/30: https://t.co/3BWQNse1Sm https://t.co/0P54GGOJpU</t>
  </si>
  <si>
    <t>It's #NationalSuperheroDay! Here's a #tbt of Batman and the Riddler at Shea Stadium in 1966. https://t.co/53qBc9oUB2</t>
  </si>
  <si>
    <t>@jodyrosen @cmenchaca Coffey Park is on our list, and we expect to get to the lawns there later this week. Thanks for reaching out!</t>
  </si>
  <si>
    <t>@jodyrosen @cmenchaca We're working hard all across the borough to cut back the first flush of new spring growth.</t>
  </si>
  <si>
    <t>Check out our NYC spring bucket list to make the most out of the season: https://t.co/Irq84QMXvK https://t.co/DToepHWPv4</t>
  </si>
  <si>
    <t>@msr12789 @ChaimDeutsch This is on track to finish in August. Visit our Capital Tracker page to follow its progress: https://t.co/x16n0F8JiZ</t>
  </si>
  <si>
    <t>It's Kids Week with the Urban Park Rangers! Find fun nature programs in a park near you: https://t.co/uPaxLWKpzt. https://t.co/cSQWWVQwIZ</t>
  </si>
  <si>
    <t>Learn about "woodland fairies", and explore spring at Inwood Hill Park with our park rangers. Sign up at https://t.co/NpOmF9Vrmw.</t>
  </si>
  <si>
    <t>.@bklynbotanic's cherry blossom festival is this weekend! For more info, visit https://t.co/3E2AEJdNBJ. https://t.co/Pz3kaIbwCz</t>
  </si>
  <si>
    <t>LIVE on #Periscope: Happy birthday to Ulysses S. Grant from @GrantsTombNPS in @RiversideParkNY! #findyourpark https://t.co/0PvJ8vHREc</t>
  </si>
  <si>
    <t>Join us live soon at President Grant's birthday celebration at Grant's Tomb, Riverside Park https://t.co/IWbP4OFCYu https://t.co/D9vF7lcX2y</t>
  </si>
  <si>
    <t>@NYCRobyn @Adrian_Benepe @audubonsociety @CentralParkNYC it is! Nice photo.</t>
  </si>
  <si>
    <t>We're on call for #NationalPretzelDay! Have a pretzel in the park. Find a food cart near you https://t.co/p4amWkGsrw https://t.co/kBwPWF6z0P</t>
  </si>
  <si>
    <t>This Saturday, play games from the 60s &amp;amp; 70s at our annual Street Games fest in East Harlem! https://t.co/3BWQNse1Sm https://t.co/HgHfi0StTr</t>
  </si>
  <si>
    <t>Remember, if you see a young bird on the ground, do not touch it! Its mother might be nearby.</t>
  </si>
  <si>
    <t>It's nesting season! One of our super stewards spotted a northern cardinal's nest while volunteering in Forest Park. https://t.co/9oBne5rlK6</t>
  </si>
  <si>
    <t>RT @fortgreenepark: #Party for #Prince w/ @BPEricAdams @cmlauriecumbo @NYCParks FRIDAY @ 5PM! Free #PurpleRain screening #PrinceRIP https:/…</t>
  </si>
  <si>
    <t>Are you a community group? Learn how to partner w/organizations at a free @PfPNYC workshop https://t.co/hT3hjtiZav https://t.co/nitfvVL5KI</t>
  </si>
  <si>
    <t>The Arsenal's next exhibit features artwork created w/flowers &amp;amp; leaves found in NYC's parks https://t.co/87BK31V13X https://t.co/7GCgBTEg1N</t>
  </si>
  <si>
    <t>@i_luvnachos Adults must be with kids to use a playground. Please report this to @nyc311 at https://t.co/jIZxrozMSv &amp;amp; share location.</t>
  </si>
  <si>
    <t>Once a year we open Forest Park's greenhouse for a free tour! Visit it on Saturday, April 30 https://t.co/YcmAyJXqqH https://t.co/VChDfxJqB8</t>
  </si>
  <si>
    <t>Explore @RiversideParkNY's sweet-smelling Crabapple Grove near West 91st Street in Manhattan https://t.co/rkU7oaQFAv https://t.co/OSfGUhwBPc</t>
  </si>
  <si>
    <t>Find nature programs, sports clinics, and more fun activities for kids during #springbreak: https://t.co/0wqVOo5g9F https://t.co/spdGWJXmjE</t>
  </si>
  <si>
    <t>@JMarin2016 Hi! Please report this to @nyc311 by DM or at https://t.co/i5Mi2dfqp4. Thank you.</t>
  </si>
  <si>
    <t>LIVE on #Periscope: 100th anniversary of the Central Park Model Yacht Club  https://t.co/zPdrU2MUcT</t>
  </si>
  <si>
    <t>RT @CentralParkNYC: Happy 100th Birthday Shakespeare Garden! Stop by &amp;amp; wish one of NYC's secret gardens the best! #bringyourowncake https:/…</t>
  </si>
  <si>
    <t>RT @CentralParkNYC: Shakespeare Garden turns 100 tomorrow! Celebrate w/exclusive staff-led tour! https://t.co/aCo8K3MGDS https://t.co/3JnoZ…</t>
  </si>
  <si>
    <t>During #SpringBreak, our park rangers are hosting free kid-friendly nature events across NYC https://t.co/uPaxLWKpzt https://t.co/uWK8i7aNH8</t>
  </si>
  <si>
    <t>On Sunday, join our park rangers on a free hike through Inwood Hill Park's forest: https://t.co/1W1xY6xOn5 https://t.co/3brhpMekyf</t>
  </si>
  <si>
    <t>OTD in 1964, the World's Fair opened at Flushing Meadows Corona Park. Take a look back: https://t.co/92SeAZg9UC https://t.co/ngL8Do5JSF</t>
  </si>
  <si>
    <t>Happy Friday, NYC! Here's a list of fun things to do this weekend in our parks: https://t.co/GwJAqVBp02 https://t.co/ZNYwTNo2XY</t>
  </si>
  <si>
    <t>|REPLAY| Happy #EarthDay from Freshkills Park, the world's largest land... #katch #Periscope https://t.co/qThp2v701C https://t.co/Edge15d1eu</t>
  </si>
  <si>
    <t>LIVE on #Periscope: Happy #EarthDay from Freshkills Park, the world's largest landfill to park project  https://t.co/bOWsDe5IMk</t>
  </si>
  <si>
    <t>Happy #EarthDay! 🌎 Join us at 10:30 a.m. for a live tour of @freshkillspark #onStatenIsland: https://t.co/IWbP4OFCYu https://t.co/gxGRiyT5Yn</t>
  </si>
  <si>
    <t>There's still time to share your thoughts on our most recent #parkequity projects here: https://t.co/UAHTOBo2tr https://t.co/um1nJwkxjN</t>
  </si>
  <si>
    <t>Tulips are blooming all around NYC, including here at Broadway Malls on the Upper West Side. https://t.co/BA8zAMrYgC</t>
  </si>
  <si>
    <t>Hundreds of New Yorkers joined us in celebrating the first Earth Day on April 22, 1970 in Union Square Park. #tbt https://t.co/uMgePgUAQV</t>
  </si>
  <si>
    <t>@the_autoclave @nyc311 @NYPDnews We have inspected your site, and will dispatch a worker today to fix the situation. Thanks for reporting.</t>
  </si>
  <si>
    <t>.@NYCSchools are out next week! Find out about Spring Recess programs for kids in our parks: https://t.co/0wqVOnNEL5 https://t.co/XbIbQRhkmg</t>
  </si>
  <si>
    <t>Looking for new date ideas? Here are our suggestions for places to go on a date this spring: https://t.co/oWe0TzASEx https://t.co/AUfD66LZ1E</t>
  </si>
  <si>
    <t>We're celebrating Shakespeare's birthday this week with a Sonnet Slam and a party! https://t.co/HEJLF2TnN2 https://t.co/093tbyMuCs</t>
  </si>
  <si>
    <t>Want to meet the new face of the $20? Visit Harriet Tubman in NYC here: https://t.co/qWHvu7csaB https://t.co/MG1G04eo3y</t>
  </si>
  <si>
    <t>We're teaching kids how to fish at free fishing programs across NYC. Here's the schedule: https://t.co/4tEKzvgxyk https://t.co/Slsvoaw5Mi</t>
  </si>
  <si>
    <t>Join our park rangers on a nature photography walk in Silver Lake Park. Sign up today only: https://t.co/RHDPebuztf. https://t.co/xvsPfAOftM</t>
  </si>
  <si>
    <t>RT @SummerStage: 100+ Free Events. 200+ Artists. 16 #NYC Parks. View the #SummerStage16 schedule NOW! https://t.co/OX2eJlIv1Z https://t.co/…</t>
  </si>
  <si>
    <t>@TheLoveSchack @MegaLalor @JimmyVanBramer We expect to present that to the community board in the next few weeks. (2/2)</t>
  </si>
  <si>
    <t>@TheLoveSchack @MegaLalor @JimmyVanBramer After a public scoping meeting this week, we are drafting a design for this project. (1/2)</t>
  </si>
  <si>
    <t>@dslarsk Hi David, please report this to @nyc311 at https://t.co/i5Mi2dfqp4. Thank you.</t>
  </si>
  <si>
    <t>On April 30, we're bringing pogo sticks, box cars, hula hoops, &amp;amp; more to Street Games https://t.co/3BWQNse1Sm https://t.co/rX1I20eOmV</t>
  </si>
  <si>
    <t>Artist Dee Briggs brings her fascination with geometry to Foley Square with 3 new sculptures https://t.co/OaXCNnPACU https://t.co/cbMOq6VSso</t>
  </si>
  <si>
    <t>Join NYC's #ItsMYPark volunteers  to help plant flowers, paint benches, &amp;amp; clean up parks https://t.co/1hIB5l3H9S https://t.co/9eT4PiUAOu</t>
  </si>
  <si>
    <t>News from Washington Market Park in lower Manhattan: our tulip bulbs popped this morning! Be the first to see. https://t.co/cW6Kruyhcv</t>
  </si>
  <si>
    <t>|REPLAY| First glimpse of Imagination Playground at Betsy Head in... #katch #Periscope https://t.co/9rssPb4bTs https://t.co/brogEJUJ8r</t>
  </si>
  <si>
    <t>LIVE on #Periscope: First glimpse of Imagination Playground at Betsy Head in #Brooklyn on Opening Day https://t.co/qzsIXJUrmJ</t>
  </si>
  <si>
    <t>@____tao Hi! The new Imagination Playground is located in Betsy Head Park in Brownsville, Brooklyn.</t>
  </si>
  <si>
    <t>@____tao It's opening today at Dumont Ave &amp;amp; Bristol St in Brownsville, BK</t>
  </si>
  <si>
    <t>Join us shortly for first glimpse of newly opened Imagination Playground in Brooklyn live on https://t.co/IWbP4OFCYu https://t.co/Eg1yUxc0Zz</t>
  </si>
  <si>
    <t>It's Yoga Week at Williamsbridge Oval Recreation Center in the Bronx. Unwind at a free class https://t.co/yHqr8OoFce https://t.co/Z77MG6Wx84</t>
  </si>
  <si>
    <t>Visit the High Bridge, NYC's oldest standing bridge, open from 7 a.m. to 8 p.m. https://t.co/0gj6TK3ykA https://t.co/vXpnFMECns</t>
  </si>
  <si>
    <t>Last week to see this free Great Outdoors art exhibit, a selection of work from @TheNMAI: https://t.co/Nz4p9tHDiX https://t.co/pi2rrqGWLr</t>
  </si>
  <si>
    <t>@rob_bennett Hi, we're restoring the lawn w/@CentralParkNYC's help through @BillDeBlasio’s #parkequity program. It should reopen late spring</t>
  </si>
  <si>
    <t>Celebrate spring at these upcoming cherry blossom festivals in NYC: https://t.co/gvOkFlCyHI https://t.co/zWxvmFVhbP</t>
  </si>
  <si>
    <t>RT @nyrr: Did you know? #NYRROpenRun is now in 8 @nycparks in the boroughs! Join or nominate your park https://t.co/XXVBQyaqMD https://t.co…</t>
  </si>
  <si>
    <t>@yonimweiss Hi Yoni, please report this to @nyc311 at https://t.co/i5Mi2dfqp4. Thank you.</t>
  </si>
  <si>
    <t>|REPLAY| Central Park's Shakespeare Garden on 100th Anniversary... #katch #Periscope https://t.co/TnCQuahbUK https://t.co/oa9a49uXzK</t>
  </si>
  <si>
    <t>Centennial anniversary tour of Shakespeare Garden in Central Park live on https://t.co/IWbP4OFCYu at 10am. Join us! https://t.co/NzOlXHV92d</t>
  </si>
  <si>
    <t>LIVE on #Periscope: Brooklyn Bridge Park, Pier 5 #SundaySunset #findyourpark https://t.co/RstNokRp7J</t>
  </si>
  <si>
    <t>Watch this sun set from Brooklyn Bridge Park's Pier 5 live at sunset on https://t.co/qVj20N8BRU https://t.co/6X0okraanR</t>
  </si>
  <si>
    <t>|REPLAY| Spring Stewardship Day at Powell’s Cove Park, Queens... #katch #Periscope https://t.co/exR2Vtu4oT https://t.co/ZA0Fl5YvmH</t>
  </si>
  <si>
    <t>LIVE on #Periscope: Spring Stewardship Day at Powell’s Cove Park, Queens #FindYourPark https://t.co/prpn1w5wRC</t>
  </si>
  <si>
    <t>Join us live on https://t.co/IWbP4OFCYu at 11:30am for Spring Stewardship Day in Powell's Cove Park in Queens https://t.co/2yWCRm8pYX</t>
  </si>
  <si>
    <t>These Park Avenue tulips are blooming a brilliant red in today's bright sunshine. https://t.co/ulFsTB5xhd</t>
  </si>
  <si>
    <t>Learn how to tell compelling stories through your lens at our documentary photography class: https://t.co/7uT7hsMlKY https://t.co/sRezBWjxMz</t>
  </si>
  <si>
    <t>It's nice out today and all weekend. Be like this turtle in Morningside Park—enjoy the sunshine outdoors in the park https://t.co/2UHsWCXOrE</t>
  </si>
  <si>
    <t>It's #JackieRobinsonDay! OTD in 1947, he debuted as the 1st African-American MLB player https://t.co/rV8JYFfXUT https://t.co/kI1ZuyEoT2</t>
  </si>
  <si>
    <t>RT @92Y: Fri 4/15 @ 12:30 pm — tune in for a workout in Central Park w/ Trainer Jake on @periscopetv: https://t.co/e8iaB5IWAe https://t.co/…</t>
  </si>
  <si>
    <t>Happy Friday, NYC! Here are 16 fun things to do this weekend in NYC's parks: https://t.co/GwJAqVBp02 https://t.co/cQ8DRJJSMv</t>
  </si>
  <si>
    <t>Get moving! Check out our list of running tracks in parks around NYC and try a new run: https://t.co/5arpurGJXt https://t.co/6d6XgVbEqA</t>
  </si>
  <si>
    <t>@cheyennaweber @FtGreeneCyclist @bradlander Hi! We've started turning on drinking fountains, &amp;amp; will complete activating our fountains in May</t>
  </si>
  <si>
    <t>Sign up for the High Rock Challenge, an obstacle race held on April 30: https://t.co/1fHC9oRxHQ https://t.co/t2R4w9ak5P</t>
  </si>
  <si>
    <t>#tbt: Playtime at First Park in 1937. The park—not NYC's first park—is named for its location at 1st St. &amp;amp; 1st Ave. https://t.co/CP5HKjflEw</t>
  </si>
  <si>
    <t>We're kicking off our #EarthDay celebrations w/hiking adventures, nature workshops, &amp;amp; more: https://t.co/ILskYjhs1b https://t.co/LVqX86MGLB</t>
  </si>
  <si>
    <t>Build a 14-foot-long, 19th-century style rowboat with @VCBoathouseNYC at @BklynBrdgPark! https://t.co/WtrUgwEAwE https://t.co/Yhfrbavr0U</t>
  </si>
  <si>
    <t>It's never too late to learn how to ride a bike. Join @bikenewyork's free adult classes: https://t.co/hPYfVI5F6W https://t.co/s72RUvEZVc</t>
  </si>
  <si>
    <t>Cherry blossoms are blooming at the Unisphere in Flushing Meadows Corona Park, Queens! https://t.co/6Hnebd3Iko</t>
  </si>
  <si>
    <t>@Cult_Of_She Learn more about our #parkequity program and how we're rebuilding parks: https://t.co/ZKyZkitpRK. (2/2)</t>
  </si>
  <si>
    <t>@Cult_Of_She Through our Community Parks Initiative, we're rebuilding under-resourced parks in neighborhoods in need. (1/2)</t>
  </si>
  <si>
    <t>RT @BklynBrdgPark: Roller skaters rejoice! The Pier 2 Roller Rink reopens for the season on Friday! ©JSchaer https://t.co/0HbK7Oemx0 https:…</t>
  </si>
  <si>
    <t>Help us plant trees in Pelham Bay Park! Sign up here: https://t.co/ekqWRAEe8Q https://t.co/Jv4dHqh1P6</t>
  </si>
  <si>
    <t>@christophertime Hi! Please report this to @nyc311 at https://t.co/i5Mi2dx1gC. Thank you!</t>
  </si>
  <si>
    <t>During Spring Recess, we're offering free swimming classes for kids. Register today! https://t.co/cl668H6go4 https://t.co/dNGEkRQlM6</t>
  </si>
  <si>
    <t>Is @MerchantsHouse haunted? Find out on a candlelight tour through the 19th-century house: https://t.co/7r2YjcFi4s. https://t.co/ozA36QtgNf</t>
  </si>
  <si>
    <t>We're rebuilding Lt. Petrosino Park in Bensonhurst. Share your ideas for the park's redesign at next week's meeting: https://t.co/eirPwMXtXl</t>
  </si>
  <si>
    <t>Tweet a rhyme, your own flow, or haiku/Use #poetweetNYC and the winner could be you. https://t.co/GrZoR9gFBX https://t.co/EEEdDdTxSv</t>
  </si>
  <si>
    <t>RT @CentralParkNYC: These crab apples at Gapstow Bridge are dreamy #centralparkbloomwatch2016 https://t.co/ZXU0YWc2Rn</t>
  </si>
  <si>
    <t>Spring is here, and there's never been a better time to #bikenyc. Find more at https://t.co/yhaLB9xkdt https://t.co/RcYxvRk88h</t>
  </si>
  <si>
    <t>Come to our community meeting on 4/18 &amp;amp; tell us what you'd like to see in Bloomingdale Plgd: https://t.co/oUBliMiB6t https://t.co/GZ0gmx9jbo</t>
  </si>
  <si>
    <t>|REPLAY| Ecology tour of Hunter Island in Pelham Bay Park in #theBronx #katch #Periscope https://t.co/h1jLqzWAUv https://t.co/mmZABBBcoF</t>
  </si>
  <si>
    <t>@CitySpoonful Thanks for reporting. We're taking a look. Please report the net conditions via DM to @nyc311 as well.</t>
  </si>
  <si>
    <t>LIVE on #Periscope:  Ecology tour of Hunter Island in Pelham Bay Park in #theBronx https://t.co/0cqQw7ao2u</t>
  </si>
  <si>
    <t>At 2 pm, join us for a live tour of Hunter Island, a nature sanctuary in NYC's largest park. https://t.co/IWbP4OFCYu https://t.co/XajVPO0nEj</t>
  </si>
  <si>
    <t>It's #NationalPetDay! Treat your dog to some playtime in the park today. https://t.co/W7axYHBBS6 https://t.co/yUMMVgajjW</t>
  </si>
  <si>
    <t>@paoladlfuente @NY1TheCall Hi! Please report this to @nyc311 by DM or online at https://t.co/i5Mi2dfqp4. Thank you!</t>
  </si>
  <si>
    <t>Find free indoor fitness classes near you at https://t.co/6oQ5b5nwaf. No registration is required. Just show up! https://t.co/RhDY0jZeKf</t>
  </si>
  <si>
    <t>@Hildahg @nycgo Hey! Here's our calendar of fun and educational events for kids: https://t.co/bMcJ1bvZHG.</t>
  </si>
  <si>
    <t>LIVE on #Periscope:  After Sunset at Riverside Park South #SundaySunset #HudsonRiver #Twilight https://t.co/iKQZ8MWtYO</t>
  </si>
  <si>
    <t>|REPLAY| Beautiful Sunset from Riverside Park South #SundaySunset... #katch #Periscope https://t.co/7KCOAVN42G https://t.co/jgsjuYef4M</t>
  </si>
  <si>
    <t>LIVE on #Periscope: Beautiful Sunset from Riverside Park South #SundaySunset #HudsonRiver #Twilight https://t.co/BJw1EgxOks</t>
  </si>
  <si>
    <t>We're expecting a beautiful sunset tonight over the Hudson River. Watch with us live from Riverside Park South via https://t.co/IWbP4OFCYu.</t>
  </si>
  <si>
    <t>We're rebuilding Walton Park in the Bronx. Share your ideas at Monday's meeting: https://t.co/OeH6hKNN2T https://t.co/Om8eqiCMiP</t>
  </si>
  <si>
    <t>Yoshino cherry trees are blossoming around @CentralParkNYC, including here at Pilgrim Hill near 72nd Street. https://t.co/X8dDheIyfs</t>
  </si>
  <si>
    <t>This parkway was used as a raceway &amp;amp; an escape route for bootleggers during Prohibition. Learn more on our free hike https://t.co/tRiQlo0uDU</t>
  </si>
  <si>
    <t>This 108-foot-tall English elm in Stuyvesant Square is more than 180 years old. https://t.co/Ywnc8TTJSF https://t.co/iILUQnGpBJ</t>
  </si>
  <si>
    <t>It's National #ZooLoversDay! See you at the zoo. https://t.co/CCeSt3rS0a https://t.co/UjBiozlQ04</t>
  </si>
  <si>
    <t>Happy Friday, NYC! Here are 13 fun things to do this weekend: https://t.co/GwJAqVBp02 https://t.co/7rEXh7fZJ0</t>
  </si>
  <si>
    <t>@thenicbannon Hi, can you DM us details, including the borough and location? Also call our permit office: https://t.co/DhyNvh6TOH</t>
  </si>
  <si>
    <t>We're looking for volunteers to help lead fun activities at our Street Games fest. Sign up: https://t.co/3BWQNse1Sm https://t.co/MtMHGPNvtz</t>
  </si>
  <si>
    <t>We're building a better #Astoria Health Plgd. Share your ideas at our community meeting: https://t.co/8OnfMgvvKZ https://t.co/DNdrhZQPVV</t>
  </si>
  <si>
    <t>#TBT: Marcus Garvey Park in 1937, when it was called Mt Morris Park. It was renamed in 1973 https://t.co/WxfOvmWWTD https://t.co/a5kteaYj9J</t>
  </si>
  <si>
    <t>Find free exercise classes, including dance, yoga, &amp;amp; kickboxing, across NYC: https://t.co/6oQ5b5nwaf #WorldHealthDay https://t.co/6Ej2WhjN5n</t>
  </si>
  <si>
    <t>RT @nycgov: TechOpps is a program through @NYCParks' Computer Resource Centers, where members 16+ receive free computer training https://t.…</t>
  </si>
  <si>
    <t>We're rebuilding Lafayette Plgd in Gravesend. Share your ideas at our April 11 meeting: https://t.co/COH145AV3K. https://t.co/wSuLi8WObA</t>
  </si>
  <si>
    <t>Learn about the history behind @CentralParkNYC's bridges on a free walking tour. Sign up at https://t.co/bNKI17V5nI https://t.co/xWUP6ciIiG</t>
  </si>
  <si>
    <t>Capture Clove Lakes Park's lovely spring scenery on a nature photography walk w/our Rangers https://t.co/OIpCr7Ew6A https://t.co/8jBvQl3EDi</t>
  </si>
  <si>
    <t>Want to go camping but haven't the slightest clue of what to do or pack? Sign up for our workshop &amp;amp; learn the basics https://t.co/sPiqFOnavx</t>
  </si>
  <si>
    <t>It's #NationalWalkingDay! Enjoy a walk through NYC's parks in the springtime. https://t.co/T5TC4pvUKN</t>
  </si>
  <si>
    <t>Join our park rangers on a nature hike through Alley Pond Park, Queens. Register today only: https://t.co/fo5hm9Z5GC https://t.co/83ne2o5MgH</t>
  </si>
  <si>
    <t>|REPLAY| Stuyvesant Square Spring Garden Tour #katch #Periscope https://t.co/sudMjKdXyG https://t.co/CMieOD1ntu</t>
  </si>
  <si>
    <t>LIVE on #Periscope: Stuyvesant Square Spring Garden Tour https://t.co/J6MNGBmPAz</t>
  </si>
  <si>
    <t>Can you ID this species? Find out at 10am during our live video garden tour of Stuyvesant Sq https://t.co/IWbP4OFCYu https://t.co/dZtCvD9kpV</t>
  </si>
  <si>
    <t>Explore @randallsisland on a free bike tour! https://t.co/m1RRW7zDGf https://t.co/H90VlmiI0S</t>
  </si>
  <si>
    <t>Help care for NYC's forests at our Spring Citywide Stewardship Day on April 16. Sign up at https://t.co/4KfQyu3NRh https://t.co/oBnVgy7O3s</t>
  </si>
  <si>
    <t>We're building a stronger &amp;amp; better east shore #onStatenIsland. Learn more about the plan: https://t.co/c5ikvmCerk https://t.co/f60j1JmzMh</t>
  </si>
  <si>
    <t>RT @BklynBrdgPark: It’s here! DUMBO Boulders Powered by @CliffsClimbing opens 4/16 at Main Street! ©JSchaer https://t.co/iW5GiVXtRI https:/…</t>
  </si>
  <si>
    <t>|REPLAY| Cherry Trees in Sakura Park are Blooming #katch #Periscope https://t.co/ehoskLoI66 https://t.co/dw7WxgBWwe</t>
  </si>
  <si>
    <t>.@NYCParks on #Periscope: Cherry Trees in Sakura Park are Blooming https://t.co/r9FS1os9br</t>
  </si>
  <si>
    <t>Feels like winter, looks like spring. Join us for a live video tour of cherry blossoms in Sakura Park at 10am on https://t.co/IWbP4OFCYu.</t>
  </si>
  <si>
    <t>We're rebuilding parks in neighborhoods in need. Share your ideas at our community meetings: https://t.co/GjUw2JcLQi https://t.co/09tiVz3BEq</t>
  </si>
  <si>
    <t>Save the date: on April 30, we're bringing games from the 60s &amp;amp; 70s to our Street Games fest https://t.co/3BWQNse1Sm https://t.co/KGNVqDSxbL</t>
  </si>
  <si>
    <t>Hosting a community event this summer? Rent a mobile rec van &amp;amp; have our staff lead fun activities at your event. https://t.co/SyqQcdXfrK</t>
  </si>
  <si>
    <t>Is exercise difficult for you? Find out about our free low-impact fitness classes across NYC https://t.co/6oQ5b5nwaf https://t.co/uUeWidiUS3</t>
  </si>
  <si>
    <t>RT @nyc311: Interested in a summer/academic year #internship with @NYCParks? Check out all the opportunities: https://t.co/GPTfoaPL2F</t>
  </si>
  <si>
    <t>Trees are blossoming all around the city. Head outdoors and enjoy spring in the park. https://t.co/9Ubm4ewCjq</t>
  </si>
  <si>
    <t>Squirrels build nests in our parks &amp;amp; help nourish trees. Learn more about NYC's squirrels: https://t.co/wN7YpDKtfm. https://t.co/QpixfDgEE0</t>
  </si>
  <si>
    <t>Coming up in April: Street Games festival, Earth Day, Spring Recess, &amp;amp; more: https://t.co/zJlZEzj2lV https://t.co/58EUvZlfex</t>
  </si>
  <si>
    <t>Here's how you can request to have a free tree planted on your block: https://t.co/VDu8D7WIZv https://t.co/bxbf9oH07P</t>
  </si>
  <si>
    <t>Callery pear trees are blossoming! Learn more about flowering trees in NYC: https://t.co/8A2AfLGcbf https://t.co/K9ilo0Rdp5</t>
  </si>
  <si>
    <t>@kats2009 @kylagrace @CayleThompson No foolin'-we take you up to the top in this @periscopetv video: https://t.co/sxi8vFa1Ls Check it out!</t>
  </si>
  <si>
    <t>Sign up today for a once-in-a-lifetime chance to go camping on the Washington Square Arch: https://t.co/diVXztQmUg https://t.co/VW420mX6Qc</t>
  </si>
  <si>
    <t>Help your neighbors fix up parks in your community at these upcoming volunteer events: https://t.co/XECmRSIQ1J. https://t.co/Cd8nlB0k83</t>
  </si>
  <si>
    <t>|REPLAY| The Cloisters in Ft Tryon Park: Medieval Art in the Park... #katch #Periscope https://t.co/HaK7asjkJ3 https://t.co/uf1l14MWIq</t>
  </si>
  <si>
    <t>LIVE on #Periscope: The Cloisters in Ft Tryon Park: Medieval Art in the Park #MuseumWeek #ArchitectureMW https://t.co/zpnXDaM1ft</t>
  </si>
  <si>
    <t>Join us live at 3:15 pm on our walk around the grounds of The Cloisters in Fort Tryon Park: https://t.co/IWbP4OFCYu https://t.co/Qy3qKQDvGB</t>
  </si>
  <si>
    <t>Last chance to ice skate in @CentralParkNYC. Wollman Rink closes for the season on Sunday! https://t.co/T7EeRIuCFW https://t.co/rtC8aUXt6O</t>
  </si>
  <si>
    <t>Join a garden designer on a free behind-the-scenes tour of Fort Tryon Park's Heather Garden. https://t.co/fkKmCDJSi0 https://t.co/e17PZk8YWS</t>
  </si>
  <si>
    <t>Why so many daffodils in NYC? @NY4P's #DaffodilProject plants these flowers across NYC as a living memorial to 9/11. https://t.co/nVOE1YekKm</t>
  </si>
  <si>
    <t>Riding through @CentralParkNYC on a lovely spring day in 1967. #TBT https://t.co/CdwmSdPkzN</t>
  </si>
  <si>
    <t>|REPLAY| Morningside Park's Accessible Playground #katch #Periscope https://t.co/rj9i5MAklx https://t.co/A7D4xx66cy</t>
  </si>
  <si>
    <t>LIVE on #Periscope: Morningside Park's Accessible Playground https://t.co/MdyXuYbbP3</t>
  </si>
  <si>
    <t>Sign up for this free ethnobotany workshop w/our Rangers &amp;amp; start your own indoor herb garden: https://t.co/ijAKOIiFLR</t>
  </si>
  <si>
    <t>Now that spring is here, all kinds of birds are visiting our parks. Join a birding tour: https://t.co/lwFhAYtrPt https://t.co/IMgjSUAumv</t>
  </si>
  <si>
    <t>We're rebuilding Brownsville's Newport Playground. Share your ideas at our community meeting https://t.co/bpsodfJNHu https://t.co/oKmBJMdHQG</t>
  </si>
  <si>
    <t>It's #TakeAWalkInTheParkDay! Enjoy the colors of spring on a lovely stroll through the park. https://t.co/eeF8qU3PGb</t>
  </si>
  <si>
    <t>RT @bkflea: Smorgasburg opens for the season this weekend! Saturday in Williamsburg + Sunday in @prospect_park. https://t.co/HBFCpNUzr9</t>
  </si>
  <si>
    <t>RT @nycgo: The Unisphere, in Queens' Flushing Meadows Corona Park. #SeeYourCity 📷: nyclovesnyc via IG https://t.co/u6MWroadBU</t>
  </si>
  <si>
    <t>Eastern redbud trees are budding. Their small flowers bloom directly from their branches. https://t.co/8A2AfLGcbf https://t.co/7pGhWPWM8n</t>
  </si>
  <si>
    <t>@tass_boogie Hi! We're hiring seasonal Urban Park Rangers for our summer programs. To find out more, visit https://t.co/OuF9Sfagrd</t>
  </si>
  <si>
    <t>Visit this work in Harlem that calls attention to human evolution &amp;amp; things we leave behind. https://t.co/PnTx21mKHa https://t.co/eHZXqNntBS</t>
  </si>
  <si>
    <t>Explore NYC with an Urban Park Ranger on free tours, hikes, and canoeing adventures: https://t.co/JGpGzevpgt. https://t.co/rnS3fMFkM3</t>
  </si>
  <si>
    <t>Spring has sprung at Carl Schurz Park in Manhattan. https://t.co/RkYzP1rcyg https://t.co/Qlu6sxeem4</t>
  </si>
  <si>
    <t>RT @nyc311: Learn to swim! @NYCParks lessons begin 4/4 at their #recreationcenters. Register online by 3/29 deadline: https://t.co/8g8g3PRb…</t>
  </si>
  <si>
    <t>#Astoria, we're rebuilding Playground 35. Tell us what you'd like to see in the park on 4/6: https://t.co/IhuVXAmUbp https://t.co/Syw1qTdfyB</t>
  </si>
  <si>
    <t>#ThisisNYC—Bronx River's 182nd St dam where a fish passage helps herring cross the dam to find food and new habitats https://t.co/VqZ577qoFj</t>
  </si>
  <si>
    <t>Looking for a summer job? We're hiring seasonal positions for our summer programs: https://t.co/OuF9Sfagrd https://t.co/eNXhtR4fDd</t>
  </si>
  <si>
    <t>Learn how to swim at our indoor pools. Sign up to enter the lottery: https://t.co/kPVDDqZpET. https://t.co/pSD9OK00jj</t>
  </si>
  <si>
    <t>Find free indoor fitness classes, from yoga to dance, around NYC: https://t.co/6oQ5b5nwaf https://t.co/2PfYp5k3sR</t>
  </si>
  <si>
    <t>RT @WaveHill: Glory-of-the-snow is at peak bloom this #weekend. This is one show you won't want to miss! https://t.co/wX8wA0TOhV https://t.…</t>
  </si>
  <si>
    <t>Find out how you can have your artwork displayed in a park: https://t.co/lTwTxCP9zK https://t.co/vBhxNgNb8l</t>
  </si>
  <si>
    <t>@bjarkerisager Hi Bjarke! Our free outdoor pools re-open on June 29. For more info about our outdoor pools, visit https://t.co/n8W6x1gxEr.</t>
  </si>
  <si>
    <t>Become a Green Neighborhoods volunteer &amp;amp; help care for natural areas in communities in need. https://t.co/xH3wmzUkKL https://t.co/PVmp2BUUs9</t>
  </si>
  <si>
    <t>Last weekend to go ice skating in @prospect_park, until next winter! https://t.co/9dSdoRBIC9 https://t.co/TtBLftgjXF</t>
  </si>
  <si>
    <t>Happy Friday, NYC! Here are 12 fun things to do this weekend in NYC's parks: https://t.co/GwJAqVBp02 https://t.co/F1iMIVrlcw</t>
  </si>
  <si>
    <t>RT @NYCEDC: #smallbusinessowners can sign up to serve NYC through the @nycparks concessions mailing list https://t.co/LsJ7biwn2J https://t.…</t>
  </si>
  <si>
    <t>We're rebuilding Ogden-Plimpton Plgd in the Bronx. Come to the meeting &amp;amp; tell us what you'd like to see in the park: https://t.co/AqhnTHjwO5</t>
  </si>
  <si>
    <t>|REPLAY| Tour Alice Austen's waterfront cottage on Staten Island #katch #Periscope https://t.co/47Z8jX61qX https://t.co/y1shlO1U73</t>
  </si>
  <si>
    <t>LIVE on #Periscope: Tour Alice Austen's waterfront cottage on Staten Island https://t.co/2r8V16B4vE</t>
  </si>
  <si>
    <t>At 3 p.m., join our live tour of the historic Alice Austen House on #StatenIsland. https://t.co/IWbP4OFCYu https://t.co/gfcCWDNwul</t>
  </si>
  <si>
    <t>We're teaching kids how to play basketball at our Parks Madness this Saturday in Manhattan! https://t.co/GsGXlEwBiU https://t.co/0oQ1fpJ1qW</t>
  </si>
  <si>
    <t>In 1968, we had an Egg Rolling Contest in Central Park for #EasterWeekend. Don't worry—we used wooden eggs! #tbt https://t.co/Fo1LctRlSL</t>
  </si>
  <si>
    <t>RT @WSPConservancy: Check out this guide by @NYCParks on the city's most beautiful flowering trees! #spring https://t.co/yCIoK247fw https:/…</t>
  </si>
  <si>
    <t>15 years ago this week, the last barge of trash arrived at Fresh Kills Landfill, now a park: https://t.co/ICoXCgA5Ih https://t.co/NST7zyk4G8</t>
  </si>
  <si>
    <t>We're having a scavenger hunt hike this Sunday in NYC's southernmost park. Join us! https://t.co/Tkhw9XJXix https://t.co/JgCTKuuhFH</t>
  </si>
  <si>
    <t>Sign up for learn to swim lessons at our indoor pools. There are classes for adults &amp;amp; kids: https://t.co/kPVDDqZpET https://t.co/GyjMgyMpui</t>
  </si>
  <si>
    <t>The tulips are coming! What's your favorite tulip color? https://t.co/YZ20qdaJCA</t>
  </si>
  <si>
    <t>It's #NationalPuppyDay! Bring your pal to the park for some fun. https://t.co/W7axYHBBS6 https://t.co/CjQKs04hrf</t>
  </si>
  <si>
    <t>Head to these parks for some of the best places to snap a photo of Manhattan's skyline: https://t.co/aKyqa4pebn https://t.co/LHj93Kmow5</t>
  </si>
  <si>
    <t>@bradleyghoover Hi, a local group is illuminating the track from 8-10pm Mon-Thurs from April 3-August 28. Hope this helps!</t>
  </si>
  <si>
    <t>#StatenIsland, we're rebuilding Stapleton Plgd. Share your ideas for the redesign on 3/29: https://t.co/wK8Ryh07Hj https://t.co/T0FziUDUdD</t>
  </si>
  <si>
    <t>Teach New Yorkers how to swim. Apply to become one of our swim instructors this summer: https://t.co/OuF9Sfagrd https://t.co/C2uYpNoZ8u</t>
  </si>
  <si>
    <t>@LisanWill716 For more info about special events permits or to get in touch with our permit offices, visit https://t.co/VOWqAwuccW. (2/2)</t>
  </si>
  <si>
    <t>@LisanWill716 Hi Lisa, special events permits require at least 21 to 30 days to be processed. (1/2)</t>
  </si>
  <si>
    <t>At our adaptive hubs, we host modified fitness classes, wheelchair basketball &amp;amp; adapted swim https://t.co/3OE8rorVeC https://t.co/sgNcW33L52</t>
  </si>
  <si>
    <t>RT @nyc311: Interested in #communityservice? You can find opportunities &amp;amp; organizations to volunteer with through @NYCService: https://t.co…</t>
  </si>
  <si>
    <t>"Nothing is so beautiful as spring" - Gerard Manley Hopkins #WorldPoetryDay https://t.co/Z01Q8hQ2gs</t>
  </si>
  <si>
    <t>We're rebuilding Black Rock Plgd in the BX. Share your ideas for the redesign plan on 3/29: https://t.co/gNASQw7qAT https://t.co/rLUEfmvESV</t>
  </si>
  <si>
    <t>Happy birthday to Benito Juarez, the first Mexican person to be honored with an NYC monument https://t.co/AZaYA8Tjbw https://t.co/Icy0roMFey</t>
  </si>
  <si>
    <t>Star magnolias are blooming! Learn about other flowering trees you'll see this spring in NYC https://t.co/8A2AfLGcbf https://t.co/A5qI5OqvSo</t>
  </si>
  <si>
    <t>Happy #IntlForestDay! Help us care for NYC's forests &amp;amp; plant trees at these upcoming events: https://t.co/8moj0UzSFD https://t.co/OBVTY3Zi0B</t>
  </si>
  <si>
    <t>RT @nycgov: .@NYCLandmarks just launched an interactive #nyclandmarks map! Explore landmarks near you! https://t.co/e4rbfKCeAs https://t.co…</t>
  </si>
  <si>
    <t>It'll be one week later, but we'll see you all at #ConeyIsland next week! https://t.co/pt12OrRQqk</t>
  </si>
  <si>
    <t>RT @HighLineArtnyc: We're excited to announce our new #HighLineCommission by @barbarakruger | Opening 03/21 | https://t.co/BU6PmEPXBI https…</t>
  </si>
  <si>
    <t>RT @BklynBrdgPark: Be dazzled by our blooming Cornelian cherry dogwoods! Find them at Pier 1. Photo by J. Slade https://t.co/dyElLEcrhw htt…</t>
  </si>
  <si>
    <t>Bring the kids to Easter egg hunts in the park! For locations &amp;amp; other Easter events, visit https://t.co/POk5I6acQN. https://t.co/QTVjHu1Lbm</t>
  </si>
  <si>
    <t>We're hiring seasonal swim instructors, summer camp counselors, park rangers, &amp;amp; more: https://t.co/OuF9Sfagrd https://t.co/72xFb2AOMK</t>
  </si>
  <si>
    <t>See @PublicTheaterNY's free performances of Romeo and Juliet at a rec center near you: https://t.co/TkTwcaP6Pe https://t.co/0yiD443XPj</t>
  </si>
  <si>
    <t>Happy Friday, NYC! Here are 14 fun things to do this weekend: https://t.co/GwJAqVBp02 https://t.co/ek9BX8CS41</t>
  </si>
  <si>
    <t>Vote Ocean Breeze Track &amp;amp; Field Complex for best stadium/arena in the @Architizer A+ Awards: https://t.co/IDwYnw5vIX https://t.co/mZnLIbfpWe</t>
  </si>
  <si>
    <t>|REPLAY| We're marching in the #StPatricksDay Parade along... #katch #Periscope https://t.co/2S6nBOr8x6 https://t.co/jDGvYxoOxn</t>
  </si>
  <si>
    <t>LIVE on #Periscope: We're marching in the #StPatricksDay Parade along #CentralPark! #Slàinte
 https://t.co/Nfq9oVnV28</t>
  </si>
  <si>
    <t>Coney Island's amusement parks reopen this Sunday! Here's a #tbt of Astroland in 1963, one yr after it first opened. https://t.co/azYdGAsCYS</t>
  </si>
  <si>
    <t>Yesterday, our park rangers helped this mommy squirrel reunite with her three lost babies at Marcus Garvey Park https://t.co/GlaxoTXf1B</t>
  </si>
  <si>
    <t>Happy 150th birthday to trailblazing photog Alice Austen whose house sits in a park on S.I. https://t.co/GN690PCG0o https://t.co/kJPCJ30FFL</t>
  </si>
  <si>
    <t>Happy #StPatricksDay! Visit these monuments in NYC's parks honoring Irish heritage &amp;amp; history https://t.co/w7cZSsGG2X https://t.co/R6wleY3gev</t>
  </si>
  <si>
    <t>RT @bikenewyork: Bring your #kids to the Bike Bonanza in #Brownsville on 3/19! Helmet fittings + bike swaps + a Learn to Ride class! https:…</t>
  </si>
  <si>
    <t>Discover the Bronx's largest freshwater lake and an old burial ground on this nature walk: https://t.co/vnuQFQMlaG https://t.co/76dAtHyB0L</t>
  </si>
  <si>
    <t>Our friends at @MadSqParkNYC spotted this daffodil in the park! #SignsofSpring https://t.co/emSe1X7i7R</t>
  </si>
  <si>
    <t>Join our park rangers on a tour of Gravesend Cemetery, which dates back to 1643. Register at https://t.co/k219G3fm80 https://t.co/t2vNv2CUpt</t>
  </si>
  <si>
    <t>RT @NYCzerowaste: Recycle electronics &amp;amp; dispose of harmful household products like paint &amp;amp; old meds at the 2016 #SAFEdisposal events! https…</t>
  </si>
  <si>
    <t>|REPLAY| Orchids in The Bronx: Orchidelirium, the Orchid Show at NY Bot... #katch #Periscope https://t.co/swSrqjudrd https://t.co/sbzy7xJwD8</t>
  </si>
  <si>
    <t>LIVE on #Periscope: Orchids in The Bronx: Orchidelirium, the Orchid Show at NY Botanical Garden #orchidnybg https://t.co/T2QkOVmKSZ</t>
  </si>
  <si>
    <t>At 11 a.m., tune in to @periscopetv for a live tour of @NYBG's orchid show! https://t.co/IWbP4OFCYu https://t.co/BQUTTicFHh</t>
  </si>
  <si>
    <t>Join our tree care team on 3/19 to help tend to street trees in Jackson Heights. Sign up at https://t.co/j415nosxc0. https://t.co/KwnoO9pWRz</t>
  </si>
  <si>
    <t>Only a few weeks left to go ice skating outdoors in NYC. Grab some skates and hit the ice. https://t.co/CpsZi1HMZZ https://t.co/h8nnNxtjyF</t>
  </si>
  <si>
    <t>On St. Patrick's Day, join this tour about Irish immigrants who worked at @MerchantsHouse: https://t.co/JtrPF9Kbzf https://t.co/0W3eEv9K6D</t>
  </si>
  <si>
    <t>These @centralparknyc hellebores are known as Lenten Roses because of when they bloom--they're actually not roses! https://t.co/mLnobeFUGz</t>
  </si>
  <si>
    <t>Looking for a summer job? We're hiring! https://t.co/OuF9Sfagrd https://t.co/Anbr7pIohA</t>
  </si>
  <si>
    <t>@tomwindishagent We'll pass this along--reach out to @nyc311 as well. If you're serious about volunteering, sign up: https://t.co/FHgK7kBppy</t>
  </si>
  <si>
    <t>The magnolias in @CentralParkNYC are starting to bloom! Spring is on its way. 🌸🌱😊 https://t.co/QivPQCMbAF</t>
  </si>
  <si>
    <t>Here's how we're rebuilding parks &amp;amp; adding programming in neighborhoods in need: https://t.co/eGetbv7KRh #parkequity https://t.co/o1bKdpGq0Q</t>
  </si>
  <si>
    <t>Growing a garden? Chat with expert urban gardeners at the annual GrowTogether conference: https://t.co/kHorPAlqbN https://t.co/Owoxm7qaPs</t>
  </si>
  <si>
    <t>Find free indoor fitness classes, from intense boot camps to fun dance classes: https://t.co/6oQ5b5nwaf https://t.co/ZfmS8vSPnq</t>
  </si>
  <si>
    <t>RT @BklynBrdgPark: Only a few days left to see Jeppe Hein’s #PleaseTouchTheArt- it closes 3/20! ©EFrossard https://t.co/j6tEGFOtTf https://…</t>
  </si>
  <si>
    <t>Get ready to #SpringForward on Sunday! Enjoy late sunsets at these spots: https://t.co/c7ncfl0mar https://t.co/qswHZwk15g</t>
  </si>
  <si>
    <t>At our Summer Camp Experience, you never know what to expect. Register today at https://t.co/a2MEBMjcTL https://t.co/p898F6NRS3</t>
  </si>
  <si>
    <t>We’re celebrating the 90th anniversary of the Savoy Ballroom with a night of dancing: https://t.co/BPamk70wvm https://t.co/85327EyFv1</t>
  </si>
  <si>
    <t>This could be you. We’re hiring for hundreds of exciting summer jobs right now: https://t.co/OuF9Sfagrd. https://t.co/PBbcD4XEEM</t>
  </si>
  <si>
    <t>Happy 100th birthday to Ezra Keats, who inspired this monument in @prospect_park: https://t.co/BbWa3KD4zK https://t.co/cWB3njD2dG</t>
  </si>
  <si>
    <t>@nyc311 @molarryhils Thanks! You can visit this page: https://t.co/TrHAfEbqLv to learn a little bit more about our tree planting process.</t>
  </si>
  <si>
    <t>@LisanWill716 Hi there! Can you DM us the error message that you see? We'll take a look. Thanks!</t>
  </si>
  <si>
    <t>Happy Friday! Here are 18 fun things to do this weekend in NYC’s parks: https://t.co/GwJAqVBp02 https://t.co/RpTC2DmFWP</t>
  </si>
  <si>
    <t>Tennis season starts April 2! Register online or in person for tennis permits today. https://t.co/fdEn9zLZrT https://t.co/pblEa7JONd</t>
  </si>
  <si>
    <t>Help care for young trees in Manhattan's only remaining natural forest this weekend: https://t.co/Al6QATqqbs https://t.co/9ZKpFQpjd7</t>
  </si>
  <si>
    <t>Learn a new move at a free dance class with @ShapeUpNYC. Find a class near you at https://t.co/6oQ5b5nwaf https://t.co/ymxIJxGzpe</t>
  </si>
  <si>
    <t>Where to capture perfect views of Manhattan’s skyline? Try these parks: https://t.co/aKyqa4pebn https://t.co/HZM8pW7xhp</t>
  </si>
  <si>
    <t>#TBT: Brooklyn’s oldest park, Commodore Barry Park, in 1941, when it was called City Park. https://t.co/fPCO6LAv3D</t>
  </si>
  <si>
    <t>It's not your average winter day in @CentralParkNYC. Who else is enjoying today's weather outside? https://t.co/2Yx3h2obAk</t>
  </si>
  <si>
    <t>@DevinCates Thanks for spending your day with us!</t>
  </si>
  <si>
    <t>@Katrina_Doell @prospect_park It's kid-friendly, but our Rangers are comfortable taking a wide variety of people on an adventure.</t>
  </si>
  <si>
    <t>Venture your way through @prospect_park using just a map and a compass at this fun event: https://t.co/9zccqLkB7R https://t.co/UH7wBbhNas</t>
  </si>
  <si>
    <t>RT @nycgov: LAST DAY to apply to #preKforAll:
Online: https://t.co/YfUEhmOx7B
By phone: 311
In person: https://t.co/S4okIoyIAR https://t.co…</t>
  </si>
  <si>
    <t>@JustinBartonNY Thanks for thinking of us on your big day. Here are some of our favorite places: https://t.co/U0wbakoMaj Good luck!</t>
  </si>
  <si>
    <t>These two giant orchids bring a charming welcome of spring to @CentralParkNYC. https://t.co/fry7u2tEd5 https://t.co/mTmJBgpmOb</t>
  </si>
  <si>
    <t>#Williamsburg! Sign up today at https://t.co/ASy3B4vDO1 to build a bright green future for this playground. https://t.co/3MmhiS873E</t>
  </si>
  <si>
    <t>Join our park rangers on a special night hike in Flushing Meadows Corona Park. Sign up today https://t.co/NXV3Oy2Iaa https://t.co/h8COsxOhJu</t>
  </si>
  <si>
    <t>LIVE on #Periscope: Eleanor Roosevelt in Riverside Park on #IWD2016 #sheinspiresme https://t.co/sR5Db3KO2I</t>
  </si>
  <si>
    <t>Learn how to build shelter out in the woods at this free workshop with our park rangers: https://t.co/FzHNx9qYj2 https://t.co/Umy5K1xlCy</t>
  </si>
  <si>
    <t>Here’s where we make spring—at the Forest Park’s greenhouse in Queens. Find out more at: https://t.co/qziGio8OpR https://t.co/e14LmfoRZ0</t>
  </si>
  <si>
    <t>Become certified in Adobe Creative Cloud or Microsoft Office at our rec centers. Sign up at https://t.co/0ioeutVwKA https://t.co/ftxafcPGo9</t>
  </si>
  <si>
    <t>It feels like spring today! The magnolias are just weeks away. See more signs of spring at: https://t.co/zvOKz7kQGV https://t.co/RFibDqfV6f</t>
  </si>
  <si>
    <t>It’s #InternationalWomensDay! Visit these parks in NYC that honor women: https://t.co/75wydIvTbk https://t.co/bjT4nxHyL9</t>
  </si>
  <si>
    <t>@dub_savvy This is the beautiful Eastern Parkway, looking out on Rogers Ave. in Crown Heights, Brooklyn. Come visit!</t>
  </si>
  <si>
    <t>@AnguyOops Hi, please let @nyc311 know. If this is in a park, you can report it here: https://t.co/6ZM0fHarXl</t>
  </si>
  <si>
    <t>Here’s how you can request to have a free tree planted on your block: https://t.co/VDu8D7WIZv https://t.co/kyGJgFilfx</t>
  </si>
  <si>
    <t>Help us spruce up the parks for spring! Find a volunteer event near you: https://t.co/XECmRSIQ1J https://t.co/MZ9O53srUy</t>
  </si>
  <si>
    <t>At our new gallery show, open Wednesday, see how artists have illustrated life outdoors. https://t.co/zimCvPR9GN https://t.co/iIZFNuhUnj</t>
  </si>
  <si>
    <t>Join a running group! Meet up at @NYRR’s Open Runs in parks across NYC: https://t.co/yhr9vcH8ax. #mondaymotivation https://t.co/VMgoLWXv2e</t>
  </si>
  <si>
    <t>@sam8ham Great question! Visit https://t.co/FHgK7kBppy to check out upcoming opportunities &amp;amp; to sign up for our volunteer newsletter.</t>
  </si>
  <si>
    <t>Now's the time! Sign your kids up for our summer camp lottery: https://t.co/fpJ5ZnPgFZ. Registration ends this week! https://t.co/7tYH0187C6</t>
  </si>
  <si>
    <t>|REPLAY| Hunter's Point South Park #SundaySunset #katch #Periscope https://t.co/lWRnPAXdtK https://t.co/MmC9zdbAjU</t>
  </si>
  <si>
    <t>LIVE on #Periscope: Hunter's Point South Park #SundaySunset https://t.co/ubVf7oxwH9</t>
  </si>
  <si>
    <t>What popular movies were filmed in @BklynBrdgPark? Find out on this tour: https://t.co/DpaNq08NWd https://t.co/ehHsLZptyF</t>
  </si>
  <si>
    <t>We're hiring hundreds of seasonal staff for our summer programs! View our job listings: https://t.co/OuF9Sfagrd. https://t.co/gGyAd0axLO</t>
  </si>
  <si>
    <t>Plan a fun summer for your kids. Sign them up for our summer camp program: https://t.co/fpJ5ZnPgFZ https://t.co/RLyhUNgN6H</t>
  </si>
  <si>
    <t>Happy Friday! Here are 14 fun things to do in NYC's parks this weekend: https://t.co/GwJAqVBp02 https://t.co/B28WJu1CiO</t>
  </si>
  <si>
    <t>RT @HighLineArtnyc: Only a few wks left to see #KerryJamesMarshall "Above the Line" Photos &amp;amp; video on the blog https://t.co/aNIKXuy8Sy http…</t>
  </si>
  <si>
    <t>#GIFparty time! 🐿 https://t.co/6BxiBcqHsK</t>
  </si>
  <si>
    <t>@cotycockrell Hi! Check out our Urban Wildlife Appreciation Day on May 7: https://t.co/lhq4JaHwU4, or visit https://t.co/wN7YpDKtfm.</t>
  </si>
  <si>
    <t>Learn interesting facts about squirrels from our experts in @fortgreenepark on Saturday: https://t.co/DKKn9V6grp https://t.co/eJtHwIiBFB</t>
  </si>
  <si>
    <t>Learn about the history behind @Prospect_Park's design on a tour with our Urban Park Rangers https://t.co/FHooq4Ct4M https://t.co/bwKl9gvdfn</t>
  </si>
  <si>
    <t>Want to learn more? Check out our Capital Project Tracker at https://t.co/CHtiygnpE9 to find the status of a project in your area.</t>
  </si>
  <si>
    <t>During this administration, we’ve begun design on 275 park projects, and started construction on 187 projects.</t>
  </si>
  <si>
    <t>Through innovation, our capital projects are being built smarter, faster, and on budget. https://t.co/DZnBKeU2DX</t>
  </si>
  <si>
    <t>#TBT: Roller skating in @fortgreenepark in 1937. https://t.co/3psJlxoWdY</t>
  </si>
  <si>
    <t>Explore NYC's World's Fair history on a free walking tour with our park rangers this Sunday. https://t.co/2Nkripza08 https://t.co/PIMOJ4suo1</t>
  </si>
  <si>
    <t>Last chance to skate in @BryantParkNYC this winter! The rink closes for the season on Sunday https://t.co/k1cTWqqs1P https://t.co/urIRKyI4Kx</t>
  </si>
  <si>
    <t>Play #SavethePark and support park service! https://t.co/mxFocyE2GP</t>
  </si>
  <si>
    <t>Artist Isa Genzken brings an early spring to Central Park with this work—two 30-foot-tall orchids. https://t.co/zbWb92ZaTX</t>
  </si>
  <si>
    <t>Learn how to set up a campfire and make a meal using a Dutch oven at this upcoming workshop: https://t.co/uUUL83GPvY https://t.co/ddWTKrX4EX</t>
  </si>
  <si>
    <t>@Brooklynkolache BTW: you may also be interested in joining our list of notifications for upcoming concessions here: https://t.co/kjWaqOWiOI</t>
  </si>
  <si>
    <t>Last week to see these golden hearts in Times Square. https://t.co/5dY8VgPiQC https://t.co/GwROXgaURb</t>
  </si>
  <si>
    <t>@Brooklynkolache Our online event permit request form here: https://t.co/DhyNvh6TOH should be able to walk you through the process!</t>
  </si>
  <si>
    <t>Join our park rangers on special tours of some of our most scenic forests. Register today: https://t.co/vmq4UufRpf. https://t.co/KBLTkIf5nd</t>
  </si>
  <si>
    <t>Help us care for natural areas and street trees in neighborhoods in need. Sign up here: https://t.co/xH3wmzUkKL https://t.co/fF2KHp9Sh1</t>
  </si>
  <si>
    <t>Happy birthday to 'Invisible Man' author Ralph Ellison. Visit his memorial in Riverside Park https://t.co/zF7ozO0i1Z https://t.co/cHc83ep70p</t>
  </si>
  <si>
    <t>From movie nights to sports clinics, find events in parks celebrating #WomensHistoryMonth: https://t.co/J27YdFgfUR https://t.co/R2zGumRGDt</t>
  </si>
  <si>
    <t>It's #WomensHistoryMonth! Learn about parks in NYC that honor women's history: https://t.co/75wydIvTbk https://t.co/GFM4FTJ1EJ</t>
  </si>
  <si>
    <t>RT @BklynBrdgPark: Coming to Pier 6 in May, our new installation w @PublicArtFund, @martincreed’s Understanding https://t.co/W2o6vpWEcT htt…</t>
  </si>
  <si>
    <t>Coming up this month: Summer camp registration, Easter celebrations, and more: https://t.co/zJlZEzj2lV https://t.co/TXekXpM9Wg</t>
  </si>
  <si>
    <t>Step into a world of orchids at @NYBG's Orchidelirium exhibit, through April 17. https://t.co/uS2iGLoAuG https://t.co/0fb6Dnh1FT</t>
  </si>
  <si>
    <t>Find free indoor fitness classes, from yoga to kickboxing, across NYC: https://t.co/6oQ5b5nwaf #mondaymotivation https://t.co/KzAJYrcDu7</t>
  </si>
  <si>
    <t>Happy #LeapDay! Learn about NYC's leopard frogs and other signs of the spring: https://t.co/ZNyneS9vQy. https://t.co/79Ay3hqo6S</t>
  </si>
  <si>
    <t>Last day to nominate your park for Parks Without Borders: https://t.co/t0yV2S9ubQ. https://t.co/d3oWXw6L3S</t>
  </si>
  <si>
    <t>|REPLAY| NYC Mayor's House in Carl Schurz Park #katch #Periscope https://t.co/XMQ9nkl0f3 https://t.co/mbBWWDnvAJ</t>
  </si>
  <si>
    <t>LIVE on #Periscope: NYC Mayor's House in Carl Schurz Park https://t.co/WAUVaMwZqK</t>
  </si>
  <si>
    <t>At noon, join our live tour of @Gracie_Mansion, NYC mayor's official residence. Tune in at https://t.co/IWbP4OFCYu. https://t.co/XgbusdRTNX</t>
  </si>
  <si>
    <t>|REPLAY| Sunday Sunset at Valentino Pier in #Brooklyn + Beautiful Views... #katch #Periscope https://t.co/neRLPRQoGD https://t.co/sf6l3J8Cbp</t>
  </si>
  <si>
    <t>LIVE on #Periscope: Sunday Sunset at Valentino Pier in #Brooklyn + Beautiful Views of Manhattan Skyline + Lady Libe… https://t.co/ftUbvQDSYz</t>
  </si>
  <si>
    <t>We're celebrating girls in sports with an afternoon of sports demos, giveaways, &amp;amp; more tmrw: https://t.co/DYucy3fHr6 https://t.co/y6vbbwjo66</t>
  </si>
  <si>
    <t>It's nicer out this weekend. Head outdoors &amp;amp; explore these lovely views of NYC from a park https://t.co/h9MqZonFVQ https://t.co/eATBzZF9L8</t>
  </si>
  <si>
    <t>Explore Manhattan's only remaining natural forest on a guided hike through Inwood Hill Park: https://t.co/JeNIPlN5UA https://t.co/PAJXEtJj72</t>
  </si>
  <si>
    <t>Happy Friday! Here are 13 fun things to do this weekend in NYC's parks: https://t.co/GwJAqVBp02 https://t.co/yMPs6rrbQm</t>
  </si>
  <si>
    <t>RT @NYBG: Morning Eye Candy: Orchidelirium arrives at NYBG! #orchidNYBG https://t.co/SWsevPql14 https://t.co/DwccQFRlMJ</t>
  </si>
  <si>
    <t>Winter is the best time of year to spot owls in our parks. Take a look: https://t.co/9j6ockjzb2 https://t.co/mokn1LWNPF</t>
  </si>
  <si>
    <t>Learn all about urban gardening at @GreenThumbGrows' annual conference on 3/19. Register at https://t.co/kHorPAlqbN https://t.co/giPKpA0Q5Q</t>
  </si>
  <si>
    <t>We're offering free game design, video production, and animation classes for teens.  https://t.co/BfezR2r1Bx https://t.co/L1jaBlMEGM</t>
  </si>
  <si>
    <t>Last chance to see our #BHM exhibit in Central Park that honors black public service leaders https://t.co/dzK83eVGQ4 https://t.co/s2xK07tsOt</t>
  </si>
  <si>
    <t>#TBT: Carl Schurz Park in 1935. The park is home to @Gracie_Mansion, the official residence of NYC's mayor. https://t.co/fsb5z5W606</t>
  </si>
  <si>
    <t>At this workshop, discover which trees &amp;amp; natural materials are used to build musical instruments, then make your own https://t.co/5pio7nnXG4</t>
  </si>
  <si>
    <t>Learn primitive and modern methods for making fire safely at a free outdoor skills workshop: https://t.co/BX6rvqFLil https://t.co/k4QYkoRI8u</t>
  </si>
  <si>
    <t>Last week to see this free winter-themed art exhibit by Bronx artists: https://t.co/gPsAVYbFzq https://t.co/UC2FBS5c9i</t>
  </si>
  <si>
    <t>@nathantempey When complete there will be the same number of benches as before. (2/2)</t>
  </si>
  <si>
    <t>@nathantempey Columbus Park is currently under a repaving construction contract which will be complete by fall of this year. (1/2)</t>
  </si>
  <si>
    <t>Sign up today only to join our park rangers on a special hike through Hunter Island: https://t.co/JKwuc7DGF8 https://t.co/n6E6yUMK7y</t>
  </si>
  <si>
    <t>A new section is coming to the @highlinenyc! Take a look at the Spur: https://t.co/2BhhbU4fw7 https://t.co/rQTwvNCBhR</t>
  </si>
  <si>
    <t>RT @highlinenyc: Seasonal views of the Northern Spur Preserve by @horsepunchkid. https://t.co/1YTedMWLZO</t>
  </si>
  <si>
    <t>Boost your skills: become certified in Adobe Creative Cloud at a recreation center. Sign up: https://t.co/0ioeutVwKA https://t.co/MLb9IE6WOu</t>
  </si>
  <si>
    <t>Work out at St. James Recreation Center in the Bronx for free this week! https://t.co/a12mxuh6S9 https://t.co/zgRTfaP1ww</t>
  </si>
  <si>
    <t>Take a look around this Civil War-era fort on a free tour with our park rangers on Saturday. https://t.co/2fUWxIcoMf https://t.co/zDHjN98rCZ</t>
  </si>
  <si>
    <t>Discover 16 sculptures in NYC's parks that honor black history: https://t.co/sB9DOqbGGv #BlackHistoryMonth https://t.co/lQbD9606CB</t>
  </si>
  <si>
    <t>RT @mitchell_silver: One week left to submit your suggestions for #parkswithoutborders @nycparks  https://t.co/ccEGjpbP6R https://t.co/PRc3…</t>
  </si>
  <si>
    <t>Another sign of spring on this beautiful day in NYC! https://t.co/5D2zIufN07</t>
  </si>
  <si>
    <t>What movie do you want to see at the @randallsisland movie night this summer? Vote here: https://t.co/Io5O6FAZQW. https://t.co/Rkjmjs9lZ8</t>
  </si>
  <si>
    <t>Happy birthday George Washington! Learn about parks &amp;amp; monuments in NYC that honor him: https://t.co/Y3v2tKFva5 https://t.co/FliDNaeRvp</t>
  </si>
  <si>
    <t>@IamJavone Hi, this property isn't City parkland. Please reach out to @nyc311 to report conditions at this area.</t>
  </si>
  <si>
    <t>Take free kickboxing, ballet, yoga, and Zumba classes with @ShapeUpNYC: https://t.co/1FT7VgHv6J #mondaymotivation https://t.co/cPhM2zTIli</t>
  </si>
  <si>
    <t>RT @nycgov: Scroll with purpose! Search &amp;amp; apply for volunteer opportunities on the @NYCService app: https://t.co/6Q6Uf7aBYy https://t.co/HI…</t>
  </si>
  <si>
    <t>.@USATODAY's readers think our beaches are the best in the USA! Vote for us here: https://t.co/GDjdEqIkHs https://t.co/Ks1Q2pWLnG</t>
  </si>
  <si>
    <t>This sculpture in Manhattan celebrates the importance of speaking in your mother language. https://t.co/uZRRHGQ4OS https://t.co/aPs9Gn91rC</t>
  </si>
  <si>
    <t>We're making NYC's parks more open &amp;amp; welcoming by improving how we fence parks. Learn more: https://t.co/t0yV2S9ubQ https://t.co/zsKCrwymPb</t>
  </si>
  <si>
    <t>Get inspired to get in shape at our free fitness marathon in Harlem tomorrow! https://t.co/rUGBZyOvCC https://t.co/KZLz4enbdW</t>
  </si>
  <si>
    <t>How to get more "likes" for your nature photos: a look at some of NYC's most scenic parks: https://t.co/h9MqZonFVQ https://t.co/CmBZoFNTe7</t>
  </si>
  <si>
    <t>Happy Friday! Here are 13 fun things to do this weekend in NYC's parks: https://t.co/GwJAqVBp02 https://t.co/s0mkEIn4s5</t>
  </si>
  <si>
    <t>The crocus is one of our early signs of spring. Our friends at @WaveHill spotted a few in their wild garden!  https://t.co/yBRrMc5ehU</t>
  </si>
  <si>
    <t>Come out to our Hoops for Peace tournament tmrw in B'klyn to promote peace in the community https://t.co/N9pnaaKp1b https://t.co/iGrJVKcNY1</t>
  </si>
  <si>
    <t>On Saturday, join us on a birding walk through Inwood Hill Park to see eagles in the forest https://t.co/iPwm8UdfMM https://t.co/jFCKyRg4Ox</t>
  </si>
  <si>
    <t>@summerbrennan Thanks for sharing this with us. We're sorry it took this long to fix. (3/3)</t>
  </si>
  <si>
    <t>@summerbrennan We're going to do some research this week to give James Armistead Lafayette his due, and correct other smaller errors. (2/3)</t>
  </si>
  <si>
    <t>@summerbrennan We hear you. We completely agree that this sign needs to be rewritten. (1/3)</t>
  </si>
  <si>
    <t>RT @prospect_park: Adventurous eaters, get ready! @Smorgasburg returns to #ProspectPark 4/3 for the season https://t.co/rQ2GEZ6J66 https://…</t>
  </si>
  <si>
    <t>#TBT: Sipping milk at Inwood Hill Park's summer day camp in 1934. https://t.co/JeNrkOtueh</t>
  </si>
  <si>
    <t>Rockaway Boardwalk's new Beach 73rd Street to Beach 107th Street section is now open! https://t.co/r0xCKAbyr1</t>
  </si>
  <si>
    <t>Join our park rangers on a free nighttime hike through Central Park. Sign up today only at: https://t.co/UxNa2snpXu https://t.co/lUPOdNn86i</t>
  </si>
  <si>
    <t>@djflyty @NYCMayorsOffice @NYGovCuomo For more information about this project, please visit https://t.co/iSTKmyzqtA. (3/3)</t>
  </si>
  <si>
    <t>@djflyty @NYCMayorsOffice @NYGovCuomo We're still on schedule to complete this project by January 2017. (2/3)</t>
  </si>
  <si>
    <t>@djflyty @NYCMayorsOffice @NYGovCuomo Construction began in the fall but due to extreme winter weather conditions, work has slowed. (1/3)</t>
  </si>
  <si>
    <t>RT @NYC_DOT: Not 1,2 but 3.6 protected #bikenyc miles will be installed around #AstoriaPark this year! https://t.co/8IUnoDuoBG https://t.co…</t>
  </si>
  <si>
    <t>Want to become a volunteer tour guide for Washington Square Park? Apply here: https://t.co/m4RPx0uWRY https://t.co/a8R6WsU88A</t>
  </si>
  <si>
    <t>@ajmchugh @nyc311 Thanks for bringing this to our attention. Please report this to @nyc311 at https://t.co/kXwURvQlsG. Thank you!</t>
  </si>
  <si>
    <t>Come to the owl prowl in the Bronx this Sunday to see owls in NYC's largest park! https://t.co/0mVJz36HGq https://t.co/DzyOJU3adc</t>
  </si>
  <si>
    <t>RT @CentralParkNYC: .@nycmarathon: 26.2 iconic miles of NYC, 1 incredible finish in Central Park. Enter now!
https://t.co/Q2qa46HgkM https:…</t>
  </si>
  <si>
    <t>Sign up for web design, Photoshop, animation, &amp;amp; video production courses at a rec center: https://t.co/ilVLwBmhlG https://t.co/DYJ9g1Qudy</t>
  </si>
  <si>
    <t>RT @BklynBrdgPark: It’s getting closer- One°15 Brooklyn #Marina is coming soon! https://t.co/aFDQ1Oj5kG https://t.co/bkq8qOAwzD</t>
  </si>
  <si>
    <t>Rec center memberships are free for kids and teens under 18. Find a center near you: https://t.co/zqMyCiVgg2 https://t.co/ZZPeidB5Ju</t>
  </si>
  <si>
    <t>Check out this free #BlackHistoryMonth art exhibit, on view thru Feb. 26 in Central Park: https://t.co/kUhSoJVSQy https://t.co/8ECemWozEw</t>
  </si>
  <si>
    <t>Find free @ShapeUpNYC exercise and dance classes near you: https://t.co/6oQ5b5nwaf https://t.co/ZWHg8VXmJe</t>
  </si>
  <si>
    <t>During #MidWinterRecess, our park rangers are hosting free nature programs for kids: https://t.co/288eisa6az https://t.co/J3Dhu1GoJP</t>
  </si>
  <si>
    <t>Congrats @HamiltonMusical! @Lin_Manuel wrote 2 songs for the musical at @MorrisJumel in Roger Morris Park: https://t.co/8SvxdyvgQ9 #GRAMMYs</t>
  </si>
  <si>
    <t>|REPLAY| #Snow in Union Square Park on Presidents Day #nyc #katch #Periscope https://t.co/hY9EdVLe6m https://t.co/rtzIvyQq9J</t>
  </si>
  <si>
    <t>LIVE on #Periscope: #Snow in Union Square Park on Presidents Day #nyc https://t.co/IvMzVbZ0FF</t>
  </si>
  <si>
    <t>|REPLAY| #ValentinesDay @TimesSquareNYC Kissing Booths #staywarm #katch #Periscope https://t.co/KdzlC2KHwl https://t.co/4BWdMZG8Xb</t>
  </si>
  <si>
    <t>LIVE on #Periscope: #ValentinesDay @TimesSquareNYC Kissing Booths #staywarm
 https://t.co/nK5waIduuh</t>
  </si>
  <si>
    <t>@DJMikeAllan @nyc311 This event is being hosted by our friends @betterchinatown. Visit https://t.co/IFb6IqgNf6 for updates &amp;amp; info.</t>
  </si>
  <si>
    <t>#OTD 11 years ago, The Gates artwork opened in @CentralParkNYC. https://t.co/1VjDl2d6hE https://t.co/zRcf8H6vjt</t>
  </si>
  <si>
    <t>Be safe this weekend! Even when a lake or pond appears frozen, please stay off the ice. https://t.co/sPi65xAf9c</t>
  </si>
  <si>
    <t>Happy Friday, NYC! Here are 14 fun things to do this weekend: https://t.co/GwJAqVBp02 https://t.co/N7iKxyyr8B</t>
  </si>
  <si>
    <t>School's out next week! Find fun &amp;amp; educational things for your kids to do during the break: https://t.co/Mhc7yTGFip https://t.co/gugTKxjr0Q</t>
  </si>
  <si>
    <t>There are 6 golden, heart-shaped kissing booths in Times Square right now for #ValentinesDay https://t.co/5dY8VgPiQC https://t.co/xgoyXbTFJQ</t>
  </si>
  <si>
    <t>Something spooky is happening inside of Manhattan's oldest house in Roger Morris Park. https://t.co/oSayjcRY0U https://t.co/0r62zz07PN</t>
  </si>
  <si>
    <t>Tmrw, see a free screening of this Black Panthers doc, followed by a chat #BlackHistoryMonth https://t.co/f2CovoHB6u https://t.co/mPRpKNTaK2</t>
  </si>
  <si>
    <t>@BringBananaanas Hi! We also offer coding, gaming, animation, and more for all teens. Visit https://t.co/BfezR2r1Bx for more info.</t>
  </si>
  <si>
    <t>@PiperPerabo @nyc311 Thanks! Glad to help! Here are some tips we have for taking care of your new leafy friend: https://t.co/9yAbOblfPM</t>
  </si>
  <si>
    <t>To encourage more #WomenInSTEM, we're offering free digital tech programs for teen girls: https://t.co/tZc5api6zK. https://t.co/7PCQg9QeH8</t>
  </si>
  <si>
    <t>#TBT: In 1971, Robert Indiana's famous LOVE sculpture came to @CentralParkNYC, at 60th Street and Fifth Avenue. https://t.co/rqgM5x3dUh</t>
  </si>
  <si>
    <t>The Lunar New Year Parade is this Sunday! Come out and celebrate the Year of the Monkey. https://t.co/vcuPoBmIQ8 https://t.co/ieyYe1KLMG</t>
  </si>
  <si>
    <t>Get on the trail this weekend! Find a hiking event led by our Urban Park Rangers: https://t.co/diGzL0x15D https://t.co/aJZe2qinXk</t>
  </si>
  <si>
    <t>Find a great opportunity to volunteer with us while on the go! https://t.co/fzJ1F5o1xB</t>
  </si>
  <si>
    <t>Friday night is paint night! Check out https://t.co/koPxNapGWT for a free painting &amp;amp; socializing eve in #Astoria. https://t.co/NFPTzX7geQ</t>
  </si>
  <si>
    <t>Our @NYCSchools are out next week! Visit https://t.co/288eisa6az to find great kid-friendly nature activities. https://t.co/gSmI2UZGvn</t>
  </si>
  <si>
    <t>At the @CentralParkNYC Ice Festival this weekend, see live ice carving, music, &amp;amp; much more. https://t.co/f1WvNcZj3N https://t.co/CVKsLxKiyl</t>
  </si>
  <si>
    <t>When school's out next week, visit https://t.co/cl668H6go4 to find out how your kids can learn basic water skills. https://t.co/yYhnO6UXMG</t>
  </si>
  <si>
    <t>Make #ValentinesDay weekend special for the park lover in your life with these date ideas: https://t.co/UABj7lWWFq https://t.co/raIMVHWzPG</t>
  </si>
  <si>
    <t>During Mid-Winter Recess, we're offering free Learn to Swim classes for kids. More info at https://t.co/cl668H6go4 https://t.co/d8mJuLIm7X</t>
  </si>
  <si>
    <t>|REPLAY| What time is it in Central Park? #katch #Periscope https://t.co/sVQZ3mX9KE https://t.co/fXww6AoVzr</t>
  </si>
  <si>
    <t>LIVE on #Periscope: What time is it in Central Park? https://t.co/FKb4SAOQK2</t>
  </si>
  <si>
    <t>RT @nycgo: .@BklynBrdgPark #SeeYourCity 📷: Photo: @julienneschaer https://t.co/e8FtVORu47</t>
  </si>
  <si>
    <t>Spring is on its way. Our friends at the @highlinenyc spotted snowdrops, an early sign of spring in NYC. https://t.co/QQGGjuXss0</t>
  </si>
  <si>
    <t>Find out how you can get involved with your community park at these upcoming workshops https://t.co/F5Q2cmOx5d https://t.co/yrmhBwH31L</t>
  </si>
  <si>
    <t>|REPLAY| Lunar New Year at Columbus Park, Chinatown #CNY #katch #Periscope https://t.co/LJIxv6NxNE https://t.co/5PkBMPeorT</t>
  </si>
  <si>
    <t>LIVE on #Periscope: Lunar New Year at Columbus Park, Chinatown #CNY https://t.co/G5YsjLpXpw</t>
  </si>
  <si>
    <t>We're looking for volunteers to help us care for street trees in Astoria on Feb 13. Sign up: https://t.co/aqp6FsUPvm https://t.co/I7w5NeBHOl</t>
  </si>
  <si>
    <t>Find free indoor fitness and dance classes across NYC: https://t.co/6oQ5b5nwaf #mondaymotivation https://t.co/r7u9OejgpC</t>
  </si>
  <si>
    <t>Happy Lunar New Year! Here's where to celebrate the Year of the Monkey: https://t.co/7fuHoOuj85 https://t.co/Mv4mhcSrJ3</t>
  </si>
  <si>
    <t>|REPLAY| Sunday Sunset at #Brooklyn Bridge Park #katch #Periscope https://t.co/SECkKc5hmV https://t.co/nTV1e1BNVk</t>
  </si>
  <si>
    <t>LIVE on #Periscope: Sunday Sunset at #Brooklyn Bridge Park https://t.co/AEYW85oPGY</t>
  </si>
  <si>
    <t>RT @NYCMayorsOffice: TONIGHT 7pm, Mayor @BilldeBlasio delivers the State of #OurCity. Watch it live: https://t.co/Xfq1N96VJu https://t.co/P…</t>
  </si>
  <si>
    <t>@ICLevenbergEnge Hi! Be sure to click on the link in our tweets for date, time, and directions to our events. Thanks for reading!</t>
  </si>
  <si>
    <t>#TBT: 80 years ago at Tompkins Square Park in Manhattan. https://t.co/ZHKdZLa8kn</t>
  </si>
  <si>
    <t>On Sunday, join our park rangers on an owl-spotting birding adventure in Pelham Bay Park. https://t.co/8Kh7jvxZNF https://t.co/QE0VHRdr5V</t>
  </si>
  <si>
    <t>@LinemorEquation Hi! Thanks for bringing this to our attention. Please report this to @nyc311 at https://t.co/kXwURvyK46 as well. Thank you!</t>
  </si>
  <si>
    <t>It's #friendsday! Plan a day out with your buddies. Here are some ideas: https://t.co/8EWcjegIaS https://t.co/o8YuSgKJYL</t>
  </si>
  <si>
    <t>@oquillia Hi! You can team up with our friends @PfPNYC at https://t.co/HBqHYk3XAm or learn more at these workshops: https://t.co/iJ2CXA0Qtt.</t>
  </si>
  <si>
    <t>Visiting Central Park? Check out our #BlackHistoryMonth art exhibit, indoors at the Arsenal. https://t.co/kUhSoJVSQy https://t.co/7icVTeRNlD</t>
  </si>
  <si>
    <t>There's no city like New York in the winter. Greetings from Sunset Park, Brooklyn. https://t.co/JGjEemM8na</t>
  </si>
  <si>
    <t>Join the fun! Bronx WinterFest has activities for kids of all ages. Visit https://t.co/SQhZfH1fT3 for more. https://t.co/1mV0PaStJv</t>
  </si>
  <si>
    <t>Do you know how to build your own shelter in the woods? Visit https://t.co/vxa10Y6FLO for a free weekend class. https://t.co/aykAZVuvUz</t>
  </si>
  <si>
    <t>Calling North Manhattan! Visit https://t.co/n9qgidKWKI to join us to help rehab Inwood Hill Nature Center. https://t.co/SZiMMYZWoq</t>
  </si>
  <si>
    <t>@staphwriter Thanks! We'll pull the tweet.</t>
  </si>
  <si>
    <t>Put this park on your #TravelTuesday list: sunset at Sunset Park, Brooklyn. https://t.co/8PrrGOtVgy</t>
  </si>
  <si>
    <t>It's #WorldWetlandsDay! Learn about Blue Heron Park's wetlands &amp;amp; how wildlife thrive there. https://t.co/CX4KGcVdQg https://t.co/bIVmsI6KGS</t>
  </si>
  <si>
    <t>Come to the Winter Carnival in @BryantParkNYC! Activities: ice golf, a silent disco, &amp;amp; more! https://t.co/lzaZemIlPZ https://t.co/nOV0SJBauI</t>
  </si>
  <si>
    <t>|REPLAY| Balto in Central Park on National Sled Dog Day #katch #Periscope https://t.co/Pf9cvwZlgX https://t.co/nDywx5HnQv</t>
  </si>
  <si>
    <t>LIVE on #Periscope: Balto in Central Park on National Sled Dog Day https://t.co/ivy71wuqsl</t>
  </si>
  <si>
    <t>RT @randallsisland: Beautiful morning sunrise on the Island! (Instagram photo: @seansouthey) https://t.co/VdLWVdkeBZ</t>
  </si>
  <si>
    <t>Spring's coming earlier this year! Here are some signs of spring to look for: https://t.co/ZNyneS9vQy #GroundhogDay https://t.co/mCq4U6LFQm</t>
  </si>
  <si>
    <t>#OTD in 1925, Balto arrived in Nome after braving 674 miles of blizzard to stop an epidemic: https://t.co/oWvM9yuRhq https://t.co/toC9iqV4f7</t>
  </si>
  <si>
    <t>Celebrate #BlackHistoryMonth at these upcoming movie screenings, art exhibits, and tours. https://t.co/Kp8YcMZi5d https://t.co/wfXDgbYHGN</t>
  </si>
  <si>
    <t>Step inside the Mayor's official residence at @Gracie_Mansion on a free tour. Sign up at https://t.co/cDdKWfbHe0. https://t.co/GOct0iEuSf</t>
  </si>
  <si>
    <t>Coming up this month: Lunar New Year, Winter Carnival at @BryantParkNYC, &amp;amp; more! https://t.co/zJlZEzj2lV https://t.co/TbwFrkpQn0</t>
  </si>
  <si>
    <t>Learn about parks and sculptures in NYC that honor black history: https://t.co/r089inALdw #BlackHistoryMonth https://t.co/QeunK5lM0F</t>
  </si>
  <si>
    <t>It's a beautiful day to go for a run. Here's where we suggest: https://t.co/nGFCPJ2nPh #mondaymotivation https://t.co/DGGCaZUjVk</t>
  </si>
  <si>
    <t>Whoa! There's a 33-foot-tall human figure sculpture at 53rd St &amp;amp; Park Ave. https://t.co/GAgdVxaM2A https://t.co/0JHCff6Sx3</t>
  </si>
  <si>
    <t>Tomorrow, our park rangers will lead an eagle-spotting walk in Inwood Hill Park. Join us! https://t.co/oyz65XvU0u https://t.co/VCLiR7Ldxb</t>
  </si>
  <si>
    <t>Meet 2015 Pulitzer Prize-winning poet @Pardlo at @Bartow_Pell's poetry event on Sunday! https://t.co/bUlC2lS9ki https://t.co/JYP7Aa2HM4</t>
  </si>
  <si>
    <t>Nope, this isn't the Sydney Harbour Bridge. It's NYC's Hell Gate Bridge, at @randallsisland. https://t.co/WDcxjoUx61</t>
  </si>
  <si>
    <t>Happy Friday, NYC! Here are 8 fun things to do this weekend: https://t.co/GwJAqVBp02 https://t.co/5w27AoZj5k</t>
  </si>
  <si>
    <t>@NYCParks Today we remember Dr. McNair. Visit his namesake playground in Harlem, and his statue here in Brooklyn: https://t.co/rLt4UiXQNR</t>
  </si>
  <si>
    <t>"Truly there is no more beautiful sight than to see the Earth from space beyond." - Dr. Ronald McNair. #challenger https://t.co/EwKDbqCR7a</t>
  </si>
  <si>
    <t>These kids had the right idea for all that snow in Brooklyn's Commodore Barry Park in 1935. #tbt https://t.co/FwNcmEl7sU</t>
  </si>
  <si>
    <t>|REPLAY| Central Park Zoo Tropic Zone #katch #Periscope https://t.co/ikfgkUvwhe https://t.co/o2GwENv7Xt</t>
  </si>
  <si>
    <t>LIVE on #Periscope: Central Park Zoo Tropic Zone https://t.co/zWgTms3BBq</t>
  </si>
  <si>
    <t>We're heading to the tropics at the @CentralParkZoo! Join us live on #Periscope at 2 pm: https://t.co/IWbP4OFCYu https://t.co/LWPhUW8uZr</t>
  </si>
  <si>
    <t>To make parks more open &amp;amp; welcoming, we're improving how we fence parks. Share your ideas at https://t.co/t0yV2S9ubQ https://t.co/MN1UTE1H2G</t>
  </si>
  <si>
    <t>RT @nycgo: Central Park. #SeeYourCity 📷: @ty_iv https://t.co/RYzlnYoUGB</t>
  </si>
  <si>
    <t>Sign up for this workshop to learn how to make fire in the wilderness for warmth &amp;amp; cooking: https://t.co/U4hOaEHMOf https://t.co/qvdkP6GKqP</t>
  </si>
  <si>
    <t>How did soldiers in the American Revolution survive NY's harsh winters? Find out on Jan 30: https://t.co/YYNQHazrE6 https://t.co/UCqeYWK9Qs</t>
  </si>
  <si>
    <t>@pablogrossi Hi there! Looking to help out your neighborhood? Become a steward and you can give back. Click https://t.co/166zoxl7rC to join.</t>
  </si>
  <si>
    <t>We're fixing up street trees &amp;amp; natural areas in communities in need. Nominate a neighborhood https://t.co/xH3wmzUkKL https://t.co/8WsMnyU6M8</t>
  </si>
  <si>
    <t>Not all birds fly south for winter. Discover NYC's winter birds at these free birding events https://t.co/0L9scPKXTS https://t.co/IE1mIThMXr</t>
  </si>
  <si>
    <t>It's so beautiful here at Oakland Lake in Alley Pond Park, Queens. Learn about this park at https://t.co/bPnsrnCl5b https://t.co/0T9TEBpDjf</t>
  </si>
  <si>
    <t>@Filagreekness Once we have this info, we'll investigate the issue thoroughly and get back to you.</t>
  </si>
  <si>
    <t>@kristenrapp Which park is this? We'll address. Please report this to @nyc311 as well at https://t.co/K6QwQoXm4I</t>
  </si>
  <si>
    <t>@Filagreekness Hi-please share this with our commissioner, with time, date, and location to the best of your memory: https://t.co/csonJPeB4c</t>
  </si>
  <si>
    <t>Go for a swim at our indoor pools. To find one near you, visit https://t.co/vtt5BF4DoF. https://t.co/lJ32W5K0al</t>
  </si>
  <si>
    <t>It's a calm, winter wonderland here at the Bronx's Soundview Park, just a few days after NYC's 2nd biggest snowstorm https://t.co/F0dOX6s61O</t>
  </si>
  <si>
    <t>From everything parks to everything bagels, here is @nycgo's list of 114 very NY things: https://t.co/zLi5IwPILO https://t.co/9IkHYbwmA7</t>
  </si>
  <si>
    <t>@aramadima @bitty_boop @nyc311 Hi, please report this to @nyc311 at https://t.co/K6QwQoXm4I. Thank you.</t>
  </si>
  <si>
    <t>@PattyFitz18 @nycgov Thanks for sharing. Please report this to @nyc311 at https://t.co/K6QwQoXm4I as well.</t>
  </si>
  <si>
    <t>We need your help spreading mulch around new trees planted on Staten Island. Sign up at https://t.co/f12GXTPmXV. https://t.co/YDdmN6n0hk</t>
  </si>
  <si>
    <t>RT @NYCSchools: Attention parents: #PreKforAll applications are now open! Visit https://t.co/LGBJPaOHew and apply today. https://t.co/eXKds…</t>
  </si>
  <si>
    <t>@amandalagrace Thanks for bringing this to our attention. We'll take a look. Please report it to @nyc311 at https://t.co/K6QwQoXm4I as well.</t>
  </si>
  <si>
    <t>@noneck @CitiBikeNYC @nyc311 @StephenLevin33 Thanks for sharing. We'll take a look. Please report this to @nyc311 at https://t.co/K6QwQoXm4I</t>
  </si>
  <si>
    <t>@noneck @NYC_DOT @nyc311 @StephenLevin33  We'll take a look. Please report this to @nyc311 at https://t.co/K6QwQoXm4I  as well. Thank you.</t>
  </si>
  <si>
    <t>@IconycPromo Thanks for sharing. We'll take a look. Please report this to @nyc311 at https://t.co/K6QwQoXm4I  as well.</t>
  </si>
  <si>
    <t>@IyNuk @NYCTSubway @ConeyIsland @JosephPerretti  Please report this to @nyc311 at https://t.co/K6QwQoXm4I. Thank you.</t>
  </si>
  <si>
    <t>@We_R_238 @nyc311  Thanks for sharing. We'll take a look. Please report this to @nyc311 at https://t.co/K6QwQoXm4I  as well.</t>
  </si>
  <si>
    <t>@bdhowald @BPEricAdams Thanks for sharing. We'll take a look. Please report this to @nyc311 at  https://t.co/K6QwQoXm4I  as well.</t>
  </si>
  <si>
    <t>@ffinfobase @StephenLevin33  Thanks for sharing. We'll take a look. Please report this to @nyc311 at https://t.co/K6QwQoXm4I  as well.</t>
  </si>
  <si>
    <t>@JPTMANN @StephenLevin33  Thanks for sharing. We'll take a look. Please report this to @nyc311 at https://t.co/K6QwQoXm4I  as well.</t>
  </si>
  <si>
    <t>@Abimarbet @NYPD88Pct @nyc311  Thanks for sharing. We'll take a look. Please report this to @nyc311 at https://t.co/K6QwQoXm4I  as well.</t>
  </si>
  <si>
    <t>@regjennkaroaoke Please report this to @nyc311 at https://t.co/K6QwQoXm4I. Thank you!</t>
  </si>
  <si>
    <t>@sparklenaloha @deBlasioNYC @JimmyVanBramer  We'll take a look. Please report this to @nyc311 at https://t.co/K6QwQoXm4I  as well. Thank you</t>
  </si>
  <si>
    <t>@MLLoring @NYC_DOT @nyc311  Thanks for sharing. We'll take a look. Please report this to @nyc311 at  https://t.co/K6QwQoXm4I  as well.</t>
  </si>
  <si>
    <t>@tomck1234 @RoseTintedVisor We'll take a look. Please report this to @nyc311 at https://t.co/K6QwQoXm4I  as well. Thank you.</t>
  </si>
  <si>
    <t>@douglashanau @BilldeBlasio @NYCSanitation We'll take a look. Please report this to @nyc311 at https://t.co/K6QwQoXm4I  as well. Thank you.</t>
  </si>
  <si>
    <t>@bitty_boop  Thanks for sharing. We'll take a look. Please report this to @nyc311 at https://t.co/K6QwQoXm4I  as well.</t>
  </si>
  <si>
    <t>@kvanit @ydanis @StreetsblogNYC Thanks for sharing. We'll take a look. Please report this to @nyc311 at https://t.co/K6QwQoXm4I as well.</t>
  </si>
  <si>
    <t>@KateWalter12 Thanks for sharing! We'll have our staff take a look. Please report this to @nyc311 at https://t.co/K6QwQoXm4I as well.</t>
  </si>
  <si>
    <t>Learn how to belly dance at this free workshop at Chelsea Rec Center tomorrow night: https://t.co/IaqT435I4I https://t.co/ZxonKoYHxU</t>
  </si>
  <si>
    <t>Keep your kids active this winter. Sign them up for our free hockey clinics: https://t.co/ZAZptzPN68. https://t.co/kFFrDtlw6r</t>
  </si>
  <si>
    <t>@WhatsupNewYork1 Thanks for sharing! We'll have our staff take a look. Please report this to @nyc311 at https://t.co/K6QwQoXm4I as well.</t>
  </si>
  <si>
    <t>@Lisa_Neumann143 @NYCSchools Thanks for sharing! We'll have our staff take a look. Please report this to @nyc311 at https://t.co/K6QwQoXm4I.</t>
  </si>
  <si>
    <t>@whokickedit Please report any snow or ice on sidewalks, including the location, to @nyc311 at https://t.co/K6QwQoXm4I. Thanks!</t>
  </si>
  <si>
    <t>@ScottySin Hi, please report this sidewalk, including the location, to @nyc311 at https://t.co/K6QwQoXm4I. We'll take a look.</t>
  </si>
  <si>
    <t>@tryaddingkale @cmlauriecumbo Thanks for sharing! Our staff is checking now. Please also report this to @nyc311 at https://t.co/K6QwQoXm4I.</t>
  </si>
  <si>
    <t>@elcoqui121 Thanks for sharing! We'll have our staff take a look. Please report this to @nyc311 at https://t.co/K6QwQoXm4I as well.</t>
  </si>
  <si>
    <t>Join a free indoor exercise class. We have classes in each borough. Find a class near you at https://t.co/6oQ5b5nwaf https://t.co/JnljFNmU8I</t>
  </si>
  <si>
    <t>RT @NYC_DOT: NYC needs more snow laborers! Please register at a DOT garage this week 7AM-3PM. More info: https://t.co/lCM0vM1lvN https://t.…</t>
  </si>
  <si>
    <t>|REPLAY| Washington Square Park is a #winterwonderland #katch #Periscope https://t.co/eoYJcXI6VS https://t.co/oeGkJldobc</t>
  </si>
  <si>
    <t>LIVE on #Periscope: Washington Square Park is a #winterwonderland https://t.co/x6DnblNCpX</t>
  </si>
  <si>
    <t>RT @mitchell_silver: Beautiful day at Ft. Greene Park the day after #blizzard2016. Kids of all ages are out having fun. @nycparks https://t…</t>
  </si>
  <si>
    <t>RT @bradlander: Big thanks to @NYCParks workers out today keeping out parks safe for all of us to use. (Olmsted &amp;amp; Vaux smiling down) https:…</t>
  </si>
  <si>
    <t>|REPLAY| Prospect Park #Brooklyn after #blizzard2016 #katch #Periscope https://t.co/nKmYivqazh https://t.co/XLvJYfPdZ1</t>
  </si>
  <si>
    <t>LIVE on #Periscope: Prospect Park #Brooklyn after #blizzard2016 https://t.co/xkaQCqDNNm</t>
  </si>
  <si>
    <t>@chinajul Hi Julie, due to storm conditions, the High Bridge is closed until further notice.</t>
  </si>
  <si>
    <t>We're working on clearing paths so you can come have some fun in the park! https://t.co/hWxhyXAydh</t>
  </si>
  <si>
    <t>Be #safenyc. Don't step on ice and frozen bodies of water, and never leave kids unattended near ice.</t>
  </si>
  <si>
    <t>Use caution in parks today: parks paths can be slippery, snow cover can cover frozen lakes and bodies of water, &amp;amp; branches may have fallen.</t>
  </si>
  <si>
    <t>RT @BilldeBlasio: The New York City travel ban has been lifted as of 7AM. If you are driving, please remain cautious. #Blizzard2016</t>
  </si>
  <si>
    <t>RT @BilldeBlasio: The New York City travel ban will be LIFTED at 7AM Sunday morning. Stay off City streets tonight. #Blizzard2016</t>
  </si>
  <si>
    <t>RT @BilldeBlasio: *TRAVEL BAN*
Non-emergency travel in New York City is banned after 2:30PM today. https://t.co/0dBjjVRThS</t>
  </si>
  <si>
    <t>RT @NYCMayorsOffice: Good follows for updates from your city agencies: @FDNY @NYPDnews @nycoem @NotifyNYC @NYCSanitation @NYC_DOT @NYCWater…</t>
  </si>
  <si>
    <t>Get updates about upcoming events &amp;amp; programs in NYC's parks. Sign up here: https://t.co/LOA5Ua8KRf https://t.co/XqS5a2lIDc</t>
  </si>
  <si>
    <t>RT @nycmarathon: The #TCSNYCMarathon drawing is now open! Earned guaranteed entry? Claim your entry now! https://t.co/5kK62qy66O https://t.…</t>
  </si>
  <si>
    <t>We're hiring! https://t.co/3snXiQejMy https://t.co/w7nRGaHHL8</t>
  </si>
  <si>
    <t>RT @NYCMayorsOffice: Stay up to date on conditions throughout the storm. Sign up for and follow @NotifyNYC: https://t.co/Q1suj6IcKY #SafeNYC</t>
  </si>
  <si>
    <t>Happy #SquirrelAppreciationDay! Life at parks wouldn't be the same without our friends. https://t.co/wN7YpDKtfm https://t.co/RgGWT5PuZn</t>
  </si>
  <si>
    <t>#TBT: A look up Fifth Avenue through the Washington Square Arch in 1935. https://t.co/GPoim0Mn2P</t>
  </si>
  <si>
    <t>Say hi to a squirrel today. It's #SquirrelAppreciationDay. Learn all about NYC's squirrels: https://t.co/wN7YpDKtfm https://t.co/rWQEaZt4Wq</t>
  </si>
  <si>
    <t>Want to grow flowers at home? Learn the basics &amp;amp; get started at our free workshop. Sign up: https://t.co/rC3wgA7fd9 https://t.co/38RCwTY4A2</t>
  </si>
  <si>
    <t>Please visit https://t.co/XammitZM6x, call 311, or follow @notifyNYC to stay up to date on conditions throughout the storm.</t>
  </si>
  <si>
    <t>Due to an active blizzard watch and citywide hazardous travel advisory notice, Winter Jam 2016 is cancelled and will not be rescheduled.</t>
  </si>
  <si>
    <t>Last chance to take our qualifying test to become a lifeguard this summer. More info at https://t.co/4IfYlWGSXp. https://t.co/Q0F3UWs2nJ</t>
  </si>
  <si>
    <t>|REPLAY| Edgar Allan Poe Cottage in the Bronx #katch #Periscope https://t.co/leQkvADDXW https://t.co/sxw55xwzej</t>
  </si>
  <si>
    <t>LIVE on #Periscope: Edgar Allan Poe Cottage in the Bronx https://t.co/FjMFvUxxVL</t>
  </si>
  <si>
    <t>Did you know Edgar Allan Poe lived in the BX? Join a live tour of Poe Cottage at 10:30 am on https://t.co/IWbP4OFCYu https://t.co/WDBvcdAmJK</t>
  </si>
  <si>
    <t>This red-tailed hawk was found dehydrated. Thanks to aid from @wildbirdfund, we released it in @CentralParkNYC. https://t.co/VStVbPTOgw</t>
  </si>
  <si>
    <t>RT @footballwetrust: Free screening of #InFootballWeTrust Jan 21 @nycparks Greenbelt Rec Center 12:30pm w/former @Lions #ClarenceMcNatt htt…</t>
  </si>
  <si>
    <t>RT @BronxZoo: There are 6 #penguin species in NYC parks. Here's a cheat sheet to help keep them straight! #penguinawarenessday https://t.co…</t>
  </si>
  <si>
    <t>We're building better parks at Staten Island's east shore. Share your ideas at tmw's meeting https://t.co/dvfZZqMub9 https://t.co/GC0JpUWP4E</t>
  </si>
  <si>
    <t>Some of the world's tiniest penguins live at the @BronxZoo. They grow up to 13 inches &amp;amp; 2-3lbs #penguinawarenessday https://t.co/fqW7yObnq4</t>
  </si>
  <si>
    <t>RT @BklynBrdgPark: It’s just around the corner- ONE°15 Brooklyn Marina’s Community #Dock is opening soon! https://t.co/LBSuEvZjzn https://t…</t>
  </si>
  <si>
    <t>@gracey73 @KellyRipa Hi! We're making snow for our annual Winter Jam snow fest on Saturday. For more info, visit https://t.co/O7aJTqXEjQ.</t>
  </si>
  <si>
    <t>RT @KellyRipa: Man made blizzard alert in Central Park.☃⛄️❄️ https://t.co/7QMgkZGNwQ</t>
  </si>
  <si>
    <t>Tmrw night, meet the artists behind our new #BlackHistoryMonth exhibit in @CentralParkNYC: https://t.co/aG5kT6O0J4 https://t.co/VJtLRBbs5b</t>
  </si>
  <si>
    <t>|REPLAY| Snow in Central Park: Getting ready for WinterJam #katch #Periscope https://t.co/ehq7KADHR9 https://t.co/T0GELmCK9b</t>
  </si>
  <si>
    <t>LIVE on #Periscope: Snow in Central Park: Getting ready for WinterJam https://t.co/ab7MrK52tW</t>
  </si>
  <si>
    <t>|REPLAY| Snow in Central Park #katch #Periscope https://t.co/vo1RXHNd95 https://t.co/MXuCrqbLj7</t>
  </si>
  <si>
    <t>LIVE on #Periscope: Snow in Central Park https://t.co/c3rYy3JraQ</t>
  </si>
  <si>
    <t>We're making snow for Saturday's Winter Jam festival in @CentralParkNYC. Watch live at 2pm https://t.co/IWbP4OFCYu https://t.co/hsXFpSSN7Q</t>
  </si>
  <si>
    <t>On Saturday, come to our ultimate snow day w/free sledding, skiing, snowboarding, &amp;amp; more: https://t.co/O7aJTqXEjQ https://t.co/3PqywP1ecK</t>
  </si>
  <si>
    <t>Happy birthday Edgar Allan Poe! Learn all about this great poet's life in the Bronx: https://t.co/jQ6plC07i3 https://t.co/fiSdNgzMPq</t>
  </si>
  <si>
    <t>Step inside and shape up at our free indoor fitness classes across NYC: https://t.co/6oQ5b55ULF https://t.co/YBp523UyDr</t>
  </si>
  <si>
    <t>|REPLAY| Snowing in Madison Square Park #katch #Periscope https://t.co/R8wlYX3xjT https://t.co/iWsdKbW0jU</t>
  </si>
  <si>
    <t>LIVE on #Periscope: Snowing in Madison Square Park https://t.co/tgqVp8HRyI</t>
  </si>
  <si>
    <t>@LostStarMUSIC @ShapeUpNYC Yes! Our free Shape Up classes are open to everyone and all ages. https://t.co/KoTzN0Pbry</t>
  </si>
  <si>
    <t>On Sunday, join our park rangers on a history walking tour of @CentralParkNYC. https://t.co/XvKvjbnnLh https://t.co/4BLEGsX9mP</t>
  </si>
  <si>
    <t>Tonight, skate to tunes by #DavidBowie at a @BryantParkNYC tribute to the late musical icon. https://t.co/sVlEIm7oo7 https://t.co/QomNA5cMRI</t>
  </si>
  <si>
    <t>Happy birthday, Martin Luther King, Jr.! On #MLKDay, serve &amp;amp; care for Idlewild Park with us. https://t.co/L7wSdy0E9R https://t.co/j0EIcikhCY</t>
  </si>
  <si>
    <t>Happy Friday! Here are 10 fun things to do this weekend in NYC's parks: https://t.co/GwJAqVBp02 https://t.co/vvCScs7zX6</t>
  </si>
  <si>
    <t>@angelabaggetta @HamiltonMusical Would you believe us if we said it was @Lin_Manuel? (Thanks!)</t>
  </si>
  <si>
    <t>RT @bryantparknyc: Celebrate the life of #DavidBowie at Skate Oddity: A David Bowie Tribute this Friday 7-9pm at #wintervillage https://t.c…</t>
  </si>
  <si>
    <t>RT @nycgov: .@nyc311 has a free mobile app. File a complaint with just a few taps. Download here: https://t.co/LXzdzzl7qt https://t.co/fiN7…</t>
  </si>
  <si>
    <t>Some of NYC's trees are renowned for their size or history. Learn about these great trees at https://t.co/hFmV6LMVIY https://t.co/ajFaeI5Jir</t>
  </si>
  <si>
    <t>#TBT: Roller skating in @fortgreenepark in 1937, back when an elevated train ran along Fulton Street. https://t.co/xQ1mgZaSp9</t>
  </si>
  <si>
    <t>Explore how plants were used in the past at this free workshop with our park rangers: https://t.co/Nvwl85PJ9z. https://t.co/OID4y94sd9</t>
  </si>
  <si>
    <t>When this owl hoots, it sounds like it's saying "who cooks for you?". Learn about owls at https://t.co/9j6ockjzb2. https://t.co/AyllIyZbcu</t>
  </si>
  <si>
    <t>Want to live like a pioneer? Register today for our Rangers' outdoor rope skills class at https://t.co/zMgc7azyAd. https://t.co/MwhiFVJUyl</t>
  </si>
  <si>
    <t>#ThisisNYC. On Jan. 16, join a guided hike through Hunter Island, home to tall oaks &amp;amp; owls https://t.co/rKT6SCOQj6 https://t.co/MensEitdYW</t>
  </si>
  <si>
    <t>@Zone126Queens @ShapeUpNYC We were making some big improvements! Try again--we hope you like what you see!</t>
  </si>
  <si>
    <t>Here's where to find our free indoor fitness classes in NYC: https://t.co/6oQ5b5nwaf. No membership is required. https://t.co/GRWJIIlM3n</t>
  </si>
  <si>
    <t>We're building stronger and better parks along Staten Island's east shore. Share your ideas at our meeting on 1/21: https://t.co/c5ikvmCerk</t>
  </si>
  <si>
    <t>Come to a scavenger hunt in @fortgreenepark on Saturday. Discover iconic spots &amp;amp; hidden gems https://t.co/6BuB4IGgTL https://t.co/N8mLFFsf2B</t>
  </si>
  <si>
    <t>It's #KissAGingerDay? https://t.co/RdoXo4OgQY</t>
  </si>
  <si>
    <t>The 'Batman' TV series debuted #OTD 50 years ago! In celebration, here's a throwback from that year at Shea Stadium. https://t.co/zkVICAWIdi</t>
  </si>
  <si>
    <t>Save the date! We're having a huge winter sports fest in @CentralParkNYC on January 23: https://t.co/O7aJTqXEjQ https://t.co/QY2MBpXG1s</t>
  </si>
  <si>
    <t>Thank you very mulch for treecycling with us at #MulchFest. We chipped more than 30,000 trees this weekend! https://t.co/uL2jSZaoNR</t>
  </si>
  <si>
    <t>|REPLAY| Alexander #Hamilton was here @MorrisJumel Mansion in Upper Man... #katch #Periscope https://t.co/1g9FdKMKHO https://t.co/jt18yCWySf</t>
  </si>
  <si>
    <t>LIVE on #Periscope: Alexander #Hamilton was here @MorrisJumel Mansion in Upper Manhattan, Today is his Bday https://t.co/pDdUv39x4w</t>
  </si>
  <si>
    <t>At 3 pm on https://t.co/IWbP4OFCYu, we'll tour @MorrisJumel Mansion live in honor of Alexander Hamilton's birthday! https://t.co/rO6SAffWrS</t>
  </si>
  <si>
    <t>Stay on track with your new year's resolutions! Here are some tips &amp;amp; ideas: https://t.co/j42PMTOPPs https://t.co/EiqHgTFriK</t>
  </si>
  <si>
    <t>Happy birthday Alexander Hamilton! Here's a look at Hamilton's legacy &amp;amp; history in Parks: https://t.co/8SvxdyvgQ9. https://t.co/64mSJnxhFV</t>
  </si>
  <si>
    <t>Want to learn how to swim? Enter the lottery for our swimming lessons: https://t.co/kPVDDqZpET https://t.co/4Fi5KgtYYh</t>
  </si>
  <si>
    <t>|REPLAY| Casting Bronze in Greenpoint #brooklyn for Sculpture in the Park #katch #Periscope https://t.co/483pbGIzS2 https://t.co/vFnKGHoCG3</t>
  </si>
  <si>
    <t>LIVE on #Periscope: Casting Bronze in Greenpoint #brooklyn for Sculpture in the Park https://t.co/ItcO4DXhyT</t>
  </si>
  <si>
    <t>Oy! Head to @BklynBrdgPark &amp;amp; check out this huge sculpture by the waterfront. https://t.co/i54cJzTW31 ©EFrossard https://t.co/WVvmADE3d4</t>
  </si>
  <si>
    <t>Unwind from this week's bustle with a free yoga class at @WaveHill this Saturday: https://t.co/FMF8F96fEk. https://t.co/XcAZqkgqpC</t>
  </si>
  <si>
    <t>Here are 12 fun things to do this weekend in NYC's parks: https://t.co/GwJAqVBp02 https://t.co/jlgb3NOnwr</t>
  </si>
  <si>
    <t>@EnchantedBlue Hi! You can register today. Visit https://t.co/xH3wmzUkKL to pick a neighborhood and to sign up.</t>
  </si>
  <si>
    <t>We're fixing up green spaces in neighborhoods in need. Want to help out? Sign up here: https://t.co/xH3wmzUkKL https://t.co/1hTTh6Hh9q</t>
  </si>
  <si>
    <t>Recycle your Christmas tree at #MulchFest this weekend! Find a MulchFest site near you: https://t.co/BCMzCpqXxL. https://t.co/eOdrxE1YgL</t>
  </si>
  <si>
    <t>Take a guided vigorous hike through part of Staten Island's 2,800 acre green space on 1/10: https://t.co/hkZYEQbuaf https://t.co/Q2pCvl9Kw4</t>
  </si>
  <si>
    <t>You’ve heard of summer’s Mermaid Parade, but did you know in 1943 there was a @prospect_park Ice Carnival? #tbt https://t.co/Ko2UPFBUUN</t>
  </si>
  <si>
    <t>Sign up for our free learn to swim lessons here: https://t.co/kPVDDqZpET. We offer classes for adults &amp;amp; kids. https://t.co/zELRoWbQCR</t>
  </si>
  <si>
    <t>|REPLAY| NYC Parks Commissioner Invites New Yorkers to MulchFest this w... #katch #Periscope https://t.co/tmV9UKalBc https://t.co/kcNwnVpf7i</t>
  </si>
  <si>
    <t>LIVE on #Periscope: NYC Parks Commissioner Invites New Yorkers to MulchFest this weekend https://t.co/Zx0QpJe69y</t>
  </si>
  <si>
    <t>How do we recycle New Yorkers' Christmas trees? Watch live on Periscope soon at https://t.co/IWbP4OFCYu https://t.co/KgPiCZYuHt</t>
  </si>
  <si>
    <t>Registration is now open for our citywide basketball league for kids ages 8-17. Apply here: https://t.co/7R9vV7W3XU https://t.co/mvRS8p8LOs</t>
  </si>
  <si>
    <t>Make this winter a romantic one, with these winter dates in parks: https://t.co/UABj7lWWFq https://t.co/h5MYLmxaUF</t>
  </si>
  <si>
    <t>Get some inspo for your new workout routine. Come to our free fitness marathon on Saturday! https://t.co/lrnw9U3jHY https://t.co/OUXqbJe6WH</t>
  </si>
  <si>
    <t>Tell us how we can make your parks more vibrant and welcoming. Share your ideas here: https://t.co/t0yV2S9ubQ https://t.co/FQfHBYl3yB</t>
  </si>
  <si>
    <t>Bald eagles are in NYC &amp;amp; we’ll help you spot them. Join this free guided tour: https://t.co/KezoX0Jpr0 https://t.co/CK24OQ8lbI</t>
  </si>
  <si>
    <t>Happy birthday to Joan of Arc, who would be 604 today. Say hello to her at @RiversideParkNY: https://t.co/YGPbkxDiCe https://t.co/089dHkKnSD</t>
  </si>
  <si>
    <t>Is your play the next Hamilton? Join a free playwriting workshop in the Bronx for tips: https://t.co/SefLGybib6 https://t.co/Oyw5VALR4L</t>
  </si>
  <si>
    <t>Planning a wedding? Find lovely spots in our parks to host your special day: https://t.co/NjhqQNNftl https://t.co/rnreiQ2DpR</t>
  </si>
  <si>
    <t>Quiz: What animal in the park are you most like? Find out at https://t.co/iakGet0lnP. https://t.co/LFlGa7NQtT</t>
  </si>
  <si>
    <t>Become a #MulchFest volunteer this weekend to help us spread Xmas tree mulch in our parks: https://t.co/YMi9yTYlF5 https://t.co/FwT1MD349O</t>
  </si>
  <si>
    <t>It's #NationalBirdDay! Wintertime is perfect for spotting owls &amp;amp; eagles in NYC. Here's where https://t.co/33PfvAfQiY https://t.co/qNNAsawfGJ</t>
  </si>
  <si>
    <t>RT @nycgov: What’s your New Year’s Resolution for 2016? Volunteer! Find opportunities right for you https://t.co/32zfRD7IpP https://t.co/MJ…</t>
  </si>
  <si>
    <t>Want to be a lifeguard this summer? Take the qualifying test this week: https://t.co/4IfYlWGSXp https://t.co/wCG6fvWloP</t>
  </si>
  <si>
    <t>Coming up this month: learn to swim classes, a festival in @CentralParkNYC, &amp;amp; more! https://t.co/zJlZEzj2lV https://t.co/AeaomTiW01</t>
  </si>
  <si>
    <t>Swim in a rec center all year round for only $150 a year: https://t.co/fHy8ZeuRqO https://t.co/4Bywm1VKG1</t>
  </si>
  <si>
    <t>From getting in shape to exploring NYC, here’s how we can help you keep your resolutions: https://t.co/j42PMTOPPs https://t.co/QjDnvyPdbK</t>
  </si>
  <si>
    <t>RT @BklynBrdgPark: It’s that time of year again- Mulchfest! Learn how to #mulch your tree for free: https://t.co/c9YFqdCWEd https://t.co/8G…</t>
  </si>
  <si>
    <t>Here's a list of free fitness classes we offer around NYC: https://t.co/1FT7VgHv6J #MotivationMonday https://t.co/ujNif48f4S</t>
  </si>
  <si>
    <t>|REPLAY| Prospect Park, # Brooklyn #sunset #katch #Periscope https://t.co/LpsfuTJcfx https://t.co/oNDpchMmzS</t>
  </si>
  <si>
    <t>LIVE on #Periscope: Prospect Park, # Brooklyn #sunset https://t.co/VMbVH9K38g</t>
  </si>
  <si>
    <t>After the #NYE festivities, keep the fun going this weekend with these cool activities: https://t.co/GwJAqVBp02 https://t.co/VIkVBTbbwx</t>
  </si>
  <si>
    <t>From reopening the High Bridge to hosting the Pope, 2015’s been quite a year: https://t.co/JYbW0t42sp https://t.co/fRq9FfZfSp</t>
  </si>
  <si>
    <t>What's your New Year's resolution? Here are seven resolutions you can achieve in 2016: https://t.co/j42PMTOPPs https://t.co/51bAGrMSqM</t>
  </si>
  <si>
    <t>NYC has been doing New Year’s Eve right for decades, like in this 1971 #TBT. https://t.co/euWrRwqgM6</t>
  </si>
  <si>
    <t>Bring your old Christmas tree to MulchFest &amp;amp; we’ll recycle it into mulch while you watch: https://t.co/BCMzCpqXxL https://t.co/0f8kkewcWP</t>
  </si>
  <si>
    <t>It's the perfect day to go ice skating in the park. https://t.co/Dmi4AZ3i5H</t>
  </si>
  <si>
    <t>Happy New Year's Eve! Here's where to see #NYE fireworks tonight in NYC's parks: https://t.co/2RzRILs4fc https://t.co/GHwvjTJaXU</t>
  </si>
  <si>
    <t>@istillheartny Hi! Depending on the weather, our park rangers may offer guests access inside of the lighthouse. The lighthouse opens in June</t>
  </si>
  <si>
    <t>See a mess in your park? DM @nyc311 or report it at https://t.co/kXwURvQlsG.</t>
  </si>
  <si>
    <t>We’re going to make it snow for our winter sports fest in @CentralParkNYC: https://t.co/O7aJTqXEjQ https://t.co/MXKB21GXxW</t>
  </si>
  <si>
    <t>See this lighthouse &amp;amp; other Manhattan gems on a hike w/our Rangers. Register today only at https://t.co/JYHmUV0bhc https://t.co/XoJY7Uu8Pp</t>
  </si>
  <si>
    <t>Ring in 2016 with fireworks, music, &amp;amp; hot chocolate at Grand Army Plaza, Brooklyn on #NYE! https://t.co/gfYSRH0Qdq https://t.co/F0lHtuRDr0</t>
  </si>
  <si>
    <t>RT @NYCzerowaste: Bring your tree to @NYCParks MulchFest 1/9 &amp;amp; 1/10 and take home a bag of mulch! https://t.co/ZNr6ELdI2b https://t.co/1b9G…</t>
  </si>
  <si>
    <t>Join a free tour of Fort Tryon Park's year-round garden &amp;amp; see conifers that predate the park https://t.co/Xzf5E3KmA6 https://t.co/DIt73hcgSt</t>
  </si>
  <si>
    <t>See a meteor shower this Sunday with our Rangers. We'll bring telescopes and binoculars. https://t.co/l5OvV7gmmc https://t.co/I3bvmuHN9J</t>
  </si>
  <si>
    <t>|REPLAY| Happy Holidays from Bartow-Pell Mansion in Pelham Bay Park... #katch #Periscope https://t.co/FkuXfd2gHH https://t.co/kdkQQL7QE9</t>
  </si>
  <si>
    <t>LIVE on #Periscope: Happy Holidays from Bartow-Pell Mansion in Pelham Bay Park #theBronx https://t.co/yginM8UeJo</t>
  </si>
  <si>
    <t>Tune in to https://t.co/IWbP4OFCYu soon for a special tour of @Bartow_Pell Mansion's Storybook Christmas Trees.  https://t.co/OPKnos20Qk</t>
  </si>
  <si>
    <t>Bklyn knows how to party: fireworks at Coney Island Boardwalk &amp;amp; free rides on the Wonder Wheel from 9-11 pm on #NYE! https://t.co/UdD8JCXkL5</t>
  </si>
  <si>
    <t>Thinking of becoming a lifeguard next year? Now's the time to take the qualifying test. https://t.co/4IfYlWGSXp https://t.co/ALxP3YCPrl</t>
  </si>
  <si>
    <t>RT @BklynBrdgPark: We’re thrilled to open DUMBO Boulders with @CliffsClimbing next year! ©JSchaer https://t.co/YFKvW0UknJ https://t.co/qTWZ…</t>
  </si>
  <si>
    <t>There's a place in @CentralParkNYC that's green all year round. See it on a free tour: https://t.co/R5f3bIgnhZ https://t.co/8JJQgqQG4t</t>
  </si>
  <si>
    <t>From indoor kayaking to wheelchair basketball, here's the best of NYC's rec centers: https://t.co/qo1Ory1LyJ https://t.co/Vyk4J8T7lr</t>
  </si>
  <si>
    <t>Make sure to get your daily dose of awwww with these baby animals from NYC zoos: https://t.co/8nSLPBWZvH https://t.co/28VWhnuEQn</t>
  </si>
  <si>
    <t>@brendan_gray Thanks for bringing this to our attention. There is another McNair Park in Harlem. Our team is working on replacing the sign</t>
  </si>
  <si>
    <t>Ring in the new year with fireworks &amp;amp; more: https://t.co/2RzRILs4fc https://t.co/20aSHion6E</t>
  </si>
  <si>
    <t>Need to get rid of your Christmas tree? Bring it to Mulchfest on 1/9 &amp;amp; 1/10: https://t.co/9LgF1hZHmb https://t.co/BFj7O9qR5X</t>
  </si>
  <si>
    <t>Make a New Year’s resolution yet? From getting fit to going green, here’s how to keep them: https://t.co/j42PMTOPPs https://t.co/s3shpoVcNQ</t>
  </si>
  <si>
    <t>|REPLAY| Skating and Birding in #ProspectPark #Brooklyn on Xmas. Might... #katch #Periscope https://t.co/nCcLXGjo48 https://t.co/1u18WLCqQd</t>
  </si>
  <si>
    <t>LIVE on #Periscope: Skating and Birding in #ProspectPark #Brooklyn on Xmas. Might see the #paintedbunting! https://t.co/Ur3UrWDKhw</t>
  </si>
  <si>
    <t>After the holidays, recycle your Christmas trees at MulchFest on January 9 and 10! https://t.co/9LgF1hZHmb https://t.co/nEIoDwwL9Z</t>
  </si>
  <si>
    <t>#TBT: In 1934, East Harlem celebrated the holidays with this huge Christmas tree in Thomas Jefferson Park. https://t.co/6In6np41In</t>
  </si>
  <si>
    <t>RT @nycgov: Are you a squirrel, or more of a hawk? Take @NYCparks' “Which NYC animal are you?” quiz: https://t.co/sVvvvNCy7o https://t.co/y…</t>
  </si>
  <si>
    <t>Today is the last day you can buy our cute park mascot &amp;amp; more at the Union Sq holiday market https://t.co/mOLaKo0soa https://t.co/EOR5TR2YNg</t>
  </si>
  <si>
    <t>Here are 12 fun things to do this holiday weekend in NYC's parks: https://t.co/GwJAqVBp02 https://t.co/EKNzfjS7cj</t>
  </si>
  <si>
    <t>At 5 p.m., come to the Washington Square Arch for an evening of Christmas Eve caroling. https://t.co/rBwJuu39pn https://t.co/UoDkKsEXLE</t>
  </si>
  <si>
    <t>Tonight, we remember Paul Wagner, who began our annual holiday display, by dimming our Arsenal lights in his honor. https://t.co/zNl9eIlHrH</t>
  </si>
  <si>
    <t>@jmacgregor205 Thanks! It's next scheduled for March. Sign up for our Outdoors newsletter and we'll send updates! https://t.co/QOfh7koNff</t>
  </si>
  <si>
    <t>Go looking for owls with our park rangers in NYC's largest park this weekend: https://t.co/QD5QvLjNzD https://t.co/A3J9WYwlXL</t>
  </si>
  <si>
    <t>We're making parks more welcoming by improving entrances, fences, &amp;amp; amenities. Share your ideas https://t.co/t0yV2S9ubQ #ParksWithoutBorders</t>
  </si>
  <si>
    <t>Brush up your photo skills w/this free photography workshop &amp;amp; walk in Astoria Park: https://t.co/msONYvyx9G https://t.co/EPNPlgM7Uz</t>
  </si>
  <si>
    <t>On Sunday, join a walking tour through @Prospect_Park to learn about the park's monuments https://t.co/fKxSggVaht https://t.co/SUH8vXF70B</t>
  </si>
  <si>
    <t>|REPLAY| ParkScope: Union Square Holiday Market #katch #Periscope https://t.co/TVj5Qt5keQ https://t.co/8qRco8uNL0</t>
  </si>
  <si>
    <t>LIVE on #Periscope: ParkScope: Union Square Holiday Market https://t.co/0TMkxI4nN5</t>
  </si>
  <si>
    <t>Cherry trees in bloom in December? Yes! This is typical for autumn flowering cherries, like these in Bklyn today. https://t.co/10P4k04Kcl</t>
  </si>
  <si>
    <t>RT @nycgov: Find free dance fitness classes, kickboxing, and more with @ShapeUpNYC: https://t.co/UtfSL0OayO https://t.co/Jp1kC9160R</t>
  </si>
  <si>
    <t>Step inside the Arsenal in @CentralParkNYC &amp;amp; check out our show of unusual holiday wreaths. https://t.co/kUhSoJVSQy https://t.co/kQ4uFuNmzP</t>
  </si>
  <si>
    <t>It’s the #FirstDayofWinter. Here’s how to enjoy it: https://t.co/9niSGhblIN https://t.co/kXx1pwOqr8</t>
  </si>
  <si>
    <t>We planted a million flowers around NYC this year! Thank you to all of our gardeners and volunteers. https://t.co/pgVMFtzy8W</t>
  </si>
  <si>
    <t>Need to get some last-minute holiday shopping done? Check out the holiday markets: https://t.co/3y9Hgkwmdz https://t.co/pjZnV4hSEy</t>
  </si>
  <si>
    <t>When does winter officially start in NYC? Tonight at 11:48 p.m., the longest night &amp;amp; shortest day. #WinterSolstice https://t.co/8iuhfZft1N</t>
  </si>
  <si>
    <t>This is just one of the 12 indoor pools you can swim in with a rec center membership. https://t.co/vtt5BF4DoF https://t.co/LkHQe8cwsw</t>
  </si>
  <si>
    <t>Are you a squirrel, or more of a hawk? Find out with our “Which NYC animal are you?” quiz: https://t.co/iakGet0lnP https://t.co/xSd24IzI0R</t>
  </si>
  <si>
    <t>|REPLAY| ParkScope: WNYC Transmitter Park, Brooklyn #katch #Periscope https://t.co/zAYTAsdzm5 https://t.co/tqJ4l00XPj</t>
  </si>
  <si>
    <t>LIVE on #Periscope: ParkScope: WNYC Transmitter Park, Brooklyn https://t.co/PVVuwVsSBV</t>
  </si>
  <si>
    <t>RT @nycgo: 🎄 Washington Square Park. 📷: dominic.ruiz/Instagram https://t.co/B1azmANgHI</t>
  </si>
  <si>
    <t>It’s officially the last weekend of fall. Go say goodbye with these fall hikes: https://t.co/EuCrO6UwQ4 https://t.co/ZEqBgNlArf</t>
  </si>
  <si>
    <t>Bald eagles have been spotted in Queens &amp;amp; Staten Island parks. Learn more about birds in NYC https://t.co/33PfvAfQiY https://t.co/Ij3OT4AFr5</t>
  </si>
  <si>
    <t>Looking for something to do this weekend? Here’s 13 fun things to do in parks: https://t.co/GwJAqVBp02 https://t.co/uf37cE1y2z</t>
  </si>
  <si>
    <t>We triple-dog-dare you to come watch A Christmas Story with us on Monday: https://t.co/cefqCauh3p https://t.co/YubMI9fJN3</t>
  </si>
  <si>
    <t>All of the coats &amp;amp; toy raised in this Coney Island coat drive were stolen. Donate more and help those in need: https://t.co/mhHSG9tRUM.</t>
  </si>
  <si>
    <t>Learn the basics of studio photography at this free workshop in the Bronx: https://t.co/YLELdUVr72. https://t.co/vreplssnHT</t>
  </si>
  <si>
    <t>#TBT to December 2013 in Van Cortlandt Park, which looked a little more wintry. https://t.co/5YQt083FSx</t>
  </si>
  <si>
    <t>Help us count birds in every part of @CentralParkNYC &amp;amp; find out who’s staying in the park: https://t.co/mqnljvvqAU https://t.co/LuPnQD477I</t>
  </si>
  <si>
    <t>Bring the kids to see Santa at these events in parks around the city: https://t.co/MbTu96x94m https://t.co/e01STA1aWm</t>
  </si>
  <si>
    <t>Thinking of picking up painting as a hobby? Come to a free workshop in Queens this Thursday: https://t.co/2IvOqBbepC https://t.co/twDetQxQUA</t>
  </si>
  <si>
    <t>This evening, stop by Grand Army Plaza in Brooklyn for the holiday tree lighting! https://t.co/V4UFHZxMxx https://t.co/V0atdcdtDG</t>
  </si>
  <si>
    <t>On Sunday, join a candlelight walk with our park rangers on the Putnam Trail in the Bronx: https://t.co/Iv9RIxBQXe https://t.co/KY6wSxu9o9</t>
  </si>
  <si>
    <t>Learn about the classics filmed in @CentralParkNYC on this walk. Sign up today only: https://t.co/cVOnv4pUVE https://t.co/XVZBjdRyAB</t>
  </si>
  <si>
    <t>Come to this free photography scavenger hunt at Ft Greene Park Sat. &amp;amp; see what you can find: https://t.co/noWwyuuWhx https://t.co/ZpfJ7QkKjU</t>
  </si>
  <si>
    <t>|REPLAY| Time Traveler: Dyckman Farmhouse in Upper Manhattan #katch #Periscope https://t.co/QKxCrO8klR https://t.co/07i7fxwnEw</t>
  </si>
  <si>
    <t>LIVE on #Periscope: Time Traveler: Dyckman Farmhouse in Upper Manhattan https://t.co/RbbJlefTWr</t>
  </si>
  <si>
    <t>Tune in to https://t.co/IWbP4OFCYu soon for a live tour of @DyckmanFarm, the oldest remaining farmhouse in Manhattan https://t.co/b4mcRryB9b</t>
  </si>
  <si>
    <t>We're decorating more trees for the holidays. Take a look at our upcoming tree lightings: https://t.co/r2hDBGDwHj https://t.co/p7LUtAYX0J</t>
  </si>
  <si>
    <t>|REPLAY| Urban Park Ranger Tour: Signs of Deer in Conference House Park #katch #Periscope https://t.co/UvSuddPnwu https://t.co/rI0Z81qUFw</t>
  </si>
  <si>
    <t>LIVE on #Periscope: Urban Park Ranger Tour: Signs of Deer in Conference House Park https://t.co/EKQQdgc36R</t>
  </si>
  <si>
    <t>Take your lunch break outdoors in the park. It's 60+ degrees out and beautiful today. https://t.co/f2vmgtaSla</t>
  </si>
  <si>
    <t>Want to see one yourself? Make sure to keep a safe distance &amp;amp; get other tips at these birding events: https://t.co/0L9scPKXTS</t>
  </si>
  <si>
    <t>No, we’re not kidding. This bald eagle was spotted in a Staten Island park. https://t.co/qyvYiFRRrN</t>
  </si>
  <si>
    <t>Looking for work? We’re hiring architects, foresters, a scientist, &amp;amp; more: https://t.co/3snXiQejMy</t>
  </si>
  <si>
    <t>Help us choose which parks to improve through our new design initiative: https://t.co/t0yV2S9ubQ https://t.co/Lb7NVqjcpN</t>
  </si>
  <si>
    <t>Through Green Neighborhoods, we're caring for trees &amp;amp; natural areas in communities in need. Here's how you can help: https://t.co/xH3wmzUkKL</t>
  </si>
  <si>
    <t>Find free dance fitness classes, kickboxing, and more with @ShapeUpNYC: https://t.co/1FT7VgHv6J https://t.co/kTnCBYRbgT</t>
  </si>
  <si>
    <t>Know someone who wants to be a lifeguard next summer? Here's the test schedule: https://t.co/4IfYlWGSXp https://t.co/2Q9BfmtyGp</t>
  </si>
  <si>
    <t>See a different kind of holiday cheer at our unusual wreath show in @centralparknyc: https://t.co/kUhSoJVSQy https://t.co/4XMdnDiYAU</t>
  </si>
  <si>
    <t>Registration is now open for our Staten Island kids Learn to Swim classes at @WagnerCollege: https://t.co/4ZnS2oxISm https://t.co/eFl6epYWAk</t>
  </si>
  <si>
    <t>Even in the fog, there’s nothing like a walk in the park. https://t.co/RaldWnaVnb</t>
  </si>
  <si>
    <t>@MountaingoatBK Hi Naeem, thanks for letting us know. Please file a complaint with @nyc311 here: https://t.co/i5Mi2dfqp4. Thank you.</t>
  </si>
  <si>
    <t>.@RiversideParkNY is lighting up the tree tomorrow, with live performances &amp;amp; hot chocolate. https://t.co/HLaPZ0SStL https://t.co/3MV4LQUSjl</t>
  </si>
  <si>
    <t>Shop for gifts for the park lover in your life at our booth at the Union Sq Holiday Market https://t.co/mOLaKo0soa https://t.co/mGIAlRww26</t>
  </si>
  <si>
    <t>LIVE on #Periscope: ParkScope: Track Meet at Ocean Breeze Park on Staten Island, NY https://t.co/gfGiXg4Tj4</t>
  </si>
  <si>
    <t>Tune in to https://t.co/IWbP4OFCYu at 2 pm for a live tour of our new indoor track &amp;amp; field center at Ocean Breeze. https://t.co/rs8tdyqwfw</t>
  </si>
  <si>
    <t>Happy Friday! Find fun things to do in our parks this weekend at https://t.co/GwJAqVBp02 https://t.co/QH6fnFKRzD</t>
  </si>
  <si>
    <t>Find accessible sports, facilities, and events at these locations throughout the city: https://t.co/QdGsKfjLdQ https://t.co/3qTpO9LiLH</t>
  </si>
  <si>
    <t>#ICantStopSmilingBecause it looks like this outside. https://t.co/oXPfb68MPK</t>
  </si>
  <si>
    <t>#tbt to @centralparknyc in 1968. Buy prints of archival parks photos at the Union Sq market: https://t.co/mOLaKo0soa https://t.co/Y4WrVP6hyd</t>
  </si>
  <si>
    <t>We're teaming up with @NYRangers to teach boys &amp;amp; girls how to play street hockey. Register: https://t.co/ZAZptzPN68 https://t.co/QGUJokV6gB</t>
  </si>
  <si>
    <t>This park was a ferry landing back when Williamsburg was a city. Learn more on this tour: https://t.co/Z2gngteOAA https://t.co/eKCpXWGaZj</t>
  </si>
  <si>
    <t>Watch upcoming meteor showers with us. We’ll bring telescopes &amp;amp; experts to answer questions: https://t.co/GCOI7GDiKA https://t.co/BmxGqftvIS</t>
  </si>
  <si>
    <t>Gosh it’s beautiful out. We can't wait to see you in the park. https://t.co/2oRUyPpJdx</t>
  </si>
  <si>
    <t>RT @NYCMayorsOffice: Tell us what you think and help make our @NYCParks more open, welcome, &amp;amp; beautiful: https://t.co/NuPaKjD7Gk https://t.…</t>
  </si>
  <si>
    <t>@CentralParkNYC @k72ndst @Gov_Island @CentralPark_NYC #parklove is our favorite love of all. &amp;lt;3 &amp;lt;3 &amp;lt;3</t>
  </si>
  <si>
    <t>It's warm now, but the cold’s coming. Register today only for our winter survival workshop: https://t.co/7YZaurYstJ https://t.co/fO9BIbZl1j</t>
  </si>
  <si>
    <t>|REPLAY| Urban Park Ranger Tour of Ft Totten Civil War Battery in Queen... #katch #Periscope https://t.co/9u7dSzo148 https://t.co/x7qGG3wxJQ</t>
  </si>
  <si>
    <t>LIVE on #Periscope: Urban Park Ranger Tour of Ft Totten Civil War Battery in Queens, NY https://t.co/aaKFSJKaxi</t>
  </si>
  <si>
    <t>Take a live tour of this Civil War fortress in Queens at 2pm on https://t.co/IWbP4OFCYu. https://t.co/GsGos0SAfg</t>
  </si>
  <si>
    <t>We’re decking out your parks for the holidays. Come join the festivities. https://t.co/r2hDBGDwHj https://t.co/4Ae4LImaXA</t>
  </si>
  <si>
    <t>See a winter-themed art exhibit by artists in the Bronx, free at Poe Park's gallery. https://t.co/rVTrmqj0tR https://t.co/PuQsbx2ivQ</t>
  </si>
  <si>
    <t>Next weekend, join our park rangers on a special hike in Forest Park. Register today only at https://t.co/Hnq15K1GLd https://t.co/m5EIp8nBWw</t>
  </si>
  <si>
    <t>|REPLAY| Strawberry Fields- memorial to #JohnLennon in Central Park #katch #Periscope https://t.co/tMSTABWeA0 https://t.co/3oQltjVRzS</t>
  </si>
  <si>
    <t>LIVE on #Periscope: Strawberry Fields- memorial to #JohnLennon in Central Park https://t.co/ExCUDYmqwk</t>
  </si>
  <si>
    <t>Join us at the #JohnLennon sing-along vigil in @CentralParkNYC. Tune in live soon at https://t.co/IWbP4OFCYu https://t.co/iJowU7Z3M9</t>
  </si>
  <si>
    <t>Washington Square Park is lighting up, with a decorated tree under the arch &amp;amp; caroling tmrw: https://t.co/Djil5byDdI https://t.co/RUdDtf1rf9</t>
  </si>
  <si>
    <t>Visit our annual exhibit of unusual holiday wreaths at the Arsenal in @CentralParkNYC: https://t.co/kUhSoJVSQy https://t.co/9x3N0BmmRc</t>
  </si>
  <si>
    <t>Take a spin around the ice at these ice skating rinks throughout the city: https://t.co/gQL6r5OcQS https://t.co/Pf1db4SB7r</t>
  </si>
  <si>
    <t>This cute little owl is just one of many living in our parks. Take a look: https://t.co/9j6ockjzb2 https://t.co/gIe6BKwZ4d</t>
  </si>
  <si>
    <t>RT @NYCMayorsOffice: Want to be a NYC lifeguard next summer? @NYCParks starts tests this month: https://t.co/gZdM434UnY https://t.co/2GVOsR…</t>
  </si>
  <si>
    <t>|REPLAY| ParkScope: Strawberry Fields, Central Park Memorial to... #katch #Periscope https://t.co/p34teScxax https://t.co/gjxPl7jZyY</t>
  </si>
  <si>
    <t>LIVE on #Periscope: ParkScope: Strawberry Fields, Central Park Memorial to #johnlennom https://t.co/8MGs9ZJ343</t>
  </si>
  <si>
    <t>Join us soon at https://t.co/IWbP4OFCYu for a live tour of Strawberry Fields in honor of #JohnLennon. https://t.co/JKeB0Scbbd</t>
  </si>
  <si>
    <t>RT @nycgov: Check out @ShapeUpNYC's list of 200+ free fitness classes offered through @nycparks across the five boroughs: https://t.co/X6my…</t>
  </si>
  <si>
    <t>.@MadSqParkNYC's annual tree lighting is tomorrow! Come celebrate with us: https://t.co/2hUKDadjP4 https://t.co/fKNTqhKwLZ</t>
  </si>
  <si>
    <t>Sign up for free updates about events and programs happening in parks around NYC: https://t.co/LOA5Ua8KRf https://t.co/3YGkTV3OuS</t>
  </si>
  <si>
    <t>Did you know there’s a 34-acre nature preserve in the middle of @CentralParkNYC? Come visit the Ramble. https://t.co/gCSOfI383B</t>
  </si>
  <si>
    <t>Santa might be coming down some chimneys soon, but before that, you can meet him at our parks: https://t.co/MbTu96x94m</t>
  </si>
  <si>
    <t>@wtbryce Please also report to @nyc311 by DM or at https://t.co/kXwURvQlsG. Reporting helps us track the status of your complaint.</t>
  </si>
  <si>
    <t>@wtbryce Thank you for letting us know. We’ll review the issue—please include time &amp;amp; date to help us enforece.</t>
  </si>
  <si>
    <t>Join a rec center &amp;amp; get access to our indoor pools, digital tech classes, &amp;amp; gym facilities. https://t.co/fHy8ZeuRqO https://t.co/EYAzr0HfL8</t>
  </si>
  <si>
    <t>Take a stroll from Manhattan to the Bronx on NYC’s oldest standing bridge: https://t.co/mTPsHzuzUP https://t.co/jtHqq092Ce</t>
  </si>
  <si>
    <t>Know someone who wants to be an NYC lifeguard next summer? Tests start this month: https://t.co/4IfYlWGSXp https://t.co/eyKsdti3vi</t>
  </si>
  <si>
    <t>Hanukkah starts Sunday evening. Celebrate the festival of lights at these menorah lightings: https://t.co/2e1ocN6pNv https://t.co/DUfxIvB1ds</t>
  </si>
  <si>
    <t>Happy Friday! Here are some fun things to do in NYC's parks this weekend: https://t.co/GwJAqVBp02 https://t.co/JnqTPd2fGa</t>
  </si>
  <si>
    <t>|REPLAY| Urban Park Ranger Tour: Green-Wood Cemetery #katch #Periscope https://t.co/m5DH5MIDkQ https://t.co/cZstdpuSZ6</t>
  </si>
  <si>
    <t>LIVE on #Periscope: Urban Park Ranger Tour: Green-Wood Cemetery https://t.co/PcgX9cx1f2</t>
  </si>
  <si>
    <t>RT @NYCMayorsOffice: With Building Healthy Communities, NYC is creating healthy places where we can live, learn, work &amp;amp; play: https://t.co/…</t>
  </si>
  <si>
    <t>Santa Claus is coming to town. And to our parks. Come meet him at these events: https://t.co/MbTu96x94m</t>
  </si>
  <si>
    <t>To help us choose 8 redesign projects, we are seeking input from NYers. Share your #parkswithoutborders ideas here: https://t.co/t0yV2S9ubQ.</t>
  </si>
  <si>
    <t>Our @NYCMayorsOffice has set aside $50 million funding to make #ParksWithoutBorders a reality. https://t.co/t0yV2S9ubQ</t>
  </si>
  <si>
    <t>We’ll widen entrances, add seating, trees &amp;amp; entry plazas, lower fences, improve lighting, &amp;amp; add new amenities. #parkswithoutborders</t>
  </si>
  <si>
    <t>Through #ParksWithoutBorders, we'll create more welcoming and accessible parks, and beautify neighborhoods. https://t.co/t0yV2S9ubQ</t>
  </si>
  <si>
    <t>Today, Parks Commissioner @mitchell_silver speaks on our #ParksWithoutBorders initiative at @NYCCouncil. Tune in at https://t.co/KVbgnE6RbY.</t>
  </si>
  <si>
    <t>#TBT to @centralparknyc in 1950. Buy this &amp;amp; other historic prints at our holiday pop-up shop https://t.co/mOLaKo0soa https://t.co/tjmfljwpLv</t>
  </si>
  <si>
    <t>His favorite hangout space? The new grassy wildlife habitat by @LakesideBKLYN, once a parking lot. (2/2)</t>
  </si>
  <si>
    <t>The painted bunting, rare &amp;amp; colorful, has been taking in @prospect_park (photo: Rob Bate/Brooklyn Bird Club) (1/2) https://t.co/o3Oddw034p</t>
  </si>
  <si>
    <t>.@CentralParkNYC is lighting up tonight for the holidays. Sing carols, meet Santa, and more. https://t.co/Gatyh61sc4 https://t.co/SIr6byv71h</t>
  </si>
  <si>
    <t>|REPLAY| ParkScope: Riverside Park - First Monument to a Woman #katch #Periscope https://t.co/VbQrAL72Td https://t.co/3fodN6WU9Y</t>
  </si>
  <si>
    <t>LIVE on #Periscope: ParkScope: Riverside Park - First Monument to a Woman https://t.co/7E8mm55z99</t>
  </si>
  <si>
    <t>Join us on @periscopetv soon for a close-up look at the 1st statue of a woman in a NYC park: https://t.co/IWbP4OFCYu https://t.co/cPf3dxgeJk</t>
  </si>
  <si>
    <t>Making a holiday wreath? Get some inspiration at our annual wreath show in @CentralParkNYC: https://t.co/JtXBk6igmy https://t.co/LhharGqN5p</t>
  </si>
  <si>
    <t>Get to know @CentralParkNYC on this free tour of the park from top to bottom. Register today https://t.co/P0Kr6INjE4 https://t.co/1bubMK8mfE</t>
  </si>
  <si>
    <t>We’re hosting a Zumba festival, with 5 hours of the popular dance workout. Come try it out: https://t.co/dxsqivumm2 https://t.co/CSbWgNO9vz</t>
  </si>
  <si>
    <t>Celebrate the spirit of the season at these upcoming holiday happenings in our parks: https://t.co/I9Tutdeh0s https://t.co/2HygqypIln</t>
  </si>
  <si>
    <t>Sign up today only for our free tour of Washington Sq., @MadSqParkNYC, &amp;amp; @UnionSquareNY: https://t.co/P0Kr6IvIfu https://t.co/CqebM4EmSv</t>
  </si>
  <si>
    <t>RT @nycgov: .@nyc311 has a free mobile app. File a complaint with just a few taps. Download it here: https://t.co/LXzdzzl7qt https://t.co/f…</t>
  </si>
  <si>
    <t>Explore NYC with an expert. Join our park rangers' free hikes, tours, owl prowls, and more: https://t.co/8NK03gRzfK https://t.co/R5fGfsrK2J</t>
  </si>
  <si>
    <t>Looking for presents? The holiday market at Columbus Circle opened today: https://t.co/GU3AgdYM0d https://t.co/VomtmjiadM</t>
  </si>
  <si>
    <t>See a mess in your park? Report it to @nyc311 by DM or at https://t.co/kXwURvQlsG.</t>
  </si>
  <si>
    <t>Get behind-the-scenes tours of your favorite parks with our @periscopetv feed: https://t.co/IWbP4OFCYu https://t.co/6kQn0rYwS5</t>
  </si>
  <si>
    <t>It’s December! See what’s coming up in your parks: https://t.co/zJlZEzj2lV https://t.co/VWiB7rDUJj</t>
  </si>
  <si>
    <t>.@RiversideParkNY’s Joan of Arc, the 1st statue of a woman in a NYC park, turns 100 Thursday https://t.co/wtjKKuy4Lm https://t.co/w2zZBFQC2q</t>
  </si>
  <si>
    <t>Tonight, come to Dante Park's tree lighting at @WintersEve, New York's largest holiday fest! https://t.co/Nk18m48Gsh https://t.co/FwPbEZetDd</t>
  </si>
  <si>
    <t>Register online for our free youth street hockey clinics for boys and girls ages 5 to 17: https://t.co/ZAZptzPN68 https://t.co/H07W2mi6t7</t>
  </si>
  <si>
    <t>Tomorrow is December. Make the most of late fall at some of the best places to enjoy autumn: https://t.co/2o5CqsxUDz https://t.co/xvv5NZ8xu9</t>
  </si>
  <si>
    <t>Work off all the Thanksgiving leftovers at our free, indoor fitness classes around NYC: https://t.co/1FT7VgHv6J https://t.co/0lU3mRvvPA</t>
  </si>
  <si>
    <t>We're lighting up NYC for the holidays! Here's a look at some of our upcoming tree lightings https://t.co/r2hDBGDwHj https://t.co/zaWFbHHx1I</t>
  </si>
  <si>
    <t>|REPLAY| ParkScope: Herald Square on #blackfriday #katch #Periscope https://t.co/x5fsXsXSKP https://t.co/NWo60L6ts6</t>
  </si>
  <si>
    <t>LIVE on #Periscope: ParkScope: Herald Square on #blackfriday https://t.co/fMAzrXrg6h</t>
  </si>
  <si>
    <t>In town for the Thanksgiving weekend? Here are 12 fun things to do: https://t.co/GwJAqVBp02 https://t.co/HnMwI7sfWx</t>
  </si>
  <si>
    <t>@bobie54321 Thanks! Please report to @nyc311 at https://t.co/kXwURvQlsG or contact 911 if it is an emergency.</t>
  </si>
  <si>
    <t>Check out an old-school BK Xmas at Prospect Park, which is recreating a 19th-century holiday https://t.co/waH4gU4gcH https://t.co/nMhIYCOsTQ</t>
  </si>
  <si>
    <t>Want to become a lifeguard for next summer? Qualifying tests start next week. More info at https://t.co/4IfYlWGSXp. https://t.co/DAHzilU4i2</t>
  </si>
  <si>
    <t>Here are nine zoo animals we’re extra thankful for this year: https://t.co/8nSLPBWZvH https://t.co/HQAl6U00MQ</t>
  </si>
  <si>
    <t>It is beautiful out. Here are some places to enjoy it: https://t.co/2o5CqsxUDz https://t.co/4GqgFXqub3</t>
  </si>
  <si>
    <t>RT @nycgo: The High Bridge connects The Bronx's Highbridge neighborhood to Manhattan's Washington Heights 📷: aewhite0/Instagram https://t.c…</t>
  </si>
  <si>
    <t>Explore some of our favorite parks on these free #BlackFriday hikes with our park rangers: https://t.co/C6i8no5E27 https://t.co/1NG7vYLAWH</t>
  </si>
  <si>
    <t>RT @nycgov: Parks Without Borders is an @NYCParks initiative to make our parks more open and welcoming. Learn more: https://t.co/C8MZ8SLZ98</t>
  </si>
  <si>
    <t>Want to have your art displayed in an NYC park? Here's what you'll need to know: https://t.co/lTwTxCP9zK https://t.co/4G2bMdL0nF</t>
  </si>
  <si>
    <t>This Sunday, learn all about the Brooklyn Bridge &amp;amp; nearby parks on a tour with our Rangers! https://t.co/cOUI3NLWGB https://t.co/s1vGzCScaC</t>
  </si>
  <si>
    <t>Happy Thanksgiving Eve! Here are some fun things to do this Thanksgiving weekend: https://t.co/GwJAqVBp02 https://t.co/rGcPYXh5GF</t>
  </si>
  <si>
    <t>|REPLAY| ParkScope: Top of the Arch in Prospect Park, Brooklyn w Parks... #katch #Periscope https://t.co/fr07Wbqg70 https://t.co/PugvNJpGi4</t>
  </si>
  <si>
    <t>LIVE on #Periscope: ParkScope: Top of the Arch in Prospect Park, Brooklyn w Parks Commissioner Silver https://t.co/4s32n8wVNn</t>
  </si>
  <si>
    <t>At 10am, tune in live to https://t.co/IWbP4OFCYu for a special tour of the Grand Army Plaza Arch at @prospect_park. https://t.co/kwiF6t6x7K</t>
  </si>
  <si>
    <t>What a lovely surprise to see Montauk daisies still in bloom &amp;amp; adding a pretty color to B116th St. in the Rockaways. https://t.co/n9LcSrc5qw</t>
  </si>
  <si>
    <t>Which way to love and happiness? This sign in First Park knows. https://t.co/as7UwU7nX1 https://t.co/5vw0DWVqXv</t>
  </si>
  <si>
    <t>Looking for something to do on #BlackFriday? Work off the stuffing with these guided hikes: https://t.co/C6i8no5E27 https://t.co/3CsuASESlm</t>
  </si>
  <si>
    <t>Tell us what you think and help us make your parks more open, welcome, &amp;amp; beautiful: https://t.co/t0yV2S9ubQ https://t.co/Hc8lD8WHSr</t>
  </si>
  <si>
    <t>This Sunday, come see the @CentralParkNYC animals that come out at night: https://t.co/ndAaeTzUJW https://t.co/bYHAQXAY0a</t>
  </si>
  <si>
    <t>|REPLAY| ParkScope: Madison Square - Behind the Scenes #katch #Periscope https://t.co/bZHs2ia5M3 https://t.co/Y3PVPndy2D</t>
  </si>
  <si>
    <t>LIVE on #Periscope: ParkScope: Madison Square - Behind the Scenes https://t.co/1N9EFVoZOW</t>
  </si>
  <si>
    <t>Have you seen the art at @MadSqParkNYC? Take a live @periscopetv tour w/us at 10am: https://t.co/IWbP4OFCYu https://t.co/p2MaXMmo8A</t>
  </si>
  <si>
    <t>Got your ingredients for Thursday's feast? Here's the Thanksgiving schedule for greenmarkets https://t.co/MbXYvSS4ac https://t.co/ukWyrrWFIx</t>
  </si>
  <si>
    <t>@WSPConservancy Thank you!</t>
  </si>
  <si>
    <t>|REPLAY| ParkScope: View from inside and on top of The Arch in Washingt... #katch #Periscope https://t.co/22kCIkBMhi https://t.co/v1scrbp2eb</t>
  </si>
  <si>
    <t>LIVE on #Periscope: ParkScope: View from inside and on top of The Arch in Washington Square Park https://t.co/X0y2YzTUSi</t>
  </si>
  <si>
    <t>Join us at 3pm on @periscopetv to get a view from the top of the Washington Square Arch: https://t.co/IWbP4OFCYu https://t.co/H4iFNjPjGy</t>
  </si>
  <si>
    <t>We need your help caring for trees in Alley Pond Park and Sunset Park. Sign up here: https://t.co/8moj0UzSFD https://t.co/4Djv0zAL4n</t>
  </si>
  <si>
    <t>Looking for work? We’re hiring an architect, a senior scientist, &amp;amp; more: https://t.co/3snXiQejMy https://t.co/9iBEijH1u9</t>
  </si>
  <si>
    <t>Find out about NYC’s forgotten holiday, marking the day the city was freed from the British: https://t.co/YUZMrSGW4H https://t.co/1abc5FTYBa</t>
  </si>
  <si>
    <t>Got a case of the Mondays? These new red panda cubs at the @prospectparkzoo are here to help. (Photo: JL Maher) https://t.co/dboDJTHFoT</t>
  </si>
  <si>
    <t>|REPLAY| Urban Park Ranger Tour: Alley Pond Park #katch #Periscope https://t.co/mchiqR2xXG https://t.co/rflUMcu1lg</t>
  </si>
  <si>
    <t>LIVE on #Periscope: Urban Park Ranger Tour: Alley Pond Park https://t.co/jAvrL4wRUR</t>
  </si>
  <si>
    <t>At 3:30 pm, join us on @PeriscopeTV for a fall tour of Alley Pond Park in Queens. Tune in at https://t.co/IWbP4OFCYu https://t.co/qaDuJ1bbY6</t>
  </si>
  <si>
    <t>Take a tour of Edgar Allan Poe's favorite bridge and learn more about his days in the Bronx: https://t.co/FK81miFe0V https://t.co/3uGjCXiTmG</t>
  </si>
  <si>
    <t>.@NYBG's annual Holiday Train Show opens tomorrow! See tiny trains chug along a mini NYC. https://t.co/TyejqFkGBq https://t.co/MAFPnmlp0V</t>
  </si>
  <si>
    <t>Tmrw marks 51 yrs since the Verrazano Bridge opened. Take a look at how it transformed NYC: https://t.co/EBXmzGYEOJ https://t.co/SgeEJX1XV4</t>
  </si>
  <si>
    <t>Thanks to all who helped us plant a million trees in NYC. We couldn’t have done it without you. https://t.co/OZvMFgzmsO</t>
  </si>
  <si>
    <t>RT @BetteMidler: .@NYRP &amp;amp; I will be lighting the @EmpireStateBldg #forestgreen in YOUR honor for helping us plant #onemilliontrees! https:/…</t>
  </si>
  <si>
    <t>Happy Friday! Here are some fun things to do this weekend in NYC's parks: https://t.co/GwJAqVBp02 https://t.co/lwuedzVtMH</t>
  </si>
  <si>
    <t>RT @NYCMayorsOffice: Starting soon, Mayor @BilldeBlasio delivers remarks to celebrate #MillionTreesNYC. Watch live on https://t.co/10woidEf…</t>
  </si>
  <si>
    <t>RT @NYRP: .@EmpireStateBldg to be lit forest green 4 the @MillionTreesNYC finale on Nov 20! @NYCMayorsOffice @NYCParks @NYRP https://t.co/Y…</t>
  </si>
  <si>
    <t>@samantha1470 Memberships for kids are free. You'll need to bring either a student ID or birth certificate to sign them up.</t>
  </si>
  <si>
    <t>@samantha1470 Hi! Here is the schedule of programs: https://t.co/7EuUgRheVj. To join, you'll need a membership: https://t.co/fHy8ZeuRqO.</t>
  </si>
  <si>
    <t>The Ocean Breeze Track &amp;amp; Field Athletic Complex in Staten Island opened today! Learn more at https://t.co/6oGam5yob4 https://t.co/zXaWliUN0T</t>
  </si>
  <si>
    <t>The Union Square Holiday Market is open! Stop by our booth to shop for park-themed gifts: https://t.co/mOLaKo0soa https://t.co/DG7ZnXKq3n</t>
  </si>
  <si>
    <t>#TBT: Washington Square Park in 1935. https://t.co/FU3GWjMunq</t>
  </si>
  <si>
    <t>We're already getting ready for spring. Help plant daffodil &amp;amp; tulip bulbs in LIC on Saturday https://t.co/HUviQRFG6w https://t.co/bCLkfcIUJP</t>
  </si>
  <si>
    <t>RT @BetteMidler: Tmrw we're planting the millionth tree of @MillionTreesNYC w/ @NYRP &amp;amp; @NYCParks in the #Bronx! SO thrilled we reached this…</t>
  </si>
  <si>
    <t>RT @mitchell_silver: Ocean Breeze Track &amp;amp; Field Athletic Complex to open today. Great memories will be created here. @nycparks @nycddc http…</t>
  </si>
  <si>
    <t>|REPLAY| The sun is setting over Sunset Park #katch #Periscope https://t.co/MKH4o5rUYQ https://t.co/XvIYlVlBp1</t>
  </si>
  <si>
    <t>LIVE on #Periscope: The sun is setting over Sunset Park https://t.co/0pE0U6OgfO</t>
  </si>
  <si>
    <t>|REPLAY| Watching the sunset in Sunset Park #katch #Periscope https://t.co/2Wl6cNbbwZ https://t.co/gxRyH3eirx</t>
  </si>
  <si>
    <t>Check out this amazing view on our walk through Sunset Park, live on @periscopetv at https://t.co/IWbP4OFCYu https://t.co/YWGdueJ3tP</t>
  </si>
  <si>
    <t>LIVE on #Periscope: Watching the sunset in Sunset Park https://t.co/6HtkzJoBei</t>
  </si>
  <si>
    <t>RT @nycgo: There's no place like NYC for the holidays. 2015–2016 NYC holiday events:  https://t.co/BCLbBalpCj #UnlockNYC https://t.co/ESV7s…</t>
  </si>
  <si>
    <t>Join our park rangers on this free hike from @NYCmorningside to Jackie Robinson Park: https://t.co/i4ZwfnmvXj https://t.co/sJ8CClsNkq</t>
  </si>
  <si>
    <t>Now there's an easier way to get to @randallsisland from the Bronx—the new Randall's Island Connector at E 132nd St. https://t.co/NT6TQPKx2w</t>
  </si>
  <si>
    <t>Donate your gently used coats for those in need &amp;amp; enter a raffle for a Thanksgiving turkey: https://t.co/TVMtmjHUR5</t>
  </si>
  <si>
    <t>You can see owls right here in the Bronx. Go looking for them on Sunday w/our Rangers. https://t.co/mVzcNTKDGZ https://t.co/jghppPJGpL</t>
  </si>
  <si>
    <t>RT @BklynBrdgPark: New lawn alert: Main Street’s lawns are now open! Walk across and feel the lush, green grass. ©EFrossard https://t.co/eO…</t>
  </si>
  <si>
    <t>Tell us how we can make your parks more open, welcoming, and beautiful: https://t.co/t0yV2S9ubQ https://t.co/KdRoiGH894</t>
  </si>
  <si>
    <t>RT @BilldeBlasio: Thanks to the hard work of so many advocates, the iconic Flushing Meadows Corona Park will have a major conservancy! http…</t>
  </si>
  <si>
    <t>RT @BilldeBlasio: Together we’re creating one New York, a city that’s a place of opportunity for all – and that includes @NYCParks. https:/…</t>
  </si>
  <si>
    <t>Fall colors make a lovely backdrop for art. Check out installations around the city: https://t.co/9OXNpfqSj0 https://t.co/TPkLpSL0zh</t>
  </si>
  <si>
    <t>What was it like to live in NYC a hundred years ago? Visit these preserved homes &amp;amp; find out: https://t.co/FuGwMaBnhC https://t.co/Lh6mZ6lB7Z</t>
  </si>
  <si>
    <t>It's the perfect day to go for a run. Find running tracks, track clubs, &amp;amp; more near you: https://t.co/ptZYoqWbAX https://t.co/H3DVIk2SyX</t>
  </si>
  <si>
    <t>RT @NYCMayorsOffice: Today, @NYCParks launched the Flushing Meadows Corona Park Alliance to support and improve “The World’s Park.” https:/…</t>
  </si>
  <si>
    <t>From baking the pumpkin pie to hiking it off the next day, we’ve got Thanksgiving covered: https://t.co/dNuXfty4FF https://t.co/wIWrtvWwvA</t>
  </si>
  <si>
    <t>|REPLAY| ParkScope: Tree's Eye View of Park Ave #katch #Periscope https://t.co/yQ6FQLdtCQ https://t.co/Lhiyfb1PuT</t>
  </si>
  <si>
    <t>Park Avenue is getting all dolled up for the holidays. Check it out on @periscopetv at 11: https://t.co/IWbP4OFCYu https://t.co/V7aWt5OsSe</t>
  </si>
  <si>
    <t>RT @mitchell_silver: Thank you partners. New York City’s Low-Profile Parks to Get Conservancies’ Help @nycparks. https://t.co/riWlQFgSki ht…</t>
  </si>
  <si>
    <t>See this cool OY/YO sculpture by @deborahkass now at @BklynBrdgPark. https://t.co/i54cJzTW31 ©EFrossard https://t.co/ojvjj9l7Nv</t>
  </si>
  <si>
    <t>More than 300 NYers responded on day 1 of our new Parks Without Borders program. Join them &amp;amp; share your ideas at https://t.co/y1UfVbwIzq</t>
  </si>
  <si>
    <t>This weekend, join @BXRiverAlliance on a canoe trip through a forest in the Bronx. https://t.co/6mv0H888LF https://t.co/tIAswV9rpM</t>
  </si>
  <si>
    <t>Planning to check out the High Bridge? Make a day of it. Explore the area's rich history: https://t.co/mUYAnYsLYQ https://t.co/zLZMGVMv7S</t>
  </si>
  <si>
    <t>Go hiking in NYC! Explore the city's natural side on a free hiking trip with a park expert: https://t.co/q0SSGDJ5HW https://t.co/rJrinWWshZ</t>
  </si>
  <si>
    <t>@richagram @BrianLehrer We agree! Visit https://t.co/0Qm4eq8f5u to let us know which parks do not need boundary fences!</t>
  </si>
  <si>
    <t>@mitchell_silver @twobridgestower Also visit our CRCs! Al Smith Rec Ctr offers open computer hours &amp;amp; trained staff: https://t.co/Cm7RtCyM2j</t>
  </si>
  <si>
    <t>Happy Friday! Here are 11 fun things to do in NYC's parks this weekend: https://t.co/GwJAqVBp02 https://t.co/PzwhT0buan</t>
  </si>
  <si>
    <t>RT @nyc311: Join @NYCParks for #free #astronomy events throughout Nov for a chance to see meteor showers &amp;amp; star clusters: https://t.co/FtcC…</t>
  </si>
  <si>
    <t>We're making parks more open &amp;amp; welcoming by improving fencing &amp;amp; entrances. Share your ideas: https://t.co/t0yV2S9ubQ https://t.co/V3G6Y86yWK</t>
  </si>
  <si>
    <t>RT @mitchell_silver: Heart warming story. "Done Deal: W. 20th St. Gets Its Park" https://t.co/dVN94QeVwr @nycparks #nyc https://t.co/ZzWkX1…</t>
  </si>
  <si>
    <t>|REPLAY| ParkScope: Snug Harbor, Staten Island #katch #Periscope https://t.co/GJQ6JM419g https://t.co/VUPCt7Jw6B</t>
  </si>
  <si>
    <t>At 3pm, join us on @PeriscopeTV for a live tour of @SnugHarborCCBG! Tune in at https://t.co/IWbP4OFCYu https://t.co/tBRvzKyoU7</t>
  </si>
  <si>
    <t>@t1m_hatcher @BrianLehrer Thanks! We still want to hear from you. Visit https://t.co/y1UfVbwIzq to share your thoughts on sites today!</t>
  </si>
  <si>
    <t>We’re celebrating the anniversary of a key revolutionary war battle at its original site: https://t.co/RXcEisKHRp https://t.co/dCg6XfNVBH</t>
  </si>
  <si>
    <t>#TBT to some serious #Brooklyn pride in 1966 at @prospect_park. https://t.co/0UYdpnUQgz</t>
  </si>
  <si>
    <t>Going for a stroll in @CentralParkNYC? Use this guide to learn about the trees near you: https://t.co/9sSwG1vLmY https://t.co/nB1KxDhrJ3</t>
  </si>
  <si>
    <t>RT @BrianLehrer: Remember to nominate a park YOU think would benefit from having fences/gates taken down: @NYCParks https://t.co/hLdbXh7KKj</t>
  </si>
  <si>
    <t>RT @BrianLehrer: Now: @NYCParks is launching new initiative "Parks Without Borders." Nominate a park you think needs improved access: https…</t>
  </si>
  <si>
    <t>Our park rangers are offering a special tour of Green-Wood Cemetery on Nov 21. Register today only to join them: https://t.co/qQRMeTRscr</t>
  </si>
  <si>
    <t>Happy #VeteransDay! Here's a look at some of the places in our parks that honor our veterans https://t.co/T2TQTX41pg https://t.co/wTdKtrCOXZ</t>
  </si>
  <si>
    <t>|REPLAY| ParkScope: The Battery on Veterans Day #katch #Periscope https://t.co/KwDFBT1ggz https://t.co/DYy6hBpWIY</t>
  </si>
  <si>
    <t>LIVE on #Periscope: ParkScope: The Battery on Veterans Day https://t.co/rtJ9uinSu5</t>
  </si>
  <si>
    <t>|REPLAY| ParkScope: The Battery on Veterans Day #katch #Periscope https://t.co/gnJ6FgGAIO https://t.co/690nrhOoYy</t>
  </si>
  <si>
    <t>|REPLAY| ParkScope: The Battery on Veterans Day #katch #Periscope https://t.co/ZaAaEjlymb https://t.co/BHdm9bYbPt</t>
  </si>
  <si>
    <t>LIVE on #Periscope: ParkScope: The Battery on Veterans Day https://t.co/cSEoHYE7FP</t>
  </si>
  <si>
    <t>At 10 am, join us on @PeriscopeTV for a live tour of @thebatterynyc: https://t.co/IWbP4OFCYu https://t.co/FabpgywC8n</t>
  </si>
  <si>
    <t>#VeteransDay is tomorrow. Honor our veterans at these five memorials around the city:  https://t.co/T2TQTX41pg https://t.co/7Ezt5OXN6T</t>
  </si>
  <si>
    <t>This path was a racecourse for the Vanderbilts &amp;amp; an escape route for Prohibition bootleggers https://t.co/PeE671ika6 https://t.co/52HwQSCH2j</t>
  </si>
  <si>
    <t>On Sunday, join our park rangers on a free tour of this Civil War-era fort in Queens. https://t.co/tP6mKG2KMI https://t.co/csVAXx49eZ</t>
  </si>
  <si>
    <t>There’s going to be a huge treasure hunt on @randallsisland this weekend. See what you can find: https://t.co/6X0P3KNT51</t>
  </si>
  <si>
    <t>@CitySpoonful Thanks! We have plans to replace the damaged nets next season.</t>
  </si>
  <si>
    <t>@CentralParkNYC @MoBaker250 Glad to help! Here's a list of soccer fields citywide: https://t.co/t5Lkk8opvK.</t>
  </si>
  <si>
    <t>Calling all artists: we're seeking submissions for our #BlackHistoryMonth art exhibition in @CentralParkNYC. Info at https://t.co/kN3Nm7RaJB</t>
  </si>
  <si>
    <t>Alley Pond Park is one great place to check out fall foliage. Where do you go to admire the season? https://t.co/srks9q6saE</t>
  </si>
  <si>
    <t>These trees are best known for their remarkable history, species, and size: https://t.co/hFmV6LMVIY https://t.co/mmZXAhyOkg</t>
  </si>
  <si>
    <t>Join a neighborhood-specific volunteer program &amp;amp; tend to communities &amp;amp; their green spaces: https://t.co/xH3wmzUkKL https://t.co/ajTNWiOBIV</t>
  </si>
  <si>
    <t>Want to start going for morning swims? Get a membership to these rec centers: https://t.co/mUXxya7qVJ https://t.co/4gJcD2nu6S</t>
  </si>
  <si>
    <t>RT @BklynBrdgPark: Love Pier 6’s new flower fields? Go see the promenade- it’s the icing on the cake. ©JSchaer https://t.co/kNUTWdkPo9 http…</t>
  </si>
  <si>
    <t>It feels like spring, but ice skating rinks are open. Perfect time to try out those skates: https://t.co/gQL6r65NIq https://t.co/mmUaPmvPaj</t>
  </si>
  <si>
    <t>Explore @WaveHill's beautiful gardens and stunning view on these upcoming tours: https://t.co/M1j8RqSZn8 https://t.co/2a351SmJ29</t>
  </si>
  <si>
    <t>Make the most of this weather: hike through some of fall’s most lovely paths. https://t.co/EuCrO6UwQ4 https://t.co/6yvv9XfojH</t>
  </si>
  <si>
    <t>70 degrees out and the leaves are all turning?!? We think this calls for a walk in the park. https://t.co/wMdCfygXdz</t>
  </si>
  <si>
    <t>Happy Friday! Here are some fun things to do this weekend in our parks: https://t.co/GwJAqVBp02 https://t.co/6iFZSrK4XO</t>
  </si>
  <si>
    <t>Still have a pumpkin left over from Halloween? Come smash it with us: https://t.co/efXTzz5aL6 https://t.co/Eb1C2hcyvx</t>
  </si>
  <si>
    <t>RT @bryantparknyc: Our answer is obvious, but what's your result when you take the @NYCParks "What Park Are You?" quiz? https://t.co/aBJMGP…</t>
  </si>
  <si>
    <t>Yep, this is NYC. Oakland Lake in Alley Pond Park is showing off its prettiest fall colors. https://t.co/8MEwfZ6jgE https://t.co/I4KuM5ARa2</t>
  </si>
  <si>
    <t>Follow this trail to see remnants of Old Croton Aqueduct, NYC's first water supply system: https://t.co/9oUCDn25sD https://t.co/Y08kMIpKNH</t>
  </si>
  <si>
    <t>#TBT to 1937, when East River Park was being built along the Lower East Side beneath the Williamsburg Bridge. https://t.co/X2wYveZzUO</t>
  </si>
  <si>
    <t>This new artwork features cutout animals placed throughout a park. Come to the reception: https://t.co/fu1ZHhkfH9 https://t.co/TsVVNXzdCu</t>
  </si>
  <si>
    <t>|REPLAY| ParkScope: Beekeeping in the Bronx #katch #Periscope https://t.co/ngJttoUtqG https://t.co/WKpxeMahDf</t>
  </si>
  <si>
    <t>|REPLAY| ParkScope: Van Cortlandt Park Plant Nursery #katch #Periscope https://t.co/iYaLRHmkal https://t.co/iRmyzh2UBi</t>
  </si>
  <si>
    <t>LIVE on #Periscope: ParkScope: Van Cortlandt Park Plant Nursery https://t.co/r1Q3STmLKK</t>
  </si>
  <si>
    <t>At 11:10 a.m., join us on @periscopetv for a tour of Van Cortlandt Park's nursery. https://t.co/IWbP4OFCYu https://t.co/JiTFMU75ez</t>
  </si>
  <si>
    <t>Looking for somewhere to take the kids? Check out these fun events for children across NYC: https://t.co/bMcJ1bvZHG https://t.co/DXJfnmiQ2F</t>
  </si>
  <si>
    <t>Tomorrow, come to a free screening of @StrayDogDoc followed by a Q&amp;amp;A with Oscar-nominated director Debra Granik. https://t.co/9ZFiep1TRe</t>
  </si>
  <si>
    <t>RT @NYCWater: Fall in Jamaica Bay https://t.co/5mY18ppBDT https://t.co/bmdIwTZszv</t>
  </si>
  <si>
    <t>Ruth Wetzel explored NYC’s wetlands w/her camera. See the exhibit of her work thru 11/13: https://t.co/kUhSoJVSQy https://t.co/isgWMiAckF</t>
  </si>
  <si>
    <t>Prepping for the zombie apocalypse? Learn how to make fire, build shelter, &amp;amp; use a compass: https://t.co/9WMzPBWaKG https://t.co/2DxUom1Ncw</t>
  </si>
  <si>
    <t>@shortyluv1435 While we &amp;amp; @CentralParkNYC occasionally lead tours about Seneca Village, this tour has a different focus.</t>
  </si>
  <si>
    <t>Help us plant trees in @greenbeltpark this Saturday! Register here: https://t.co/J7VqwVR1ew https://t.co/hlAIsVqQE6</t>
  </si>
  <si>
    <t>Learn about NYC’s native people and where they lived. Register today only for a free tour: https://t.co/0rhyCyNr1U https://t.co/LPQCTl2mM3</t>
  </si>
  <si>
    <t>@discovering_NYC @prospect_park wasn't alone: here are sheep grazing in @CentralParkNYC's Sheep Meadow in 1930. https://t.co/U1zZ2kOv5o</t>
  </si>
  <si>
    <t>|REPLAY| ParkScope: The High Line part 2 #katch #Periscope https://t.co/iklsEf5GyF https://t.co/HSmTYP7cwC</t>
  </si>
  <si>
    <t>|REPLAY| ParkScope: the High Line #katch #Periscope https://t.co/2QRlhTfYj6 https://t.co/rLp8zll6SB</t>
  </si>
  <si>
    <t>Join us at 10am for a live tour of the beautiful @highlinenyc on @periscopetv: https://t.co/IWbP4OFCYu https://t.co/o4lbW0vmch</t>
  </si>
  <si>
    <t>Teens are invited to Hansborough Rec Center tmw for a free video-producing workshop &amp;amp; pizza. https://t.co/AHrMIE5uRv https://t.co/UFwWFDXefh</t>
  </si>
  <si>
    <t>We’ve got to say, the parks are looking pretty romantic right now. Go on some fall dates: https://t.co/aMHVPOQmlu https://t.co/Tp9oFSM707</t>
  </si>
  <si>
    <t>We’re throwing a big party for #ElectionDay tmw, with pillow polo, an obstacle cours, &amp;amp; more https://t.co/83knl2I9FN https://t.co/V4j6BQq7ga</t>
  </si>
  <si>
    <t>St. James Park in the #Bronx has brand new basketball courts. Who wants to try them out? https://t.co/Wfn1XvrnXj https://t.co/AHJRVXgRrx</t>
  </si>
  <si>
    <t>RT @NYCzerowaste: We are proud to announce that NYCRecycles is now @NYCzerowaste! #CountdownToZero https://t.co/fNDn5pW8vk</t>
  </si>
  <si>
    <t>Happy November, NYC. Here’s what’s coming up in parks this month: https://t.co/zJlZEzj2lV https://t.co/nCJVKXm8qn</t>
  </si>
  <si>
    <t>Do the time warp again at tonight’s screening of Rocky Horror Picture Show at McCarren Park: https://t.co/1dz9ZZgaPg https://t.co/UYCFFz1vZA</t>
  </si>
  <si>
    <t>#HappyHalloween! Celebrate the spookiest weekend at these parades, parties, &amp;amp; haunted tours: https://t.co/dIXNA7Jkxq https://t.co/setTRqG5a8</t>
  </si>
  <si>
    <t>The @NYCMarathon is this Sunday! Cheer on the race to @CentralParkNYC along the route: https://t.co/kLyXtGDiLd https://t.co/ZVFVf8oWpz</t>
  </si>
  <si>
    <t>This @iraglass lookalike won the last Ft Greene dog costume contest. Tmw, see the ’16 champ: https://t.co/0jeRnlTOuq https://t.co/PSbcIeIQQ6</t>
  </si>
  <si>
    <t>See @HamiltonMusical’s @leslieodomjr perform at Aaron Burr’s former home, @morrisjumel: https://t.co/xUtB7LqDC7 https://t.co/0IGCadG944</t>
  </si>
  <si>
    <t>Happy Friday! Here are 13 fun things to do this weekend in NYC's parks: https://t.co/GwJAqVBp02 https://t.co/xyr8vF92SG</t>
  </si>
  <si>
    <t>@thenugespeaks You can report your concerns to @NYC_DOT at https://t.co/twhHuUbwpc. Thanks!</t>
  </si>
  <si>
    <t>@mommeteorology Glad you enjoyed it! You can visit Ranger Chris at Fort Greene or find more Ranger tours here: https://t.co/8NK03gRzfK</t>
  </si>
  <si>
    <t>Cedar Playground, also known as hip hop's birthplace, is getting a $2.4 million makeover! https://t.co/xMOoAFGdR7 https://t.co/r7LpU1dpzB</t>
  </si>
  <si>
    <t>Happy #NationalCatDay! Visit some extra-large cats at NYC’s zoos. 🐱 https://t.co/CCeSt3rS0a https://t.co/GyTcLriK7n</t>
  </si>
  <si>
    <t>We’re not sure what this Halloween “Mr Donut” contest in @centralparknyc was all about, but it looks delicious. #tbt https://t.co/2paF2xzV2h</t>
  </si>
  <si>
    <t>.@BryantParkNYC's ice skating rink opens tomorrow at 5 p.m.! https://t.co/k1cTWqqs1P https://t.co/dtfKCD6y7p</t>
  </si>
  <si>
    <t>|REPLAY| ParkScope: Ft Greene Park, Brooklyn #katch #Periscope https://t.co/tbnAfvUude https://t.co/fCiQKchpZS</t>
  </si>
  <si>
    <t>LIVE on #Periscope: ParkScope: Ft Greene Park, Brooklyn https://t.co/M6BIc9RCG7</t>
  </si>
  <si>
    <t>Join us at noon on @periscopetv for a tour of Brooklyn’s first park &amp;amp; its iconic monument: https://t.co/IWbP4OFCYu https://t.co/kp1dfReDLR</t>
  </si>
  <si>
    <t>See fall at its peak in Staten Island on a guided hike up the 260-foot-tall Moses Mountain: https://t.co/2gPGgXMSVY https://t.co/xi40AUQ5Rm</t>
  </si>
  <si>
    <t>Want to become @nycgov's next Instagram Ambassador? Enter the #AutumnInNYC contest today: https://t.co/hxC5PA0N0K https://t.co/DAMsEkmd2o</t>
  </si>
  <si>
    <t>Help us plant and care for NYC's trees at these upcoming volunteer events: https://t.co/8moj0UzSFD https://t.co/gYAW8i50SI</t>
  </si>
  <si>
    <t>Happy 129th bday to Lady Liberty! Wish her well in person: take the trip from @thebatterynyc https://t.co/sm3mwFA70P https://t.co/ecSZdZuPj0</t>
  </si>
  <si>
    <t>You had no idea #LIC was so pretty. Sign up today to explore it with us: https://t.co/fJKdmkjlvy https://t.co/TUv2IswPx5</t>
  </si>
  <si>
    <t>Spend #Halloween trick or tree-ing with @nyctreescount &amp;amp; help support your urban forest: https://t.co/fvK2cwXwjP https://t.co/8hFCOlI3mb</t>
  </si>
  <si>
    <t>Sign up today only for a free 8-mile guided hike through NYC’s third largest park: https://t.co/QC8PAKwYNv https://t.co/wQ4AwFDeiK</t>
  </si>
  <si>
    <t>For those still working on their #Halloween costume, may we suggest Minotaur Urban Park Ranger? https://t.co/4achkjZpfS</t>
  </si>
  <si>
    <t>Create a unique holiday wreath &amp;amp; have it displayed at the Arsenal Gallery in @CentralParkNYC https://t.co/9n0iVZ7sJW https://t.co/TCOG0w8LFN</t>
  </si>
  <si>
    <t>Be a fall foliage expert. Join our free tours and find the prettiest autumn spots in parks: https://t.co/B3JkjoZY4M https://t.co/JsPZAOlPjv</t>
  </si>
  <si>
    <t>The Manhattan Waterfront Greenway is now even easier to get to: check out the new ramp from Ft Washington Park. https://t.co/mxYfcr0QQT</t>
  </si>
  <si>
    <t>RT @ClintonFdn: It’s not too late to register! Sign up for a #DayOfAction w/ @ChelseaClinton, @StBernardProj &amp;amp; @NYCParks on Oct. 31: https:…</t>
  </si>
  <si>
    <t>From haunted houses to costume contests, we’ve got some spooktacular #Halloween events: https://t.co/dIXNA7Jkxq https://t.co/hs7pmC48lY</t>
  </si>
  <si>
    <t>@NYCCOIB @danielleiat Luckily, we'd never make you choose.</t>
  </si>
  <si>
    <t>|REPLAY| ParkScope: Randall's Island Greenroof #katch #Periscope https://t.co/qrGD2x2JXe https://t.co/m4iRGB69Ho</t>
  </si>
  <si>
    <t>Join us on @periscopetv at 11am for a tour of one of NYC’s largest green roofs at https://t.co/IWbP4OFCYu. https://t.co/mVkAYKrRNB</t>
  </si>
  <si>
    <t>.@prospect_park is looking glorious. Find the best places in the park to admire the leaves: https://t.co/20Z2OBG9zy https://t.co/80NxWeFuG0</t>
  </si>
  <si>
    <t>A lovely flower meadow opened in @BklynBrdgPark! See it at Pier 6. https://t.co/laOaqPM3Dd</t>
  </si>
  <si>
    <t>18-24 yr-olds can join rec centers, w/exercise rooms, courts, &amp;amp; more, for just $25 a year: https://t.co/fHy8ZeuRqO https://t.co/JH0oqm5cUQ</t>
  </si>
  <si>
    <t>@reach_alanna @FDNY Apologies for the delayed response. The leak was resolved Thurs. @prospect_park is open &amp;amp; @LakesideBKLYN reopens 10/31.</t>
  </si>
  <si>
    <t>RT @nyctreescount: Map w/ us in the Bronx, BK, Queens, or SI tomorrow &amp;amp; get a FREE Halloween trick or tree bag! https://t.co/0aPZyC3Lss htt…</t>
  </si>
  <si>
    <t>We're bringing bubble soccer, pillow polo &amp;amp; more to our Fall Field Day fest on Election Day! https://t.co/83knl2I9FN https://t.co/9mTL1On4Ke</t>
  </si>
  <si>
    <t>Here's a look at some of our favorite places to go for a run in NYC: https://t.co/esQbUI8rhg #mondaymotivation https://t.co/6nbj687sfM</t>
  </si>
  <si>
    <t>23 years after the Gay Liberation Monument was dedicated, two of its models married each other. Congrats to them! https://t.co/KsYyFIrN3l</t>
  </si>
  <si>
    <t>|REPLAY| ParkScope: Tompkins Sq Park Halloween Dog Parade #howloween #katch #Periscope https://t.co/pkT04UhAmY https://t.co/K0SKND7ML9</t>
  </si>
  <si>
    <t>Twitter! Spend your Saturday with us watching puppies in costumes. Live now on @periscopetv! https://t.co/GKIQG4kKOR</t>
  </si>
  <si>
    <t>LIVE on #Periscope: ParkScope: Tompkins Sq Park Halloween Dog Parade #howloween https://t.co/Z7kLuZuCf3</t>
  </si>
  <si>
    <t>It’s Friday &amp;amp; it’s gorgeous out. Let’s go for a walk in Owl’s Head Park: https://t.co/xxKt4AmcVl https://t.co/lVr0aAfCNJ</t>
  </si>
  <si>
    <t>From the Central Park pumpkin flotilla to a meteor watch, here’s 22 things to do this wknd: https://t.co/GwJAqVBp02 https://t.co/dn097OEaTK</t>
  </si>
  <si>
    <t>Enter if you dare: get spooked on these Halloween-themed nighttime tours of Ft Totten Park: https://t.co/67labN8XvJ https://t.co/9EixRs1WBE</t>
  </si>
  <si>
    <t>How do you know fall’s really here? Wollman Rink in @centralparknyc opens tomorrow: https://t.co/T7EeRIuCFW https://t.co/rjCghZMjWJ</t>
  </si>
  <si>
    <t>Volunteer w/@nyctreescount before 11/1 &amp;amp; get a free three-day pass to any of our rec centers https://t.co/orb9FUVyIb https://t.co/3J9CycEFYk</t>
  </si>
  <si>
    <t>Our parks commissioner @mitchell_silver talks the future of parks at @MASNYC's #SummitNYC. Watch it live: https://t.co/Dkuk0Avvc9</t>
  </si>
  <si>
    <t>Learn about NYC's oldest standing bridge &amp;amp; its first water supply system on a history tour: https://t.co/7sd1ZaU7yy https://t.co/bH8hKG2dfn</t>
  </si>
  <si>
    <t>#Periscope Replay: Learn all about @SocratesPark and its outdoor art exhibit https://t.co/ncXalFvPUq https://t.co/eDpSvyi6Fl</t>
  </si>
  <si>
    <t>LIVE on #Periscope: A tour of Socrates Sculpture Park https://t.co/vOTTDCbaVN</t>
  </si>
  <si>
    <t>At 4pm, tune into @periscopetv for a live tour of @SocratesPark—an outdoor art gallery that's also a waterfront park https://t.co/Nplk76fUNg</t>
  </si>
  <si>
    <t>What the High Line looked like in the 1950s. #tbt (Photo by Jim Shaughnessy, courtesy of the @highlinenyc) https://t.co/QUVcB9GOLO</t>
  </si>
  <si>
    <t>See the best of NYC's fall foliage on these 5 hiking trails recommended by our park rangers: https://t.co/EuCrO6UwQ4 https://t.co/3X3WaXMC0x</t>
  </si>
  <si>
    <t>Thanks again to the @nyknicks for helping us restore Roy Wilkins Park before Opening Night. https://t.co/ywewPUcoGi</t>
  </si>
  <si>
    <t>On Sunday, join an expert birder on a walk through Highbridge Park to see hawks in the woods https://t.co/ab5COsHGl8 https://t.co/gYes2o63Dm</t>
  </si>
  <si>
    <t>RT @NYCMayorsOffice: Connect with your neighbors and find out what's happening in your community in real-time: https://t.co/8YwlJCPks8 http…</t>
  </si>
  <si>
    <t>We're delighted to re-open the legendary 'Cage' on W. 4th Street with the help of the @nyknicks. https://t.co/jTsdC5tJ7M</t>
  </si>
  <si>
    <t>Join thousands of New Yorkers coming together to help fix up their local park this season: https://t.co/yhQYP7QlpV https://t.co/B1mB8Rg7tZ</t>
  </si>
  <si>
    <t>Make a jack o’lantern &amp;amp; watch it sail off into the sunset at Central Park's pumpkin flotilla https://t.co/IPkFGRIh46 https://t.co/2mSdH97RNs</t>
  </si>
  <si>
    <t>Find out how to exhibit your art in NYC’s best public galleries – our parks: https://t.co/lTwTxCP9zK https://t.co/2FmrCGAojE</t>
  </si>
  <si>
    <t>Now's a great time to spot hawks &amp;amp; other birds flying south. Here's where to see them: https://t.co/33PfvAfQiY https://t.co/n2zgoxap6U</t>
  </si>
  <si>
    <t>Take part in a reenactment of a 19th century funeral at @MerchantsHouse’s Halloween event: https://t.co/HQYD1aeTbS https://t.co/7zo1bZ2X8h</t>
  </si>
  <si>
    <t>Hey #StatenIsland, we're redeveloping your east shore parks. Join us on Oct 21 to learn about the plan &amp;amp; share ideas https://t.co/UQBzLXnPw7</t>
  </si>
  <si>
    <t>Hey @nycgov, can we enter your #AutumninNYC photo contest? Or at least pose for it? https://t.co/hxC5PA0N0K https://t.co/3a82cO5DON</t>
  </si>
  <si>
    <t>Hey pups, why let your humans have all the Halloween fun? There's plenty for you too: http://t.co/3VhtgRsHc5 http://t.co/L5KGaQlJVl</t>
  </si>
  <si>
    <t>Join @randallsisland's Run the River 5K on Oct 24. Stick around for the post-race party! http://t.co/PVjqFsdkaQ http://t.co/LXD4Sm6WxB</t>
  </si>
  <si>
    <t>Keep fit while exploring NYC's lovely scenery. Join these hiking adventures with our experts: http://t.co/q0SSGDJ5HW http://t.co/2K0Qr8iM29</t>
  </si>
  <si>
    <t>@LukeGillespie @MayordeBlazeio Hi! thanks for bringing this to our attention. Please file a complaint w/@nyc311 at http://t.co/i5Mi2dfqp4</t>
  </si>
  <si>
    <t>Make your own Picasso painting, with this free workshop from @aslnyc on abstract painting: http://t.co/YrqkhWAjUQ http://t.co/kNoxXhh8xN</t>
  </si>
  <si>
    <t>@astandy Hi! This iconic structure, still standing in the park, is from the 1964 World's Fair. To learn more, visit http://t.co/92SeAZg9UC.</t>
  </si>
  <si>
    <t>We're turning fall into one big party season with a host of festivals across the city: http://t.co/zAgR6F9zXi http://t.co/LYyHWiRvzQ</t>
  </si>
  <si>
    <t>Finally a job where you can pull some strings. That’s right, we’re hiring a puppeteer: http://t.co/3snXiQejMy http://t.co/MKd8mAV2X4</t>
  </si>
  <si>
    <t>What leaves turn red, orange, or yellow in the fall? Find out which ones &amp;amp; where to see them: http://t.co/2o5CqsxUDz http://t.co/8g3hOUo4JN</t>
  </si>
  <si>
    <t>@NYDNcolangelo @Gothamist When we tested the original paint chips, they matched a color called "American Cheese Yellow." Can't make it up!</t>
  </si>
  <si>
    <t>Happy Friday! Here are some fun things to do this weekend in NYC's parks: http://t.co/GwJAqVBp02 http://t.co/a3QIrutCH3</t>
  </si>
  <si>
    <t>Craft a unique wreath for our annual holiday show at the Arsenal Gallery in @CentralParkNYC: http://t.co/9n0iVZ7sJW http://t.co/jF5pfKsecg</t>
  </si>
  <si>
    <t>The NY State Pavilion in Flushing has been repainted &amp;amp; will be open for free tours for @OHNY: http://t.co/WpP0YRouje http://t.co/0ZAvcqd2lu</t>
  </si>
  <si>
    <t>RT @NYCMayorsOffice: During its 90-day beta launch, test out http://t.co/8YwlJCPks8 and connect with your neighborhood. http://t.co/EAhUMdo…</t>
  </si>
  <si>
    <t>To join @NYCagainstabuse, we will #NYCGoPurple in a location in each borough to raise awareness on #domesticviolence.</t>
  </si>
  <si>
    <t>This little guy's otterly adorable. (Pardon the pun, the newest @BronxZoo resident knocked us out with its cuteness.) http://t.co/VuC3DJDzU0</t>
  </si>
  <si>
    <t>Come stargaze in @CentralParkNYC on Saturday night at the Urban Starfest. http://t.co/IUTuBMaP0F http://t.co/a19BQFAxMB</t>
  </si>
  <si>
    <t>@richyrich67 A DEP (@NYCWater) bioswale is planned for your block. To learn more about bioswales in NYC, visit http://t.co/PvlomgL5uO.</t>
  </si>
  <si>
    <t>.@prospect_park’s Grand Army Plaza during construction in 1894 and in present day. #tbt http://t.co/74y0Dkds03</t>
  </si>
  <si>
    <t>@richyrich67 We received a request for this location but the existing tree coverage means that a new tree would not be able to thrive here.</t>
  </si>
  <si>
    <t>Some of our favorite costume contests are for puppies. Find one at http://t.co/3VhtgRb5Nv http://t.co/EPty0yF3Uh</t>
  </si>
  <si>
    <t>Find out where to go birding, hiking, running, or on a date this fall in NYC's parks: http://t.co/8EWcjdZ6Mi http://t.co/BOpE2bOuoy</t>
  </si>
  <si>
    <t>RT @nycgov: Check out these waterfront parks for some of the best views of NYC's bridges: http://t.co/TzLkdnNldS http://t.co/Sxs4bSiynK via…</t>
  </si>
  <si>
    <t>For a city agency, we know about romance. Check out these places to go on dates this fall: http://t.co/aMHVPOQmlu http://t.co/tZaiFNioUn</t>
  </si>
  <si>
    <t>Check out bee hives, taste honey, &amp;amp; more at @WaveHill this week: http://t.co/VVZan91ovb http://t.co/EK6YDMUJyU</t>
  </si>
  <si>
    <t>@KellyHoganRD Great! I shot you an email, but would you mind providing a phone # via email or Twitter that a Ranger can contact you at? Thx!</t>
  </si>
  <si>
    <t>@KellyHoganRD Hi Kelly! Would you be willing to chat w/a Parks Ranger &amp;amp; tell them about the fox you spotted in Central Park?</t>
  </si>
  <si>
    <t>We’re having a fall photo scavenger hunt in @CentralParkNYC. Register today only:  http://t.co/RXaZnDsMhU http://t.co/T8otrVC2Ql</t>
  </si>
  <si>
    <t>|REPLAY| Parkscope: Tent of Tomorrow in Flushing Meadows Corona Park #katch #Periscope http://t.co/diqnupwVxQ http://t.co/kAgXUiNw2S</t>
  </si>
  <si>
    <t>Give back to your favorite parks &amp;amp; playgrounds with these citywide volunteer events: http://t.co/XECmRSIQ1J http://t.co/XOMICNiNRP</t>
  </si>
  <si>
    <t>LIVE on #Periscope: Parkscope: The Unisphere at the Center of NYC
 https://t.co/GJjLrOFHCA</t>
  </si>
  <si>
    <t>Starting at 10 we’ll be giving a live tour of the Unisphere &amp;amp; Flushing Meadows Corona Park on @periscopetv. http://t.co/psjaiFvr6B</t>
  </si>
  <si>
    <t>RT @NYRP: .@EmpireStateBldg to be lit forest green for the @MillionTreesNYC finale on Oct 21! @NYCMayorsOffice @NYCParks http://t.co/V5lKMn…</t>
  </si>
  <si>
    <t>Let’s go for a run. We know a place. http://t.co/esQbUI8rhg http://t.co/UkhG0hzYeX</t>
  </si>
  <si>
    <t>Submit your unique holiday wreath to our annual art show in the @CentralParkNYC gallery: http://t.co/9n0iVZ7sJW http://t.co/50smnCBwSy</t>
  </si>
  <si>
    <t>That chill in the air means birds are flying south. See which birds you can spot and where: http://t.co/33PfvAfQiY http://t.co/O5sbVP4vdU</t>
  </si>
  <si>
    <t>Take a peek into some of NYC’s hidden treasures with @OHNY next weekend: http://t.co/VsqACatSEb http://t.co/lNP4asBdje</t>
  </si>
  <si>
    <t>Happy #AdaLovelaceDay! Encourage your own Ada Lovelace with these free tech classes: http://t.co/tZc5api6zK http://t.co/x4efyzg5Xf</t>
  </si>
  <si>
    <t>Before Columbus, there was Leif Erikson. Learn more about his namesake park in Brooklyn this Leif Erikson Day: http://t.co/BhEPZhgCT7</t>
  </si>
  <si>
    <t>Go birding with an expert: http://t.co/0L9scPKXTS. Fall is one of the best times to spot birds flying through NYC! http://t.co/sMYTWoHNlo</t>
  </si>
  <si>
    <t>Today marks John Lennon's 75th birthday. Remember him at @CentralParkNYC's Strawberry Fields: http://t.co/VRBUQ79JmS http://t.co/QROlKbY4JZ</t>
  </si>
  <si>
    <t>Happy Friday! Here are some fun things to do in NYC's parks this weekend: http://t.co/GwJAqVBp02 http://t.co/Ey0RRrJbms</t>
  </si>
  <si>
    <t>Tomorrow: Help @nyctreescount set a @GWR Guinness Record for trees counted in a single day! http://t.co/aeVnP9jjrK http://t.co/yenptBAs0R</t>
  </si>
  <si>
    <t>@HilaryRusso Thanks again for reporting this! We've told our sign department and they will replace the sign.</t>
  </si>
  <si>
    <t>See the best of NYC's fall colors at these upcoming hikes &amp;amp; park tours w/our experts: http://t.co/B3JkjoZY4M http://t.co/cwvWTNOU4v</t>
  </si>
  <si>
    <t>@richyrich67 @ConEdison We looked into it further--can you DM us your exact address, w/ building number to help clarify? Thanks!</t>
  </si>
  <si>
    <t>#tbt Whether it's 1965 or 2015, Flushing Meadows Corona Park is the home for amazin' @Mets moments. #letsgomets http://t.co/BcleCknnGC</t>
  </si>
  <si>
    <t>Party with @LakesideBKLYN at the "Thriller"-themed roller disco in @prospect_park on Friday! http://t.co/uObXFY5nYa http://t.co/WFJVbVbVUZ</t>
  </si>
  <si>
    <t>Planning a date? Here are some fun and romantic ideas in NYC's parks this fall: http://t.co/aMHVPOyKWU http://t.co/fgaVMiemDB</t>
  </si>
  <si>
    <t>See magnified views of NY's wetlands at our new Swampland art exhibit in @CentralParkNYC. http://t.co/kUhSoKdtI6 http://t.co/b0XBl1IrOj</t>
  </si>
  <si>
    <t>@thi_53 Great to hear! We conduct a learn to swim lottery each season, so make sure that you keep entering if you don't get in this fall!</t>
  </si>
  <si>
    <t>@AjayCnyc Classes are free! However, due to their popularity, we use a lottery system to register. Check the link for more.</t>
  </si>
  <si>
    <t>Don't know how to swim? Register for fall Learn to Swim classes at our indoor pools: http://t.co/kPVDDqHOgj http://t.co/RqjU6uDW85</t>
  </si>
  <si>
    <t>Help us redesign Kossuth Playground in the BX. Share your ideas at the community meeting: http://t.co/wNxmZDB2Sc http://t.co/ZGoreqNYOr</t>
  </si>
  <si>
    <t>This park was an amusement park &amp;amp; attempted to host a world's fair. Join a tour of it on Sat. http://t.co/ezCgo8UoeN http://t.co/r9xQPyree9</t>
  </si>
  <si>
    <t>We're teaching kids ages 6-12 how to play basketball, on Saturdays in the BX, starting Oct 10 http://t.co/KzQ7VqpgTX http://t.co/1yRQ3iQYuI</t>
  </si>
  <si>
    <t>@ConEdison @richyrich67 Hi! Could you DM us your street address so we can look up your info? Thanks so much!</t>
  </si>
  <si>
    <t>Want to learn how to use a bow &amp;amp; arrow? Sign up for free archery lessons! Register today only http://t.co/QXmPJBLB2h http://t.co/qn4KTdwrtX</t>
  </si>
  <si>
    <t>RT @NYC_DOT: It's International #WalkToSchool Day! Enjoy the beautiful fall weather and #walkNYC! #WeWalkNYC @NYCSchools http://t.co/s1LHfo…</t>
  </si>
  <si>
    <t>@jeanem Hi Jeanne! That's the Fresh Creek Nature Preserve. For more info about it, visit http://t.co/MYTjaVvBsI.</t>
  </si>
  <si>
    <t>@michaelselkirk Hi Michael, thanks for bringing this to our attention. Could you please DM this info to @nyc311 so that they can assist you?</t>
  </si>
  <si>
    <t>@QCHnyc @QueensWayNYC @NYCMayorsOffice Hi! For more info about the sites and to track their progress, visit http://t.co/ZKyZkibP0c.</t>
  </si>
  <si>
    <t>See a free performance of Shakespeare's Comedy of Errors by @PublicTheaterNY. Sign up at http://t.co/WKf0pq1gT7. http://t.co/5sTL2knXx1</t>
  </si>
  <si>
    <t>Does your group volunteer with street trees or your local park? Apply for a #LoveYourBlock grant today: http://t.co/XTXXKTuAXY</t>
  </si>
  <si>
    <t>Fall is here! Take a nature walk with our Rangers through the great trees of Kissena Park: http://t.co/eV1zMkycpV http://t.co/caSjut20W8</t>
  </si>
  <si>
    <t>The Community Parks Initiative will bring enhanced arts, sports &amp;amp; fitness programs to under-served neighborhoods. http://t.co/TeoavLT0DV</t>
  </si>
  <si>
    <t>Through the Community Parks Initiative, we're investing in parks in neighborhoods that are most in need: http://t.co/hjphEL1aYK</t>
  </si>
  <si>
    <t>This year, we're expanding the Community Parks Initiative to 12 more under-resourced parks. http://t.co/hjphEL1aYK http://t.co/2R6ClgX5ad</t>
  </si>
  <si>
    <t>The initial 35 parks announced for redesign and reconstruction last year are all on time and on budget.</t>
  </si>
  <si>
    <t>With an additional $150 million committed from @NYCMayorsOffice, we will re-create 65 parks in all. http://t.co/hjphEL1aYK</t>
  </si>
  <si>
    <t>We are announcing that funding for the Community Parks Initiative has been doubled. http://t.co/hjphEL1aYK #parkequity</t>
  </si>
  <si>
    <t>This morning, we are announcing the latest expansion of the Community Parks Initiative, our #parkequity program. http://t.co/hjphEL1aYK</t>
  </si>
  <si>
    <t>RT @thebeatles: Honor @johnlennon 75th w/@yokoono @lennonbus to set @GWR largest human peace sign #NYC 10/6! http://t.co/5eOQSHTyEu http://…</t>
  </si>
  <si>
    <t>Find some of the best places to go for a run in NYC's parks: http://t.co/esQbUIq28O #mondaymotivation http://t.co/1qK7KC1PD1</t>
  </si>
  <si>
    <t>Are you with a community group looking to plan events in your local park? Join this free workshop w/@PfPNYC: http://t.co/VK1HG376pW</t>
  </si>
  <si>
    <t>Registration is now open for our fall Learn to Swim classes, for adults and kids: http://t.co/kPVDDqZpET http://t.co/7kcK76bUWW</t>
  </si>
  <si>
    <t>Explore the Bronx's waterfront parks at these upcoming canoe trips with the @BxRiverAlliance: http://t.co/TGuQ13m5l4 http://t.co/W86xHjRCYW</t>
  </si>
  <si>
    <t>@andtimspeaks @NYCMayorsOffice @nycgo Hi, that's the Manhattan Municipal Building. City Hall is located in City Hall Park, across the street</t>
  </si>
  <si>
    <t>RT @nyc311: See overgrown grass/weeds in a park? Highway? Sidewalk blocking pedestrians’ path? Request removal here: http://t.co/mwUbod7frk</t>
  </si>
  <si>
    <t>@HappyTrinath Hi! Visit us at http://t.co/fwAh2Pt6Ww to learn more about our swim programs.</t>
  </si>
  <si>
    <t>RT @nycgov: Stay informed by signing up for @NotifyNYC http://t.co/VITmCsB7mA to receive emergency notifications &amp;amp; updates. #HurricaneJoaqu…</t>
  </si>
  <si>
    <t>Tomorrow marks 29 years since Keith Haring painted the Crack is Wack Mural in Harlem. http://t.co/R5goTKISsQ http://t.co/PUkE7iYz6j</t>
  </si>
  <si>
    <t>Here's how you can sign up your team, family, or friends to lead a Parks volunteer project: http://t.co/IAOodx8RjZ http://t.co/XtYwqPWN1x</t>
  </si>
  <si>
    <t>Join one of NYC Parks' citywide swim teams! Register at http://t.co/8ZHft1ASVL for tryouts. http://t.co/ImfKABOUIP</t>
  </si>
  <si>
    <t>Happy birthday, Gandhi! Honor him at this monument in @UnionSquareNY: http://t.co/OOzfUZLsxf http://t.co/sLpN4FmlGB</t>
  </si>
  <si>
    <t>Due to the weather, this year's Raptor Fest has been cancelled. For other upcoming Urban Park Ranger events, visit http://t.co/8NK03gRzfK.</t>
  </si>
  <si>
    <t>RT @nycgov: Free @ShapeUpNYC classes are a great way to get active &amp;amp; stay healthy. Find one near you: http://t.co/jRmqhj5uvw http://t.co/Qj…</t>
  </si>
  <si>
    <t>From Young Frankenstein to Addams Family, we’re showing our fave Halloween films for free https://t.co/gPqqC3vgaX https://t.co/Yk4iTHbnnp</t>
  </si>
  <si>
    <t>Find a pool that you can swim at year-round, at these rec centers: http://t.co/mUXxya7qVJ http://t.co/Z9S5AnPm1I</t>
  </si>
  <si>
    <t>It's October and we're ready for Halloween w/haunted tours, parades, costume contests, &amp;amp; more http://t.co/dIXNA7Jkxq http://t.co/apMNvwarVy</t>
  </si>
  <si>
    <t>Planning a camping trip? Learn the basics at a free workshop. Register today only: http://t.co/2FnpgNnnpF http://t.co/DcYPDP9Zqr</t>
  </si>
  <si>
    <t>@lovesunsetpark @NYPD72Pct @mitchell_silver Please report noise complaints to @nyc311 at http://t.co/z8Uh9CLVeJ.</t>
  </si>
  <si>
    <t>One bracelet can help you build a shelter, fish, &amp;amp; start a fire. We’ll teach you to make it: http://t.co/5W1T2SxbFB http://t.co/jJYzkYrKas</t>
  </si>
  <si>
    <t>Visit Theodore Roosevelt Park to check out the newest additions to the monument: http://t.co/mPZv4a9GgR https://t.co/fCkZGqF2qN</t>
  </si>
  <si>
    <t>The 6th Paralympic youth track &amp;amp; field open is 10/13. Register or come cheer on the athletes: http://t.co/8aygV65L6O http://t.co/4fBLJqaVX9</t>
  </si>
  <si>
    <t>Get email updates from us. Subscribe to our newsletters for info about events and programs: http://t.co/LOA5Ua8KRf http://t.co/NcCkK3DBu7</t>
  </si>
  <si>
    <t>For Nicholas Holiber, NY is a Goliath to be slayed, inspiring this piece in Tribeca Park http://t.co/tmlvRNdcEo http://t.co/YU63KJiprQ</t>
  </si>
  <si>
    <t>Train like a professional, for free, at these open running nights at @randallsisland: http://t.co/1fM4AEiFlL http://t.co/MTrn38zicj</t>
  </si>
  <si>
    <t>We're teaching girls how to code &amp;amp; build apps at free workshops in the BX. To register, visit http://t.co/9tsmSSUxIv http://t.co/w3DndqbpW6</t>
  </si>
  <si>
    <t>Yes, you can raise chickens in NYC. Find out how at these upcoming workshops with @NYRP: http://t.co/WTzV3ac4OA http://t.co/I26sYgXUXC</t>
  </si>
  <si>
    <t>Bike along @freshkillspark on this new greenway and get a glimpse of the park of the future: http://t.co/oZjvwTmKYV http://t.co/7VZiSRX1Kn</t>
  </si>
  <si>
    <t>We’re having a Medieval Festival in The Cloisters' backyard, w/jousts, jesters, &amp;amp; more: http://t.co/7nzjRgxKyH http://t.co/2sPuvXTo91</t>
  </si>
  <si>
    <t>@monicashane Thanks for reporting! Please let @nyc311 know at http://t.co/kXwURvQlsG or via DM so the issue can be routed correctly.</t>
  </si>
  <si>
    <t>@HilaryRusso Thanks for reporting!</t>
  </si>
  <si>
    <t>This rec center program teaches teens to make videos, apps, websites, &amp;amp; more: http://t.co/BfezR2r1Bx http://t.co/yz4zwezijO</t>
  </si>
  <si>
    <t>Eager for more astronomical happenings? Learn about our meteor shower watches, and more: http://t.co/rceobCwbZg http://t.co/0X7acMIKT0</t>
  </si>
  <si>
    <t>See a mess in your park? DM @nyc311 or report it at http://t.co/kXwURvQlsG and let us know.</t>
  </si>
  <si>
    <t>Explore New York City with an Urban Park Ranger. Find upcoming tours, hikes, &amp;amp; workshops: http://t.co/8NK03gRzfK http://t.co/rz7WiaXCYl</t>
  </si>
  <si>
    <t>RT @nycgov: Check out @ShapeUpNYC's list of 200+ free fitness classes offered through @nycparks across the five boroughs: http://t.co/X6my2…</t>
  </si>
  <si>
    <t>Fall means birds flying south and our parks are a great place to spot them: http://t.co/0L9scPKXTS http://t.co/ESRrtor9Es</t>
  </si>
  <si>
    <t>|REPLAY| Atop NYC'S Little Red Lighthouse #katch #Periscope http://t.co/3f3cjkKf3n http://t.co/oOn9zoMuCh</t>
  </si>
  <si>
    <t>LIVE on #Periscope: Atop NYC'S Little Red Lighthouse https://t.co/sWpk3LtKmK</t>
  </si>
  <si>
    <t>Pope Francis has arrived in @CentralParkNYC. We are honored to welcome @Pontifex. #PopeinNYC http://t.co/cxfdnT2Dtq</t>
  </si>
  <si>
    <t>Brooklyn’s having a harvest fair, w/cider making, music, &amp;amp; a tour of NYC’s oldest house: http://t.co/6zWaCRlfjs http://t.co/Sv25pULiIf</t>
  </si>
  <si>
    <t>A new art exhibition opens at @SocratesPark this weekend. Come check it out! http://t.co/Pr3Ls44U4x http://t.co/DSV73HfpIR</t>
  </si>
  <si>
    <t>RT @SteveMartinToGo: Pretty sure it's the Pope! http://t.co/EZgji1XZej</t>
  </si>
  <si>
    <t>Happy Friday! Here are some fun things to do in NYC's parks this weekend: http://t.co/GwJAqVBp02 http://t.co/EpBMUVg36M</t>
  </si>
  <si>
    <t>RT @NYCMayorsOffice: Everything you need to know if you're attending today's historic Central Park procession with @pontifex: http://t.co/2…</t>
  </si>
  <si>
    <t>Parts of @CentralParkNYC are closed for the @pontifex procession today. Find out what’s open: http://t.co/SruVQhQDyT http://t.co/Fihoa3eYMy</t>
  </si>
  <si>
    <t>@ChrisGrenard @nyc311 👏</t>
  </si>
  <si>
    <t>The Bronx Native American Festival is on Sunday! Enjoy live performances, yummy food, &amp;amp; more: http://t.co/07qRshzcs3 http://t.co/MsFd7V33jZ</t>
  </si>
  <si>
    <t>At first glance, you'd think this clock in @CentralParkNYC tells the wrong time. But does it? http://t.co/fytG3dssfh http://t.co/3K3LhbHU3i</t>
  </si>
  <si>
    <t>Take a wander through NYC’s great outdoors with these free hiking trips: http://t.co/q0SSGDJ5HW http://t.co/luriCY74dh</t>
  </si>
  <si>
    <t>|REPLAY| Coney Island Wonder Wheel #katch #Periscope http://t.co/KSxqBbqjhP http://t.co/aBXOlmwrxA</t>
  </si>
  <si>
    <t>We're live on @periscopetv at Coney Island! Join us on the tour: http://t.co/Eb8BPcizLz</t>
  </si>
  <si>
    <t>We're going up on the Wonder Wheel to get a good look at Coney Island. Watch live on @periscopetv at 1 p.m.! http://t.co/V9UaOmN898</t>
  </si>
  <si>
    <t>John Paul II holding mass in @CentralParkNYC and other times there’s been a #PopeinNYC. #tbt http://t.co/CnVYt2FdCq http://t.co/OHda3V46he</t>
  </si>
  <si>
    <t>RT @NYCMayorsOffice: For more information about Pope Francis' Central Park procession, visit http://t.co/29iDoExDXQ #PopeInNYC http://t.co/…</t>
  </si>
  <si>
    <t>.@RandallsIsland is having a family fishing day this Saturday with games and arts &amp;amp; crafts! http://t.co/HvIpRyOFwd http://t.co/CRqAYp7hQr</t>
  </si>
  <si>
    <t>@KeithDiRienzo So sorry to hear this! If possible, could you report to @nyc311 at http://t.co/kXwURvQlsG? That will help us track the issue</t>
  </si>
  <si>
    <t>Ending Friday: this free exhibit in @CentralParkNYC about 9 of our landmarked parks: http://t.co/kUhSoKdtI6 http://t.co/haHvzq7dwI</t>
  </si>
  <si>
    <t>We're planning to redevelop of SI's east shore parks &amp;amp; beaches. Share ideas at trmw's meeting http://t.co/c5ikvmTPiS http://t.co/TQIvYof0eh</t>
  </si>
  <si>
    <t>@HealthStudent Thanks for notifying us! We've passed on your comments for an internal investigation.</t>
  </si>
  <si>
    <t>Join our free Wheelchair Flag Football League on Saturdays in Forest Park, through November 7 http://t.co/DcOe6mmoEK http://t.co/BjjQ7G3wgH</t>
  </si>
  <si>
    <t>Coming up this fall: jousting, jesters, and more at Fort Tryon’s Medieval Fest: http://t.co/7nzjRgxKyH http://t.co/8JGb10qdrU</t>
  </si>
  <si>
    <t>Inwood has the last remaining natural forest in Manhattan. Get to know it on this free tour: http://t.co/uBbtSGD3XG http://t.co/Cs6Z4rKybf</t>
  </si>
  <si>
    <t>Check out this season's upcoming festivals, from harvest fairs to Halloween celebrations: http://t.co/zAgR6ERZ5K http://t.co/riV1dgnc8a</t>
  </si>
  <si>
    <t>@DOSierra7 Hi Daniel, this is Clove Lakes Park in Staten Island. For more info about Clove Lakes Park, visit http://t.co/RFYr7w6Cia.</t>
  </si>
  <si>
    <t>Happy #FirstDayofFall! 🍂🍁Find the best places to see fall foliage, &amp;amp; more: http://t.co/MgxR8z1XU6 http://t.co/CJFwj1N4zv</t>
  </si>
  <si>
    <t>Today’s National Voter Registration Day, so sign up to vote at any of our rec centers: http://t.co/zqMyCiVgg2 http://t.co/kzMcMlVGq4</t>
  </si>
  <si>
    <t>@anthonyweiner Not too rare! A hawk occasionally visits @UnionSquareNY from its regular perch at Wash. Sq. More at http://t.co/33PfvAfQiY.</t>
  </si>
  <si>
    <t>Today’s the last day of summer, and boy was it a good one. Thanks for spending it with us, NYC. http://t.co/zE0jrI2wlO</t>
  </si>
  <si>
    <t>Are you in a wheelchair? Join our flag football league for athletes of all abilities: http://t.co/DcOe6mmoEK http://t.co/smL8pJ4fTk</t>
  </si>
  <si>
    <t>@timetravelkelly Thanks and good luck!</t>
  </si>
  <si>
    <t>Thrilled to have worked w/@NYC_DOT on building #1000miles of #bikenyc lanes. Bike by us soon. http://t.co/MQ52SqpRh8 http://t.co/LBm7CTwad4</t>
  </si>
  <si>
    <t>Celebrate the island of Manhattan’s only lighthouse on Sat, w/free tours, music, &amp;amp; more: http://t.co/WA9jCXrbIZ http://t.co/fdngyWhIXV</t>
  </si>
  <si>
    <t>@timetravelkelly Hi Badger, unfortunately it looks like there are no weekend sports permits still available in Manhattan for the season.</t>
  </si>
  <si>
    <t>Look who we found at @freshkillspark: NY’s official reptile, the snapping turtle. http://t.co/uM7Sff9UxK http://t.co/cGL5xtittW</t>
  </si>
  <si>
    <t>@NYCRobyn Foraging isn't permitted in any of the parks, including @CentralParkNYC, but now's a great time for buying apples at greenmarkets</t>
  </si>
  <si>
    <t>@NYCRobyn @metmuseum An inspiration to us all!</t>
  </si>
  <si>
    <t>@NYCRobyn We think you're looking at a katydid! They hide well, but can be found throughout NYC.</t>
  </si>
  <si>
    <t>@timetravelkelly We'll look into it! When did you apply for the permit, and was it sports or special events?</t>
  </si>
  <si>
    <t>@timetravelkelly Hi Badger! What borough did you apply to have wedding soccer in?</t>
  </si>
  <si>
    <t>It was under this tree that Washington witnessed the Great Fire of NY, on this day in 1776. http://t.co/zVRq3LZ1ak http://t.co/NGtP56VPLw</t>
  </si>
  <si>
    <t>RT @CentralParkNYC: PARK CLOSED | POPE FRANCIS VISIT Friday 9/25 5am-7pm CPW-5th Ave, 59th-81st Sts Full details: http://t.co/VMGaCs4oEf ht…</t>
  </si>
  <si>
    <t>On October 3, you can see hawks, owls, and falcons close up at our Raptor Fest: http://t.co/eXddkivRQa http://t.co/lWWipN3UFY</t>
  </si>
  <si>
    <t>This week’s free outdoor movies include Frozen, Annie Hall, &amp;amp; When Harry Met Sally: http://t.co/9J6E5eGhjd http://t.co/ZcbW421PGw</t>
  </si>
  <si>
    <t>We're looking for volunteers to help us fix up forest trails in Alley Pond Park. Sign up at http://t.co/7lBTZ7gjfb. http://t.co/ti4yekfe3I</t>
  </si>
  <si>
    <t>@myladyfriend @NYCMayorsOffice @nyc311 Use our new Capital Project Tracker for updates on this project's progress: http://t.co/bBR17QNhMS</t>
  </si>
  <si>
    <t>Hudson Yards isn't just a subway station, it's also a park. A park you can take the 7 to. http://t.co/eJer5AaYKQ http://t.co/QM0uAiY14Q</t>
  </si>
  <si>
    <t>See if you can find your way through the maize maze at @queensfarm, on weekends through 10/25 http://t.co/CNM8kutjUp http://t.co/U8ptcN8GjL</t>
  </si>
  <si>
    <t>Autumn officially starts Wednesday. Here’s what you have to look forward to: http://t.co/MgxR8z1XU6 http://t.co/B5CLmfqvYI</t>
  </si>
  <si>
    <t>RT @nycgov: Subscribe to @NYCParks’ Newsletters to keep up with everything happening in your local park. http://t.co/1Iu6FdYaKE http://t.co…</t>
  </si>
  <si>
    <t>Happy Friday, NYC! Here are some fun things to do in NYC's parks this weekend: http://t.co/GwJAqVBp02 http://t.co/7sWFLKYmm2</t>
  </si>
  <si>
    <t>Put your friends to the challenge at our obstacle course, with a zip line &amp;amp; human swingshot: http://t.co/KIDf3fiULa http://t.co/OuIg52I4kQ</t>
  </si>
  <si>
    <t>Become a fitness instructor. Sign up for @ShapeUpNYC's 10-week training: http://t.co/EX81lXlRB0 http://t.co/sWJXkdz6PR</t>
  </si>
  <si>
    <t>See marble formed in NYC, a Revolutionary War site, &amp;amp; this great tree on a tour of Isham Park http://t.co/dv39Nnozou http://t.co/6TWKcAiWt8</t>
  </si>
  <si>
    <t>Oh @MissPiggy, we found this lovely photo of vous enjoying one of our carousels. We hope you visit again. #tbt http://t.co/Ad6zmiABlq</t>
  </si>
  <si>
    <t>Explore NYC’s oldest standing bridge, now reopened to the public, w/these free events: http://t.co/aqkl8JqUmO http://t.co/oeM1Tdep6e</t>
  </si>
  <si>
    <t>@kitson @tinkelwoman @NYCmorningside @BrianLehrer Clearly he enjoys Morningside's fine sports facilities.</t>
  </si>
  <si>
    <t>Come watch a special preview of @LimitlessCBS, outdoors at @prospect_park tomorrow evening: http://t.co/w6wA9AA3zw http://t.co/5upMZv7bgY</t>
  </si>
  <si>
    <t>@kitson @NYCmorningside @BrianLehrer That’s some #NYFW level posing.</t>
  </si>
  <si>
    <t>We need your help to restore Little Bay Park’s forest. Sign up to volunteer at http://t.co/AEa6c2GuLA. http://t.co/dRQj6lHMzE</t>
  </si>
  <si>
    <t>See the 1st supermoon lunar eclipse in 33 yrs on 9/27! Register today only at http://t.co/YuoJStANeK to watch w/us. http://t.co/RC1ssPGfPh</t>
  </si>
  <si>
    <t>Hey #StatenIsland, we want to hear from you about redeveloping the east shore’s parks. http://t.co/c5ikvmCerk http://t.co/iswLXlO06G</t>
  </si>
  <si>
    <t>We're having a huge chess tournament in @CentralParkNYC this Saturday! Register to play: http://t.co/bIdVUUJmlF http://t.co/59KVIcMH7E</t>
  </si>
  <si>
    <t>Take a trip through Brooklyn in search of early fall migrants. Enter the lottery today only: http://t.co/J1bicPyYXz http://t.co/6TzG6sZhiy</t>
  </si>
  <si>
    <t>This little gator was found in Flushing Meadows today &amp;amp; is with our Rangers now for care. #seeyoulateralligator http://t.co/pH6M0MQwlx</t>
  </si>
  <si>
    <t>We've got cool art in our parks, like trees made of mirrors, music booths, &amp;amp; giant heads: http://t.co/9OXNpfqSj0 http://t.co/5Sl5BeGQAX</t>
  </si>
  <si>
    <t>RT @BklynBrdgPark: Construction is underway on ONE°15 Brooklyn Marina! When complete, it’ll provide a wealth of aquatic programs. http://t.…</t>
  </si>
  <si>
    <t>This Victoria crowned pigeon at @prospectparkzoo is ready for #NYFW. (photo by @julielmaher/@TheWCS) http://t.co/fVlPwKxTju</t>
  </si>
  <si>
    <t>See great oak trees, exotic plants, &amp;amp; where to spot hawks on this free hiking trip in the BX http://t.co/aHNPgdi9Uh http://t.co/mhBuf3oXhA</t>
  </si>
  <si>
    <t>Try out your best dance moves at this Grease-themed roller disco party at @prospect_park: http://t.co/YnbBlo2OPF http://t.co/3dhfgEz4nQ</t>
  </si>
  <si>
    <t>We're live on the High Bridge right now on @periscopetv! Check out the view at https://t.co/OPaFBYakd9</t>
  </si>
  <si>
    <t>Join us on @periscopetv at 10am for a walk across the High Bridge, NYC’s oldest standing bridge. http://t.co/yBtg06YKHl</t>
  </si>
  <si>
    <t>@svershbow @BrianLehrer @mitchell_silver We &amp;amp; @centralparknyc evaluate need for fountains w/each project &amp;amp; take opportunities to add more</t>
  </si>
  <si>
    <t>@svershbow @BrianLehrer @mitchell_silver  Plumbing renovations to historic parks is unfortunately complicated &amp;amp; expensive (3/4)</t>
  </si>
  <si>
    <t>@svershbow @BrianLehrer @mitchell_silver More are being added with the @centralparknyc playground renovations. (2/4)</t>
  </si>
  <si>
    <t>@svershbow @BrianLehrer @mitchell_silver So sorry for the delayed response! @CentralParkNYC currently has 139 drinking fountains (1/4)</t>
  </si>
  <si>
    <t>Help us count street trees in your neighborhood. Become a #TreesCount2015 volunteer. Sign up http://t.co/1iGDdVdk1F http://t.co/uPqIMfrcwm</t>
  </si>
  <si>
    <t>Explore NYC's parks w/a park ranger. Learn about upcoming hiking events, canoe trips, &amp;amp; more http://t.co/8NK03gRzfK http://t.co/ViXHVa26eZ</t>
  </si>
  <si>
    <t>We're looking for volunteers to help us clean up some of our waterfront parks. Sign up at http://t.co/PQEJJpRzYs. http://t.co/DhxLUcedFM</t>
  </si>
  <si>
    <t>An ocean-themed parade comes to Rockaway Boardwalk on Saturday! Here's where to watch it, &amp;amp; how you can participate: http://t.co/WAj6X5yDIH</t>
  </si>
  <si>
    <t>Find running tracks, fitness paths, &amp;amp; upcoming races in our parks at http://t.co/ptZYoqWbAX. #mondaymotivation http://t.co/YB9Zpj8QxD</t>
  </si>
  <si>
    <t>This week's free movies in the park: Annie Hall, The Wiz, 42, Maleficent, Frozen, &amp;amp; more: http://t.co/SkEVevJlFL http://t.co/Ol3AQKXN6j</t>
  </si>
  <si>
    <t>@CADBII @nyc311 Hi Christina, you can check the status of a service request here: http://t.co/NLYgftJDZs, or contact @nyc311.</t>
  </si>
  <si>
    <t>Come to Washington Square Park this Sunday for an afternoon of folk music and square dancing http://t.co/q6ijyhLxBG http://t.co/I8OjEgobzG</t>
  </si>
  <si>
    <t>Learn about the history behind some of NYC's most iconic fountains: http://t.co/lq6uTQg0Ja http://t.co/1C6UOrVPeM</t>
  </si>
  <si>
    <t>The Survivor Tree was nursed back to health in Van Cortlandt Park before returning to the 9/11 Memorial in 2010. http://t.co/TML9H5IoZr</t>
  </si>
  <si>
    <t>@moment_ny While Postcards is not set in an official City park, it is a beautiful tribute to the 274 Staten Islanders lost that day.</t>
  </si>
  <si>
    <t>#NeverForget: Visit these memorials in NYC parks that commemorate September 11 http://t.co/HqLZm817GH http://t.co/GjJ5dgNZhj</t>
  </si>
  <si>
    <t>RT @NYCMayorsOffice: #NeverForget http://t.co/n8jPFy49Nb</t>
  </si>
  <si>
    <t>Hike the greenway from Thomas Jefferson Park to @randallsisland for some amazing views: http://t.co/PKZcDDUjR6 http://t.co/NRIXzfKmZq</t>
  </si>
  <si>
    <t>Made plans for this weekend yet? Find fun things to do in NYC's parks: http://t.co/GwJAqVBp02 http://t.co/CXFIgc0V1D</t>
  </si>
  <si>
    <t>Happy 3rd birthday to @WNYC Transmitter Park, former home of the radio station’s towers: http://t.co/gLBblcRSoH http://t.co/9sQ82zgTsM</t>
  </si>
  <si>
    <t>Explore some of the Bronx's riverfront parks on a 46-mile bike tour w/the @BxRiverAlliance. http://t.co/DF3FqUmdRp http://t.co/tLAsgSp18y</t>
  </si>
  <si>
    <t>#tbt to Serena Williams playing at the US Open in Flushing Meadows Corona Park last year. http://t.co/2o9VDdLUb3</t>
  </si>
  <si>
    <t>@ThriveBklyn @nyc311 Update: the cans should be back on the parkway by the end of today.</t>
  </si>
  <si>
    <t>@ThriveBklyn Thanks for telling us! Please report to @nyc311 via DM or at http://t.co/kXwURvQlsG. Reporting will help us track yr complaint</t>
  </si>
  <si>
    <t>We’re all abuzz about this honey festival in Rockaway Beach Saturday, w/tastings&amp;amp; more: http://t.co/U3ZmpmWSH8 http://t.co/2CKHySG8U5</t>
  </si>
  <si>
    <t>RT @nyc311: Great news: @NYCParks 2015 beach season has been extended until 9/13. Find a City beach online here: http://t.co/uaJaUiUJBz</t>
  </si>
  <si>
    <t>Want to lead free fitness classes in NYC? Train to become a fitness instructor w/@ShapeUpNYC http://t.co/EX81lXlRB0 http://t.co/u8LVxuiTL7</t>
  </si>
  <si>
    <t>@INeed_ANap @deBlasioNYC @NYCMayorsOffice  Reporting to @nyc311 helps us track your complaint &amp;amp; make sure it goes to the right people. (2/2)</t>
  </si>
  <si>
    <t>@INeed_ANap @deBlasioNYC @NYCMayorsOffice  Thanks for letting us know! Please report to @nyc311 by DM or at http://t.co/kXwURvQlsG. (1/2)</t>
  </si>
  <si>
    <t>Make sure your kids have fun &amp;amp; keep active this fall. Register for our flag football league: http://t.co/Bpj2nWp2aW http://t.co/fASQ6R6MDg</t>
  </si>
  <si>
    <t>Check out @photovillenyc, a photography exhibit in shipping containers at @BklynBrdgPark. http://t.co/0siBoTXNhd http://t.co/zrWcUZ5pD7</t>
  </si>
  <si>
    <t>This is your last chance this year to camp in @prospect_park. Enter the lottery today only: http://t.co/Dn1Oy4athh http://t.co/4dTK12xPtk</t>
  </si>
  <si>
    <t>Celebrate @greenthumbgrows's community gardens w/free workshops and a cooking contest on 9/12 http://t.co/3vrSag1pKe http://t.co/4ETnvv6BeP</t>
  </si>
  <si>
    <t>Compete to represent your borough in this year’s citywide bocce tournament: http://t.co/RPBCDUsRks http://t.co/hqlFKuAeU8</t>
  </si>
  <si>
    <t>.@NYCSchools open tomorrow! Find out about our free afterschool programs for kids: http://t.co/gWREuZGtRY. http://t.co/VGeG897OUA</t>
  </si>
  <si>
    <t>The #parkequity improvements will change the way neighborhoods interact with their parks. http://t.co/ytLxRVtu5t http://t.co/QxhGe3eMff</t>
  </si>
  <si>
    <t>Today, we’ve announced the completion of targeted improvements at 60 parks through the Community Parks Initiative. http://t.co/ytLxRVtu5t</t>
  </si>
  <si>
    <t>@pjgreen1964 There are service changes at Rockaway Beach. For the complete list of sections open for swimming, visit: http://t.co/yiQt5U5BGX</t>
  </si>
  <si>
    <t>Our beach season has been extended to Sept.13! Most city beaches are open w/limited service. http://t.co/W2Ul2oo2zf http://t.co/rVy8vMcuBg</t>
  </si>
  <si>
    <t>This week’s free movies include Muppets Take Manhattan, Kramer Vs. Kramer &amp;amp; Into the Woods: http://t.co/SkEVevJlFL http://t.co/L3wUnzU6Y2</t>
  </si>
  <si>
    <t>Take a ride on @JanesCarousel in @BklynBrdgPark. It's open from 11 am to 7 pm this weekend! http://t.co/RSsUcmKes5</t>
  </si>
  <si>
    <t>Going to the beach this Labor Day weekend? Stay safe with these tips: http://t.co/jf4AAZ3FTz http://t.co/Ak8yMF2n2g</t>
  </si>
  <si>
    <t>Walk across the High Bridge, NYC's oldest standing bridge—reopened after closing for decades. http://t.co/0gj6TK3ykA http://t.co/MnEFcCUJhF</t>
  </si>
  <si>
    <t>Be among the first to see @freshkillspark! Sign up for free tours, hikes, and kayaking trips: http://t.co/uM7Sff9UxK http://t.co/mTAOTxsu7G</t>
  </si>
  <si>
    <t>Thinking about becoming a lifeguard next year? Come to this Q&amp;amp;A on 9/8 &amp;amp; learn how to qualify http://t.co/0oeO1AHgKl http://t.co/o4SM9JOcPk</t>
  </si>
  <si>
    <t>Happy Friday! Find fun things to do in NYC's parks this #LaborDay weekend: http://t.co/GwJAqVBp02 http://t.co/gQY4nzeC2P</t>
  </si>
  <si>
    <t>225 spray showers now have shut-off timers &amp;amp; activation buttons to help NYC cool down &amp;amp; save water. Thanks @NYCWater http://t.co/ukxNGH1TX9</t>
  </si>
  <si>
    <t>Visit the @RiversideParkNY county fair for carnival rides, aerialists, cotton candy, &amp;amp; more: http://t.co/tF41zc7gH1 http://t.co/CNBID0jpd1</t>
  </si>
  <si>
    <t>There's a silent disco today in LIC! Party w/us &amp;amp; @LincolnCenter at Hunter's Point South Park http://t.co/QxgbLkhM3T http://t.co/lyG0MZCk6k</t>
  </si>
  <si>
    <t>Explore the Bronx River by canoe with the @BxRiverAlliance on Saturdays! To sign up, visit: http://t.co/eLMtOwT0Nr http://t.co/VFFZxMXPgG</t>
  </si>
  <si>
    <t>The lottery to attend the 9/25 @pontifex procession in @centralparknyc opens today. http://t.co/lBkKd79lw0 to enter. http://t.co/92llNb1m3r</t>
  </si>
  <si>
    <t>Explore your city this Labor Day. Check out our list of parks to visit on an NYC staycation: http://t.co/70jMqYPwFy http://t.co/TuSkVziKic</t>
  </si>
  <si>
    <t>The always classic Astoria Pool in 1936. Make sure to get there before the summer ends. #tbt http://t.co/OcNJNdFYV7 http://t.co/HTu8b7lLr7</t>
  </si>
  <si>
    <t>@KeithHopkin @NoProSports Reporting to @nyc311 helps us keep track of your complaints &amp;amp; ensure they're routed correctly. Thanks so much!</t>
  </si>
  <si>
    <t>@KeithHopkin @NoProSports Thanks for reporting, we'll look into it. If possible, please tell @nyc311 by DM or at http://t.co/kXwURvQlsG.</t>
  </si>
  <si>
    <t>@phatbhuda If you can provide the closest street address we'd be glad to confirm. (2/2)</t>
  </si>
  <si>
    <t>@phatbhuda These look like they might be @NYCWater bioswales, which are small areas of greenery that absorb rainfall. (1/2)</t>
  </si>
  <si>
    <t>@CSmithDesigns Outdoor pools are currently scheduled to close on Labor Day. Most beaches will remain open for another week.</t>
  </si>
  <si>
    <t>It might be September but it’s still hot out. Visit our free outdoor pools and cool off: http://t.co/t8Z4O8MUiH http://t.co/YR63tOuY5p</t>
  </si>
  <si>
    <t>@nancercize @USASwimming @mitchell_silver Thanks! Great news: our Learn to Swim classes are also year-round! More info on our site soon!</t>
  </si>
  <si>
    <t>@47secrets Our site! Head to http://t.co/GZm0HxOOW3 for a few highlights, or http://t.co/1kN3VusewP to for a complete list.</t>
  </si>
  <si>
    <t>@2AvSagas @bradlander Our friends @NYC_DOT manage street lights. You can report the location to @nyc311 here: http://t.co/PHfvuEbyQ2</t>
  </si>
  <si>
    <t>@MobileGreg @periscopetv @UnionSquareNY Sorry! Yes. We were over-enthusiastic and under-height! Check the archives for the full story!</t>
  </si>
  <si>
    <t>RT @UnionSquareNY: The Washington statue in Union Square Park is the oldest monument in @NYCParks' collection. #NYCHistory</t>
  </si>
  <si>
    <t>LIVE on #Periscope: Union Square from Up in the Air https://t.co/ro9fAE7fDQ</t>
  </si>
  <si>
    <t>Join us on @periscopetv in 10 minutes! We’re going on a 30" lift in @UnionSquareNY to see this statue be preserved. http://t.co/y7XPkDNUd2</t>
  </si>
  <si>
    <t>We're looking for volunteers to help us fix up nature trails in Alley Pond Park. Sign up here: http://t.co/vb50S9Fmfj http://t.co/nmYPMRMaVY</t>
  </si>
  <si>
    <t>Get some friends together and compete in our annual free citywide bocce tournament. http://t.co/RPBCDUsRks http://t.co/Vt1W5dJu7m</t>
  </si>
  <si>
    <t>Camp overnight in NYC's largest park next weekend! Sign up today only: http://t.co/3USNsQyrzy. We'll bring tents! http://t.co/nyvNhzMVaw</t>
  </si>
  <si>
    <t>Coming up this month: Little Red Lighthouse Fest, free archery lessons, a harvest fair, &amp;amp; more http://t.co/zJlZEzj2lV http://t.co/FZ33Uq48Lv</t>
  </si>
  <si>
    <t>@hughsansom @BrianLehrer Depends on the person walking, but here’s a list of NYC’s ten largest parks: http://t.co/nTLXmU5X4w</t>
  </si>
  <si>
    <t>@opprecht @BrianLehrer We understand your concerns, however, the holiday markets are broadly popular, and will be back this year.</t>
  </si>
  <si>
    <t>@JoanByron @BrianLehrer @mitchell_silver Lots! We’re expanding staff, standardizing designs, &amp;amp; building transparency: http://t.co/u8bmkUbgBR</t>
  </si>
  <si>
    <t>@PitchandPass @BrianLehrer So sorry for the difficulty. It's a very popular program and we need to ensure that people confirm quickly.</t>
  </si>
  <si>
    <t>@2AvSagas @BrianLehrer @mitchell_silver @smorgasburg @prospect_park We’re working with @PPA to address the congestion issues of last weekend</t>
  </si>
  <si>
    <t>@sysut1 @BrianLehrer You can also save 10% on tennis permits with a free valid @IDNYC (3/3)</t>
  </si>
  <si>
    <t>@sysut1 @BrianLehrer Currently, seniors pay $20 a season and youth 17 and under pay only $10. (2/3)</t>
  </si>
  <si>
    <t>@sysut1 @BrianLehrer We’re reexamining pricing, esp. since fewer NYers are playing since the last administration’s increase. (1/3)</t>
  </si>
  <si>
    <t>@CitySpoonful @BrianLehrer You can also save 10% on tennis permits with a free valid @IDNYC (3/3)</t>
  </si>
  <si>
    <t>@CitySpoonful @BrianLehrer Currently, seniors pay $20 a season and youth 17 and under pay only $10. (2/3)</t>
  </si>
  <si>
    <t>@CitySpoonful @BrianLehrer We’re reexamining pricing, esp. since fewer NYers are playing since the last administration’s increase. (1/3)</t>
  </si>
  <si>
    <t>@joellen1010 @BrianLehrer Please report your concerns to @nyc311 by DM or at http://t.co/BXhKKGwA1O</t>
  </si>
  <si>
    <t>@fafa019 @BrianLehrer @mitchell_silver Reporting to @nyc311 helps us track the issue.</t>
  </si>
  <si>
    <t>@fafa019 @BrianLehrer @mitchell_silver Thanks for telling us! You can report to @nyc311 by DM or at http://t.co/kXwURvQlsG.</t>
  </si>
  <si>
    <t>@egbaker2 @BrianLehrer @mitchell_silver @withers and an additional $22 million for demolition on that site (3/3)</t>
  </si>
  <si>
    <t>@egbaker2 @BrianLehrer @mitchell_silver @withers The current budget includes nearly $50M to acquire the Bayside parcel this summer (2/3)</t>
  </si>
  <si>
    <t>@egbaker2 @BrianLehrer @mitchell_silver @withers Three parcels have been acquired (1/3)</t>
  </si>
  <si>
    <t>@withers @BrianLehrer @mitchell_silver &amp;amp; an additional $22 million for demolition on that site (3/3)</t>
  </si>
  <si>
    <t>@withers @BrianLehrer @mitchell_silver The current budget includes nearly $50M to acquire the Bayside parcel this summer (2/3)</t>
  </si>
  <si>
    <t>@withers @BrianLehrer @mitchell_silver Three parcels have been acquired (1/3)</t>
  </si>
  <si>
    <t>#HelloSeptember. Summer’s been pretty amazing, but we’re excited about fall. http://t.co/MgxR8z1XU6 http://t.co/C56fcsQ2OA</t>
  </si>
  <si>
    <t>This green space was once home to the nation’s first tide-powered mill. Explore it on 9/6: http://t.co/hhJMjOaJSY http://t.co/wXdeanRQSv</t>
  </si>
  <si>
    <t>RT @NYC_DOT: Let there be light! #StatenIsland fishing pier receives street light repairs by DOT, in collaboration with @NYCParks http://t.…</t>
  </si>
  <si>
    <t>Make the most of the last few weeks of summer with our summer bucket list: http://t.co/NTBqtSUoHQ http://t.co/HuogfadxhC</t>
  </si>
  <si>
    <t>RT @WNYC: The NYC beaches will be open 1 more week! Let's celebrate. http://t.co/FmKKhaIrNw @NYCParks</t>
  </si>
  <si>
    <t>Register today for this year’s last camping trip in Queens, at the historic Fort Totten Park: http://t.co/RIOYGBmPCZ http://t.co/zmZUjkJI0F</t>
  </si>
  <si>
    <t>RT @BilldeBlasio: Truly honored to announce His Holiness @Pontifex will travel through Central Park during his NYC visit: http://t.co/Pz2xq…</t>
  </si>
  <si>
    <t>Planning a cookout in the park for #LaborDayWeekend? Here's where BBQing is allowed: http://t.co/HZMevGfgmb http://t.co/M52OjbsW8p</t>
  </si>
  <si>
    <t>Want to display your artwork in an NYC park? Here's how you can: http://t.co/lTwTxCP9zK http://t.co/xnA2wyEAFz</t>
  </si>
  <si>
    <t>Before the summer ends, grab a bite to eat at these spots in our parks: http://t.co/Cy0wdF1NwB http://t.co/SC4VhrW6O4</t>
  </si>
  <si>
    <t>Join an international effort to clean up coast lines, with these volunteer events: http://t.co/Ja9s38dcPg http://t.co/avOxzUYEkp</t>
  </si>
  <si>
    <t>Sign up to become a @ShapeUpNYC fitness instructor &amp;amp; help keep your community healthy: http://t.co/EX81lXlRB0 http://t.co/CvABjjd95M</t>
  </si>
  <si>
    <t>@TiffanyAndLupus @MillionTreesNYC We will be hosting more street tree workshops. Keep an eye on http://t.co/XECmRSIQ1J for listings. Thanks!</t>
  </si>
  <si>
    <t>This week's free movies in the park: Grand Budapest Hotel, When Harry Met Sally, and more! http://t.co/SkEVevJlFL http://t.co/wvvGVkCWrB</t>
  </si>
  <si>
    <t>Looking to explore Queens a bit more? Visit these lovely parks in the borough: http://t.co/JU8Z2jBT9J http://t.co/CwxgGPgU4O</t>
  </si>
  <si>
    <t>Dance the night away! We've got a silent disco, a Great Gatsby party, &amp;amp; more outdoor dancing: http://t.co/wY3SZ3pB9l http://t.co/C26j4v1YPY</t>
  </si>
  <si>
    <t>Two summers ago, we opened a beautiful waterfront park in LIC, Queens. Come explore it: http://t.co/1KcCs2vCDD http://t.co/uRNBKzRdt2</t>
  </si>
  <si>
    <t>Check out the new performance space at @SoundviewPark—perfect for movies, music &amp;amp; live theater http://t.co/hjC8z91yc9 http://t.co/RgmJNwRGf9</t>
  </si>
  <si>
    <t>Want to become a fitness instructor? Apply for this fall's training program with @ShapeUpNYC: http://t.co/EX81lXlRB0 http://t.co/u69yqXlKVn</t>
  </si>
  <si>
    <t>Happy Friday, NYC! Here are some fun things to do this weekend: http://t.co/GwJAqVBp02 http://t.co/neB4PvQCLE</t>
  </si>
  <si>
    <t>Planning a date in NYC with your cutie? Try these fun and romantic ideas: http://t.co/ugRi7MfK9b http://t.co/77ATE7PP9w</t>
  </si>
  <si>
    <t>Where to spot hawks? Try Pelham Bay Park, BX. Register today only for our hawk watch on Sept 6 http://t.co/pVOUKTvP13 http://t.co/uEf0I3gECS</t>
  </si>
  <si>
    <t>No really, this was Greenpoint’s McCarren Park in 1934. What do you think they were growing? #tbt http://t.co/SA7nGYMzbV</t>
  </si>
  <si>
    <t>RT @nyc311: If you love to bike, download @NYC_DOT NYC Cycling Map for the best streets, park paths, &amp;amp; bikeways: http://t.co/Fe1Ew1OBdC</t>
  </si>
  <si>
    <t>It's the perfect weather to explore New York City in a new way. Find some ideas here: http://t.co/8EWcjegIaS http://t.co/QpSr50WIXo</t>
  </si>
  <si>
    <t>Want to learn to ride a bike or get tips for cycling in NYC? Check out these free classes: http://t.co/xXpVwZXvQ3 http://t.co/sR8hYVCdvi</t>
  </si>
  <si>
    <t>Here's one way you can help count trees in your neighborhood for our #TreesCount2015 census: http://t.co/bxKmTAT2eI http://t.co/w9ZZi3KB5H</t>
  </si>
  <si>
    <t>@nygeog @BetaNYC @NYCDoITT NYC Parks uses abbreviations for boroughs in our data because we find them to be easily understood by the public.</t>
  </si>
  <si>
    <t>Learn how to fish with a rod or net at these free workshops with our Urban Park Rangers: http://t.co/4tEKzvgxyk http://t.co/17BQXyXMXP</t>
  </si>
  <si>
    <t>Guys, in our parks, every day is #NationalDogDay. Find dog runs and off-leash areas at http://t.co/83yPlaUb7W. http://t.co/kGEMYnyQ2z</t>
  </si>
  <si>
    <t>Meet the artists on a free tour of @randallsisland's waterfront art exhibit, FLOW.15. http://t.co/DbL4l2W2Kj http://t.co/1pTrOlpzGY</t>
  </si>
  <si>
    <t>@talyat Outdoor pools will be closing on Labor Day. However for the first time we’re extending beach season at most beaches through 9/13.</t>
  </si>
  <si>
    <t>Enter the lottery today for the year’s last camping trip in Manhattan, in Inwood Hill Park: http://t.co/cs9oIsjC7z http://t.co/ufRhVf0t6t</t>
  </si>
  <si>
    <t>@gphillips384 We’ve removed the trash in the photo today. Keep contacting @nyc311 if you continue to see any issues in the future. (2/2)</t>
  </si>
  <si>
    <t>@gphillips384 Thanks for reporting. We’ve had a few delays w/pickup recently, but we aim to service the site as often as possible. (1/2)</t>
  </si>
  <si>
    <t>Do you work with a Parks or green non-profit? Visit http://t.co/3hJMqSVSJW, a new resource for nonprofit organizations.</t>
  </si>
  <si>
    <t>@tymekz187 Thanks! Please report, with the park name, to @nyc311 at http://t.co/kXwURvQlsG. Reporting it helps us track yr complaint.</t>
  </si>
  <si>
    <t>@12KLin @thebatterynyc Yes we are!</t>
  </si>
  <si>
    <t>There’s a new, fish-themed carousel at @thebatterynyc &amp;amp; it lights up at night. http://t.co/yBDi0IwDvD</t>
  </si>
  <si>
    <t>How many of the flowers in this video can you identify? http://t.co/bgFbXyIk6M</t>
  </si>
  <si>
    <t>Take a free tour of Harlem's beautiful community gardens with @greenthumbgrows this weekend: http://t.co/esWbAnw0WA http://t.co/cjK6Pe0utE</t>
  </si>
  <si>
    <t>@EmofitKat We appreciate your concern! You can contact @thebatterynyc at info@thebattery.org for further discussion on the Labyrinth's hours</t>
  </si>
  <si>
    <t>Happy 99th birthday to @NatlParkService, our hero. Visit a national park here in NYC: http://t.co/Hwn4TO2KY2 http://t.co/EufeCit76h</t>
  </si>
  <si>
    <t>This Friday, we're having a free sports festival for kids w/face painting and arts &amp;amp; crafts. http://t.co/k15CAks0m4 http://t.co/rNzNWZADXw</t>
  </si>
  <si>
    <t>@JeffreyKeefer Hi there! The labyrinth at @thebatterynyc is open from 8AM to 3PM.</t>
  </si>
  <si>
    <t>We're having a free sports field day w/volleyball, speedminton, table tennis, &amp;amp; more at @RiversideParkNY on Thursday: http://t.co/rcaGeCZ49N</t>
  </si>
  <si>
    <t>Happy #NationalWaffleDay. We plan to celebrate like our favorite Parkie. http://t.co/Adm1p4NYVo</t>
  </si>
  <si>
    <t>9 of our parks are city landmarks. Come to the last days of this exhibit to learn about them: http://t.co/kUhSoJVSQy http://t.co/FwOUPkX3s7</t>
  </si>
  <si>
    <t>This week is your last chance to see these artworks at @SocratesPark. http://t.co/9OXNpfqSj0 http://t.co/Zcb2cHqiPO</t>
  </si>
  <si>
    <t>The #FirstDayofSchool is coming. Sign up for our free afterschool program starting today: http://t.co/gWREuZGtRY http://t.co/2ybwvhCJ4d</t>
  </si>
  <si>
    <t>This week’s free movies include The Incredibles, Die Hard, The Muppets Take Manhattan, &amp;amp; more: http://t.co/SkEVevJlFL http://t.co/y2ctWZ8IOh</t>
  </si>
  <si>
    <t>@petermgates Hi! This is the Floating Pool at Barretto Point Park in the Bronx. For more info about this pool, visit http://t.co/YMwzeD4GJ8.</t>
  </si>
  <si>
    <t>Go make a splash at the pool. Our free outdoor pools close in 2 weeks. Don't miss out. http://t.co/t8Z4O8MUiH http://t.co/EJWXRaukeq</t>
  </si>
  <si>
    <t>No really, it’s already #backtoschool season. Sign up for free afterschool starting Monday: http://t.co/N1Ngy5YjtE http://t.co/KLvEnTetTP</t>
  </si>
  <si>
    <t>Looking for an outdoor adventure? Take a free canoe trip on this lake in the Bronx: http://t.co/zXq3svxmc8 http://t.co/XYVT02aTyG</t>
  </si>
  <si>
    <t>This is the last weekend for Shakespeare in the Park this summer. Don’t miss it: http://t.co/jOuKFrNjsA</t>
  </si>
  <si>
    <t>Bring the kids to a free movie night in the park. Here's what's showing this weekend: http://t.co/SkEVevJlFL http://t.co/OeKDxXqoWZ</t>
  </si>
  <si>
    <t>Happy Friday, NYC. Here are 20 fun things to do in NYC's parks this weekend: http://t.co/GwJAqVBp02 http://t.co/kzBgJgj05I</t>
  </si>
  <si>
    <t>RT @nycgov: Check out these waterfront parks that have some of the best views of NYC’s bridges: http://t.co/TzLkdnNldS http://t.co/Sxs4bSiy…</t>
  </si>
  <si>
    <t>Come to Coney Island boardwalk tmrw night for the last of this summer's Friday night fireworks http://t.co/fsYlbV2e4P http://t.co/VWSXPtWEQF</t>
  </si>
  <si>
    <t>A lot has changed since the 60s, but @ConeyIslandFun is still a summer essential. #tbt http://t.co/FCgYo4tp04</t>
  </si>
  <si>
    <t>Did you know that Manhattan has its own fault line? Explore it on this free tour: http://t.co/dz8ccq6YXN http://t.co/cOFyFCBNc7</t>
  </si>
  <si>
    <t>Enjoy this beach with a lovely view of the Verrazano Bridge that towers 693 ft above the water http://t.co/cqVip5bmvB http://t.co/LeYUe7Muy6</t>
  </si>
  <si>
    <t>@jeff_boison We love your enthusiasm! @thebatterynyc carousel opens to the public today at 1pm, &amp;amp; will be open from 10am-10pm starting tmw.</t>
  </si>
  <si>
    <t>With your help, we’ve counted a quarter of NYC’s street trees. Help us find them all: http://t.co/1iGDdVdk1F http://t.co/lWzLSvD1XU</t>
  </si>
  <si>
    <t>RT @nycgov: Get fit with a view, at these outdoor exercise classes across the city. Visit @NYCParks: http://t.co/FTXYxVO01g http://t.co/4sI…</t>
  </si>
  <si>
    <t>@Melendez_1983 Thanks for telling us! If possible, please report to @nyc311 at http://t.co/i5Mi2dfqp4, which will help us track yr complaint</t>
  </si>
  <si>
    <t>Spend a relaxing afternoon at Fort Tryon Park w/stunning river views and a year-round garden. http://t.co/nFsOOV9Lbc http://t.co/qVcY1cLgs5</t>
  </si>
  <si>
    <t>Katniss has nothing on you. Enter the lottery today only for free archery lessons: http://t.co/JikvBQc2hu. http://t.co/EmMoFdKV1m</t>
  </si>
  <si>
    <t>Sign up today only to canoe around @randallsisland and its amazing natural areas: http://t.co/RRTXV0xYkM http://t.co/s2HRjePp6J</t>
  </si>
  <si>
    <t>@HenryBottjer Our park rangers are hosting camping events in all 5 boroughs. For more upcoming camping events, visit http://t.co/P0Kr6INjE4.</t>
  </si>
  <si>
    <t>Camp overnight in Alley Pond Park w/our park rangers. We'll bring tents. Sign up today only at http://t.co/cs9oIsjC7z http://t.co/VkjQsZk0nX</t>
  </si>
  <si>
    <t>Happy #WorldPhotographyDay. Find our favorite recent pics &amp;amp; get inspiration at http://t.co/h1PJ3H2b9Y. http://t.co/xpd1cY9OK9</t>
  </si>
  <si>
    <t>The SeaGlass Carousel at @thebatterynyc opens tomorrow! For more info, visit http://t.co/2fimua1J8t. http://t.co/WdVMoGluiv</t>
  </si>
  <si>
    <t>Find accessible pools, rec centers for NYers with disabilities, beaches w/mobi-mats, &amp;amp; more: http://t.co/8qhdCfhvbC http://t.co/EeEq9jSAkV</t>
  </si>
  <si>
    <t>Tomorrow, see the cast of Mad Hot Ballroom perform at the film's free screening outdoors in J Hood Wright Park: http://t.co/H3vmzptYmz 💃</t>
  </si>
  <si>
    <t>Labor Day’s only a couple weeks away. Make sure you’ve made the most of summer: http://t.co/NTBqtSUoHQ http://t.co/NDY26nTido</t>
  </si>
  <si>
    <t>Want to be the next great artiste?  Try this free rooftop painting workshop: http://t.co/U8kuLSP4NI http://t.co/9kQZpJjvzh</t>
  </si>
  <si>
    <t>Stay fit while keeping cool. Sign up for adult lap swim hours at our free outdoor pools: http://t.co/85Ezdbz01k http://t.co/Uyl6HVWBJ8</t>
  </si>
  <si>
    <t>Today only, register to camp out overnight in Marine Park, Brooklyn’s largest park: http://t.co/c4dBeQxznJ http://t.co/7P7Z2msE0B</t>
  </si>
  <si>
    <t>RT @SummerStage: HUGE NEWS! STEVIE WONDER is at #SummerStage30 TONIGHT in Central Park! Doors at 6pm. Information and tickets here: http://…</t>
  </si>
  <si>
    <t>Today's goal - find a spray shower: http://t.co/Nzc8QljBcy. #BeatTheHeat http://t.co/RIfK8h3P6q</t>
  </si>
  <si>
    <t>@15marilubx @BklynBrdgPark @nickisebastian @PublicArtFund On Pier 1 at Brooklyn Bridge Park. Here's a map: http://t.co/xC8aPZFhHC.</t>
  </si>
  <si>
    <t>This summer’s coolest art installation? The Appearing Rooms at @BklynBrdgPark: http://t.co/2LGvQGsuz7 http://t.co/aJNtxRmNFG</t>
  </si>
  <si>
    <t>This turtle knows that a perfect summer day involves sunbathing AND swimming. http://t.co/WDQo5HmgJk</t>
  </si>
  <si>
    <t>@mgomez426 See details on when and where these and other movies are playing at http://t.co/SkEVevJlFL.</t>
  </si>
  <si>
    <t>Stay cool, NYC. Drink plenty of fluids and wear sunscreen. Find more ways to #BeatTheHeat at http://t.co/7LX21fXEQl http://t.co/nu8W9ootMB</t>
  </si>
  <si>
    <t>@TheFunctuary @nwbx_nyc @NYPD50Pct Please report to @nyc311 at http://t.co/kXwURvQlsG or by DMing them. This can help us track yr complaint.</t>
  </si>
  <si>
    <t>This week’s free movies: West Side Story, When Harry Met Sally, Frozen, Pretty in Pink, &amp;amp; more http://t.co/SkEVevJlFL http://t.co/GKCYXJaL71</t>
  </si>
  <si>
    <t>It's the perfect weekend for a day at the beach! Stay safe while you're there with these tips: http://t.co/uy2Z4BLiYs http://t.co/oRMpd1oYoH</t>
  </si>
  <si>
    <t>Tmw is @NYC_DOT's last @SummerStreets of 2015, where you can play, run, &amp;amp; bike in some streets http://t.co/kEthCK8U64 http://t.co/f2YqovPjSN</t>
  </si>
  <si>
    <t>Too much of a city kid to know how to camp? We’ll teach you everything you need to know. http://t.co/dSzdvGO0Va http://t.co/1KMRpJQoHv</t>
  </si>
  <si>
    <t>Check out Tom Hanks’ Big in St. Nicholas Park tomorrow! https://t.co/KzomqirXKN</t>
  </si>
  <si>
    <t>Happy Friday, NYC! Here are some fun things to do this weekend in NYC's parks: http://t.co/GwJAqVBp02 http://t.co/VpzgC8GA0R</t>
  </si>
  <si>
    <t>Enjoy an afternoon of jazz performances at the festival in Roger Morris Park this weekend: http://t.co/j4w1XMBL3m http://t.co/kydIO9riVQ</t>
  </si>
  <si>
    <t>@rubendiazjr @News12BX @mitchell_silver We’re investigating the cause, and plumbers will be on site tomorrow.</t>
  </si>
  <si>
    <t>Enjoying the Red Hook Pool in the summer of 1938. #tbt Learn more about the pool today at http://t.co/DKby86aCnB. http://t.co/FzX1bJdkoV</t>
  </si>
  <si>
    <t>See NYC in a different way, with these canoe &amp;amp; kayak trips: http://t.co/o9Wv6y8qcz http://t.co/ODF1wpclDg</t>
  </si>
  <si>
    <t>@Amartinez1325 Hi Ashley, you can submit a tree service request here: http://t.co/lJRcqUk26r. Or visit http://t.co/B9mxzqg2cu for more info.</t>
  </si>
  <si>
    <t>Take a historic tour of the site of NYC’s two world fairs, at Flushing Meadows Corona Park: http://t.co/8ZrNZDbMHr http://t.co/ghwKe7DKO5</t>
  </si>
  <si>
    <t>Have you visited the Floating Pool? Go for a swim at this free pool with a view in the Bronx. http://t.co/YMwzeD4GJ8 http://t.co/QzQnDuNeH2</t>
  </si>
  <si>
    <t>It's beautiful out. Enjoy New York City at these lovely waterfront parks: http://t.co/F2TKkZocHQ http://t.co/6rOc5lRWaV</t>
  </si>
  <si>
    <t>RT @MadeinNY: Film fans, rejoice! We're bringing 150 free outdoor film screenings to @NYCParks near you. http://t.co/oFtYcauS4N http://t.co…</t>
  </si>
  <si>
    <t>See how much these 9 landmark NYC parks have evolved over the years, at this free art exhibit: http://t.co/kUhSoJVSQy http://t.co/wcxHftINBD</t>
  </si>
  <si>
    <t>We’re so excited to see @centralparknyc’s Bow Bridge. It is back open, and looking lovely.  http://t.co/C3al4Ddpxi http://t.co/3fosipf7nm</t>
  </si>
  <si>
    <t>Help us care for a young forest at this volunteer event in Staten Island on Saturday: http://t.co/UBrBHMN7Tm</t>
  </si>
  <si>
    <t>Let’s go fly a kite, at the Kite Flying Festival this Saturday at @RiversideParkNY. http://t.co/3UIMeRKV0h http://t.co/oUQhHoPNtP</t>
  </si>
  <si>
    <t>It's not too late to sign up for @BryantParknyc's spelling bee competition this Friday: http://t.co/M666OoZbv8 http://t.co/RidNCCfL2b</t>
  </si>
  <si>
    <t>Get a free tree guide &amp;amp; learn all about NYC’s urban forest when you join @nyctreescount: http://t.co/1iGDdVdk1F http://t.co/NWTgeXlSKH</t>
  </si>
  <si>
    <t>Camp overnight in @CentralParkNYC or Van Cortlandt Park next week! We'll bring tents. Sign up: http://t.co/P0Kr6INjE4 http://t.co/7FeT4A9TYO</t>
  </si>
  <si>
    <t>Get a new view of Brooklyn’s past &amp;amp; present with these free nighttime tours of @BklynBrdgPark: http://t.co/bJtsVXR6o8 http://t.co/GxwiosPEVu</t>
  </si>
  <si>
    <t>@twobridgestower @NYC_DOT Replacement slats have been ordered and are expected by the end of September.</t>
  </si>
  <si>
    <t>Join our park rangers on a special hike and canoe trip in Marine Park. Sign up today only: http://t.co/szYW0l2pJw http://t.co/SJ7HPMyLka</t>
  </si>
  <si>
    <t>At the Bklyn Chess Festival, you can learn to play, challenge your neighbors, or play a master http://t.co/qhuP2R4Z8I http://t.co/yTiPzP1mop</t>
  </si>
  <si>
    <t>Sign up for @hhtnyc's free poetry open mic night at this new interactive art opening at the Latimer House in Queens: http://t.co/DkxS3CzcIr</t>
  </si>
  <si>
    <t>We’re throwing a party on Thursday, with arts &amp;amp; crafts, games, and exercise classes: http://t.co/fNBWxfmRE2 http://t.co/OqFWn8yjNR</t>
  </si>
  <si>
    <t>@CKenyattaSmith Thanks for sending. We’ve shared with our Advocate (investigation team). They will look into it and respond if needed.</t>
  </si>
  <si>
    <t>Want to try out our obstacle course in Queens? Register today to visit this weekend for free: http://t.co/rKLKuoLO3v http://t.co/tfJgfMwSPm</t>
  </si>
  <si>
    <t>This week’s free movies include: Grease, Wizard of Oz, Big, and Guardians of the Galaxy: http://t.co/SkEVevJlFL http://t.co/5VlOYc3plG</t>
  </si>
  <si>
    <t>@CKenyattaSmith Please DM us with details of the issue, or you can report it to our commissioner at http://t.co/YcRUjttcy5.</t>
  </si>
  <si>
    <t>Happy #NationalSmoresDay! Fun fact: we bring s’mores to every one of our camping trips: http://t.co/P0Kr6INjE4 http://t.co/DbNbuxHa9v</t>
  </si>
  <si>
    <t>Opening on 8/20: this carousel that’s also a piece of art, in @thebatterynyc: http://t.co/ZCZNbip4B3 http://t.co/zWAqvOATTI</t>
  </si>
  <si>
    <t>Here's a list of free @ShapeUpNYC fitness classes, from yoga to kickboxing: http://t.co/1FT7VgHv6J #MondayMotivation http://t.co/F0l89A8jyg</t>
  </si>
  <si>
    <t>Check out some of our commissioner's favorite Sunday park destinations, courtesy of the @nytimes. https://t.co/fiORWJKAPo</t>
  </si>
  <si>
    <t>It's #NationalLighthouseDay! Visit the Little Red Lighthouse in Fort Washington Park: http://t.co/VPB71CbGwv http://t.co/ZJJDwblxYU</t>
  </si>
  <si>
    <t>Have a happy weekend, NYC! Here's a list of fun things to do in our parks this weekend: http://t.co/GwJAqVBp02 http://t.co/cH6kmq36mw</t>
  </si>
  <si>
    <t>What beach are you? Take our quiz to find out which NYC beach best matches your personality. http://t.co/KMTOqLcs8h http://t.co/H32gYyQgZ8</t>
  </si>
  <si>
    <t>These waterfront parks have some of the best views of NYC's bridges: http://t.co/XZamFHE6SE http://t.co/lVKufAoXRM</t>
  </si>
  <si>
    <t>Walk under this cool reflective canopy in @MadSqParkNYC. http://t.co/nacLhKE9ag http://t.co/45kbA4wWk6</t>
  </si>
  <si>
    <t>@wxixl @the_londoner972 Hi, this is Sunset Park! For more info about this park, visit http://t.co/Yc90mJXUle.</t>
  </si>
  <si>
    <t>It's nice out. Head outdoors; explore NYC's hiking trails, romantic spots, &amp;amp; waterfront parks: http://t.co/8EWcjegIaS http://t.co/6i0WuWx3gX</t>
  </si>
  <si>
    <t>RT @CentralParkNYC: Join us this Saturday, August 8, 4-7 p.m. for Great Jazz on the Great Hill! http://t.co/OsBoRgGTCM http://t.co/xS720Psc…</t>
  </si>
  <si>
    <t>We're looking for volunteers to help us w/our street tree census #TreesCount2015. Sign up at http://t.co/1iGDdUVID5. http://t.co/5N9nBjzHFt</t>
  </si>
  <si>
    <t>Head to @SummerStreets on Saturday! Enjoy zip-lining, free bike &amp;amp; rollerblade rentals, &amp;amp; more http://t.co/kEthCK8U64 http://t.co/SsgjdQxIkv</t>
  </si>
  <si>
    <t>So much has changed since the 1930s. Here's a #tbt of Washington Square Park in 1935, &amp;amp; another one from last year. http://t.co/eZwzPmRYFl</t>
  </si>
  <si>
    <t>Be safe at the beach. Swim only where lifeguards are present and never leave kids unattended. http://t.co/uy2Z4BLiYs http://t.co/zUwH69Zoik</t>
  </si>
  <si>
    <t>Three little Juliana pigs make their debut at @ProspectParkZoo's first ever pig exhibit! http://t.co/4lEMnZtyZg</t>
  </si>
  <si>
    <t>@eagleed Hi, registration for this event has closed. We're hosting another one in @prospect_park on Sept. 19. Info at http://t.co/P0Kr6INjE4</t>
  </si>
  <si>
    <t>Make the most of summer in NYC with movies in the park, free kayaking, fireworks, and more! http://t.co/NTBqtSUoHQ http://t.co/62pGTUrco6</t>
  </si>
  <si>
    <t>This lush pond in Staten Island was once an abandoned dumping ground. Learn more at http://t.co/7OiDkRi1LN http://t.co/3mfHwufh4E</t>
  </si>
  <si>
    <t>Walk across NYC's oldest standing bridge—The High Bridge, which connects Manhattan &amp;amp; the BX. http://t.co/0gj6TK3ykA http://t.co/bWrj3Ql3Y3</t>
  </si>
  <si>
    <t>The Dragon Boat Festival is this weekend in Queens! Enjoy boat races, food, dance, &amp;amp; more. http://t.co/xvqqB0mVVu http://t.co/lQf3keg7bb</t>
  </si>
  <si>
    <t>Camp overnight in @prospect_park next weekend! We'll bring tents. Register today only at http://t.co/DEy9eX46FQ http://t.co/h0nVj69EBj</t>
  </si>
  <si>
    <t>From dance fitness to yoga in the park, we've got some fun ways for you to work out outdoors: http://t.co/lxtkmlDR3d http://t.co/pXrEM9jOsF</t>
  </si>
  <si>
    <t>Our Beach Volleyball Tournament is this weekend! Want to compete? Register here: http://t.co/msVPQ2nvRQ http://t.co/GWfwv4frVo</t>
  </si>
  <si>
    <t>@NicholasJamz Hi Nicholas, please report this to @nyc311 at http://t.co/kXwURvQlsG so we can track your complaint. Thank you!</t>
  </si>
  <si>
    <t>Camp overnight in NYC's southernmost park, a key site in the Revolutionary War. Sign up: http://t.co/0n9Kg0zZnQ http://t.co/ze2ymmGOlv</t>
  </si>
  <si>
    <t>Wow! It's so pretty here at the Ocean Breeze Fishing Pier in Staten Island. http://t.co/imaRU2v5Gm http://t.co/KkPpP8ifIz</t>
  </si>
  <si>
    <t>Cool down at the pool. All of our outdoor pools are free! Find one near you: http://t.co/t8Z4O8MUiH http://t.co/931B61qxCb</t>
  </si>
  <si>
    <t>Join @NYPDnews in a night out against crime this evening. Find an #NNO2015 site at a park: http://t.co/05qCeSNPcQ http://t.co/jYd3z5torg</t>
  </si>
  <si>
    <t>Say hi to this cute baby elk at the @TheQueensZoo. (Photo by Julie Larsen Maher/@TheWCS) http://t.co/SZrTTbxGxk</t>
  </si>
  <si>
    <t>It's hot out. Drink plenty of fluids, wear sunscreen, &amp;amp; #BeWaterSafe. Find ways to stay cool: http://t.co/7LX21fXEQl http://t.co/VMc9LoakEk</t>
  </si>
  <si>
    <t>@SaraPoma Hi Sara, all of our outdoor pools are free. A membership is required to use our indoor pools. More info at http://t.co/mzsH5aCcAw.</t>
  </si>
  <si>
    <t>Bring your own pie! @QT_Queens &amp;amp; @LincolnCenter play Sweeney Todd at FMCP tomorrow! More at: http://t.co/Op2GBM8as1 http://t.co/mZqRZc9qx0</t>
  </si>
  <si>
    <t>RT @nycgo: 2015 Guide to the @USOpen: http://t.co/Ok4KSR0fZj What to do there and in nearby Queens http://t.co/UJIsApVHUk</t>
  </si>
  <si>
    <t>Coming up at Parks: free archery lessons, the annual Dragon Boat Festival, &amp;amp; more: http://t.co/zJlZEzj2lV http://t.co/tmGQvFzpxS</t>
  </si>
  <si>
    <t>@BronaghTumulty You're actually close to one of Keith Haring's most iconic public murals! Check out http://t.co/CI8IefTPRf for the story.</t>
  </si>
  <si>
    <t>Calling all poets! The @hhtnyc is hosting a free open mic at the Light on Sound poetry celebration in Queens on 8/13. http://t.co/DkxS3CzcIr</t>
  </si>
  <si>
    <t>Find out about lap swim hours at our free outdoor pools: http://t.co/85Ezdbz01k. Select a pool near you and sign up. http://t.co/pmgs4GdXlW</t>
  </si>
  <si>
    <t>This week's free summer movies: Moonrise Kingdom, Friday, Dreamgirls, Jurassic Park, &amp;amp; more. http://t.co/SkEVevJlFL http://t.co/PVKPgqn2QJ</t>
  </si>
  <si>
    <t>@jooltman @DowntownBklyn @NYCSanitation Hi Joanna, please file a complaint with @nyc311 here: http://t.co/czminMhg8O. Thank you!</t>
  </si>
  <si>
    <t>RT @nycgov: Subscribe to @NYCParks’ Newsletters to keep up with everything happening in your local park: http://t.co/1Iu6FdYaKE http://t.co…</t>
  </si>
  <si>
    <t>We're offering free Learn to Swim lessons and water exercise classes. Sign up here: http://t.co/kPVDDqZpET http://t.co/bhGbE7SmBM</t>
  </si>
  <si>
    <t>Want to help us count &amp;amp; map NYC's street trees for #TreesCount2015? Sign up for training: http://t.co/VxJUOC0juy http://t.co/5yONgB2gO3</t>
  </si>
  <si>
    <t>Are you headed to a beach or pool this weekend? Stay safe with these 10 tips: http://t.co/uy2Z4BLiYs http://t.co/1Ps9GHggQi</t>
  </si>
  <si>
    <t>Best way to celebrate summer in NYC? Ice cream and a beautiful park. 🍦 + 🌍 = 😄 http://t.co/u0KvDxLL58</t>
  </si>
  <si>
    <t>Nearly 7 miles of streets will be car-free during @SummerStreets so you can walk, play, &amp;amp; bike http://t.co/kEthCK8U64 http://t.co/SbUSE7AqHo</t>
  </si>
  <si>
    <t>Happy Friday! Here are 21 fun things to do in NYC's parks this weekend: http://t.co/GwJAqVBp02 http://t.co/Na1meU1Xsm</t>
  </si>
  <si>
    <t>Want to hear the latest on fitness classes, movies, or events? Sign up for our newsletters: http://t.co/QY6Nvlnhij http://t.co/CAyVIPJFrm</t>
  </si>
  <si>
    <t>Get an inside look at old New York on this free tour of the historic Fort Totten. http://t.co/Wx8dk5nLTR http://t.co/xVLubHtED1</t>
  </si>
  <si>
    <t>Take your boo somewhere special. Like a park. Here are some of the best summer date spots: http://t.co/ugRi7LY8KB http://t.co/wNSJ8A7d5y</t>
  </si>
  <si>
    <t>@4everZ_Jones Hi, this is Astoria Pool at Astoria Park in Queens. For more info, visit http://t.co/OcNJNdFYV7.</t>
  </si>
  <si>
    <t>Whoa! Have you seen this giant pyramid at @SocratesPark? See it in Queens thru August 30. http://t.co/in965JW1Sk http://t.co/9XC3nOE9pq</t>
  </si>
  <si>
    <t>@wendyfrink Hi Wendy! Please report this to @nyc311 at http://t.co/kXwURvQlsG. Reporting to 311 helps us track your complaint. Thanks!</t>
  </si>
  <si>
    <t>Sure, it’s hot and humid now. But remember this winter? #TBT http://t.co/6qup2dqqIo</t>
  </si>
  <si>
    <t>We’re thrilled to boogie down with this &amp;amp; other free dance fitness events from @ShapeUpNYC: http://t.co/1FT7VgHv6J  https://t.co/IFWbm26yCN</t>
  </si>
  <si>
    <t>Looking to #BeatTheHeat? Outdoor pool hours are extended to 8pm tonight! Find a free pool at http://t.co/t8Z4O8MUiH http://t.co/qHDEReXT82</t>
  </si>
  <si>
    <t>@meenasaurus @timsteno @RebeccaDavis  In case anything changes, we’ll update the notice on our Ham Fish page here: http://t.co/4SP21zLuW5</t>
  </si>
  <si>
    <t>@meenasaurus @timsteno @RebeccaDavis Sorry for the poor timing. The pipe did burst, but our team is fixing it now. Should reopen tomorrow.</t>
  </si>
  <si>
    <t>@johntebeau @nyc311 We received your request &amp;amp; will be inspecting the site. Planting requests generally take 12-18 months to fulfill.</t>
  </si>
  <si>
    <t>Sign up today only for a special tour inside Manhattan’s Little Red Lighthouse: http://t.co/IpQoLX2wDz http://t.co/GAyb6T5UCX</t>
  </si>
  <si>
    <t>Get a chance to camp out overnight at the parks you love. We’ll even bring s’mores. Register: http://t.co/P0Kr6INjE4 http://t.co/AwyJhn4nLD</t>
  </si>
  <si>
    <t>Stay cool, NYC. Drink plenty of fluids &amp;amp; wear sunscreen. Find more ways to #BeatTheHeat at http://t.co/7LX21fXEQl http://t.co/qHwVtEuksi</t>
  </si>
  <si>
    <t>RT @nycgov: Splash around at a spray shower in a park or playground near you. #BeatTheHeat with @NYCParks: http://t.co/tvqjvFxB49 http://t.…</t>
  </si>
  <si>
    <t>@thetinyraccoon @nycgov @kimberiv Ensuring the safety of visitors to Freshkills Park is our highest priority. Info at http://t.co/uM7Sff9UxK</t>
  </si>
  <si>
    <t>@asm1210 No outdoor pools, but some rec centers have women's only pool hours. Check out Met Pool at http://t.co/e1GXQCWKoJ for more.</t>
  </si>
  <si>
    <t>School’s out, but we’ve got lots of ways to keep your kids entertained, for free: http://t.co/qH1bijfzGW http://t.co/IhSpsbLTzE</t>
  </si>
  <si>
    <t>When it’s done, Freshkills will be the largest park built in NYC in a century. Visit it Sun.: http://t.co/VpyDLaTuFN http://t.co/Mot4EFHVYL</t>
  </si>
  <si>
    <t>@montega914 @nycgov This is the Floating Pool, the city's only public pool located on a ship! More here: http://t.co/MpTUJsOd1p</t>
  </si>
  <si>
    <t>The most fun way to #BeatTheHeat this summer? A visit to our 14 miles of beaches. Info at http://t.co/W2Ul2oo2zf http://t.co/OCyPKw8zsz</t>
  </si>
  <si>
    <t>Camp overnight in this Queens park that's home to a Civil War fortress. Sign up today only at http://t.co/kbdfMeentg. http://t.co/9QxR3IfK3i</t>
  </si>
  <si>
    <t>Our outdoor pool hours are extended to 8pm tonight! #BeatTheHeat: find a free outdoor pool at http://t.co/t8Z4O8MUiH. http://t.co/ggRcf4LKW2</t>
  </si>
  <si>
    <t>RT @NYCMayorsOffice: Drink fluids, especially water, even if you don’t feel thirsty. More tips to #BeatTheHeat in NYC: http://t.co/TbZwX9Eo…</t>
  </si>
  <si>
    <t>NYC has plenty of galleries, but none as picturesque as our parks. Find out what’s on display: http://t.co/9OXNpfqSj0 http://t.co/eVOMuJs6Dp</t>
  </si>
  <si>
    <t>What does NYC look like without trees? Sign up for #nyctreescount today to help keep our city green! https://t.co/zHREs2LN9F</t>
  </si>
  <si>
    <t>RT @nycgo: DYK there's a Chinese scholar's garden @SnugHarborCCBG? #SeeYourCity on Staten Island! (Photo: @travellingcari) http://t.co/i4A2…</t>
  </si>
  <si>
    <t>This week’s free movies include Footloose, The Princess Bride, and Ferris Bueller’s Day Off: http://t.co/SkEVevJlFL http://t.co/JD0Hydt2h0</t>
  </si>
  <si>
    <t>@YadiraEchevarri Hi Yadira, thanks for letting us know. Please file a complaint with @nyc311 by DM or at http://t.co/kXwURvQlsG. Thanks!</t>
  </si>
  <si>
    <t>From kickboxing to yoga, @ShapeUpNYC has free fitness classes for all interests: http://t.co/1FT7VgHv6J http://t.co/LVAOTGw3Rw</t>
  </si>
  <si>
    <t>You’ve done Shakespeare in Central Park, now see Greek tragedy in Marcus Garvey Park: http://t.co/nJgg84GNoZ http://t.co/XVyzItRevw</t>
  </si>
  <si>
    <t>Who's headed to the beach this weekend? We're thinking we might visit tiny Cedar Grove Beach: http://t.co/7wPEfoIJKx http://t.co/vj7OjtlEki</t>
  </si>
  <si>
    <t>It’s hot outside. Enjoy NYC’s water safely, with these 10 easy tips: http://t.co/uy2Z4BLiYs http://t.co/3gb5Ayy52F</t>
  </si>
  <si>
    <t>The #HighBridge Fest is tmrw! Come celebrate the reopening of NYC's oldest standing bridge. http://t.co/YJYcWiKHJ1 http://t.co/ixCSsgAY6v</t>
  </si>
  <si>
    <t>Learn about accessible events &amp;amp; programs, from beach mats to sports leagues:  http://t.co/QdGsKf29Pg #ADA25NYC http://t.co/jld26sh2tX</t>
  </si>
  <si>
    <t>Get your cameras ready for some of the best places to see NYC's bridges from a park: http://t.co/XZamFHVHKc http://t.co/mtpOhgju7z</t>
  </si>
  <si>
    <t>Happy Friday, NYC! Here are some fun things to do in parks this weekend: http://t.co/GwJAqVSZRA http://t.co/WQiRXmd2KV</t>
  </si>
  <si>
    <t>@RuthGoBklyn @ChaimDeutsch Hi Ruth, thanks for letting us know. Please file a complaint with @nyc311 here: http://t.co/kXwURvQlsG. Thanks!</t>
  </si>
  <si>
    <t>@CPetkanas Hi Charles, thanks for letting us know. Please file a complaint with @nyc311 here: http://t.co/kXwURvQlsG. Thank you!</t>
  </si>
  <si>
    <t>Make a splash at the pool. Find a free outdoor pool near you and know what to bring: http://t.co/t8Z4O94vaf http://t.co/BCvX9HRFge</t>
  </si>
  <si>
    <t>Don’t miss the ultimate beach volleyball tournament this summer at Coney Island. Register now: http://t.co/CLNd7FXAYG http://t.co/tz5WZpcPev</t>
  </si>
  <si>
    <t>@Sinful_Blisss The report is about an Orchard Beach in Long Island. New York City's beaches are safe.</t>
  </si>
  <si>
    <t>@Sinful_Blisss Orchard Beach in the Bronx is safe and open to the public.</t>
  </si>
  <si>
    <t>@ProjectBronx Orchard Beach in the Bronx is safe and open to the public. This report is about Orchard Beach in Long Island.</t>
  </si>
  <si>
    <t>The High Bridge in 1975. Come celebrate its restoration and reopening on Sat., 7/25: http://t.co/YJYcWiKHJ1 #tbt http://t.co/p0kxtuWOWi</t>
  </si>
  <si>
    <t>@PARTY105FM Please note: Orchard Beach in the Bronx is safe and open to the public.</t>
  </si>
  <si>
    <t>Bring your kids to free art classes at a sculpture park with professional artists: http://t.co/KgvAnjzFUA. http://t.co/fS3CtvEubo</t>
  </si>
  <si>
    <t>Happy #nationalhotdogday, NYC. We know where we’re celebrating. http://t.co/pySf3RO1Fz http://t.co/n260oCkDGG</t>
  </si>
  <si>
    <t>RT @CentralParkNYC: Morning commute. #seeyourcity https://t.co/yugWf1BtyN</t>
  </si>
  <si>
    <t>Pier 42 gets a new look with canopies, &amp;amp; seating areas made out of wine crates &amp;amp; rain barrels. http://t.co/9OXNpfqSj0 http://t.co/Z14bDjd6hl</t>
  </si>
  <si>
    <t>Join a canoe excursion through Idlewild Park's wetlands, a haven for birds. Sign up at http://t.co/gHs9PFchIU. http://t.co/2WYb4iUGgz</t>
  </si>
  <si>
    <t>We’re having a summer party at Faber Park on the water Saturday, w/sports, crafts &amp;amp; more. http://t.co/eUPjWZgeZW http://t.co/UH4wE2PHr0</t>
  </si>
  <si>
    <t>Enjoy an exclusive tour of Highbridge Park on Aug 2 with our Rangers. Sign up is today only at http://t.co/q0rA0Qkwyc http://t.co/uudPgJqAR5</t>
  </si>
  <si>
    <t>We're teaching kids in the Bronx how to play flag football, wiffle ball, tennis, and more! http://t.co/3TPXd2daAR http://t.co/i2ujopZN1w</t>
  </si>
  <si>
    <t>@ramin9nyc Hi, thanks for letting us know. Could you provide more info about the location? You can submit it here: http://t.co/lJRcqUk26r</t>
  </si>
  <si>
    <t>Camp overnight with our park rangers in Blue Heron Park. Sign up today: http://t.co/3rRgbaCYps. We'll bring tents. http://t.co/FYSa7hHCvo</t>
  </si>
  <si>
    <t>The High Bridge Festival is this Saturday! Enjoy free tours, music, a scavenger hunt, &amp;amp; more. http://t.co/YJYcWiKHJ1 http://t.co/26iWbIFTY2</t>
  </si>
  <si>
    <t>It’s a good day for a spray shower. Find one at http://t.co/Nzc8QljBcy. http://t.co/BZd4ZIL0vW</t>
  </si>
  <si>
    <t>RT @nycgov: #BeatTheHeat and learn how to swim with @NYCParks. Classes are offered to adults and kids: http://t.co/ZsFtFeB9dP. http://t.co/…</t>
  </si>
  <si>
    <t>@TheEvelynNYC Hi, our free outdoor pools close at 7 p.m. today. For more info, please visit http://t.co/t8Z4O8MUiH.</t>
  </si>
  <si>
    <t>Here's a new way to spend your summer nights: camping overnight in a Manhattan park. Sign up: http://t.co/5bsKI6dQFU. http://t.co/OFogGUigfV</t>
  </si>
  <si>
    <t>RT @nyc311: NYC kids 18 &amp;amp; under can get #free breakfast &amp;amp; lunch. Find #SummerMeals info &amp;amp; locations: http://t.co/Y6xVSr1zTe</t>
  </si>
  <si>
    <t>Happy birthday @CentralParkNYC! Stop by and wish the beautiful park a #hbdCentralPark. http://t.co/5rJq9lhcB2</t>
  </si>
  <si>
    <t>RT @nycgov: Stay cool, stay hydrated and get informed to effectively #BeatTheHeat: http://t.co/BWbeK9wwm2</t>
  </si>
  <si>
    <t>Looking to #BeatTheHeat after work? Outdoor pool hours are extended to 8pm tonight. Visit http://t.co/RYbn3IPGXt. http://t.co/s9D7sVE3a2</t>
  </si>
  <si>
    <t>RT @CentralParkNYC: Happy #MoonDay! On July 20, 1969 NYers gathered in Sheep Meadow to watch: http://t.co/IEN1oHieSE Photo via @NYCParks ht…</t>
  </si>
  <si>
    <t>Put your skills to the test at our obstacle course. Sign up for our free Sunday programs at http://t.co/rKLKuoLO3v. http://t.co/GBdAql9QK8</t>
  </si>
  <si>
    <t>@NYPD19Pct Thanks! As a reminder, pool hours today have been extended until 8:00 p.m. Happy swimming!</t>
  </si>
  <si>
    <t>This week's free movies: Ghostbusters, Breakfast at Tiffany's, Saturday Night Fever, &amp;amp; more: http://t.co/SkEVevJlFL http://t.co/DyEQm9s6jy</t>
  </si>
  <si>
    <t>Be safe at the beach. Swim only where lifeguards are present  and never leave kids unattended. http://t.co/uy2Z4BLiYs http://t.co/PZC44gJXS1</t>
  </si>
  <si>
    <t>@HMPita Lap swim is cancelled for tonight. Lap swimmers are welcome to the pool but must be willing to swim alongside the general population</t>
  </si>
  <si>
    <t>@Mzkbee We'll also be adding more programming and resources to the neighborhood. Find out more at: http://t.co/67im74hM2R</t>
  </si>
  <si>
    <t>@Mzkbee St. Nicholas North is one of the sites that @BilldeBlasio has marked as a CPI location. We're rebuilding the park w/community input!</t>
  </si>
  <si>
    <t>Our free outdoor pools will open until 8 p.m. tonight! Find a pool and know what to bring: http://t.co/t8Z4O8MUiH http://t.co/Z7Jx3L9dgh</t>
  </si>
  <si>
    <t>RT @nycoem: “We will keep @nycparks pools open until 8 PM.” - Mayor @billdeblasio #BeatTheHeat</t>
  </si>
  <si>
    <t>@christopherdina Hi Chris, thanks for letting us know. Could you please file a complaint w/@nyc311 at http://t.co/i5Mi2dfqp4? Thanks so much</t>
  </si>
  <si>
    <t>Stay cool, NYC! Drink plenty of fluids and wear sunscreen. For more tips, visit http://t.co/FtTErZPdNV http://t.co/06FNyEG5KE</t>
  </si>
  <si>
    <t>Count trees at your favorite beach! We’re hosting @nyctreescount trainings at Rockaway on 7/19 http://t.co/0Q4UnargMU http://t.co/Lt504wKglV</t>
  </si>
  <si>
    <t>@Faria_Sheridan Permits have been issued for the team. Good luck this season!</t>
  </si>
  <si>
    <t>Happy Friday, NYC! Check out our guide for fun things to do this weekend in parks: http://t.co/GwJAqVBp02 http://t.co/yK0WxDnbKW</t>
  </si>
  <si>
    <t>RT @nycgo: City of Water Day is tomorrow. Celebrate on @Gov_Island or dozens of locations throughout NYC: http://t.co/l5hg81Sn1F http://t.c…</t>
  </si>
  <si>
    <t>Sign up for free Learn to Swim lessons: http://t.co/kPVDDqZpET. We've got classes for adults and kids. http://t.co/3q7lBqhl4U</t>
  </si>
  <si>
    <t>Celebrate 18th century NYC’s most scandalous, &amp;amp; wealthy, woman in her preserved mansion: http://t.co/dxm1DdWzWO http://t.co/Xqm9l94Llb</t>
  </si>
  <si>
    <t>Happy #WorldEmojiDay! Here are some of our favorites: 🍃 🌲 🌻 🌼 🐣 🐢 🏀 ⚽ 🚴 🏊</t>
  </si>
  <si>
    <t>@Faria_Sheridan @mitchell_silver Permits have been issued for the team. Feel free to follow up with us at @nycparks &amp;amp; good luck this season!</t>
  </si>
  <si>
    <t>Check out this art installation that plays music for you, from salsa to hip-hop: http://t.co/xMWimNZcYi http://t.co/m50lmv3957</t>
  </si>
  <si>
    <t>Sign up today only to explore Orchard Beach’s lagoon with us. http://t.co/qsetNHgwst http://t.co/Z1kPjCxJEL</t>
  </si>
  <si>
    <t>@E19Guzman Hi Enrique, this is the Floating Pool in Barretto Point Park, Bronx. For more info, visit http://t.co/YMwzeD4GJ8.</t>
  </si>
  <si>
    <t>From Friday night disco to swing dancing in Harlem, find out where the party is this week: http://t.co/wY3SZ3pB9l http://t.co/TTIu32uOur</t>
  </si>
  <si>
    <t>How the Lower East Side celebrated summer in 1936, at Sara D. Roosevelt Park. #tbt http://t.co/4iCtXiV5Mo</t>
  </si>
  <si>
    <t>We're looking for volunteers to help us care for natural areas at Little Bay Park. Sign up at http://t.co/Z6O1zzSkdA. http://t.co/SZNODdiYQu</t>
  </si>
  <si>
    <t>The sun is out today! Enjoy it at the pool. Find free outdoor pools in NYC at http://t.co/t8Z4O8MUiH http://t.co/cRjfGiKHS8</t>
  </si>
  <si>
    <t>@MosesNYC @NYCCouncilWatch @mitchell_silver @NY4P We still consider it our business to help New Yorkers do their business. Thanks for the q!</t>
  </si>
  <si>
    <t>We're redeveloping Staten Island's east shore! Share your ideas, &amp;amp; tell us about problem areas and places you enjoy: http://t.co/c5ikvmCerk</t>
  </si>
  <si>
    <t>Why become a @nyctreescount volunteer? Well, the accessories/cat toys are pretty great. http://t.co/gnXkaZwEqQ http://t.co/QYcQl8x22G</t>
  </si>
  <si>
    <t>Walk across the Brooklyn Bridge with us on this special tour. Sign up by lottery today: http://t.co/2iuxruQZj1 http://t.co/Wa4i3cNJO8</t>
  </si>
  <si>
    <t>@fernandduh You can choose up to 4 people to attend together in the Family Camping lottery. Good luck!</t>
  </si>
  <si>
    <t>Can you spot the toad? We found this stealthy guy hanging out by Staten Island’s Long Pond. http://t.co/9DgeKcMUct</t>
  </si>
  <si>
    <t>Make sure you #SeeYourCity this summer with our ultimate summer bucket list: http://t.co/NTBqtSUoHQ http://t.co/b83WlWjD3i</t>
  </si>
  <si>
    <t>Want to camp overnight in Alley Pond Park? Register today only at http://t.co/l0k3jljB9Z. We'll bring tents! http://t.co/0SdYJhEmRG</t>
  </si>
  <si>
    <t>Put your phones away &amp;amp; navigate w/just an orienteering compass. We'll show you how to use it: http://t.co/9tXuyUt9Ll http://t.co/OBcun1z8gZ</t>
  </si>
  <si>
    <t>Stop by The Typewriter Project by 7/19 to share a message with your fellow New Yorkers: http://t.co/VV6KqFhNZo http://t.co/WTmsARm7Wu</t>
  </si>
  <si>
    <t>Celebrate #BastilleDay w/a trip to Lafayette Sq, a memorial to the Marquis de Lafayette: http://t.co/F7U0yirCSq http://t.co/zau7ZNo4JN</t>
  </si>
  <si>
    <t>We’re going back to the swing era, with swing dancing and a costume contest in Harlem: http://t.co/vTa8Ikj9gu http://t.co/HAmn6vR9w3</t>
  </si>
  <si>
    <t>Is your kid the next track star? We're hosting free track &amp;amp; field instructions with @CPFNYC. http://t.co/eXin7upIT5 http://t.co/gZRQjw0anZ</t>
  </si>
  <si>
    <t>Spend the night in Bklyn's Marine Park at this free camping event with our rangers. Sign up at http://t.co/Rl2Rc1xtFe http://t.co/82jbSmLtGD</t>
  </si>
  <si>
    <t>We need your help counting and mapping NYC's street trees. Sign up for a training event: http://t.co/Lw3mLtL0ji http://t.co/5CksSlX0bX</t>
  </si>
  <si>
    <t>Take tours, join a scavenger hunt, &amp;amp; listen to music at this party for NYC’s oldest bridge: http://t.co/YJYcWiKHJ1 http://t.co/PBD41ZOAt8</t>
  </si>
  <si>
    <t>We're having a one-mile Obstacle Adventure Race for kids, this Thursday in Manhattan. Join us: http://t.co/0jq9pyzhDV http://t.co/9KBlxDD73G</t>
  </si>
  <si>
    <t>This week’s free movies include To Have &amp;amp; Have Not, The Lego Movie, Mockingjay, &amp;amp; more: http://t.co/SkEVevJlFL http://t.co/0RzlIYpyPe</t>
  </si>
  <si>
    <t>RT @SpikeLSB: NYC: don't miss #LSBLive in Central Park this Monday, July 13th. Doors at 7, battle's on at 8! http://t.co/AdsGcYZWcL #Summer…</t>
  </si>
  <si>
    <t>Take a minute to stretch in the center of the city. Try free yoga classes at @bryantparknyc:  http://t.co/W6isedn5q8 http://t.co/YuUuoKKvAU</t>
  </si>
  <si>
    <t>.@Birdie_NYC shows that walking across the High Bridge is even more fun than flying. https://t.co/ENlovaxQf1</t>
  </si>
  <si>
    <t>Be safe while at the pool and beach. Swim only where lifeguards are around. More tips at http://t.co/uy2Z4BLiYs. http://t.co/1zasQU4e23</t>
  </si>
  <si>
    <t>Why go to a comedy club when you’ve got parks? Check out the free Laughter in the Park series: http://t.co/9d5l6UgLOy http://t.co/fD42whdUJz</t>
  </si>
  <si>
    <t>Visit the newly restored John T. Brush Stairway, an important part of NY’s sports history. http://t.co/4CJsfH7Ixy http://t.co/gL8DVK3b7z</t>
  </si>
  <si>
    <t>Our 1st Annual High Bridge 5K Trail Race is tomorrow! To register, visit: http://t.co/sPCudggqRA http://t.co/aavHpvqzqw</t>
  </si>
  <si>
    <t>Happy Friday! Find fun things to do this weekend at http://t.co/GwJAqVBp02 http://t.co/rzLxsmYTqa</t>
  </si>
  <si>
    <t>Congrats to our Parkies for winning at the @JPMorganCC! They must know the best places to run: http://t.co/esQbUI8rhg http://t.co/H6s0NgkNLr</t>
  </si>
  <si>
    <t>This year's @SoundviewPark Art &amp;amp; Music Fest features art workshops, fitness classes, &amp;amp; a scavenger hunt, this Sunday. http://t.co/RzXanjarqD</t>
  </si>
  <si>
    <t>Canoe to this island where only wild flowers &amp;amp; birds live. Sign up for the lottery today only: http://t.co/X4QgXBEJKR http://t.co/GkICW3VtlQ</t>
  </si>
  <si>
    <t>RT @nyc311: NYC is surrounded by water. @NYCParks wants you to stay safe near &amp;amp; in it. Check their Top 10 water safety tips: http://t.co/xf…</t>
  </si>
  <si>
    <t>Who wants to go island hopping off the Bronx shore w/our park rangers? Register today only at http://t.co/V2fWG8CWf5 http://t.co/cIJR7YBy0M</t>
  </si>
  <si>
    <t>Summer's here and the time is right, for dancing in the parks. http://t.co/wY3SZ3pB9l http://t.co/6eBcDVIs6g</t>
  </si>
  <si>
    <t>Fancy food stands are nothing new in our parks. Check out the fresh oysters served downtown in 1934. #tbt http://t.co/A3Q6FWuJLm</t>
  </si>
  <si>
    <t>Join our park rangers on a nature exploration hike through Forest Park this Saturday. http://t.co/lCD6BGtHV4 http://t.co/hqGdP9rpC7</t>
  </si>
  <si>
    <t>See performances of Shakespeare's Romeo and Juliet, The Tempest, Henry IV, &amp;amp; more in the park: http://t.co/HEJLF2TnN2 http://t.co/hL5PgI6v8k</t>
  </si>
  <si>
    <t>This Sunday get a free tour of Manhattan’s Little Red Lighthouse: http://t.co/OoyG2bgGFP http://t.co/hjQ7LSheZq</t>
  </si>
  <si>
    <t>Check out the beach party at Midland Beach this weekend, complete with fireworks on Saturday! http://t.co/GSgNL8jthp http://t.co/Vg4zcz3i1b</t>
  </si>
  <si>
    <t>Want to learn about having your artwork displayed in a park? Here’s what you need to know: http://t.co/lTwTxCP9zK http://t.co/JxYwFcUi01</t>
  </si>
  <si>
    <t>Camp overnight in the park with our park rangers. We'll bring tents &amp;amp; s'mores. Register here: http://t.co/P0Kr6INjE4 http://t.co/7ySPSFrTKz</t>
  </si>
  <si>
    <t>Flushing’s past includes an inventor, the Underground Railroad, &amp;amp; more. Register for a tour: http://t.co/s1bWIqvHn6 http://t.co/ysygBpBZqw</t>
  </si>
  <si>
    <t>Inwood Hill Park looks amazing at sunset. Explore it on an evening tour with a nature expert: http://t.co/0AiqC2GNlG http://t.co/MC4i9fqFj9</t>
  </si>
  <si>
    <t>RT @nycgo: Art appreciation al fresco: http://t.co/ePRXnB4nzu Get out and see these site-specific installations. #hellosummer http://t.co/j…</t>
  </si>
  <si>
    <t>@Need4Gene Thanks for telling us! If possible, could you report to @nyc311 at http://t.co/kXwURvQlsG. Reporting helps us track yr complaint.</t>
  </si>
  <si>
    <t>@OneManStands That's correct! If registration is not required, you can just show up at the location at the date and time.</t>
  </si>
  <si>
    <t>Explore NYC's parks with a park ranger at these upcoming hikes, boat trips, campouts, &amp;amp; more: http://t.co/8NK03gRzfK http://t.co/HPi2W3Pij5</t>
  </si>
  <si>
    <t>Kayak for free at @BklynBrdgPark on Thursdays and Saturdays all summer. http://t.co/olCkFDaJi5 http://t.co/nIKLrtwx6k</t>
  </si>
  <si>
    <t>Join the 1st annual 5K race through Highbridge for a workout featuring amazing views: http://t.co/hT0z9K1YFA http://t.co/CMg1bo6Non</t>
  </si>
  <si>
    <t>@EdLacz @AMCF35 @YPGoldfeder @eric_ulrich The chair was added today. Enjoy!</t>
  </si>
  <si>
    <t>@AMCF35 @YPGoldfeder @eric_ulrich You're very welcome! The chair was added to Beach 108th Street today.</t>
  </si>
  <si>
    <t>This month marks the 25th anniversary of the ADA. Celebrate w/sports, films, &amp;amp; more: http://t.co/tMpvNzmhjA #ADA25NYC http://t.co/onof7JBJzp</t>
  </si>
  <si>
    <t>@AMCF35 @YPGoldfeder @eric_ulrich We’re adding a guard chair to Beach 108!  Have a great, safe summer!</t>
  </si>
  <si>
    <t>@radashlee For further guidance, please call the relevant borough permit office. (2/2)</t>
  </si>
  <si>
    <t>@radashlee Apologies for the confusion! For a game tournament, please apply for a special events permit: http://t.co/Iv6uoAxLxz (1/2)</t>
  </si>
  <si>
    <t>RT @nycgov: Learn traditional West African drumming and dancing at Inwwod Hill Park with @NYCParks. Event begins at 6:30pm: http://t.co/Qtg…</t>
  </si>
  <si>
    <t>This week’s free films include: Jurassic Park, E.T., Edward Scissorhands, Divergent, &amp;amp; more: http://t.co/SkEVevJlFL http://t.co/B6zi5M77LN</t>
  </si>
  <si>
    <t>Keep your kids active this summer at these free and fun programs in a park near you: http://t.co/qH1bijfzGW http://t.co/mTKazSp1jg</t>
  </si>
  <si>
    <t>Help us restore this beautiful natural forest in the Bronx. Sign up and learn more: http://t.co/YDFyGusxkv http://t.co/WLzWJocPqN</t>
  </si>
  <si>
    <t>Starting today, @Prospect_Park's West Drive is permanently car-free. Enjoy it! http://t.co/ToLhbeokBB http://t.co/TAE0a7mAyJ</t>
  </si>
  <si>
    <t>Enjoy #4thofJulyweekend safely. Swim only when lifeguards are on duty and never leave kids unattended. More tips at http://t.co/uy2Z4BLiYs</t>
  </si>
  <si>
    <t>RT @nyc311: .@nycparks outdoor pools are open today. Check locations, rules, &amp;amp; regulations, &amp;amp; don't forget a lock!: http://t.co/9fDAcglvJ1</t>
  </si>
  <si>
    <t>Run across NYC's oldest standing bridge at our High Bridge 5K Trail Race on 7/11. Register at http://t.co/hT0z9K1YFA http://t.co/Z3auIFXWpg</t>
  </si>
  <si>
    <t>Second section of the new Rockaway Boardwalk, from Beach 97 to Beach 107 Streets, opens in time for #4thofJulyweekend http://t.co/IZ8dF04sN3</t>
  </si>
  <si>
    <t>In July, 1967 we held a mass wedding for nine couples in @prospect_park. Take a look: http://t.co/KH2IzSpynT #TBT http://t.co/EGX7EjbAcE</t>
  </si>
  <si>
    <t>Staying in town for the long weekend? Check out our guide to your ultimate NYC staycation: http://t.co/70jMqYPwFy http://t.co/wGiFyHLg7Z</t>
  </si>
  <si>
    <t>NYC's largest &amp;amp; oldest pool, Astoria Pool, opened on this date in 1936 #TBT. Come check it out http://t.co/OcNJNdFYV7 http://t.co/lPyglAhkBM</t>
  </si>
  <si>
    <t>Get to know this tiny shorebird at our Plover Day celebration, this Sunday at Rockaway Beach: http://t.co/JvbGAsHlTH http://t.co/ftEKiBFz58</t>
  </si>
  <si>
    <t>Help us count and map NYC's street trees for #TreesCount2015! Join a group or map on your own: http://t.co/1iGDdVdk1F http://t.co/i24cIGLLIz</t>
  </si>
  <si>
    <t>RT @nyc311: Planning on chilling &amp;amp; #grilling this holiday weekend? Find @NYCParks where #BBQ is permitted: http://t.co/OUDShuTheQ</t>
  </si>
  <si>
    <t>#4thofJuly weekend means cookouts. Find out where to grill in parks at http://t.co/Sxc37dEcqZ. http://t.co/TiNJ6u6hrg</t>
  </si>
  <si>
    <t>Hey there July. We’re pretty excited about your free concerts, movies, &amp;amp; pools: http://t.co/zJlZEzj2lV http://t.co/wWLcPQJrpH</t>
  </si>
  <si>
    <t>Want to try canoeing? Learn the basics from our park rangers. Register today only: http://t.co/333RsssMaj http://t.co/lL9bN8ouMu</t>
  </si>
  <si>
    <t>Cheer up, Pallas’s cat, the long weekend’s almost here. (Photo: Julie Larsen Maher/@TheWCS ) #HumpDay http://t.co/wFtBoUtgGh</t>
  </si>
  <si>
    <t>Check out our guide for places to see fireworks and celebrate #4thofJuly this weekend: http://t.co/Lb6fwYSuu3 http://t.co/p4pgxFx5Vf</t>
  </si>
  <si>
    <t>Enter today’s lottery for free camping trips in Marine Park &amp;amp; High Rock Park: http://t.co/P0Kr6INjE4 http://t.co/49IkAZougB</t>
  </si>
  <si>
    <t>RT @BilldeBlasio: .@nycservice's new app will put volunteer opportunities right at New Yorkers’ fingertips: http://t.co/QOItC67zjp http://t…</t>
  </si>
  <si>
    <t>We’re starting our Independence Day celebrations early, w/tonight’s event at Astoria Park: http://t.co/ziixERLZNz  https://t.co/DrCIR7Z3z7</t>
  </si>
  <si>
    <t>The New York State Pavilion at Flushing Meadows Corona Park today, getting quite a makeover. http://t.co/NFayMhaAlj http://t.co/iKodhT3RLG</t>
  </si>
  <si>
    <t>Planning a date? We’ve got some great ideas: http://t.co/ugRi7MfK9b http://t.co/BpWuFr1ToM</t>
  </si>
  <si>
    <t>The free Floating Pool at Barretto Point Park is anchored in the East River &amp;amp; open until 9/7. http://t.co/YMwzeD4GJ8 http://t.co/xFRSnqaf5O</t>
  </si>
  <si>
    <t>Keep the kids busy while schools are out for summer. Find free programs, meals, and pools: http://t.co/qH1bijfzGW http://t.co/tLHcnff1PL</t>
  </si>
  <si>
    <t>@jjjjjjjjohannah Hi! Please visit us at http://t.co/85FpsEFYHX to learn more about Dinosaur Playground in @RiversideParkNY.</t>
  </si>
  <si>
    <t>Headed to the beach with a wheelchair? Find out where the city’s beach mats are: http://t.co/PvyD1jXTxI http://t.co/mMNu7W1aI6</t>
  </si>
  <si>
    <t>Want to try out our obstacle course in Queens for free? Find out how you can sign up: http://t.co/rKLKuoLO3v http://t.co/1LyKMO3ery</t>
  </si>
  <si>
    <t>Thanks, @SirenFDNY! Remember to #BeWaterSafe! https://t.co/UqPPB8HOAs</t>
  </si>
  <si>
    <t>RT @nycgov: Take your workout outdoors. Find yoga, dance, tai chi, and boot camp classes in @NYCParks: http://t.co/FTXYxVO01g http://t.co/x…</t>
  </si>
  <si>
    <t>Our free outdoor pools are open! Find out where to go make a splash: http://t.co/t8Z4O8MUiH http://t.co/PzMnRJbu1V</t>
  </si>
  <si>
    <t>Starting today, @CentralParkNYC Drives north of 72nd Street are permanently car-free!  http://t.co/ToLhbeokBB http://t.co/ERuwOF2Q6C</t>
  </si>
  <si>
    <t>This week's free summer movies: Jurassic Park, The Killers, Superman, Despicable Me 2, &amp;amp; more. http://t.co/SkEVevJlFL http://t.co/OvgXonmJ6X</t>
  </si>
  <si>
    <t>Whether you’re at the pool or by the beach, make sure you stay safe: http://t.co/jf4AAYM4uZ http://t.co/VhjYfrS7B2</t>
  </si>
  <si>
    <t>Pools open tomorrow. Go make a splash. http://t.co/t8Z4O8MUiH http://t.co/trfcUWGx4N</t>
  </si>
  <si>
    <t>@chudleycannons Not to the best of our knowledge. Sorry. Go USA!</t>
  </si>
  <si>
    <t>.@NYCSchools are out for summer! Find free summer programs for kids at NYC's parks: http://t.co/qH1bijfzGW http://t.co/fNWOXr4AOj</t>
  </si>
  <si>
    <t>Here are 21 fun things to do this weekend in NYC's parks: http://t.co/GwJAqVBp02 http://t.co/NQq1SSpYhw</t>
  </si>
  <si>
    <t>#LoveWins, and we’ve got some ideas on where to celebrate. 🌈 🌈 http://t.co/NjhqQNNftl http://t.co/NeJwgEUfF7</t>
  </si>
  <si>
    <t>Happy #Pride2015, NYC. We’ve come a long way. http://t.co/ZZhfT3JVfh http://t.co/SlnKPYvkbY</t>
  </si>
  <si>
    <t>Come to SummerFest, a day of carnival games, dance, sports, &amp;amp; more in the Bronx on Saturday. http://t.co/oviNbKnMa4 http://t.co/OCq4vVfsGE</t>
  </si>
  <si>
    <t>See archival photos of NYC's 9 landmark parks, on display at the Arsenal Gallery through 8/28. http://t.co/kUhSoJVSQy http://t.co/L5Mu2Whsjp</t>
  </si>
  <si>
    <t>@Jovica086 @NY1 @BlasioMayorNYC Please report this to @nyc311 at http://t.co/kXwURvQlsG. Reporting it helps us keep track of your complaint.</t>
  </si>
  <si>
    <t>Free outdoor pools open in just two days. We know what we’re doing this weekend. http://t.co/t8Z4O8MUiH http://t.co/1IoaahNxOj</t>
  </si>
  <si>
    <t>Here's how to make the most of the summer. Cross these fun things off your summer bucket list: http://t.co/NTBqtSUoHQ http://t.co/ilEjkF2pUW</t>
  </si>
  <si>
    <t>East Harlem’s Thomas Jefferson Pool in 1936, the year it opened. Opening for summer Sat. #tbt http://t.co/n6v25cw2Ge http://t.co/ywRncTKsoV</t>
  </si>
  <si>
    <t>We're offering free street hockey clinics for kids in Tompkins Square Park. Sign up your kids: http://t.co/dECmdShXqB http://t.co/sTV1gEUWga</t>
  </si>
  <si>
    <t>RT @nycgov: Sign up for @NYCParks' newsletter to get updates about upcoming events and programs. http://t.co/1Iu6FdYaKE. http://t.co/EwJNkY…</t>
  </si>
  <si>
    <t>Take a canoe trip down the Hudson w/this special tour. Register today only: http://t.co/s01wUcssqt http://t.co/prs0kbnBrp</t>
  </si>
  <si>
    <t>Unwind at these free outdoor yoga classes in NYC's parks: http://t.co/5dUElBUHoL http://t.co/pBHq73wr7K</t>
  </si>
  <si>
    <t>Enter the lottery today for free camping adventures in Fort Totten and Pelham Bay parks. Info: http://t.co/P0Kr6INjE4 http://t.co/c7W8CDSDdh</t>
  </si>
  <si>
    <t>This year 7 of our beaches will be open a week later, so you can make the most of summer. http://t.co/W2Ul2oo2zf http://t.co/5WNSnKzDGV</t>
  </si>
  <si>
    <t>Here’s a new way to recharge at the beach: solar-powered charging stations from @MobilizeNY. http://t.co/mjgfyuYGLb http://t.co/P1l8KvSwq8</t>
  </si>
  <si>
    <t>Get ready, NYC. Our free outdoor pools open in 3 days. Find a pool near you: http://t.co/t8Z4O8MUiH http://t.co/d8qao224kH</t>
  </si>
  <si>
    <t>Enjoy 4 days of food, fun, &amp;amp; stunning sunsets at the Astoria Park Carnival, starting Thursday! http://t.co/VLRU4gyldC http://t.co/eC0WKlRDQF</t>
  </si>
  <si>
    <t>It’s too hot out to cook indoors. Find out where you can BBQ in NYC’s parks: http://t.co/Sxc37dEcqZ http://t.co/isxX4bBBoO</t>
  </si>
  <si>
    <t>Only four days until outdoor pools open. Get your combination lock and swimsuit ready. http://t.co/t8Z4O8MUiH http://t.co/bfivgYVORg</t>
  </si>
  <si>
    <t>It's never too early or too late to learn how to swim. Sign up for free lessons here: http://t.co/kPVDDqZpET http://t.co/jVvHcIoj9U</t>
  </si>
  <si>
    <t>@subtle116 @cmenchaca To ensure that the public is safe, we have closed these fields while the @EPA tests them.</t>
  </si>
  <si>
    <t>Starting in one week, @centralparknyc’s loop drive north of 72nd St will be car-free. http://t.co/3HLT8Cf7MJ http://t.co/tpYPgIId1a</t>
  </si>
  <si>
    <t>Help us count and map every street tree in NYC! Sign up to become a #TreesCount2015 volunteer: http://t.co/1iGDdVdk1F http://t.co/om1Y8IPEXZ</t>
  </si>
  <si>
    <t>Find out what’s going on with parks construction projects across the city: http://t.co/SGp074LCLn http://t.co/tIgRH0jmXR</t>
  </si>
  <si>
    <t>Check out this jaw-dropping art installation at @RiversideParkNY, on display until 5/15/16. http://t.co/JFLlbzZZkC http://t.co/YoccPSzPbk</t>
  </si>
  <si>
    <t>This week’s free movies include Ghostbusters, King Kong, &amp;amp; The Last Dragon: http://t.co/SkEVevJlFL. http://t.co/fjUICBzUTM</t>
  </si>
  <si>
    <t>@THISISANAPEREZ week’s free movies include Ghostbusters, King Kong, &amp;amp; The Last Dragon: http://t.co/SkEVevJlFL. http://t.co/jZtPrKXY1u</t>
  </si>
  <si>
    <t>Just 5 days until outdoor pools open. Where are you going to swim? http://t.co/t8Z4O8MUiH http://t.co/YUB1luDGaJ</t>
  </si>
  <si>
    <t>RT @NYCMayorsOffice: Retweet if you're excited to go for a stroll in car-free Central and Prospect @nycparks. http://t.co/y43ZIEQGOn http:/…</t>
  </si>
  <si>
    <t>Take free classes on old-school crafts, like soap-making &amp;amp; pickling, in NYC’s oldest house:  http://t.co/W26L4ZqiDi http://t.co/0EDsnEnjec</t>
  </si>
  <si>
    <t>These free, city-wide sports clinics for kids teach sports from basketball to lacrosse. http://t.co/lNhTDIapQx http://t.co/oTjGjmWPuL</t>
  </si>
  <si>
    <t>It's officially the first weekend of summer! Make the most of it with these fun ideas: http://t.co/GwJAqVBp02 http://t.co/p1iyUmNUfD</t>
  </si>
  <si>
    <t>Tomorrow’s the last day to explore @centralparknyc’s epic art experience, Drifting in Daylight http://t.co/gT6m09sZjp http://t.co/UN6H5ziXhh</t>
  </si>
  <si>
    <t>Say #tgif with fireworks at @ConeyIslandFun, every Friday from now through 8/21. http://t.co/SmK68NuO2p http://t.co/2LOM9f2mk1</t>
  </si>
  <si>
    <t>This bench is being outfitted with drums, pipes, &amp;amp; xylophone keys for you to play on Sunday: http://t.co/Z3cSQYrXA7 http://t.co/03k8y5ygLw</t>
  </si>
  <si>
    <t>Be safe. Swim only when lifeguards are on duty, wear sun screen, &amp;amp; never leave kids unattended http://t.co/uy2Z4BLiYs http://t.co/Yrpa7g30qt</t>
  </si>
  <si>
    <t>It’s #nationalkissingday. We have some ideas on where to celebrate: http://t.co/ugRi7MfK9b http://t.co/Yv8GTYmt4I</t>
  </si>
  <si>
    <t>Cool down at the beach. Take our quiz to find what beach is most like you: http://t.co/KMTOqLcs8h. http://t.co/dKEuHlXnYM</t>
  </si>
  <si>
    <t>America's best lumberjacks will be showing off their skills at the STIHL @Timbersports contest at Adventures NYC Sat http://t.co/SL4MYVlbHW</t>
  </si>
  <si>
    <t>Planning to walk across the High Bridge? Make a day out of it. Find places to explore nearby: http://t.co/mUYAnYsLYQ http://t.co/D0wDNE9QJh</t>
  </si>
  <si>
    <t>These 50 artist-decorated pianos are scattered around NYC for you to play until 6/21. http://t.co/sx2HB0LY6q http://t.co/6FqCSRvlG8</t>
  </si>
  <si>
    <t>Sign up for adult early bird and night owl lap swim hours at our outdoor pools, starting 7/6: http://t.co/85Ezdbz01k http://t.co/F0swUdjsXx</t>
  </si>
  <si>
    <t>The Mermaid Parade is this Saturday! Enjoy the festivities on the Coney Island Boardwalk. http://t.co/6b1TXkzzWb http://t.co/WlqE5sM65e</t>
  </si>
  <si>
    <t>Soon most of @centralparknyc and @prospect_park will be permanently car-free. Details at http://t.co/ToLhbeokBB http://t.co/xUk4IHgn5J</t>
  </si>
  <si>
    <t>RT @BilldeBlasio: Prospect Park has always been my family’s backyard. Now it and Central Park will be safer and healthier for... https://t.…</t>
  </si>
  <si>
    <t>Is exercise difficult for you? Try our free, gentle aquatic workouts that help with healing. http://t.co/1Og9rjgPS2 http://t.co/hGKAGWEPaS</t>
  </si>
  <si>
    <t>Paddle to an island off of Brooklyn, inhabited by wildflowers and birds. Sign up today only: http://t.co/P0Kr6INjE4 http://t.co/GHHGDn7NUY</t>
  </si>
  <si>
    <t>Here's where to see fireworks in a park this summer: http://t.co/KB7MMmg4UR. http://t.co/mUa8HP6OJL</t>
  </si>
  <si>
    <t>On Saturday, take a kayak out on @CentralParkNYC’s lake, go rock climbing, &amp;amp; more: http://t.co/SL4MYVCMzu. http://t.co/xqsHW1kAch</t>
  </si>
  <si>
    <t>Want to go camping w/your family in a park? Find out how you can sign up: http://t.co/P0Kr6INjE4. We'll bring tents. http://t.co/MWTjNSAADR</t>
  </si>
  <si>
    <t>On this date in 1885, the Statue of Liberty arrived in NYC! Get a good look at her from @BklynBrdgPark. http://t.co/BHHWRJkKp8</t>
  </si>
  <si>
    <t>Take your daily run where the pros race, at the open public days at the @randallsisland track: http://t.co/AAwK1OT0s3 http://t.co/WVM1HpieLy</t>
  </si>
  <si>
    <t>Are you an aspiring actor? Check out these free theater workshops in @RiversideParkNY: http://t.co/9RndnDw87X http://t.co/GbAvgtupBY</t>
  </si>
  <si>
    <t>Planning something special? Here are some ideas for places to bring a date: http://t.co/ugRi7MfK9b http://t.co/jsQOkma4gz</t>
  </si>
  <si>
    <t>The @nyphil is performing for free at 5 parks this June. Make sure to catch a show: http://t.co/ZqQWSnhtIT http://t.co/HL6e4bqDku</t>
  </si>
  <si>
    <t>Father's Day is this weekend! Plan a special day with dad at these celebrations in parks: http://t.co/nqdGZd3QMQ http://t.co/XULzxqZomI</t>
  </si>
  <si>
    <t>Think this humidity’s making your hair wild? Check out these great egret chicks. More info: http://t.co/33PfvAfQiY http://t.co/PPJn4Hhv9w</t>
  </si>
  <si>
    <t>Get ready. Our free outdoor pools re-open on June 27! http://t.co/t8Z4O8MUiH http://t.co/UfjpUBA1T4</t>
  </si>
  <si>
    <t>Enjoy summer safely. Register today for free learn to swim classes in NYC: http://t.co/kPVDDqZpET. http://t.co/p1UU3j7bmf</t>
  </si>
  <si>
    <t>This free exhibit of large paintings of NY’s waterfalls ends Thursday: http://t.co/kUhSoJVSQy http://t.co/NCqhUtigMV</t>
  </si>
  <si>
    <t>Take fitness classes in everything from kickboxing to dance, all for free, with @ShapeUpNYC: http://t.co/1FT7VgHv6J http://t.co/E6VvoQpsrG</t>
  </si>
  <si>
    <t>Try out some of the fun free kids’ activities we’re providing to help #parkequity: http://t.co/xr3Y3w5L5b http://t.co/5PcZOfaIY0</t>
  </si>
  <si>
    <t>Groups all over the city are mapping NYC’s street trees. Sign up with @nyctreescount &amp;amp; join: http://t.co/1iGDdVdk1F http://t.co/CUIv3YNkiG</t>
  </si>
  <si>
    <t>@RamirezJeanine Thanks! We also repainted the sprinklers, cut the grass, and re-planted. Next we fix handball courts! http://t.co/Forv5kHC1y</t>
  </si>
  <si>
    <t>Have a safe summer: make sure a lifeguard’s nearby if you’re going in the water. Read more at http://t.co/jf4AAZ3FTz http://t.co/QlgLDqc4fO</t>
  </si>
  <si>
    <t>RT @NYCService: Log rolling, rock climbing, and food trucks? Sounds like a great opportunity to volunteer with @NYCParks! Sign up: http://t…</t>
  </si>
  <si>
    <t>Looking for something fun to do this weekend? Here are 18 ideas: http://t.co/GwJAqVBp02 http://t.co/nR1qdzgeis</t>
  </si>
  <si>
    <t>Today’s free outdoor movies: Frozen, Muppets Most Wanted, 101 Dalmatians, &amp;amp; more: http://t.co/SkEVevJlFL</t>
  </si>
  <si>
    <t>@j_gerks We assume you got Coney Island?</t>
  </si>
  <si>
    <t>With weather this hot, it’s time to hit the beach. But which one? Find out with this quiz: http://t.co/KMTOqLcs8h http://t.co/SkGj1IaVaI</t>
  </si>
  <si>
    <t>Let’s make music together. Play a tune on these 50 pianos around NYC, on display until 6/21: http://t.co/sx2HB0LY6q http://t.co/ALG935eZ3C</t>
  </si>
  <si>
    <t>New to canoeing? Our park rangers will teach you the basics this Saturday in Crotona Park: http://t.co/F20970OA3G. http://t.co/CWZQh6fHhE</t>
  </si>
  <si>
    <t>The High Bridge in the 1970s, and the High Bridge now, beautified, repaired, &amp;amp; open to the public. #TBT http://t.co/td99riFJQd</t>
  </si>
  <si>
    <t>Sample BBQ from the Carolinas to Texas to Red Hook at @MadSqParkNYC this weekend: http://t.co/tuv6krfgPM http://t.co/9LPakO38wv</t>
  </si>
  <si>
    <t>What will the playground of the future look like? Join us for this talk w/@van_alen on Sat.: http://t.co/2Yx68QaqvA http://t.co/FYtaccCkkN</t>
  </si>
  <si>
    <t>Explore NYC's natural and historic areas with an expert on these hikes: http://t.co/q0SSGDJ5HW http://t.co/NvoHQUsylZ</t>
  </si>
  <si>
    <t>@discovering_NYC You can find a list of tours &amp;amp; events at http://t.co/aqkl8JqUmO or visit http://t.co/0gj6TK3ykA for hours &amp;amp; access info.</t>
  </si>
  <si>
    <t>Celebrate #MockingjayPart2 by entering the lottery for our free archery class, today only: http://t.co/IWWvm3QBry http://t.co/bD1EPBgzTZ</t>
  </si>
  <si>
    <t>Come to our fitness jamboree tomorrow for free spin, Zumba, yoga, &amp;amp; body conditioning classes. http://t.co/mQT79e94jY http://t.co/u8WtSN5tE0</t>
  </si>
  <si>
    <t>This baby pudu fawn will be a month old on Friday. Help him celebrate by visiting him at @thequeenszoo. http://t.co/nlxoz7Vgu8</t>
  </si>
  <si>
    <t>Take a virtual tour of the #HighBridge, NYC’s oldest standing bridge, now open for you to explore. http://t.co/BoZHJkzgg8</t>
  </si>
  <si>
    <t>Learn a new dance move this summer at these upcoming classes and events: http://t.co/wY3SZ3pB9l http://t.co/K9IvdvvoiO</t>
  </si>
  <si>
    <t>Camp overnight in Alley Pond Park with our park rangers. We'll bring tents! Register here: http://t.co/N3TYoxm2Ng http://t.co/o72Q4v2rUG</t>
  </si>
  <si>
    <t>RT @NYCWater: Newly opened #HighBridge made modern NY possible, linking Manhattan to an upstate water supply http://t.co/jBsH0GVa8G http://…</t>
  </si>
  <si>
    <t>There's a free Native American festival in Inwood Hill Park on Sunday w/food, music, &amp;amp; more: http://t.co/WUYInx3xFq http://t.co/kUAUUhes91</t>
  </si>
  <si>
    <t>Register your kids for free karate, basketball, soccer, and skateboarding clinics in Qns &amp;amp; BK: http://t.co/3V27WZN33r http://t.co/ASGxZq5BNh</t>
  </si>
  <si>
    <t>@staceystowe @CentralParkNYC Hi there! Gussie (or someone with hands) can let us know through @nyc311 at http://t.co/kXwURvQlsG</t>
  </si>
  <si>
    <t>Save the date: We're throwing a party on July 25 to celebrate the opening of the #HighBridge. http://t.co/YJYcWiKHJ1 http://t.co/0caJW3p2KY</t>
  </si>
  <si>
    <t>We’re pleased to announce that the #HighBridge is now officially open. http://t.co/0gj6TK3ykA http://t.co/Jxc4mWDdkY</t>
  </si>
  <si>
    <t>Try the human swingshot, zip-line, climbing wall, &amp;amp; more at Alley Pond Park Adventure Course. http://t.co/KIDf3fiULa http://t.co/LnreqkvOZ0</t>
  </si>
  <si>
    <t>We’re bringing rock climbing, kayaking, &amp;amp; more to @CentralParkNYC on 6/20: http://t.co/Y0eyp5uMa5 http://t.co/1vg0AZVO2W</t>
  </si>
  <si>
    <t>@Senor_Urbano The High Bridge will be open for pedestrians and cyclists.</t>
  </si>
  <si>
    <t>After being closed for 40+ years, the High Bridge opens to the public at 1pm tomorrow: http://t.co/mTPsHzuzUP http://t.co/0t3H35Ay92</t>
  </si>
  <si>
    <t>Make NYC your gym, with these outdoor fitness classes: http://t.co/lxtkmlDR3d http://t.co/x6QJeKOEi9</t>
  </si>
  <si>
    <t>Look closely &amp;amp; you’ll see two blue herons in their Clove Lakes nest. More on NYC’s birds: http://t.co/33PfvAfQiY http://t.co/Zca3jKqABw</t>
  </si>
  <si>
    <t>Help us restore this beautiful natural area in Marine Park this Saturday: http://t.co/ptEAZ2aV8c http://t.co/VlKJfSVFxV</t>
  </si>
  <si>
    <t>Want to hear the latest on free concerts, movies, &amp;amp; plays in NYC? Sign up for our newsletter: http://t.co/LOA5Ua8KRf http://t.co/qL9x9mpVB8</t>
  </si>
  <si>
    <t>The summer’s hottest art festival is taking place on an island in the East River: http://t.co/2dbFNrhAlr http://t.co/aZGSQlfQVw</t>
  </si>
  <si>
    <t>Celebrate the anniversary of NYC’s world fairs with concerts, tours of historic sites, &amp;amp; more. http://t.co/dCRc8ZNuN4 http://t.co/rkBsxzQlUl</t>
  </si>
  <si>
    <t>Here are 16 fun things to do this weekend in NYC parks: http://t.co/GwJAqVBp02 http://t.co/5Jgm67UdmB</t>
  </si>
  <si>
    <t>Look who photobombed this statue of Verrazano, which we’re restoring &amp;amp; returning to @thebatterynyc this summer. http://t.co/H5bxTuBtI3</t>
  </si>
  <si>
    <t>Let’s make music together. We’re putting 50 pianos around NYC for you to play on, until 6/21. http://t.co/sx2HB0LY6q http://t.co/0eRh78aY1S</t>
  </si>
  <si>
    <t>The Bronx River Festival is tomorrow! Come for free tours, canoeing, music, &amp;amp; an animal show. http://t.co/a8bbTcKFvY http://t.co/xESpL0FKas</t>
  </si>
  <si>
    <t>A new skate park opened today in Faber Park, Staten Island! Come check it out. http://t.co/hFjxC7MKZv http://t.co/T2LW2Z3RpQ</t>
  </si>
  <si>
    <t>#TBT: The 1964-65 World's Fair at Flushing Meadows. Relive the experience this Sunday! http://t.co/dCRc8ZNuN4 http://t.co/jKmKNzC0nE</t>
  </si>
  <si>
    <t>Learn how to use a bow and arrow, canoe, or fish at these upcoming park ranger events: http://t.co/8NK03gRzfK http://t.co/aW7oDJNU2U</t>
  </si>
  <si>
    <t>Peek inside the Little Red Lighthouse at this free open house in Saturday: http://t.co/WYZ24VFJj7 http://t.co/YrqBOPiK74</t>
  </si>
  <si>
    <t>Did you know there’s a farm on @randallsisland? See what’s growing: http://t.co/xkH7R3r7zD http://t.co/nHWMawcqVf</t>
  </si>
  <si>
    <t>RT @nycgo: Our #InsiderGuide to #ConeyIsland #Brooklyn: http://t.co/dVGONk3vsn http://t.co/NDBgvcXEvv</t>
  </si>
  <si>
    <t>The path connecting the Cloisters to @CentralParkNYC might be NYC’s loveliest. Hike it with us http://t.co/ad81ZUvBcw http://t.co/z1HNKpbDqp</t>
  </si>
  <si>
    <t>Thanks to @nyliberty for hosting 9 Summer Tip Off clinics in parks across the city today! #parkequity #NYLCommunity http://t.co/Q1ruqMdeEP</t>
  </si>
  <si>
    <t>Take your workout outdoors. Find yoga, dance, tai chi, and boot camp classes in our parks: http://t.co/lxtkmlDR3d http://t.co/c6rfYf5LCb</t>
  </si>
  <si>
    <t>It's pretty out at St. Nicholas Park. Did you know you can see the Manhattan schist here? http://t.co/vvxuYUVSVr http://t.co/LTp6v4Oe1V</t>
  </si>
  <si>
    <t>Our park rangers are offering a free tour of the historic Fort Totten tunnels. Sign up here: http://t.co/UPLWRUq0lu http://t.co/y3p2Oujr7h</t>
  </si>
  <si>
    <t>Who wants to go family camping in @CentralParkNYC? Enter the lottery: http://t.co/Aofl5E3X7t. We'll bring tents! http://t.co/J1QiEEcwG3</t>
  </si>
  <si>
    <t>It's #NationalRunningDay! Here's where to find running tracks, running groups, &amp;amp; events in NYC http://t.co/ptZYoqWbAX http://t.co/XRRSaVywNq</t>
  </si>
  <si>
    <t>@IsraelPRoman There's always something to do in Inwood Hill Park! Check out next week's big festival and more here: http://t.co/gE7PRtHrPg</t>
  </si>
  <si>
    <t>Get updates about events and programs we're offering. Sign up for our newsletter at http://t.co/LOA5UaqlIN. http://t.co/ojC9mRJGEJ</t>
  </si>
  <si>
    <t>@djflyty You can contact our staff about this project at http://t.co/GzJQ6DkhtF.</t>
  </si>
  <si>
    <t>Help us care for our growing urban forest. Join the tree census &amp;amp; help map NYC’s street trees: http://t.co/gnXkaZOfio http://t.co/OeFTpYbJXT</t>
  </si>
  <si>
    <t>Have you visited Bridge Park in the Bronx? The views of the Harlem River bridges are amazing. http://t.co/FtgHtk544o http://t.co/4DwdHVz8TL</t>
  </si>
  <si>
    <t>24 or younger? You’re eligible for free or low-cost rec center memberships: http://t.co/fHy8ZeMsim http://t.co/VkjKmvIZEk</t>
  </si>
  <si>
    <t>When it opens, @freshkillspark will be NYC's largest park. Come explore it this Sunday: http://t.co/Ym50RiZ5N5 http://t.co/eV4XFbiHxR</t>
  </si>
  <si>
    <t>@yurbymusic Your best bet is to reach out to your local permit office to help you through the process. Check out http://t.co/A5YwKoc6l3</t>
  </si>
  <si>
    <t>@djflyty @NYCMayorsOffice @RobertCornegyJr Construction will begin later this summer. Track its progress here: http://t.co/9Nlw9ow5QY</t>
  </si>
  <si>
    <t>Did you know the Belgian Waffle was introduced to NYC at the World’s Fair? We have feelings. http://t.co/RLrwxbFpeb http://t.co/1sEUz0pa9X</t>
  </si>
  <si>
    <t>Coming up in June: pool openings, summer festivals, family camping, swim programs, and more: http://t.co/zJlZEzj2lV http://t.co/JdFGoED83K</t>
  </si>
  <si>
    <t>Hidden on Staten Island’s north shore is a 17-acre park that is home to 80+ species of birds: http://t.co/ViMwqQJSW7 http://t.co/iDAhA2kgKw</t>
  </si>
  <si>
    <t>Want to help fix up your local park? We're looking for volunteers: http://t.co/XECmRSIQ1J http://t.co/SOTBYVaEyM</t>
  </si>
  <si>
    <t>Get a look inside one BK resident’s head (literally) with this installation at @prospect_park: http://t.co/b1YXBJNKP2 http://t.co/sSWkcnsuJ0</t>
  </si>
  <si>
    <t>Looking for a free indoor fitness class? Here's a list of workout sessions across NYC: http://t.co/1FT7VgHv6J http://t.co/73AldpWfVY</t>
  </si>
  <si>
    <t>RT @nycoem: Thunderstorms are expecting to impact the New York City area. For forecast updates, visit http://t.co/XaNRYZnUH5.</t>
  </si>
  <si>
    <t>Have a happy weekend! Here are 19 fun things to do in our parks: http://t.co/GwJAqVBp02 http://t.co/CjknopkkYd</t>
  </si>
  <si>
    <t>Today would have been JFK’s 98th birthday. Honor him at this memorial in @prospect_park: http://t.co/Vp3dVRVcvm http://t.co/AxcIKMn0TW</t>
  </si>
  <si>
    <t>RT @nycgov: Biking is a great way to stay active &amp;amp; have fun this summer. NYC bike map: http://t.co/jSNueeNxvi http://t.co/7tX27rZg1A @nycHe…</t>
  </si>
  <si>
    <t>@NYC_DOT @MotorPkwyEast @TonyAvella @nyc311 Great news! It's opening today. Here's our first photo from the scene: http://t.co/8UmY3WBQwD</t>
  </si>
  <si>
    <t>.@FortGreenePark's visitor center &amp;amp; museum reopens tomorrow. Enjoy tours w/our Urban Park Rangers at the open house: http://t.co/c477rDdlt0</t>
  </si>
  <si>
    <t>Be safe at the beach. Swim only when lifeguards are on duty &amp;amp; never leave children unattended. http://t.co/uy2Z4BLiYs http://t.co/W6Xoy1V4aq</t>
  </si>
  <si>
    <t>@JohnBrownSmoke Thanks for letting us know! Please report at http://t.co/kXwURvQlsG or DM @nyc311 so we can track your complaint.</t>
  </si>
  <si>
    <t>We need your help with our tree census #TreesCount2015. Sign up for training &amp;amp; start mapping: http://t.co/VxJUOC0juy http://t.co/xn8URkry89</t>
  </si>
  <si>
    <t>Hey girl, have you visited the 79th Street Boat Basin? We hear there are goslings. http://t.co/AgqWm8HnNg http://t.co/v1TeT6MubT</t>
  </si>
  <si>
    <t>This scenic spot was the site of one of the city’s worst disasters. Register for a tour: http://t.co/kDOMe6YXp8 http://t.co/29d4Ws8oPD</t>
  </si>
  <si>
    <t>.@Randallsisland's summer outdoor art exhibit FLOW.15 opens this Saturday! http://t.co/wAjewXgRMM  (Photo: Sharon Ma) http://t.co/Nb7FOsmzaE</t>
  </si>
  <si>
    <t>Summer in @CentralParkNYC, 1940s-style. #TBT http://t.co/fryksePJI5</t>
  </si>
  <si>
    <t>Goal ball &amp;amp; wheelchair softball are just 2 of many programs we have for people w/disabilities. http://t.co/tMpvNzmhjA http://t.co/akQYyq2cB2</t>
  </si>
  <si>
    <t>Join us around the campfire for s'mores, games, storytelling, &amp;amp; more in Qns. Bring the kids! Register today only at http://t.co/sMkdN01pnQ.</t>
  </si>
  <si>
    <t>There are more than 200 species of fish in the Hudson. Help us count them all: http://t.co/WbyJSJGQXV http://t.co/fwCjGS9TX8</t>
  </si>
  <si>
    <t>RT @highlinenyc: The 23rd Street Lawn is open for the season! Stop by for picnics and people-watching Wednesday through Saturday. http://t.…</t>
  </si>
  <si>
    <t>@iwant2bi @PfPNYC There are workshops in Staten Island and the Bronx. Please visit http://t.co/gSQyzdJsw3 for location details.</t>
  </si>
  <si>
    <t>@aldepal Hi Allan, the only way to camp in an NYC park overnight is through a family camping event: http://t.co/79hC7mCr1V.</t>
  </si>
  <si>
    <t>Find out how you can help improve your local park community at these free workshops w/@PfPNYC: http://t.co/gSQyzdJsw3 http://t.co/1nzUPPC83v</t>
  </si>
  <si>
    <t>Now’s the time to spot horseshoe crabs. Let us show you where: http://t.co/Yuhk07LjJU</t>
  </si>
  <si>
    <t>Camp overnight in Marine Park w/our park rangers. We'll bring tents &amp;amp; s'mores. Register here: http://t.co/2PQwBrXFaD http://t.co/5l0o2sjEFm</t>
  </si>
  <si>
    <t>Get fit with a view, at these outdoor exercise classes across the city. http://t.co/lxtkmlDR3d http://t.co/gxg2ZipYsf</t>
  </si>
  <si>
    <t>See spirits, a wizard, true love, &amp;amp; more, with Shakespeare’s The Tempest in @CentralParkNYC: http://t.co/OF4NXaYPyw</t>
  </si>
  <si>
    <t>Here are the themes for this summer's costume-themed roller disco parties at @prospect_park: http://t.co/HdwjRFcCQM http://t.co/n4yYr3YVzf</t>
  </si>
  <si>
    <t>We're hosting a free 4-day baseball clinic for kids with @JeterTurn2. For registration info: http://t.co/rO7ErWSQGi http://t.co/03UjSfF9WP</t>
  </si>
  <si>
    <t>#MySummerin5Words: Every day is beach day. http://t.co/W2Ul2oo2zf http://t.co/ZKtmcvnS9T</t>
  </si>
  <si>
    <t>Save the date: We're having a World's Fair Anniversary Fest w/tours, music, &amp;amp; more on June 7 http://t.co/dCRc8ZNuN4 http://t.co/jpDjnFV5Es</t>
  </si>
  <si>
    <t>@smonney Thanks for letting us know! Please report to @nyc311 at http://t.co/poWfoeyMRn so we can track your complaint.</t>
  </si>
  <si>
    <t>New York City's beaches are officially open for the summer! http://t.co/Nbaw3J04sC</t>
  </si>
  <si>
    <t>Headed to the beach? Text BEACH to 877877 for @nycHealthy’s latest update on water quality. http://t.co/o9ZfVRSSJI</t>
  </si>
  <si>
    <t>RT @mitchell_silver: First phase of the rebuilt boardwalk is now open - better and stronger. https://t.co/YTUzeZLIWC</t>
  </si>
  <si>
    <t>RT @NYCMayorsOffice: Drink plenty of water, wear sunscreen, and swim with a buddy at beaches. More @nycparks water tips: http://t.co/Aalwdm…</t>
  </si>
  <si>
    <t>Happy Friday everyone! Here are 16 fun things to do in our parks this weekend: http://t.co/GwJAqVBp02 http://t.co/Gtf223O6jL</t>
  </si>
  <si>
    <t>Best part of #MemorialDayWeekend? Beaches opening: http://t.co/W2Ul2oo2zf http://t.co/hSlEsz9Aqi</t>
  </si>
  <si>
    <t>Get lost in some art with @BklynBrdgPark’s Please Touch the Art installations: http://t.co/2LGvQGsuz7 http://t.co/i2xL9n7Bx7</t>
  </si>
  <si>
    <t>Are you a Rockaway or more of a Coney? Find out which beach you are with our quiz: http://t.co/KMTOqLcs8h http://t.co/9ghrkMPoHj</t>
  </si>
  <si>
    <t>Want to go canoeing in the park this weekend? Here's where to go: http://t.co/TGuQ13m5l4 http://t.co/y5zZAmv5Ej</t>
  </si>
  <si>
    <t>Looking for ideas for your long weekend? Check out these parks for the perfect staycation: http://t.co/70jMqYxVgY http://t.co/xvbDRsCyCn</t>
  </si>
  <si>
    <t>Two more days to NYC beach opening day! Our gardeners spent the past weeks adding lovely plants to the beach gardens. http://t.co/KPEwbNhayR</t>
  </si>
  <si>
    <t>@Katweeta @nycgov Funds are in place to stabilize, restore, and return the watchtower. More here: http://t.co/xALztQU5xl</t>
  </si>
  <si>
    <t>Want to have an outdoor bbq for Memorial Day? Find out the best spots in parks: http://t.co/Sxc37dEcqZ http://t.co/s4bVGo4TrL</t>
  </si>
  <si>
    <t>.@ConeyIslandFun in 1906. Visit the beach when it opens on Sat. &amp;amp; see how it’s changed. #tbt http://t.co/agrnOQwmEQ http://t.co/9KldKYhHKp</t>
  </si>
  <si>
    <t>Only a few days left to see this art that lights up @WaveHill at night. http://t.co/BpysbPx7YM. Photo by Stefan Hagen http://t.co/6RiIQ9HzOE</t>
  </si>
  <si>
    <t>We’re getting the beaches ready for opening day on Saturday. Meet you there? http://t.co/W2Ul2oo2zf #nyc520 http://t.co/SEsfKRIs2q</t>
  </si>
  <si>
    <t>@AjayCnyc No, these camping trips are free! We only ask that you bring your own sleeping bag and bedding.</t>
  </si>
  <si>
    <t>Experience @CentralParkNYC at twilight on a canoe trip in the park. Register today at http://t.co/vZQESP26Gz #NYC520 http://t.co/UdsYMw5AYy</t>
  </si>
  <si>
    <t>Celebrate NYC's 520 miles of waterfront. Head to your favorite waterfront park today and enjoy the view. #NYC520 http://t.co/48gHqa8XpX</t>
  </si>
  <si>
    <t>Want to camp in the park overnight w/your family? Register here: http://t.co/P0Kr6INjE4. We'll bring tents &amp;amp; s'mores! http://t.co/nn1tfG7ItM</t>
  </si>
  <si>
    <t>Meet the world’s littlest penguins, now on display at the @BronxZoo. http://t.co/bWUFRu1SRC</t>
  </si>
  <si>
    <t>We’re going looking for hawks. Enter the lottery today only to join us: http://t.co/P0Kr6INjE4 http://t.co/VfClnKMMiI</t>
  </si>
  <si>
    <t>@ProgGrrl You can find our list here: http://t.co/TGuQ13m5l4, although unfortunately none of these boating events lead to Braavos.</t>
  </si>
  <si>
    <t>Today on 5/20 we're celebrating NYC's 520 miles of waterfront! Kayak and canoe at more than 50 boat launches. #nyc520 http://t.co/NO6ngmYh2L</t>
  </si>
  <si>
    <t>.@shakeshack in @MadSqParkNYC reopens tomorrow! We think we’ll get the ParkBurger. http://t.co/XWfLAduIjZ</t>
  </si>
  <si>
    <t>This morning, we counted tree #1 &amp;amp; kicked off #TreesCount2015. Guess which Curious celeb helped us measure the tree? http://t.co/UbdfHcyz1B</t>
  </si>
  <si>
    <t>See a mess in your park? DM it to @nyc311 with the park name and borough &amp;amp; help us keep your park clean.</t>
  </si>
  <si>
    <t>Hey, Harlem. Bring the kids to these free art workshops &amp;amp; storytelling sessions with @ElMuseo. http://t.co/vJWQodrgZ3 http://t.co/6pelV1FgN5</t>
  </si>
  <si>
    <t>NYC beaches reopen in 4 days! Find out which beach is most like you. Take the quiz: http://t.co/KMTOqLcs8h http://t.co/EkgHnkq6tX</t>
  </si>
  <si>
    <t>#TreesCount2015 kicks off today! Start mapping, NYC! Sign up at http://t.co/1iGDdVdk1F. http://t.co/PfrYJCVgBl</t>
  </si>
  <si>
    <t>Inspired to paint? Learn the basics to help you get started at this free workshop on Tuesday. http://t.co/Uor3GIDdjL http://t.co/3ZW6iKv7dt</t>
  </si>
  <si>
    <t>@PMorris153 @bryantparknyc @CentralParkNYC There are a number of nearby Manh. parks for grilling: http://t.co/IpM7meAPIP Enjoy the holiday!</t>
  </si>
  <si>
    <t>Explore the forest &amp;amp; native plants of @prospect_park on a free tour w/@NaturalAreasNYC on 5/21 http://t.co/PBZsejrKcY http://t.co/vJ5qqh4IiB</t>
  </si>
  <si>
    <t>RT @nycgo: Ever churn butter in @HRTown​? Surf at #RockawayBeach? No? Then get out and #SeeYourCity! http://t.co/TQkAnL5mEy http://t.co/ixM…</t>
  </si>
  <si>
    <t>Curious about a monument or art exhibit in the park? Learn more about it here: http://t.co/quyikF2iKg http://t.co/XSyCWGfuOg</t>
  </si>
  <si>
    <t>RT @nycgov: Want to help clean up your local park? Join these upcoming volunteer events with @NYCParks: http://t.co/uLycYUWqCA http://t.co/…</t>
  </si>
  <si>
    <t>This is what it's like on the mountain biking trails at Highbridge Park. https://t.co/dOEQRrM8A1</t>
  </si>
  <si>
    <t>@VNDREWLEE Beaches are open for swimming from Memorial Day weekend through Labor Day. They're open for sunning &amp;amp; exploring year-round.</t>
  </si>
  <si>
    <t>We’re having the mother of all parties, with Mamapalooza in @RiversideParkNY: http://t.co/za6yyMDgIv http://t.co/Syt3GzYRjK</t>
  </si>
  <si>
    <t>No really, this is still NYC. Take a look at Staten’s South Shore: http://t.co/7OiDkRi1LN http://t.co/u0hajeonQp</t>
  </si>
  <si>
    <t>Beaches open in just 8 days, and boy are we excited. http://t.co/W2Ul2oo2zf http://t.co/4epeZ7fgVQ</t>
  </si>
  <si>
    <t>Happy #BiketoWorkDay2015 NYC. We hope you got to bike through some of our amazing bike routes: http://t.co/MQ52SqpRh8 http://t.co/kAods8pRYX</t>
  </si>
  <si>
    <t>Happy Friday! Here are 17 fun things to do this weekend in parks: http://t.co/GwJAqVBp02 http://t.co/ap34M0iYWO</t>
  </si>
  <si>
    <t>Take these free Partnerships Academy classes to learn the best and most effective ways to support your local park. http://t.co/Q2n7cEjhUj</t>
  </si>
  <si>
    <t>We're having a day of sports and games for kids of all abilities this Saturday in the Bronx. http://t.co/ULfKTqS41G http://t.co/U7eFkaKm4q</t>
  </si>
  <si>
    <t>Orchard Beach in 1937: popular then and popular now. Visit it on 5/23, when beaches open. #tbt http://t.co/gUDVqWtIZ2 http://t.co/y6TWUsjCfc</t>
  </si>
  <si>
    <t>There are almost 100 volunteer events happening at parks across the city this weekend. Drop by http://t.co/paeI9C0oMO http://t.co/S9TtpWTLJ4</t>
  </si>
  <si>
    <t>Hiking is a great way to explore the outdoors while keeping active. Find hiking trails in NYC: http://t.co/51xWSleH3i http://t.co/iIWCTXJ76Q</t>
  </si>
  <si>
    <t>Here's who's coming to the Food Truck Rally at Grand Army Plaza this Sunday: http://t.co/mfbbNHfYcT http://t.co/2JvEzVfU0F</t>
  </si>
  <si>
    <t>Learn about plants that have been used to treat and cure illnesses. Register for this free workshop with us at http://t.co/jD6J1ZtffT.</t>
  </si>
  <si>
    <t>Walk under this cool reflective canopy—a new art installation at @MadSqParkNYC. http://t.co/nacLhKE9ag http://t.co/18SzsHM8Sg</t>
  </si>
  <si>
    <t>Here's a list of free dance lessons, concerts, films, &amp;amp; workouts coming to @SummerOnHudson: http://t.co/ThIR8vwUpl http://t.co/JYvievv3Md</t>
  </si>
  <si>
    <t>.@prospect_park and @TheWCS are giving this guy a spring haircut. Come by this weekend: http://t.co/Q0wPITO4OR http://t.co/yMtHVtcHZr</t>
  </si>
  <si>
    <t>Join our park rangers on a nature exploration hike through Gravesand Bay. Register today only: http://t.co/5NKppK9Cpk http://t.co/Qtq9qXP3qB</t>
  </si>
  <si>
    <t>What's cuter than a panda or a lamb? A panda lamb! Visit one at the @StatenIslandZoo. http://t.co/ySJzNCLeli</t>
  </si>
  <si>
    <t>Van Nest Park has a new look—a 19th century railroad theme, new ways to play, &amp;amp; swings! http://t.co/2zbOf6G295 http://t.co/Du8B994Xge</t>
  </si>
  <si>
    <t>RT @NYCMayorsOffice: Coming up: A chance to volunteer in your @nycparks. Find a match here: http://t.co/wJKY0RoYHO</t>
  </si>
  <si>
    <t>@BKLYNlibrary @AMNH @TheKnope We’d be honored if you’d join us for victory waffles to celebrate. http://t.co/pSkFtXPdRa</t>
  </si>
  <si>
    <t>Are you near a great tree? Find some of the most notable trees in NYC: http://t.co/hFmV6LMVIY http://t.co/zuzDMNzzdY</t>
  </si>
  <si>
    <t>@BKLYNlibrary @AMNH You might think so, but we’re voting Knope. And we’re staying at #1 in the #BiketoWorkChallenge. http://t.co/lgQCVSLvJT</t>
  </si>
  <si>
    <t>We spotted this egret at @prospect_park. Learn where else you can spot these impressive birds: http://t.co/33PfvAfQiY http://t.co/rhVP90M4KL</t>
  </si>
  <si>
    <t>@BKLYNlibrary @AMNH You can try, but Leslie Knope warned us about you: http://t.co/Bc25ZjwGzD</t>
  </si>
  <si>
    <t>Want to learn how to fish? Take free lessons at Parks: http://t.co/4tEKzvgxyk http://t.co/1KPknJD6PM</t>
  </si>
  <si>
    <t>Don’t miss this interactive art festival in @CentralParkNYC, starting Friday: http://t.co/zykEhnRXEA http://t.co/67i2DnxHDl</t>
  </si>
  <si>
    <t>RT @NYCMayorsOffice: This weekend, say It’s My Park by volunteering in @nycparks. Find an opportunity near you: http://t.co/wJKY0RoYHO</t>
  </si>
  <si>
    <t>Don’t miss this amazing art installation at @RiversideParkNY, which ends Friday: http://t.co/CytEkJVLzf http://t.co/nD0WeYnw6O</t>
  </si>
  <si>
    <t>Planning a block party or event? Have our trained staff provide recreational activities for the kids. Apply here: http://t.co/SyqQcdXfrK</t>
  </si>
  <si>
    <t>#MondayMotivation: Here's a list of free fitness classes you can join in NYC http://t.co/1FT7VgHv6J http://t.co/hXxmdE5sXh</t>
  </si>
  <si>
    <t>Luis Lopez Park in #SI was helped by our #parkequity program. See the difference &amp;amp; learn more: http://t.co/hjphEL1aYK http://t.co/tO4BXrcOsD</t>
  </si>
  <si>
    <t>It’s a beautiful time for a bike ride. Find out about rentals, routes, and more at http://t.co/MQ52SqpRh8. http://t.co/UD4sXeRMVC</t>
  </si>
  <si>
    <t>MT @BxRiverAlliance: Celebrate #MothersDay with a free canoe trip on the Bronx River http://t.co/2MQERdhdRm http://t.co/L6UY0rNCkc</t>
  </si>
  <si>
    <t>@BirkenheadPark1 @MadSqParkNYC Happy birthday! You don't look a day over 160.</t>
  </si>
  <si>
    <t>.@MadSqParkNYC will be 168 years old on Sunday. Go wish it happy birthday. http://t.co/x1ugPHiWsx http://t.co/FCxrbMbyWC</t>
  </si>
  <si>
    <t>@CPetkanas Thanks! You can report this ADA violation at http://t.co/wI3pDsP2yo</t>
  </si>
  <si>
    <t>Learn birding basics from the experts while navigating through some of NYC's largest parks: http://t.co/0L9scPKXTS http://t.co/40172h7kJJ</t>
  </si>
  <si>
    <t>Check out Head of Goliath, a new artwork made of NYC’s debris, on view at Tribeca Park: http://t.co/tmlvRNdcEo http://t.co/Ei5zOIttXI</t>
  </si>
  <si>
    <t>Take a walk on the wild side, with this guide to some of NYC’s birds, reptiles, and mammals: http://t.co/MgoNi3TfHY http://t.co/Bi7CY2vVet</t>
  </si>
  <si>
    <t>We're counting all the street trees in NYC. Want to help out? Sign up for #TreesCount2015 at http://t.co/1iGDdVdk1F http://t.co/aFhIlKZSKy</t>
  </si>
  <si>
    <t>Get down with some of NYC’s biggest party animals at Urban Wildlife Appreciation Day this Sat: http://t.co/KCG0WN2YaZ http://t.co/Z1SpWsiB66</t>
  </si>
  <si>
    <t>We guess swings looked a little different in 1910. #tbt http://t.co/Ho6CvwkYC6</t>
  </si>
  <si>
    <t>Making plans for the weekend? Here are some fun ideas: http://t.co/GwJAqVBp02 http://t.co/6l5cpcrfFw</t>
  </si>
  <si>
    <t>Have you visited Marine Park? Enjoy this lovely view from Brooklyn's largest park. http://t.co/CmwCknI9GM http://t.co/BsOOonbVFB</t>
  </si>
  <si>
    <t>RT @nyc311: .@NYCParks Learn to Ride - #free classes that teach kids #bicycling fundamentals for safe &amp;amp; confident riding: http://t.co/GsLJQ…</t>
  </si>
  <si>
    <t>See concerts in parks! Join @MsLaurynHill &amp;amp; more in Flushing Meadows Corona Park on June 20. More info on free tix: http://t.co/XphtJuHXrJ</t>
  </si>
  <si>
    <t>@Woodsy1069 Thanks for letting us know! Please report to @nyc311 at http://t.co/kXwURvQlsG, which will help us track your complaint.</t>
  </si>
  <si>
    <t>Flushing Meadows Corona Park’s historic Tent of Tomorrow is getting a $3 million makeover: http://t.co/NFayMhaAlj http://t.co/NVM41tGl5O</t>
  </si>
  <si>
    <t>This spring’s resolution: learn to canoe, at any of these free events citywide: http://t.co/TGuQ13m5l4 http://t.co/68SUDePZiW</t>
  </si>
  <si>
    <t>Rock climb, try out ropes courses, &amp;amp; more, for free on Sundays at Alley Pond Adventure Course: http://t.co/rKLKuoLO3v http://t.co/DaTEbwOpKz</t>
  </si>
  <si>
    <t>Want to help clean up your local park? Join these upcoming volunteer events: http://t.co/XECmRSIQ1J http://t.co/XeAe1yjhs3</t>
  </si>
  <si>
    <t>Mother's Day is right around the corner. Here's where to celebrate with mom at Parks: http://t.co/apJquGfXDF http://t.co/QiiC1dsTxs</t>
  </si>
  <si>
    <t>Fort Totten Park’s tulips sure have a great view. See it for yourself when you visit the park: http://t.co/PMq8jn3c2l http://t.co/aDWVG8eT4A</t>
  </si>
  <si>
    <t>Do you know someone with a disability? Learn about accessible events and facilities in parks: http://t.co/QdGsKfjLdQ http://t.co/1GmuwKKaag</t>
  </si>
  <si>
    <t>It's so pretty out at @Prospect_Park. http://t.co/HGr3DUDXhm</t>
  </si>
  <si>
    <t>Sign up with @MillionTreesNYC to plant trees in a wildlife refuge &amp;amp; keep NYC's forest growing. http://t.co/mQ60kpxEZH http://t.co/ZySfn7C8Md</t>
  </si>
  <si>
    <t>This falcon is just 1 of the unusual New Yorkers you’ll see at Urban Wildlife Appreciation Day http://t.co/KCG0WN2YaZ http://t.co/4vMCYqAgzj</t>
  </si>
  <si>
    <t>Happy #CincoDeMayo! Bring the family to our celebration tonight in Sunset Park. http://t.co/yHSoV49Aw7 http://t.co/BFpBmVYYGN</t>
  </si>
  <si>
    <t>Happy Monday. What better way to start the week than with these fuzzy baby alpacas at the @StatenIslandZoo? http://t.co/lfOU2JLorH</t>
  </si>
  <si>
    <t>We’re proud to have hosted countless lightsaber battles over the last 38 years. #MayThe4thBeWithYou http://t.co/HUhIKQNMBM</t>
  </si>
  <si>
    <t>Explore Manhattan's highest point at Bennett Park &amp;amp; see bedrock formed millions of yrs ago on a tour w/a geologist: http://t.co/cWibrmYKpR</t>
  </si>
  <si>
    <t>Help clean up your local park and plant flowers at these upcoming #ItsMyPark events: http://t.co/yhQYP7QlpV http://t.co/fmUgKZU9AF</t>
  </si>
  <si>
    <t>Still figuring out what you’re doing this weekend? Here’s 18 things to do around the city:  http://t.co/GwJAqVBp02 http://t.co/evHFRTWh9U</t>
  </si>
  <si>
    <t>Hello, May! Here's what's coming up at NYC Parks: http://t.co/zJlZEzj2lV http://t.co/crU3m9lGix</t>
  </si>
  <si>
    <t>We spotted this robin building its nest in a magnolia in @centralparknyc &amp;amp; we have to admit, we're a little jealous. http://t.co/AEWX9xT2wW</t>
  </si>
  <si>
    <t>Help finish this art installation. Fill up the giant Hello Kitty-shaped capsule on Sunday: http://t.co/oGSfKTI998 http://t.co/010xy9OfAP</t>
  </si>
  <si>
    <t>The carousel at Willowbrook Park reopens tomorrow. Celebrate with fun activities for the kids. http://t.co/FzqPIzwjb1 http://t.co/AIQwoek2Sc</t>
  </si>
  <si>
    <t>Have you seen the new artwork at the @highlinenyc? http://t.co/9ztCut2Y5l http://t.co/aFjCDd59bJ</t>
  </si>
  <si>
    <t>The Okame and Yoshino cherry trees look so pretty here at Flushing Meadows Corona Park. http://t.co/8A2AfLGcbf http://t.co/oKhKgDp4RE</t>
  </si>
  <si>
    <t>Look who we spotted! Wild turkeys used to be common in NYC &amp;amp; you can still spot some in Staten Island. http://t.co/mm9rUnLDKf</t>
  </si>
  <si>
    <t>Explore the Bronx River by canoe at the free annual Bronx River Flotilla this Saturday. http://t.co/4dF4MK2RTa http://t.co/gBYWs5aKHC</t>
  </si>
  <si>
    <t>Take a free guided tour of @BklynBrdgPark and get a whole new look at Brooklyn’s waterfront: http://t.co/JTiYbCvOMR http://t.co/u9PLbKfBb2</t>
  </si>
  <si>
    <t>The 1939-40 World's Fair opened in Flushing Meadows on this date 76 yrs ago. Take a look: http://t.co/PiYi7jloA7 #tbt http://t.co/fBFXVsEXAK</t>
  </si>
  <si>
    <t>How does this 70 degree day make us feel? Like this sun-loving turtle in Morningside Park: http://t.co/YJeYMHZUhU</t>
  </si>
  <si>
    <t>RT @BilldeBlasio: If you’re a tree-loving New Yorker, @nycparks needs your help mapping our urban forest: http://t.co/ay50jSKGmS</t>
  </si>
  <si>
    <t>It's so nice out! Find places to go hiking, fishing, birding, and seeing spring in bloom: http://t.co/8EWcjegIaS http://t.co/gv5j4vBtbY</t>
  </si>
  <si>
    <t>@dericed Yes! Bookmark http://t.co/16hcyrx9Er to follow this project as it moves through the city's capital process.</t>
  </si>
  <si>
    <t>Ospreys mate for life and nest in tall trees &amp;amp; utility poles. Spot them on this birding tour: http://t.co/QmpTEDRgEE http://t.co/w80wBE9jQd</t>
  </si>
  <si>
    <t>There are edible plants growing all over our parks. Register today to learn about them and how to grow your own: http://t.co/3O5lW724eT</t>
  </si>
  <si>
    <t>Spring is blossoming everywhere! See what trees are flowering around NYC: http://t.co/8A2AfLGcbf http://t.co/XLGNtlTG86</t>
  </si>
  <si>
    <t>This Christopher St. Park monument honors the years of work that led to today’s #SCOTUS case: http://t.co/ZZhfT3JVfh http://t.co/yVaAvDB3U1</t>
  </si>
  <si>
    <t>Planning a date? Here are 14 ideas for a spring date in NYC: http://t.co/oWe0TzjhMZ http://t.co/Fds6Psg9Fd</t>
  </si>
  <si>
    <t>It's #NationalSuperheroDay and we couldn't help pulling out this pic of Batman &amp;amp; the Riddler at Shea Stadium in '66. http://t.co/1Ttys8ACf7</t>
  </si>
  <si>
    <t>@bdhowald Thanks for reporting, we'll take a look. Please report this incident to @nyc311 also, and note date, time, &amp;amp; location.</t>
  </si>
  <si>
    <t>It’s a perfect day for a run around the park. Find our favorite places to run at http://t.co/esQbUI8rhg http://t.co/VksAq1Tlrg</t>
  </si>
  <si>
    <t>This free exhibit of beautiful paintings of NY’s waterfalls opens tmw at @CentralParkNYC: http://t.co/vz3Pekuxnm http://t.co/8jIjJuVRln</t>
  </si>
  <si>
    <t>RT @nycgov: Work out at @NYCParks' indoor gyms &amp;amp; pools for as low as $25/year. Kids' memberships are free! http://t.co/W10lPy1Dsl http://t.…</t>
  </si>
  <si>
    <t>We're hosting free Learn to Ride your bike lessons for kids, starting this weekend. Info at http://t.co/xXpVwZXvQ3 http://t.co/5vbtTBXo25</t>
  </si>
  <si>
    <t>After this past winter, every time we step outside we feel like: http://t.co/O7K5NFg7CA</t>
  </si>
  <si>
    <t>RT @NYCMayorsOffice: Love New York City? Love springtime? Love taking photos? Enter the contest: http://t.co/softeIJ0Zv #SignsOfSpringNYC h…</t>
  </si>
  <si>
    <t>Spot majestic ospreys &amp;amp; shorebirds at S.I.'s south shore on this birding walk with a guide: http://t.co/J3vHEXH3Zk http://t.co/oamSa6d1OJ</t>
  </si>
  <si>
    <t>@jamesneilrox He is! As is his wife, Julia Grant. You can read more at: http://t.co/xZGdaOqlAS</t>
  </si>
  <si>
    <t>Who’s buried in @GrantsTombNPS? Ulysses Grant, who'd be 193 today. Visit him at Riverside Park http://t.co/JLcE5nvHZI http://t.co/UZGNyfgG2U</t>
  </si>
  <si>
    <t>RT @mitchell_silver: Great day at 8th Annual Street Games #NYC at @NYCParks @FoTJ_Park http://t.co/wxe6bzTf89</t>
  </si>
  <si>
    <t>RT @NYCMayorsOffice: All New Yorkers will benefit from useful, accessible, and beautiful outdoor spaces. http://t.co/IBEeHGU3lg #OneNYC htt…</t>
  </si>
  <si>
    <t>Here are 16 fun things to do this weekend in NYC parks: http://t.co/GwJAqVBp02 http://t.co/yGbEZe8gi1</t>
  </si>
  <si>
    <t>Explore 18 acres of natural habitat at this birding festival at @randallsisland: http://t.co/7xHbWqqI4L http://t.co/PtJy99R6L5</t>
  </si>
  <si>
    <t>#WhyINeed48HoursInADay So I can visit every single park in NYC. http://t.co/GO7Q89N9mV http://t.co/9DGjiU4Kx6</t>
  </si>
  <si>
    <t>@chriscracklePOP Almost! It’s scheduled for early summer. Visit http://t.co/GO43cSBZPX for more.</t>
  </si>
  <si>
    <t>Today is the 100th anniversary of the Armenian Genocide. This plaque in @UnionSquareNY marks the tragedy. http://t.co/1aTBDqI5JT</t>
  </si>
  <si>
    <t>@jessawicca29 If you see a sick or injured animal in a park, please contact @nyc311. Otherwise it is best to leave the animal alone.</t>
  </si>
  <si>
    <t>@MissElise84 @PikaChulita If an animal appears sick or injured, please contact @nyc311. Otherwise @PikaChulita is absolutely right. Thanks!</t>
  </si>
  <si>
    <t>Happy #ArborDay! Join #TreesCount2015 to help map NYC's street trees. Sign up at http://t.co/1iGDdVdk1F http://t.co/Q1ccXNsNUP</t>
  </si>
  <si>
    <t>Classic NYC fun in 1943 #tbt. Replay your favorite old street games with us this Saturday! http://t.co/DJH5rOIKRq http://t.co/jaHp8CtOvv</t>
  </si>
  <si>
    <t>@RyanColspace @NRDCBioGems If you see an injured animal in a park, please report it to @nyc311 here: http://t.co/Bccxz6gabz</t>
  </si>
  <si>
    <t>The Brooklyn Botanic Garden cherry blossom festival is this weekend! http://t.co/NXnf1YUazu http://t.co/XAr7pwfZXX</t>
  </si>
  <si>
    <t>Celebrate Shakespeare’s birthday. Check out these upcoming performances of his works in parks: http://t.co/66uW7p43yD http://t.co/S7OyJRooyT</t>
  </si>
  <si>
    <t>This fox pup was rescued in Qns. If you spot baby animals, keep clear &amp;amp; give them distance, even if they’re adorable. http://t.co/U2quRIbo58</t>
  </si>
  <si>
    <t>See NYC's oldest &amp;amp; largest tree on this hike with our park rangers. Register today only: http://t.co/UNoWBdiWjF http://t.co/mfX1nV4MZc</t>
  </si>
  <si>
    <t>Read how we’re speeding up our projects &amp;amp; bringing improvements to your parks more quickly: http://t.co/r4LYY1azS1 http://t.co/4Xv90zauNt</t>
  </si>
  <si>
    <t>Most coyotes are not dangerous to people. Be coyote smart! Here's what to do if you see one: http://t.co/DOAzh5KyAI http://t.co/gykEV15x2o</t>
  </si>
  <si>
    <t>Explore Willowbrook Park on a nature photography walk w/our park rangers. Register today only: http://t.co/Hwq56MALGe http://t.co/tjjNvAGtwd</t>
  </si>
  <si>
    <t>All New Yorkers will benefit from useful, accessible, and beautiful outdoor spaces. http://t.co/jMLccUMW5o #OneNYC http://t.co/4qY9iqddQo</t>
  </si>
  <si>
    <t>RT @mitchell_silver: So proud. A big city plan that addresses all 3 E's of sustainability. Environment,  Economy and Equity! Yes. #OneNYC h…</t>
  </si>
  <si>
    <t>Happy Earth Day! Here's where to celebrate: http://t.co/K5DgMaXo83 http://t.co/hbjAXPvhzy</t>
  </si>
  <si>
    <t>Play stickball, skully, &amp;amp; other old-school games this Saturday at our free Street Games fest! http://t.co/DJH5rP0mg0 http://t.co/hYhJYDqvvL</t>
  </si>
  <si>
    <t>Eastern redbuds are blooming around NYC! These trees have low, broad crowns &amp;amp; tiny clusters of lavender-pink flowers. http://t.co/tZaTtmz2DJ</t>
  </si>
  <si>
    <t>Earth Day is tomorrow! Celebrate our beautiful planet at these events: http://t.co/K5DgMaXo83 http://t.co/pK4YuQcNxz</t>
  </si>
  <si>
    <t>We’re opening the Forest Park greenhouse to the public for the first time on Saturday. http://t.co/tlpgqsu46t http://t.co/hlIhF6Gftq</t>
  </si>
  <si>
    <t>The 2nd season of the 1964-65 World's Fair opened on this date 50 yrs ago. Take a look back: http://t.co/92SeAZg9UC http://t.co/jWuKDJXfcz</t>
  </si>
  <si>
    <t>.@nycgov is looking for your #SignsOfSpringNYC Instagram photos. Visit http://t.co/vfphUSwjLG to enter. http://t.co/VMxKz7OSPa</t>
  </si>
  <si>
    <t>Come to the free gallery in @CentralParkNYC to see these lovely paintings of birds in NYC: http://t.co/DtzHlSd9dM http://t.co/Le8PfFhvhj</t>
  </si>
  <si>
    <t>Volunteer with @NYRP to help care for the cherry tree esplanade at Sherman Creek Park. http://t.co/d6sIh98Fkv http://t.co/Av9bXeAjin</t>
  </si>
  <si>
    <t>.@WaveHill will be opening for evening visits for 3 nights. Don’t miss it. (Photo: J. Bright) http://t.co/Rbvf1GwAum http://t.co/B31OO3L9Rq</t>
  </si>
  <si>
    <t>Today's the last day to apply to our Conservation Corps. For more info and to apply, visit: http://t.co/otV3KIVQ5i http://t.co/mEYw3iWcFL</t>
  </si>
  <si>
    <t>Is #MoustacheMonday a thing? Because we think these @BronxZoo birds have nailed it. http://t.co/tIcYDU1Siw</t>
  </si>
  <si>
    <t>RT @BilldeBlasio: Enjoy all @nycparks have to offer with upcoming Earth and Arbor Day events in your neighborhood: http://t.co/8H8zmRh57P</t>
  </si>
  <si>
    <t>Tour the preserved salt marsh of Brooklyn’s largest park with us this Sunday: http://t.co/JfOIcnBYUt http://t.co/lFHyASn2eH</t>
  </si>
  <si>
    <t>RT @nycgov: Get paid to help make NYC greener, join @nycparks' 40-week Conservation Corps program: http://t.co/IzcmjeSIlt http://t.co/blSZn…</t>
  </si>
  <si>
    <t>It's gloomy out now but temperatures will hit 70 tmrw! Find fun things to do this weekend: http://t.co/GwJAqVBp02 http://t.co/nFqjIrXNFK</t>
  </si>
  <si>
    <t>Find some of the best places to go birding, where to go birding w/a guide, and hiking trails: http://t.co/33PfvAfQiY http://t.co/0isGUj3cB4</t>
  </si>
  <si>
    <t>Daffodils are the official flower of NYC. We spotted these in Brooklyn’s McGolrick Park: http://t.co/wFQ6C64mRF http://t.co/Pv2QPdkenh</t>
  </si>
  <si>
    <t>@kristenmharold Great question! Dogs are allowed at @SocratesPark, but they have to remain on leash.</t>
  </si>
  <si>
    <t>This house in Brooklyn is the oldest building in New York! Take a free tour on Sunday: http://t.co/rPTRe2aeAf http://t.co/kuLsxMhBsa</t>
  </si>
  <si>
    <t>See hundreds of these pretty flowers in bloom at this Saturday's Daffodil Fest in Faber Park: http://t.co/uHHIVFXpkN http://t.co/3gu8cOiGjL</t>
  </si>
  <si>
    <t>The roller rink at @BklynBrdgPark reopens tomorrow! http://t.co/kFXMOrjKDq (Photo: @julienneschaer) http://t.co/DzEcJuLWuL</t>
  </si>
  <si>
    <t>We like to think that our spring events have gotten somewhat less weird since 1913. #TBT http://t.co/GoL5WIdZ8T</t>
  </si>
  <si>
    <t>Look at this cute newborn gorilla at the @BronxZoo's Congo Gorilla Forest. (Photo by Julie Larsen Maher © @TheWCS) http://t.co/BquX5ceg2p</t>
  </si>
  <si>
    <t>@livtheripper That *is* lovely! Where is it?</t>
  </si>
  <si>
    <t>This is what Kissena Park in Queens looks like today. How’s your spring looking? http://t.co/TBOZqgoqOp</t>
  </si>
  <si>
    <t>@patkiernan @jamiestelter Heard you wanted to ID a coyote: they have longer legs &amp;amp; a pointed snout. NYC coyote tips: http://t.co/qfkZsXVh6d</t>
  </si>
  <si>
    <t>Some say this historic house in Manhattan is haunted. Take a tour by candlelight this Friday: http://t.co/pDTetIGXqw http://t.co/enl0GePprv</t>
  </si>
  <si>
    <t>There's a kite festival and hawk watch at @freshkillspark this weekend! Join us: http://t.co/5AtOhjvmeS http://t.co/lB0bueVJld</t>
  </si>
  <si>
    <t>On this date in 1947, Jackie Robinson made his debut as the first African American MLB player. http://t.co/rV8JYFfXUT http://t.co/MXslmCoyo0</t>
  </si>
  <si>
    <t>We re-opened Noonan Playground, a monument to veterans &amp;amp; a happy place for Queens kids:  http://t.co/4FZqSVLpRr http://t.co/nquPyzf2lA</t>
  </si>
  <si>
    <t>@KES_Guildhall @CentralParkNYC Thank you for spotting the error! We will fix it on the web and next time we physically remake the sign.</t>
  </si>
  <si>
    <t>This beautiful statue was unveiled 100 yrs ago, to honor 2 New Yorkers who died on the Titanic http://t.co/sbFAyGYRIC http://t.co/UrICuyMIjI</t>
  </si>
  <si>
    <t>Spring is busting out all over. http://t.co/fFvQ0ieamC</t>
  </si>
  <si>
    <t>150 years today, President Lincoln was shot. Pay your respects at this @prospect_park monument http://t.co/LZ2OKGkE7B http://t.co/Ffue5oT51K</t>
  </si>
  <si>
    <t>Work out at our indoor gyms &amp;amp; pools for as low as $25/year. Kids' memberships are free! http://t.co/fHy8ZeuRqO http://t.co/l6QtQS3gUs</t>
  </si>
  <si>
    <t>We’re reopening NYC’s oldest standing bridge. Want to host an event there to celebrate? Visit http://t.co/u5GW0pFNwf http://t.co/EvsbjHu4wb</t>
  </si>
  <si>
    <t>Learn about the origins of the universe and use telescopes to see the stars close up: http://t.co/xoQtQFteon http://t.co/dQEPmJ4Eok</t>
  </si>
  <si>
    <t>This famous poet lived in this BX cottage &amp;amp; frequented Highbridge Park: http://t.co/jQ6plChIGD. #NationalPoetryMonth http://t.co/ileLXdt47Q</t>
  </si>
  <si>
    <t>See the beautiful Orchid Show at @NYBG, before the exhibit ends on Sunday. Info at http://t.co/nmFQbaQN07 http://t.co/ozWqc5D9BA</t>
  </si>
  <si>
    <t>Happy 145th birthday, @metmuseum! We can’t wait to see what the next 145 years hold. http://t.co/K1ny19asT3</t>
  </si>
  <si>
    <t>Red maple trees are blossoming around NYC! They bloom red flowers in clusters, &amp;amp; birds build nests on their boughs. http://t.co/z5RB9O1eM3</t>
  </si>
  <si>
    <t>Spring’s the perfect time for planting &amp;amp; luckily @NYRP is giving away free trees. Get yours:  http://t.co/vn1RHaV6sM http://t.co/xnBN53DUUV</t>
  </si>
  <si>
    <t>@ElireDantes Hi! Please reach out to our office of media relations at press.office@parks.nyc.gov or (212) 360-1311. Thanks!</t>
  </si>
  <si>
    <t>Only a few days left to see the Gazing Globes art exhibit @MadSqParkNYC. http://t.co/zyVcH1Ga7y http://t.co/kbFwaWYKEy</t>
  </si>
  <si>
    <t>Hope is the thing with feathers/That perches in the soul/If you want to see other things with feathers/Go on a birding tour #PoetweetNYC</t>
  </si>
  <si>
    <t>Save the date: play old-school games at our 8th annual Street Games festival on April 25. http://t.co/DJH5rP0mg0 http://t.co/FlESKl3c22</t>
  </si>
  <si>
    <t>Happy 90th anniversary to The Great Gatsby, whose “valley of ashes” became Flushing Meadows Corona Park. http://t.co/6xWluvyA2J</t>
  </si>
  <si>
    <t>Join our history experts in Van Cortlandt Park for a free tour along the Old Croton Aqueduct: http://t.co/UOt4r3RB5r http://t.co/WtHvKvNwpq</t>
  </si>
  <si>
    <t>@theskint @prospect_park  Hi, here's the list from @nycfoodtruck: http://t.co/4P2mleZ2wP</t>
  </si>
  <si>
    <t>Sign up to help care for our young forests and plant new trees in Staten Island on April 25: http://t.co/x5vC7tG7PR http://t.co/FLOqx2ddE0</t>
  </si>
  <si>
    <t>How do we know it’s officially spring? Bright new flowers in bloom in @centralparknyc! http://t.co/gda2cZvcJa</t>
  </si>
  <si>
    <t>It's rainy out now but this weekend will be warm &amp;amp; sunny! Here are 16 fun things to do: http://t.co/GwJAqVBp02 http://t.co/UhQRzRicV7</t>
  </si>
  <si>
    <t>We think that we shall never see/A poem lovely as a tree/But we’re super biased/Because we’re parks. #PoetweetNYC http://t.co/bGKwRGgfX0</t>
  </si>
  <si>
    <t>This fish passage opens tmrw to help river herrings access more habitats in the Bronx River. http://t.co/uJUqNVUGaV http://t.co/i7gVibOwAh</t>
  </si>
  <si>
    <t>Like taking your lunch at @BryantParknyc? Here’s what the lunch crowd looked like in 1936. #tbt http://t.co/KEb5qo7SYE</t>
  </si>
  <si>
    <t>This l'il stinker is a striped skunk. It mostly comes out at night, avoids owls, &amp;amp; sprays when nervous. #AnimalFacts http://t.co/0WvWAfFuRa</t>
  </si>
  <si>
    <t>.@ConferenceHouse, a historic stone manor in Staten Island, reopens tomorrow! Take a tour: http://t.co/ytqDHYRL1V http://t.co/h9n8FrGAVh</t>
  </si>
  <si>
    <t>Spring means food trucks. Sample food from around the world at @prospect_park on Sun. http://t.co/0TlNUpXJZL http://t.co/djcB7oBtlo</t>
  </si>
  <si>
    <t>Composting is a fun way kids can help make NYC greener. We'll show them how at this workshop: http://t.co/r73OucOVAY http://t.co/oz7k1EAV6V</t>
  </si>
  <si>
    <t>Explore the arches &amp;amp; bridges of @centralparknyc on this free guided tour. Register today: http://t.co/QHoLRtDbCT http://t.co/bxx2OAy6rI</t>
  </si>
  <si>
    <t>Want to go camping but haven't the slightest clue of what to do or pack? Come to this workshop http://t.co/d19glEbE8t http://t.co/kpB4MQNfy9</t>
  </si>
  <si>
    <t>Sign up today only for free photography lessons in beautiful Clove Lakes Park: http://t.co/XjoAoCzGo0 http://t.co/zi41qUH6Fv</t>
  </si>
  <si>
    <t>Celebrate Fort Tryon’s annual spring celebration with bagpipes, a parade, &amp;amp; more: http://t.co/CMYDf8P6g6 http://t.co/5SDZa8lkby</t>
  </si>
  <si>
    <t>RT @BilldeBlasio: .@nycparks are beautiful, don't you think? http://t.co/gJFnLBvbQj http://t.co/RyOFI7UaLA</t>
  </si>
  <si>
    <t>Join our Rangers on a hike along this parkway that was once a private road for the Vanderbilts http://t.co/3LKkB8r9oZ http://t.co/EZwtlKgovm</t>
  </si>
  <si>
    <t>RT @prospect_park: Rollerskating is open @LakesideBKLYN !  http://t.co/HMBKmwxpcq
Photo by: Paul Martinka http://t.co/xiOAiq5kiZ</t>
  </si>
  <si>
    <t>Register your team for our adult basketball competitions in the Bronx, starting next week. http://t.co/otGOPzc9VR http://t.co/zpMId5r8Pj</t>
  </si>
  <si>
    <t>Roses are red/Violets are blue/We don’t want to brag/But we’re pretty much flower experts. #PoetweetNYC http://t.co/4qMI7g7EX3</t>
  </si>
  <si>
    <t>Daffodils are starting to bloom! Learn about NYC's official flower &amp;amp; more signs of spring: http://t.co/ZNyneS9vQy http://t.co/7eyxQrmYRC</t>
  </si>
  <si>
    <t>Ease back into a workout routine with free fitness classes, at locations around NYC: http://t.co/1FT7VgHv6J http://t.co/8zvsyuaHDo</t>
  </si>
  <si>
    <t>It's #OpeningDay! Inspired to play? Find baseball fields, leagues, and clinics in NYC at http://t.co/02f2e8LBWU. http://t.co/TCDUvfeIoj</t>
  </si>
  <si>
    <t>Kids on break this week? We’ve got birding, crafts, games, and more: http://t.co/Mhc7yTGFip http://t.co/PLXgOvR6Ja</t>
  </si>
  <si>
    <t>@doodlehedz @CentralParkNYC Hi Randy, could you tell us where the tree is located? Thanks!</t>
  </si>
  <si>
    <t>Happy Tartan Day! Celebrate Scottish culture at @BryantParkNYC's free lunchtime concerts. http://t.co/5LMMRlLXmb http://t.co/rmE8U4iFdD</t>
  </si>
  <si>
    <t>RT @BklynBrdgPark: 75+ delicious vendors will be back at Pier 5 with the return of @smorgasburg this Sunday! http://t.co/QjrcZBXPGE http://…</t>
  </si>
  <si>
    <t>It’s going to be a warm out this weekend. Check out these 13 things to do in our parks: http://t.co/GwJAqVBp02 http://t.co/39kKL5bgdx</t>
  </si>
  <si>
    <t>Who loves spring? This guy. Learn about Staten’s leopard frog &amp;amp; other signs of the season at http://t.co/ZNyneS9vQy. http://t.co/0FuW7rkJCD</t>
  </si>
  <si>
    <t>The @FantasyShoreNYC amusement park at Midland Beach opens this weekend! More info at http://t.co/Ja8ow0tLzQ http://t.co/PIhljX02wb</t>
  </si>
  <si>
    <t>Get paid to help make NYC greener, join our 40-week Conservation Corps program: http://t.co/otV3KIVQ5i http://t.co/9lAzuiIaVj</t>
  </si>
  <si>
    <t>We're having Easter egg hunts around the city tomorrow. Here's where to go: http://t.co/VKXd1Mm9VN http://t.co/gr8QaBhRiz</t>
  </si>
  <si>
    <t>Without him, we’d have no Little Mermaid. Happy 210th birthday to Hans Christian Andersen. http://t.co/AOE6OHVM06 http://t.co/IzE3z3g6OZ</t>
  </si>
  <si>
    <t>While you're walking about on this warm day out, spot some of these early spring happenings: http://t.co/ZNyneS9vQy http://t.co/A2C2Gm8dYf</t>
  </si>
  <si>
    <t>Have you visited Pelham Bay Park? This Sunday, join us on a hike through NYC's largest park: http://t.co/UCnw3JGFzC. http://t.co/nQ5dQb5lKt</t>
  </si>
  <si>
    <t>This weather makes us feel just like this performer, in a #tbt from the 60s. http://t.co/0TFdYQ3K9E</t>
  </si>
  <si>
    <t>.@NYCSchools are out for spring recess starting tomorrow. Find fun things for the kids to do: http://t.co/Mhc7yTGFip http://t.co/DhEqsip38M</t>
  </si>
  <si>
    <t>@fran_says_hello Congratulations!!!</t>
  </si>
  <si>
    <t>Registration for our free adapted aquatics ends today. Visit http://t.co/1Og9rjgPS2 for info. http://t.co/WPgacPGyCr</t>
  </si>
  <si>
    <t>It’s going to hit 60 degrees today! How are you making the most of it? http://t.co/bTmDKIDZGU</t>
  </si>
  <si>
    <t>3 local park projects are up for $20K in the #ParksBuildCommunity contest! Choose your fave at http://t.co/gv0gw2xeLt http://t.co/LJ2CLXw7NC</t>
  </si>
  <si>
    <t>@NikkiTitus Great to have you! Visit Volunteer Opportunities at http://t.co/rivCV5me1x or chat with @milliontreesnyc!</t>
  </si>
  <si>
    <t>@KewguysMk Wow! Amazing photo.</t>
  </si>
  <si>
    <t>Starting today the @highlinenyc is open until 10 p.m. Make the most of it. http://t.co/Aue7hQsl29 http://t.co/mfcB4X3L7S</t>
  </si>
  <si>
    <t>Tennis season starts Saturday. Register online or in person for tennis permits. http://t.co/EM54Y62G3y http://t.co/180YyiQsNf</t>
  </si>
  <si>
    <t>Hello, April! Here's a look at what's coming up next at Parks: http://t.co/zJlZEzj2lV http://t.co/jDGUT2pB5A</t>
  </si>
  <si>
    <t>It’s time for spring cleaning! Help clean up your local park at one of these volunteer events: http://t.co/XECmRSIQ1J http://t.co/TugPL2MHlb</t>
  </si>
  <si>
    <t>Spots are now open on the wait list for our popular, low-cost summer camps. Info at http://t.co/fpJ5ZnxFhp. http://t.co/aH18lAyGMI</t>
  </si>
  <si>
    <t>Explore some of NYC's best places to go birding. Join a birding walk with an expert: http://t.co/0L9scPKXTS http://t.co/Uf1TRIhPwS</t>
  </si>
  <si>
    <t>Today's your last chance to enter the lottery for our spring Learn to Swim classes. http://t.co/kPVDDqZpET http://t.co/6yqDGC9sXm</t>
  </si>
  <si>
    <t>Easter’s around the corner, and this Saturday we’ll be having an egg hunt in every borough: http://t.co/VKXd1Mm9VN http://t.co/x4OoEiuBVq</t>
  </si>
  <si>
    <t>Whoa. MT @CentralParkNYC  Possible best thing ever! http://t.co/kV3MNVvLMe  #PacManInCentralPark http://t.co/C3mh0R20Jw</t>
  </si>
  <si>
    <t>Only 5 days left to go ice skating at Wollman Rink in @CentralParkNYC. The season ends on 4/5. http://t.co/T7EeRIuCFW http://t.co/XTG6ll2g4g</t>
  </si>
  <si>
    <t>Whether you’re interested in the outdoors or kids' events, we’ve got a newsletter for you: http://t.co/LOA5Ua8KRf http://t.co/RETLRgncCw</t>
  </si>
  <si>
    <t>Hear stories about the life and work of Alice Austen &amp;amp; Sylvia DeWolf Ostrander, two progressive women who lived in NY http://t.co/ZuzX8jkmzL</t>
  </si>
  <si>
    <t>Our track &amp;amp; field class for people with disabilities teaches hand cycling, boccia, &amp;amp; more: http://t.co/vLapo76n19 http://t.co/MhtuxVzD6F</t>
  </si>
  <si>
    <t>It’s #TakeAWalkInTheParkDay. What’s your favorite park to wander through? http://t.co/M0uIWtZkRS</t>
  </si>
  <si>
    <t>Our Rangers host fun &amp;amp; educational activities for kids during the school break. Take a look: http://t.co/vz1ll8Lk7H http://t.co/mFjluQ88lE</t>
  </si>
  <si>
    <t>RT @nyctreescount: London planetree, a hybrid of oriental planetree and American Sycamore, is NYC’s most common #streettree http://t.co/Fcn…</t>
  </si>
  <si>
    <t>Fantasy Forest, Queens' only amusement park, opens tomorrow! http://t.co/5Nv98SagGI http://t.co/qFvyQyLPGY</t>
  </si>
  <si>
    <t>Help plan celebrations for the reopening of the High Bridge at this community forum on 3/30: http://t.co/WagsQMYELJ http://t.co/zq9klGW3RD</t>
  </si>
  <si>
    <t>War Memorial Ice Skating Rink closes for the season Sunday. Take a spin while it’s open: http://t.co/WRcsEYsvv8 http://t.co/LuWFWgBZZh</t>
  </si>
  <si>
    <t>Get the kids ready for summer. Enter the lottery for free learn to swim classes for all ages: http://t.co/kPVDDqZpET http://t.co/SwiuIZNV9n</t>
  </si>
  <si>
    <t>The weekend’s just around the corner. Here are 12 ways to make the most out of your days off: http://t.co/GwJAqVBp02 http://t.co/PDHYejnlaC</t>
  </si>
  <si>
    <t>RT @NYCMayorsOffice: A reception station is open at P.S. 63: 121 East 3 St. If you know anyone who lives or works in buildings near the rec…</t>
  </si>
  <si>
    <t>Find your way to 100 public art sculptures in NYC from this art installation in Qns, thru 3/29 http://t.co/JzGMtE3xEA http://t.co/aExLZ8fPC8</t>
  </si>
  <si>
    <t>It took a lot of courage—and a serious tolerance for height—to be one of our tree pruners in 1934. #TBT http://t.co/QcJLMxgUxw</t>
  </si>
  <si>
    <t>Planning a block party or family day? Entertain the kids with games and sports led by our trained staff. More here: http://t.co/SyqQcdXfrK</t>
  </si>
  <si>
    <t>Meet with experts from @pfpnyc on 4/11 for info on improving your park. http://t.co/VEGisWKgrX http://t.co/rCHvjiYJS9</t>
  </si>
  <si>
    <t>The crocus is one of the first spring blooms in our parks. See more early spring finds: http://t.co/ZNyneS9vQy http://t.co/A2GIlu6nzF</t>
  </si>
  <si>
    <t>The carousel at @prospect_park opens tomorrow. Bring the kids and take a ride! Visit http://t.co/GyaINXnHW4 for info. http://t.co/pRXiVJmlrK</t>
  </si>
  <si>
    <t>Go on a scavenger hunt Sunday with our rangers in the beautiful Conference House Park. http://t.co/MsdMqe62sq http://t.co/U9QqFaaJzo</t>
  </si>
  <si>
    <t>Want to learn how to swim? Get ready for summer. Sign up for our spring Learn to Swim classes: http://t.co/kPVDDqZpET http://t.co/3E68O1cx5H</t>
  </si>
  <si>
    <t>Only 6 days left to see this exhibit of comic book art at the Bronx’s Poe Park Visitor Center. http://t.co/lTTB2UBZiB http://t.co/aDeHPznBUy</t>
  </si>
  <si>
    <t>Register today only for a free tour of Fort Totten by candlelight. http://t.co/HsIRcw8G3u http://t.co/8D9LkDziz9</t>
  </si>
  <si>
    <t>Learn from an expert about Superstorm Sandy, climate change, and what extreme weather to expect: http://t.co/mssOqQNVkb</t>
  </si>
  <si>
    <t>Head to @MadSqParkNYC and take a peek inside these gazing globes. They light up at night! http://t.co/zyVcH1Ga7y http://t.co/9oL0ko5OKx</t>
  </si>
  <si>
    <t>It’s gray out now, so let’s take a look at spring color. Peek into one of our greenhouses: http://t.co/qziGio8OpR http://t.co/Vq65zbFjGK</t>
  </si>
  <si>
    <t>This Saturday, help fix up @GreenbeltPark's red trail, a lovely hiking &amp;amp; running area in S.I. http://t.co/InKen9woe4 http://t.co/0ai6ZoKWx8</t>
  </si>
  <si>
    <t>There’s only 1 more week to see this sculpture of a teddy bear built from bronze garbage bags: http://t.co/WFpgcqHEBi http://t.co/0XGG9kvio0</t>
  </si>
  <si>
    <t>Happy #NationalPuppyDay. Bring your pal to the park and hang out with us. http://t.co/83yPlaUb7W http://t.co/6S1KhY5zvS</t>
  </si>
  <si>
    <t>The High Bridge is reopening this year! Have ideas for the celebration? Share them with us: http://t.co/f1eJ73xew6 http://t.co/0p58bkPAWC</t>
  </si>
  <si>
    <t>RT @CentralParkNYC: Explore Hallett Nature Sanctuary--normally closed to public--on rare guided tour tmw! http://t.co/44RyVhpPKt http://t.c…</t>
  </si>
  <si>
    <t>Help make NYC greener. Pick up a free tree for your yard at these tree giveaways: http://t.co/XnzFBQGQyH http://t.co/UuCmq3JLHp</t>
  </si>
  <si>
    <t>Looking to join a sports league in NYC? Find one near you at: http://t.co/spWmb0BKCu http://t.co/d2iyBUuiWS</t>
  </si>
  <si>
    <t>RT @IDNYC: #IDNYC can serve up 10% off tennis permits at @NYCParks. What’s not to “love?" #GameSetMatch http://t.co/ea7xy4WXnj http://t.co/…</t>
  </si>
  <si>
    <t>See if you can spot a bald eagle on this birding walk with our Rangers tmrw: http://t.co/Vms2bwVagH http://t.co/t6kasXJ0mF</t>
  </si>
  <si>
    <t>Here are 17 fun things to do in NYC this weekend: http://t.co/GwJAqVBp02 http://t.co/9a7LgB7X4J</t>
  </si>
  <si>
    <t>It may not feel like it but it's the first day of spring &amp;amp; signs of the season are popping up: http://t.co/ZNyneS9vQy http://t.co/7vcDUDoXwI</t>
  </si>
  <si>
    <t>Get expert advice for gardening in NYC at a day of workshops w/our community gardeners tmrw: http://t.co/X3jw7pBtMu http://t.co/XvCq1W6V49</t>
  </si>
  <si>
    <t>Want to get paid to make NYC greener? Apply for our Fellowship &amp;amp; Conservation Corps Program: http://t.co/otV3KIVQ5i http://t.co/m8ETuvUrUV</t>
  </si>
  <si>
    <t>Last weekend to go ice skating at the rink in @prospect_park before the season ends! http://t.co/9dSdoRBIC9 http://t.co/lPSuPIg6Sa</t>
  </si>
  <si>
    <t>Since this is officially the last Thursday of winter (finally), we're going to spoil you with this #tbt of spring! http://t.co/rtxbTfMV2A</t>
  </si>
  <si>
    <t>@ssdavis888 Hi! You can find softball/baseball leagues in Queens here: http://t.co/JNKc79aT2p.</t>
  </si>
  <si>
    <t>Take a peek inside the Forest Park Greenhouse, where spring is made: http://t.co/qziGio8OpR http://t.co/9kwRnNbIZO</t>
  </si>
  <si>
    <t>As temperatures warm, all sorts of creatures wake up from winter, like this Polyphemus moth at @queensbotanicl. http://t.co/HjJkGnY6gz</t>
  </si>
  <si>
    <t>Join our history expert on a tour of Gravesend Cemetery, which dates back to 1643. Register at http://t.co/XkLFcKpIJC http://t.co/IbXxshAGxk</t>
  </si>
  <si>
    <t>Celebrate the first weekend of spring with a free tour of our southernmost park on Saturday: http://t.co/70IuHrsVzY http://t.co/KIQTXyH6Lv</t>
  </si>
  <si>
    <t>@ValeyQU Hi! Find a list of adult baseball/softball leagues here: http://t.co/W68x9BqVSy</t>
  </si>
  <si>
    <t>We're looking for kids ages 12 to 14 to play in our co-ed softball league in Manhattan. http://t.co/Bpj2nWp2aW http://t.co/C98wNRPd1D</t>
  </si>
  <si>
    <t>There's more to @prospect_park than you know. Join a free tour of the park's trails &amp;amp; history: http://t.co/uSA3aGFkgL http://t.co/Crt8ei5lxe</t>
  </si>
  <si>
    <t>Lasker Rink in @CentralParkNYC closes for the season on Sunday! Get some ice skating in. http://t.co/HmVvAFQWff http://t.co/a96OEbpnDo</t>
  </si>
  <si>
    <t>RT @nycgo: Coming this spring to @SocratesPark in #Queens: Agnes Denes' "The Living Pyramid" – http://t.co/ZXKzh92U0s http://t.co/BukssXvIKD</t>
  </si>
  <si>
    <t>#SignsofSpring in NYC! RT @NYBG: Snowdrops, dropping by the Ross Conifer Arboretum to welcome spring. http://t.co/kn17woxC9F</t>
  </si>
  <si>
    <t>Amp up your photography skills at this beginner's class at the Alice Austen House: http://t.co/oji9TiYAcM http://t.co/pjX1dIZxDb</t>
  </si>
  <si>
    <t>There's an owl prowl this Saturday in the Bronx. Spot saw whets &amp;amp; barred owls with an expert. http://t.co/zosy8GSX3T http://t.co/KjQNR8rRb6</t>
  </si>
  <si>
    <t>From fitness boot camps to belly dancing, here's where to find free indoor workout classes: http://t.co/1FT7VgHv6J http://t.co/qKVnZUGosV</t>
  </si>
  <si>
    <t>We're looking for volunteers to help us count &amp;amp; map every street tree in NYC: http://t.co/gnXkaZwEqQ #treescount2015 http://t.co/poR0g4EQs4</t>
  </si>
  <si>
    <t>RT @NYCSchools: Parents with children born in 2011: apply TODAY for free #Prekforall. Here: http://t.co/uca7K4CQyZ http://t.co/3os3SbtsRN</t>
  </si>
  <si>
    <t>@yonimweiss @NYCMayorsOffice Thank you for bringing this to our attention. Please report this to @nyc311 at http://t.co/i5Mi2dfqp4.</t>
  </si>
  <si>
    <t>RT @highlinenyc: Spotted on our first day of #SpringCutback – Crocus tommasinianus: http://t.co/70NyhWMrKF http://t.co/WIiGzLlOkz</t>
  </si>
  <si>
    <t>Spring's officially only days away. Here's how to spot the first signs of spring: http://t.co/ZNyneSr6I6 http://t.co/UutuNG4SLN</t>
  </si>
  <si>
    <t>The free art gallery in @CentralParkNYC is filled with paintings of NYC's birds. Check it out. http://t.co/DtzHlSd9dM http://t.co/YjMCP0ViS7</t>
  </si>
  <si>
    <t>Our tennis season starts April 4! You can find courts and get a tennis permit today: http://t.co/LqL7KDJc03 http://t.co/CsaQ8fAL1V</t>
  </si>
  <si>
    <t>We spotted buds on a magnolia tree in @CentralParkNYC. It will look like this soon! #SignsofSpring http://t.co/C4nYV3Gp6O</t>
  </si>
  <si>
    <t>Win $10,000 and have your art displayed in one of our parks. Apply by March 22. http://t.co/WeOKElgjwy. http://t.co/gBozOxjaMi</t>
  </si>
  <si>
    <t>RT @prospect_park: The snow is melting and signs of #spring are all around in #ProspectPark. Enjoy this lovely Friday afternoon! http://t.c…</t>
  </si>
  <si>
    <t>Keep up-to-date with everything happening in your neighborhood parks with our newsletters: http://t.co/LOA5Ua8KRf http://t.co/3n4VUqYxOF</t>
  </si>
  <si>
    <t>Only a few days left to apply for our summer camp. Sign up here: http://t.co/fpJ5ZnPgFZ http://t.co/ynxeVpMgJh</t>
  </si>
  <si>
    <t>Here are 13 fun things to do in New York City parks this weekend: http://t.co/GwJAqVBp02 http://t.co/4uxdkJqCnb</t>
  </si>
  <si>
    <t>Want to learn how to identify birds? Take free intro to birding workshops in @prospect_park. http://t.co/bmrrouczLq http://t.co/AESV71uXxy</t>
  </si>
  <si>
    <t>We're celebrating Irish culture with a hike, a ghost tour, and a huge parade. Join us: http://t.co/kyGBXYVs39 http://t.co/MzmpZXUy5a</t>
  </si>
  <si>
    <t>Discover hidden gems in NYC and learn nature exploration skills at free Ranger-led events: http://t.co/8NK03gRzfK http://t.co/7og51BbHso</t>
  </si>
  <si>
    <t>Want to report litter, weeds, or broken equipment at a park? Contact @nyc311 at http://t.co/i5Mi2dfqp4</t>
  </si>
  <si>
    <t>Happy 282nd birthday Bowling Green Park! Here's a view of the park in 1935. http://t.co/tQXLc7MoYR   #TBT http://t.co/WT6ifHr8mM</t>
  </si>
  <si>
    <t>Winter's ending soon. Get some ice skating in before our rinks close for the season. http://t.co/gQL6r5OcQS http://t.co/q35akKWeXF</t>
  </si>
  <si>
    <t>Bowling Green, NYC’s first public park, is 282 today. We’re not sure we have enough candles. http://t.co/tQXLc7MoYR http://t.co/wHn6iwhEyX</t>
  </si>
  <si>
    <t>Thinking about running again? Here's where to find a free running track: http://t.co/5arpurGJXt http://t.co/z5gdXI94mH</t>
  </si>
  <si>
    <t>Perfect weather. Go outside. #GoodAdviceIn4Words http://t.co/ZjukcIlU0R</t>
  </si>
  <si>
    <t>Join more than a thousand community gardeners for workshops, live music, and more. http://t.co/X3jw7pBtMu http://t.co/Nmx7m0H877</t>
  </si>
  <si>
    <t>Explore scenic spots in Astoria Park on this photography trip with our Rangers. Register at http://t.co/iALm1qoOLN http://t.co/R9fqaZkVIp</t>
  </si>
  <si>
    <t>Help spruce up our parks for the coming season at these volunteer events: http://t.co/XECmRSreD9 http://t.co/QvltoctcmL</t>
  </si>
  <si>
    <t>Have you seen the orchid show? @NYBG welcomes spring with a showcase of hanging orchids. http://t.co/Ad77zzScNR http://t.co/lbBRhw0ojM</t>
  </si>
  <si>
    <t>As spring nears, songbirds chirp sounds of the season as they fly around. Join a bird walk: http://t.co/0L9scPKXTS http://t.co/jPPwVtEI3p</t>
  </si>
  <si>
    <t>RT @nycgo: Too early to start thinking of summer in the City? Nope. Here's our NYC Summer Preview: http://t.co/UvfSILnsK0 http://t.co/TM0J0…</t>
  </si>
  <si>
    <t>RT @NYCMayorsOffice: We want to hear from you. Tell us what to include in a plan for New York’s future. http://t.co/R7yNH5QSEF #FutureNYC h…</t>
  </si>
  <si>
    <t>It’s cycling weather. Check out our favorite bike routes in the city &amp;amp; find out about rentals: http://t.co/MQ52SqpRh8 http://t.co/UTaYEosazT</t>
  </si>
  <si>
    <t>Have you visited the Gazing Globes at @MadSqParkNYC yet? On view until 4/19. http://t.co/zyVcH1Ga7y http://t.co/KaS1uhOnqE</t>
  </si>
  <si>
    <t>Is exercise difficult for you? Try adapted aquatics, a gentle workout that helps healing. http://t.co/1Og9rjgPS2 http://t.co/mNJAitBeUg</t>
  </si>
  <si>
    <t>Are you planning your summer? Here's how our campers made the most out of last year's season: http://t.co/x2tqoZG9cm http://t.co/zyrfP536FZ</t>
  </si>
  <si>
    <t>See this amazing comic art exhibit in the park where early Batman stories were brainstormed: http://t.co/14JQXWhydw http://t.co/1RV6HHNykg</t>
  </si>
  <si>
    <t>Spring's right around the corner. Keep track with these signs of spring in our parks: http://t.co/ZNyneS9vQy http://t.co/TZFyMuWVLY</t>
  </si>
  <si>
    <t>It's warmer and sunnier out this week. Enjoy the outdoors on these hiking trails in NYC: http://t.co/51xWSleH3i http://t.co/N7fbBhBfXF</t>
  </si>
  <si>
    <t>This winter may be long, but at least it’s pretty. Check out this view of @WaveHill. http://t.co/RCQLWHaAOU http://t.co/yhvdklzooi</t>
  </si>
  <si>
    <t>Good news: we're having another World's Fair Anniversary Festival this year! More info at http://t.co/dCRc8ZNuN4 http://t.co/GOYAxIcGsa</t>
  </si>
  <si>
    <t>From frogs to modern art, here are 12 ways to explore NYC this weekend: http://t.co/GwJAqVBp02 http://t.co/a7JfQcDBf4</t>
  </si>
  <si>
    <t>The clocks are springing forward 1 hour this Sunday. Spring is coming! http://t.co/ZNyneS9vQy #DaylightSavingTime http://t.co/UQZLwi2x6N</t>
  </si>
  <si>
    <t>Make the most of this snow. Visit the best sledding spots in NYC: http://t.co/j9EMozTq4Z http://t.co/4rndD43e2K</t>
  </si>
  <si>
    <t>Registration is now open for our 2015 Summer Camp program! Visit http://t.co/fpJ5ZnPgFZ for more info &amp;amp; to register. http://t.co/YnVfpSvNv8</t>
  </si>
  <si>
    <t>Take a look out at this wintry weather from Castle Hill Park in the Bronx: http://t.co/gpwEn9445P http://t.co/90LiQrlJNB</t>
  </si>
  <si>
    <t>RT @nycgov: Join @NYCService today. Search for volunteer opportunities by borough, skills or interest at http://t.co/32zfRD7IpP. http://t.c…</t>
  </si>
  <si>
    <t>We’re just going to close our eyes and remember summer. #TBT http://t.co/Sxk7BityR8</t>
  </si>
  <si>
    <t>Please don't step on frozen waters and make sure children are never unattended near ice. http://t.co/syjxbKRE8K http://t.co/dUFMuxn1q2</t>
  </si>
  <si>
    <t>You might be tired of this snow, but your pup loves it. Find a dog run at http://t.co/83yPlaUb7W. http://t.co/FYAxaXoIYM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</si>
</sst>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HYPERLINK("http://www.twitter.com/NYCParks/status/808371037213696000", "808371037213696000")</f>
        <v>0</v>
      </c>
      <c r="B2" s="2">
        <v>42716.7505555556</v>
      </c>
      <c r="C2">
        <v>0</v>
      </c>
      <c r="D2">
        <v>30</v>
      </c>
      <c r="E2" t="s">
        <v>5</v>
      </c>
    </row>
    <row r="3" spans="1:5">
      <c r="A3">
        <f>HYPERLINK("http://www.twitter.com/NYCParks/status/808368426339205120", "808368426339205120")</f>
        <v>0</v>
      </c>
      <c r="B3" s="2">
        <v>42716.7433564815</v>
      </c>
      <c r="C3">
        <v>1</v>
      </c>
      <c r="D3">
        <v>1</v>
      </c>
      <c r="E3" t="s">
        <v>6</v>
      </c>
    </row>
    <row r="4" spans="1:5">
      <c r="A4">
        <f>HYPERLINK("http://www.twitter.com/NYCParks/status/808368213415329792", "808368213415329792")</f>
        <v>0</v>
      </c>
      <c r="B4" s="2">
        <v>42716.7427662037</v>
      </c>
      <c r="C4">
        <v>0</v>
      </c>
      <c r="D4">
        <v>1</v>
      </c>
      <c r="E4" t="s">
        <v>7</v>
      </c>
    </row>
    <row r="5" spans="1:5">
      <c r="A5">
        <f>HYPERLINK("http://www.twitter.com/NYCParks/status/808368141562740736", "808368141562740736")</f>
        <v>0</v>
      </c>
      <c r="B5" s="2">
        <v>42716.7425694444</v>
      </c>
      <c r="C5">
        <v>0</v>
      </c>
      <c r="D5">
        <v>1</v>
      </c>
      <c r="E5" t="s">
        <v>8</v>
      </c>
    </row>
    <row r="6" spans="1:5">
      <c r="A6">
        <f>HYPERLINK("http://www.twitter.com/NYCParks/status/808361034960556032", "808361034960556032")</f>
        <v>0</v>
      </c>
      <c r="B6" s="2">
        <v>42716.722962963</v>
      </c>
      <c r="C6">
        <v>0</v>
      </c>
      <c r="D6">
        <v>0</v>
      </c>
      <c r="E6" t="s">
        <v>9</v>
      </c>
    </row>
    <row r="7" spans="1:5">
      <c r="A7">
        <f>HYPERLINK("http://www.twitter.com/NYCParks/status/808359976532066304", "808359976532066304")</f>
        <v>0</v>
      </c>
      <c r="B7" s="2">
        <v>42716.7200347222</v>
      </c>
      <c r="C7">
        <v>0</v>
      </c>
      <c r="D7">
        <v>0</v>
      </c>
      <c r="E7" t="s">
        <v>10</v>
      </c>
    </row>
    <row r="8" spans="1:5">
      <c r="A8">
        <f>HYPERLINK("http://www.twitter.com/NYCParks/status/808359918394806272", "808359918394806272")</f>
        <v>0</v>
      </c>
      <c r="B8" s="2">
        <v>42716.7198726852</v>
      </c>
      <c r="C8">
        <v>0</v>
      </c>
      <c r="D8">
        <v>0</v>
      </c>
      <c r="E8" t="s">
        <v>11</v>
      </c>
    </row>
    <row r="9" spans="1:5">
      <c r="A9">
        <f>HYPERLINK("http://www.twitter.com/NYCParks/status/808359716929806336", "808359716929806336")</f>
        <v>0</v>
      </c>
      <c r="B9" s="2">
        <v>42716.7193171296</v>
      </c>
      <c r="C9">
        <v>1</v>
      </c>
      <c r="D9">
        <v>0</v>
      </c>
      <c r="E9" t="s">
        <v>12</v>
      </c>
    </row>
    <row r="10" spans="1:5">
      <c r="A10">
        <f>HYPERLINK("http://www.twitter.com/NYCParks/status/808359645375057920", "808359645375057920")</f>
        <v>0</v>
      </c>
      <c r="B10" s="2">
        <v>42716.7191203704</v>
      </c>
      <c r="C10">
        <v>0</v>
      </c>
      <c r="D10">
        <v>0</v>
      </c>
      <c r="E10" t="s">
        <v>13</v>
      </c>
    </row>
    <row r="11" spans="1:5">
      <c r="A11">
        <f>HYPERLINK("http://www.twitter.com/NYCParks/status/808353998453542912", "808353998453542912")</f>
        <v>0</v>
      </c>
      <c r="B11" s="2">
        <v>42716.7035416667</v>
      </c>
      <c r="C11">
        <v>6</v>
      </c>
      <c r="D11">
        <v>6</v>
      </c>
      <c r="E11" t="s">
        <v>14</v>
      </c>
    </row>
    <row r="12" spans="1:5">
      <c r="A12">
        <f>HYPERLINK("http://www.twitter.com/NYCParks/status/808341907546001408", "808341907546001408")</f>
        <v>0</v>
      </c>
      <c r="B12" s="2">
        <v>42716.6701736111</v>
      </c>
      <c r="C12">
        <v>0</v>
      </c>
      <c r="D12">
        <v>3</v>
      </c>
      <c r="E12" t="s">
        <v>15</v>
      </c>
    </row>
    <row r="13" spans="1:5">
      <c r="A13">
        <f>HYPERLINK("http://www.twitter.com/NYCParks/status/807327750277267456", "807327750277267456")</f>
        <v>0</v>
      </c>
      <c r="B13" s="2">
        <v>42713.8716319444</v>
      </c>
      <c r="C13">
        <v>25</v>
      </c>
      <c r="D13">
        <v>18</v>
      </c>
      <c r="E13" t="s">
        <v>16</v>
      </c>
    </row>
    <row r="14" spans="1:5">
      <c r="A14">
        <f>HYPERLINK("http://www.twitter.com/NYCParks/status/807318356814655489", "807318356814655489")</f>
        <v>0</v>
      </c>
      <c r="B14" s="2">
        <v>42713.8457175926</v>
      </c>
      <c r="C14">
        <v>1</v>
      </c>
      <c r="D14">
        <v>0</v>
      </c>
      <c r="E14" t="s">
        <v>17</v>
      </c>
    </row>
    <row r="15" spans="1:5">
      <c r="A15">
        <f>HYPERLINK("http://www.twitter.com/NYCParks/status/807318332831657984", "807318332831657984")</f>
        <v>0</v>
      </c>
      <c r="B15" s="2">
        <v>42713.8456481481</v>
      </c>
      <c r="C15">
        <v>2</v>
      </c>
      <c r="D15">
        <v>0</v>
      </c>
      <c r="E15" t="s">
        <v>18</v>
      </c>
    </row>
    <row r="16" spans="1:5">
      <c r="A16">
        <f>HYPERLINK("http://www.twitter.com/NYCParks/status/807302606263644160", "807302606263644160")</f>
        <v>0</v>
      </c>
      <c r="B16" s="2">
        <v>42713.8022453704</v>
      </c>
      <c r="C16">
        <v>14</v>
      </c>
      <c r="D16">
        <v>1</v>
      </c>
      <c r="E16" t="s">
        <v>19</v>
      </c>
    </row>
    <row r="17" spans="1:5">
      <c r="A17">
        <f>HYPERLINK("http://www.twitter.com/NYCParks/status/807264848635723776", "807264848635723776")</f>
        <v>0</v>
      </c>
      <c r="B17" s="2">
        <v>42713.6980555556</v>
      </c>
      <c r="C17">
        <v>23</v>
      </c>
      <c r="D17">
        <v>23</v>
      </c>
      <c r="E17" t="s">
        <v>20</v>
      </c>
    </row>
    <row r="18" spans="1:5">
      <c r="A18">
        <f>HYPERLINK("http://www.twitter.com/NYCParks/status/807253341138980864", "807253341138980864")</f>
        <v>0</v>
      </c>
      <c r="B18" s="2">
        <v>42713.6663078704</v>
      </c>
      <c r="C18">
        <v>8</v>
      </c>
      <c r="D18">
        <v>13</v>
      </c>
      <c r="E18" t="s">
        <v>21</v>
      </c>
    </row>
    <row r="19" spans="1:5">
      <c r="A19">
        <f>HYPERLINK("http://www.twitter.com/NYCParks/status/806981400561786881", "806981400561786881")</f>
        <v>0</v>
      </c>
      <c r="B19" s="2">
        <v>42712.9158912037</v>
      </c>
      <c r="C19">
        <v>221</v>
      </c>
      <c r="D19">
        <v>176</v>
      </c>
      <c r="E19" t="s">
        <v>22</v>
      </c>
    </row>
    <row r="20" spans="1:5">
      <c r="A20">
        <f>HYPERLINK("http://www.twitter.com/NYCParks/status/806965506590777344", "806965506590777344")</f>
        <v>0</v>
      </c>
      <c r="B20" s="2">
        <v>42712.872037037</v>
      </c>
      <c r="C20">
        <v>20</v>
      </c>
      <c r="D20">
        <v>9</v>
      </c>
      <c r="E20" t="s">
        <v>23</v>
      </c>
    </row>
    <row r="21" spans="1:5">
      <c r="A21">
        <f>HYPERLINK("http://www.twitter.com/NYCParks/status/806937004403396608", "806937004403396608")</f>
        <v>0</v>
      </c>
      <c r="B21" s="2">
        <v>42712.7933796296</v>
      </c>
      <c r="C21">
        <v>19</v>
      </c>
      <c r="D21">
        <v>8</v>
      </c>
      <c r="E21" t="s">
        <v>24</v>
      </c>
    </row>
    <row r="22" spans="1:5">
      <c r="A22">
        <f>HYPERLINK("http://www.twitter.com/NYCParks/status/806902921292025856", "806902921292025856")</f>
        <v>0</v>
      </c>
      <c r="B22" s="2">
        <v>42712.6993287037</v>
      </c>
      <c r="C22">
        <v>150</v>
      </c>
      <c r="D22">
        <v>88</v>
      </c>
      <c r="E22" t="s">
        <v>25</v>
      </c>
    </row>
    <row r="23" spans="1:5">
      <c r="A23">
        <f>HYPERLINK("http://www.twitter.com/NYCParks/status/806617505951195136", "806617505951195136")</f>
        <v>0</v>
      </c>
      <c r="B23" s="2">
        <v>42711.9117361111</v>
      </c>
      <c r="C23">
        <v>73</v>
      </c>
      <c r="D23">
        <v>20</v>
      </c>
      <c r="E23" t="s">
        <v>26</v>
      </c>
    </row>
    <row r="24" spans="1:5">
      <c r="A24">
        <f>HYPERLINK("http://www.twitter.com/NYCParks/status/806587223495835648", "806587223495835648")</f>
        <v>0</v>
      </c>
      <c r="B24" s="2">
        <v>42711.8281712963</v>
      </c>
      <c r="C24">
        <v>36</v>
      </c>
      <c r="D24">
        <v>15</v>
      </c>
      <c r="E24" t="s">
        <v>27</v>
      </c>
    </row>
    <row r="25" spans="1:5">
      <c r="A25">
        <f>HYPERLINK("http://www.twitter.com/NYCParks/status/806560532631261184", "806560532631261184")</f>
        <v>0</v>
      </c>
      <c r="B25" s="2">
        <v>42711.7545138889</v>
      </c>
      <c r="C25">
        <v>34</v>
      </c>
      <c r="D25">
        <v>24</v>
      </c>
      <c r="E25" t="s">
        <v>28</v>
      </c>
    </row>
    <row r="26" spans="1:5">
      <c r="A26">
        <f>HYPERLINK("http://www.twitter.com/NYCParks/status/806545100771823616", "806545100771823616")</f>
        <v>0</v>
      </c>
      <c r="B26" s="2">
        <v>42711.7119328704</v>
      </c>
      <c r="C26">
        <v>16</v>
      </c>
      <c r="D26">
        <v>5</v>
      </c>
      <c r="E26" t="s">
        <v>29</v>
      </c>
    </row>
    <row r="27" spans="1:5">
      <c r="A27">
        <f>HYPERLINK("http://www.twitter.com/NYCParks/status/806523008038928384", "806523008038928384")</f>
        <v>0</v>
      </c>
      <c r="B27" s="2">
        <v>42711.6509722222</v>
      </c>
      <c r="C27">
        <v>0</v>
      </c>
      <c r="D27">
        <v>22</v>
      </c>
      <c r="E27" t="s">
        <v>30</v>
      </c>
    </row>
    <row r="28" spans="1:5">
      <c r="A28">
        <f>HYPERLINK("http://www.twitter.com/NYCParks/status/806259793379762177", "806259793379762177")</f>
        <v>0</v>
      </c>
      <c r="B28" s="2">
        <v>42710.9246296296</v>
      </c>
      <c r="C28">
        <v>29</v>
      </c>
      <c r="D28">
        <v>18</v>
      </c>
      <c r="E28" t="s">
        <v>31</v>
      </c>
    </row>
    <row r="29" spans="1:5">
      <c r="A29">
        <f>HYPERLINK("http://www.twitter.com/NYCParks/status/806230544593944576", "806230544593944576")</f>
        <v>0</v>
      </c>
      <c r="B29" s="2">
        <v>42710.8439236111</v>
      </c>
      <c r="C29">
        <v>28</v>
      </c>
      <c r="D29">
        <v>23</v>
      </c>
      <c r="E29" t="s">
        <v>32</v>
      </c>
    </row>
    <row r="30" spans="1:5">
      <c r="A30">
        <f>HYPERLINK("http://www.twitter.com/NYCParks/status/806194864555749376", "806194864555749376")</f>
        <v>0</v>
      </c>
      <c r="B30" s="2">
        <v>42710.745462963</v>
      </c>
      <c r="C30">
        <v>7</v>
      </c>
      <c r="D30">
        <v>3</v>
      </c>
      <c r="E30" t="s">
        <v>33</v>
      </c>
    </row>
    <row r="31" spans="1:5">
      <c r="A31">
        <f>HYPERLINK("http://www.twitter.com/NYCParks/status/806177834456797185", "806177834456797185")</f>
        <v>0</v>
      </c>
      <c r="B31" s="2">
        <v>42710.6984722222</v>
      </c>
      <c r="C31">
        <v>13</v>
      </c>
      <c r="D31">
        <v>10</v>
      </c>
      <c r="E31" t="s">
        <v>34</v>
      </c>
    </row>
    <row r="32" spans="1:5">
      <c r="A32">
        <f>HYPERLINK("http://www.twitter.com/NYCParks/status/805868162059223040", "805868162059223040")</f>
        <v>0</v>
      </c>
      <c r="B32" s="2">
        <v>42709.8439351852</v>
      </c>
      <c r="C32">
        <v>24</v>
      </c>
      <c r="D32">
        <v>13</v>
      </c>
      <c r="E32" t="s">
        <v>35</v>
      </c>
    </row>
    <row r="33" spans="1:5">
      <c r="A33">
        <f>HYPERLINK("http://www.twitter.com/NYCParks/status/805834422041935872", "805834422041935872")</f>
        <v>0</v>
      </c>
      <c r="B33" s="2">
        <v>42709.7508333333</v>
      </c>
      <c r="C33">
        <v>11</v>
      </c>
      <c r="D33">
        <v>3</v>
      </c>
      <c r="E33" t="s">
        <v>36</v>
      </c>
    </row>
    <row r="34" spans="1:5">
      <c r="A34">
        <f>HYPERLINK("http://www.twitter.com/NYCParks/status/805834303645110272", "805834303645110272")</f>
        <v>0</v>
      </c>
      <c r="B34" s="2">
        <v>42709.7505092593</v>
      </c>
      <c r="C34">
        <v>85</v>
      </c>
      <c r="D34">
        <v>27</v>
      </c>
      <c r="E34" t="s">
        <v>37</v>
      </c>
    </row>
    <row r="35" spans="1:5">
      <c r="A35">
        <f>HYPERLINK("http://www.twitter.com/NYCParks/status/805821604106240000", "805821604106240000")</f>
        <v>0</v>
      </c>
      <c r="B35" s="2">
        <v>42709.715462963</v>
      </c>
      <c r="C35">
        <v>20</v>
      </c>
      <c r="D35">
        <v>8</v>
      </c>
      <c r="E35" t="s">
        <v>38</v>
      </c>
    </row>
    <row r="36" spans="1:5">
      <c r="A36">
        <f>HYPERLINK("http://www.twitter.com/NYCParks/status/805810601888976896", "805810601888976896")</f>
        <v>0</v>
      </c>
      <c r="B36" s="2">
        <v>42709.6851041667</v>
      </c>
      <c r="C36">
        <v>13</v>
      </c>
      <c r="D36">
        <v>7</v>
      </c>
      <c r="E36" t="s">
        <v>39</v>
      </c>
    </row>
    <row r="37" spans="1:5">
      <c r="A37">
        <f>HYPERLINK("http://www.twitter.com/NYCParks/status/805170669738553345", "805170669738553345")</f>
        <v>0</v>
      </c>
      <c r="B37" s="2">
        <v>42707.919224537</v>
      </c>
      <c r="C37">
        <v>25</v>
      </c>
      <c r="D37">
        <v>10</v>
      </c>
      <c r="E37" t="s">
        <v>40</v>
      </c>
    </row>
    <row r="38" spans="1:5">
      <c r="A38">
        <f>HYPERLINK("http://www.twitter.com/NYCParks/status/804819988628598785", "804819988628598785")</f>
        <v>0</v>
      </c>
      <c r="B38" s="2">
        <v>42706.9515277778</v>
      </c>
      <c r="C38">
        <v>6</v>
      </c>
      <c r="D38">
        <v>6</v>
      </c>
      <c r="E38" t="s">
        <v>41</v>
      </c>
    </row>
    <row r="39" spans="1:5">
      <c r="A39">
        <f>HYPERLINK("http://www.twitter.com/NYCParks/status/804773451672207361", "804773451672207361")</f>
        <v>0</v>
      </c>
      <c r="B39" s="2">
        <v>42706.8231134259</v>
      </c>
      <c r="C39">
        <v>9</v>
      </c>
      <c r="D39">
        <v>7</v>
      </c>
      <c r="E39" t="s">
        <v>42</v>
      </c>
    </row>
    <row r="40" spans="1:5">
      <c r="A40">
        <f>HYPERLINK("http://www.twitter.com/NYCParks/status/804745740513906688", "804745740513906688")</f>
        <v>0</v>
      </c>
      <c r="B40" s="2">
        <v>42706.7466435185</v>
      </c>
      <c r="C40">
        <v>27</v>
      </c>
      <c r="D40">
        <v>14</v>
      </c>
      <c r="E40" t="s">
        <v>43</v>
      </c>
    </row>
    <row r="41" spans="1:5">
      <c r="A41">
        <f>HYPERLINK("http://www.twitter.com/NYCParks/status/804733497462104064", "804733497462104064")</f>
        <v>0</v>
      </c>
      <c r="B41" s="2">
        <v>42706.7128587963</v>
      </c>
      <c r="C41">
        <v>0</v>
      </c>
      <c r="D41">
        <v>3</v>
      </c>
      <c r="E41" t="s">
        <v>44</v>
      </c>
    </row>
    <row r="42" spans="1:5">
      <c r="A42">
        <f>HYPERLINK("http://www.twitter.com/NYCParks/status/804718770531004416", "804718770531004416")</f>
        <v>0</v>
      </c>
      <c r="B42" s="2">
        <v>42706.6722222222</v>
      </c>
      <c r="C42">
        <v>21</v>
      </c>
      <c r="D42">
        <v>13</v>
      </c>
      <c r="E42" t="s">
        <v>45</v>
      </c>
    </row>
    <row r="43" spans="1:5">
      <c r="A43">
        <f>HYPERLINK("http://www.twitter.com/NYCParks/status/804439651989626881", "804439651989626881")</f>
        <v>0</v>
      </c>
      <c r="B43" s="2">
        <v>42705.9020023148</v>
      </c>
      <c r="C43">
        <v>26</v>
      </c>
      <c r="D43">
        <v>13</v>
      </c>
      <c r="E43" t="s">
        <v>46</v>
      </c>
    </row>
    <row r="44" spans="1:5">
      <c r="A44">
        <f>HYPERLINK("http://www.twitter.com/NYCParks/status/804409641056645120", "804409641056645120")</f>
        <v>0</v>
      </c>
      <c r="B44" s="2">
        <v>42705.8191898148</v>
      </c>
      <c r="C44">
        <v>26</v>
      </c>
      <c r="D44">
        <v>20</v>
      </c>
      <c r="E44" t="s">
        <v>47</v>
      </c>
    </row>
    <row r="45" spans="1:5">
      <c r="A45">
        <f>HYPERLINK("http://www.twitter.com/NYCParks/status/804385250008854532", "804385250008854532")</f>
        <v>0</v>
      </c>
      <c r="B45" s="2">
        <v>42705.7518865741</v>
      </c>
      <c r="C45">
        <v>14</v>
      </c>
      <c r="D45">
        <v>7</v>
      </c>
      <c r="E45" t="s">
        <v>48</v>
      </c>
    </row>
    <row r="46" spans="1:5">
      <c r="A46">
        <f>HYPERLINK("http://www.twitter.com/NYCParks/status/804365490164551680", "804365490164551680")</f>
        <v>0</v>
      </c>
      <c r="B46" s="2">
        <v>42705.697349537</v>
      </c>
      <c r="C46">
        <v>42</v>
      </c>
      <c r="D46">
        <v>31</v>
      </c>
      <c r="E46" t="s">
        <v>49</v>
      </c>
    </row>
    <row r="47" spans="1:5">
      <c r="A47">
        <f>HYPERLINK("http://www.twitter.com/NYCParks/status/804033315745337344", "804033315745337344")</f>
        <v>0</v>
      </c>
      <c r="B47" s="2">
        <v>42704.7807291667</v>
      </c>
      <c r="C47">
        <v>27</v>
      </c>
      <c r="D47">
        <v>14</v>
      </c>
      <c r="E47" t="s">
        <v>50</v>
      </c>
    </row>
    <row r="48" spans="1:5">
      <c r="A48">
        <f>HYPERLINK("http://www.twitter.com/NYCParks/status/803681600273674240", "803681600273674240")</f>
        <v>0</v>
      </c>
      <c r="B48" s="2">
        <v>42703.8101736111</v>
      </c>
      <c r="C48">
        <v>1</v>
      </c>
      <c r="D48">
        <v>0</v>
      </c>
      <c r="E48" t="s">
        <v>51</v>
      </c>
    </row>
    <row r="49" spans="1:5">
      <c r="A49">
        <f>HYPERLINK("http://www.twitter.com/NYCParks/status/803675908708167680", "803675908708167680")</f>
        <v>0</v>
      </c>
      <c r="B49" s="2">
        <v>42703.7944675926</v>
      </c>
      <c r="C49">
        <v>0</v>
      </c>
      <c r="D49">
        <v>0</v>
      </c>
      <c r="E49" t="s">
        <v>52</v>
      </c>
    </row>
    <row r="50" spans="1:5">
      <c r="A50">
        <f>HYPERLINK("http://www.twitter.com/NYCParks/status/803656938290487296", "803656938290487296")</f>
        <v>0</v>
      </c>
      <c r="B50" s="2">
        <v>42703.7421180556</v>
      </c>
      <c r="C50">
        <v>7</v>
      </c>
      <c r="D50">
        <v>4</v>
      </c>
      <c r="E50" t="s">
        <v>53</v>
      </c>
    </row>
    <row r="51" spans="1:5">
      <c r="A51">
        <f>HYPERLINK("http://www.twitter.com/NYCParks/status/803652138085662720", "803652138085662720")</f>
        <v>0</v>
      </c>
      <c r="B51" s="2">
        <v>42703.7288773148</v>
      </c>
      <c r="C51">
        <v>0</v>
      </c>
      <c r="D51">
        <v>0</v>
      </c>
      <c r="E51" t="s">
        <v>54</v>
      </c>
    </row>
    <row r="52" spans="1:5">
      <c r="A52">
        <f>HYPERLINK("http://www.twitter.com/NYCParks/status/803651594713636864", "803651594713636864")</f>
        <v>0</v>
      </c>
      <c r="B52" s="2">
        <v>42703.7273726852</v>
      </c>
      <c r="C52">
        <v>1</v>
      </c>
      <c r="D52">
        <v>1</v>
      </c>
      <c r="E52" t="s">
        <v>55</v>
      </c>
    </row>
    <row r="53" spans="1:5">
      <c r="A53">
        <f>HYPERLINK("http://www.twitter.com/NYCParks/status/803646692096700416", "803646692096700416")</f>
        <v>0</v>
      </c>
      <c r="B53" s="2">
        <v>42703.7138541667</v>
      </c>
      <c r="C53">
        <v>4</v>
      </c>
      <c r="D53">
        <v>8</v>
      </c>
      <c r="E53" t="s">
        <v>56</v>
      </c>
    </row>
    <row r="54" spans="1:5">
      <c r="A54">
        <f>HYPERLINK("http://www.twitter.com/NYCParks/status/803588148605304832", "803588148605304832")</f>
        <v>0</v>
      </c>
      <c r="B54" s="2">
        <v>42703.5523032407</v>
      </c>
      <c r="C54">
        <v>22</v>
      </c>
      <c r="D54">
        <v>10</v>
      </c>
      <c r="E54" t="s">
        <v>57</v>
      </c>
    </row>
    <row r="55" spans="1:5">
      <c r="A55">
        <f>HYPERLINK("http://www.twitter.com/NYCParks/status/803373083893596160", "803373083893596160")</f>
        <v>0</v>
      </c>
      <c r="B55" s="2">
        <v>42702.9588310185</v>
      </c>
      <c r="C55">
        <v>6</v>
      </c>
      <c r="D55">
        <v>4</v>
      </c>
      <c r="E55" t="s">
        <v>58</v>
      </c>
    </row>
    <row r="56" spans="1:5">
      <c r="A56">
        <f>HYPERLINK("http://www.twitter.com/NYCParks/status/803351565885145088", "803351565885145088")</f>
        <v>0</v>
      </c>
      <c r="B56" s="2">
        <v>42702.8994560185</v>
      </c>
      <c r="C56">
        <v>7</v>
      </c>
      <c r="D56">
        <v>6</v>
      </c>
      <c r="E56" t="s">
        <v>59</v>
      </c>
    </row>
    <row r="57" spans="1:5">
      <c r="A57">
        <f>HYPERLINK("http://www.twitter.com/NYCParks/status/803326401474609154", "803326401474609154")</f>
        <v>0</v>
      </c>
      <c r="B57" s="2">
        <v>42702.8300115741</v>
      </c>
      <c r="C57">
        <v>7</v>
      </c>
      <c r="D57">
        <v>4</v>
      </c>
      <c r="E57" t="s">
        <v>60</v>
      </c>
    </row>
    <row r="58" spans="1:5">
      <c r="A58">
        <f>HYPERLINK("http://www.twitter.com/NYCParks/status/803308797968191488", "803308797968191488")</f>
        <v>0</v>
      </c>
      <c r="B58" s="2">
        <v>42702.7814351852</v>
      </c>
      <c r="C58">
        <v>32</v>
      </c>
      <c r="D58">
        <v>12</v>
      </c>
      <c r="E58" t="s">
        <v>61</v>
      </c>
    </row>
    <row r="59" spans="1:5">
      <c r="A59">
        <f>HYPERLINK("http://www.twitter.com/NYCParks/status/803281105306554368", "803281105306554368")</f>
        <v>0</v>
      </c>
      <c r="B59" s="2">
        <v>42702.7050231481</v>
      </c>
      <c r="C59">
        <v>21</v>
      </c>
      <c r="D59">
        <v>13</v>
      </c>
      <c r="E59" t="s">
        <v>62</v>
      </c>
    </row>
    <row r="60" spans="1:5">
      <c r="A60">
        <f>HYPERLINK("http://www.twitter.com/NYCParks/status/803263144374267904", "803263144374267904")</f>
        <v>0</v>
      </c>
      <c r="B60" s="2">
        <v>42702.655462963</v>
      </c>
      <c r="C60">
        <v>0</v>
      </c>
      <c r="D60">
        <v>12</v>
      </c>
      <c r="E60" t="s">
        <v>63</v>
      </c>
    </row>
    <row r="61" spans="1:5">
      <c r="A61">
        <f>HYPERLINK("http://www.twitter.com/NYCParks/status/802254509342855173", "802254509342855173")</f>
        <v>0</v>
      </c>
      <c r="B61" s="2">
        <v>42699.8721527778</v>
      </c>
      <c r="C61">
        <v>14</v>
      </c>
      <c r="D61">
        <v>5</v>
      </c>
      <c r="E61" t="s">
        <v>64</v>
      </c>
    </row>
    <row r="62" spans="1:5">
      <c r="A62">
        <f>HYPERLINK("http://www.twitter.com/NYCParks/status/802181386086051841", "802181386086051841")</f>
        <v>0</v>
      </c>
      <c r="B62" s="2">
        <v>42699.6703703704</v>
      </c>
      <c r="C62">
        <v>11</v>
      </c>
      <c r="D62">
        <v>9</v>
      </c>
      <c r="E62" t="s">
        <v>65</v>
      </c>
    </row>
    <row r="63" spans="1:5">
      <c r="A63">
        <f>HYPERLINK("http://www.twitter.com/NYCParks/status/801518244410621954", "801518244410621954")</f>
        <v>0</v>
      </c>
      <c r="B63" s="2">
        <v>42697.8404513889</v>
      </c>
      <c r="C63">
        <v>32</v>
      </c>
      <c r="D63">
        <v>22</v>
      </c>
      <c r="E63" t="s">
        <v>66</v>
      </c>
    </row>
    <row r="64" spans="1:5">
      <c r="A64">
        <f>HYPERLINK("http://www.twitter.com/NYCParks/status/801493885176397824", "801493885176397824")</f>
        <v>0</v>
      </c>
      <c r="B64" s="2">
        <v>42697.7732291667</v>
      </c>
      <c r="C64">
        <v>0</v>
      </c>
      <c r="D64">
        <v>24</v>
      </c>
      <c r="E64" t="s">
        <v>67</v>
      </c>
    </row>
    <row r="65" spans="1:5">
      <c r="A65">
        <f>HYPERLINK("http://www.twitter.com/NYCParks/status/801475925225390080", "801475925225390080")</f>
        <v>0</v>
      </c>
      <c r="B65" s="2">
        <v>42697.7236689815</v>
      </c>
      <c r="C65">
        <v>37</v>
      </c>
      <c r="D65">
        <v>10</v>
      </c>
      <c r="E65" t="s">
        <v>68</v>
      </c>
    </row>
    <row r="66" spans="1:5">
      <c r="A66">
        <f>HYPERLINK("http://www.twitter.com/NYCParks/status/801459665720799232", "801459665720799232")</f>
        <v>0</v>
      </c>
      <c r="B66" s="2">
        <v>42697.6788078704</v>
      </c>
      <c r="C66">
        <v>21</v>
      </c>
      <c r="D66">
        <v>10</v>
      </c>
      <c r="E66" t="s">
        <v>69</v>
      </c>
    </row>
    <row r="67" spans="1:5">
      <c r="A67">
        <f>HYPERLINK("http://www.twitter.com/NYCParks/status/801198755647197184", "801198755647197184")</f>
        <v>0</v>
      </c>
      <c r="B67" s="2">
        <v>42696.9588310185</v>
      </c>
      <c r="C67">
        <v>20</v>
      </c>
      <c r="D67">
        <v>9</v>
      </c>
      <c r="E67" t="s">
        <v>70</v>
      </c>
    </row>
    <row r="68" spans="1:5">
      <c r="A68">
        <f>HYPERLINK("http://www.twitter.com/NYCParks/status/801152085890723840", "801152085890723840")</f>
        <v>0</v>
      </c>
      <c r="B68" s="2">
        <v>42696.8300462963</v>
      </c>
      <c r="C68">
        <v>7</v>
      </c>
      <c r="D68">
        <v>2</v>
      </c>
      <c r="E68" t="s">
        <v>71</v>
      </c>
    </row>
    <row r="69" spans="1:5">
      <c r="A69">
        <f>HYPERLINK("http://www.twitter.com/NYCParks/status/801111823655137282", "801111823655137282")</f>
        <v>0</v>
      </c>
      <c r="B69" s="2">
        <v>42696.7189467593</v>
      </c>
      <c r="C69">
        <v>23</v>
      </c>
      <c r="D69">
        <v>18</v>
      </c>
      <c r="E69" t="s">
        <v>72</v>
      </c>
    </row>
    <row r="70" spans="1:5">
      <c r="A70">
        <f>HYPERLINK("http://www.twitter.com/NYCParks/status/801093230284652544", "801093230284652544")</f>
        <v>0</v>
      </c>
      <c r="B70" s="2">
        <v>42696.6676388889</v>
      </c>
      <c r="C70">
        <v>0</v>
      </c>
      <c r="D70">
        <v>71</v>
      </c>
      <c r="E70" t="s">
        <v>73</v>
      </c>
    </row>
    <row r="71" spans="1:5">
      <c r="A71">
        <f>HYPERLINK("http://www.twitter.com/NYCParks/status/801078344536068098", "801078344536068098")</f>
        <v>0</v>
      </c>
      <c r="B71" s="2">
        <v>42696.6265625</v>
      </c>
      <c r="C71">
        <v>35</v>
      </c>
      <c r="D71">
        <v>10</v>
      </c>
      <c r="E71" t="s">
        <v>74</v>
      </c>
    </row>
    <row r="72" spans="1:5">
      <c r="A72">
        <f>HYPERLINK("http://www.twitter.com/NYCParks/status/801048653951422464", "801048653951422464")</f>
        <v>0</v>
      </c>
      <c r="B72" s="2">
        <v>42696.5446296296</v>
      </c>
      <c r="C72">
        <v>26</v>
      </c>
      <c r="D72">
        <v>17</v>
      </c>
      <c r="E72" t="s">
        <v>75</v>
      </c>
    </row>
    <row r="73" spans="1:5">
      <c r="A73">
        <f>HYPERLINK("http://www.twitter.com/NYCParks/status/800787302465368065", "800787302465368065")</f>
        <v>0</v>
      </c>
      <c r="B73" s="2">
        <v>42695.8234375</v>
      </c>
      <c r="C73">
        <v>34</v>
      </c>
      <c r="D73">
        <v>19</v>
      </c>
      <c r="E73" t="s">
        <v>76</v>
      </c>
    </row>
    <row r="74" spans="1:5">
      <c r="A74">
        <f>HYPERLINK("http://www.twitter.com/NYCParks/status/800755906547892224", "800755906547892224")</f>
        <v>0</v>
      </c>
      <c r="B74" s="2">
        <v>42695.7368055556</v>
      </c>
      <c r="C74">
        <v>20</v>
      </c>
      <c r="D74">
        <v>5</v>
      </c>
      <c r="E74" t="s">
        <v>77</v>
      </c>
    </row>
    <row r="75" spans="1:5">
      <c r="A75">
        <f>HYPERLINK("http://www.twitter.com/NYCParks/status/800751600222486536", "800751600222486536")</f>
        <v>0</v>
      </c>
      <c r="B75" s="2">
        <v>42695.7249189815</v>
      </c>
      <c r="C75">
        <v>12</v>
      </c>
      <c r="D75">
        <v>9</v>
      </c>
      <c r="E75" t="s">
        <v>78</v>
      </c>
    </row>
    <row r="76" spans="1:5">
      <c r="A76">
        <f>HYPERLINK("http://www.twitter.com/NYCParks/status/800738552422268928", "800738552422268928")</f>
        <v>0</v>
      </c>
      <c r="B76" s="2">
        <v>42695.688912037</v>
      </c>
      <c r="C76">
        <v>0</v>
      </c>
      <c r="D76">
        <v>1</v>
      </c>
      <c r="E76" t="s">
        <v>79</v>
      </c>
    </row>
    <row r="77" spans="1:5">
      <c r="A77">
        <f>HYPERLINK("http://www.twitter.com/NYCParks/status/800732264531230720", "800732264531230720")</f>
        <v>0</v>
      </c>
      <c r="B77" s="2">
        <v>42695.6715625</v>
      </c>
      <c r="C77">
        <v>0</v>
      </c>
      <c r="D77">
        <v>30</v>
      </c>
      <c r="E77" t="s">
        <v>80</v>
      </c>
    </row>
    <row r="78" spans="1:5">
      <c r="A78">
        <f>HYPERLINK("http://www.twitter.com/NYCParks/status/800375995593158657", "800375995593158657")</f>
        <v>0</v>
      </c>
      <c r="B78" s="2">
        <v>42694.6884490741</v>
      </c>
      <c r="C78">
        <v>0</v>
      </c>
      <c r="D78">
        <v>23</v>
      </c>
      <c r="E78" t="s">
        <v>81</v>
      </c>
    </row>
    <row r="79" spans="1:5">
      <c r="A79">
        <f>HYPERLINK("http://www.twitter.com/NYCParks/status/799705058984263680", "799705058984263680")</f>
        <v>0</v>
      </c>
      <c r="B79" s="2">
        <v>42692.8370138889</v>
      </c>
      <c r="C79">
        <v>20</v>
      </c>
      <c r="D79">
        <v>9</v>
      </c>
      <c r="E79" t="s">
        <v>82</v>
      </c>
    </row>
    <row r="80" spans="1:5">
      <c r="A80">
        <f>HYPERLINK("http://www.twitter.com/NYCParks/status/799681179817418752", "799681179817418752")</f>
        <v>0</v>
      </c>
      <c r="B80" s="2">
        <v>42692.7711226852</v>
      </c>
      <c r="C80">
        <v>8</v>
      </c>
      <c r="D80">
        <v>3</v>
      </c>
      <c r="E80" t="s">
        <v>83</v>
      </c>
    </row>
    <row r="81" spans="1:5">
      <c r="A81">
        <f>HYPERLINK("http://www.twitter.com/NYCParks/status/799659750749249536", "799659750749249536")</f>
        <v>0</v>
      </c>
      <c r="B81" s="2">
        <v>42692.7119907407</v>
      </c>
      <c r="C81">
        <v>23</v>
      </c>
      <c r="D81">
        <v>10</v>
      </c>
      <c r="E81" t="s">
        <v>84</v>
      </c>
    </row>
    <row r="82" spans="1:5">
      <c r="A82">
        <f>HYPERLINK("http://www.twitter.com/NYCParks/status/799645904840040448", "799645904840040448")</f>
        <v>0</v>
      </c>
      <c r="B82" s="2">
        <v>42692.6737847222</v>
      </c>
      <c r="C82">
        <v>22</v>
      </c>
      <c r="D82">
        <v>8</v>
      </c>
      <c r="E82" t="s">
        <v>85</v>
      </c>
    </row>
    <row r="83" spans="1:5">
      <c r="A83">
        <f>HYPERLINK("http://www.twitter.com/NYCParks/status/799371346266521601", "799371346266521601")</f>
        <v>0</v>
      </c>
      <c r="B83" s="2">
        <v>42691.9161458333</v>
      </c>
      <c r="C83">
        <v>3</v>
      </c>
      <c r="D83">
        <v>1</v>
      </c>
      <c r="E83" t="s">
        <v>86</v>
      </c>
    </row>
    <row r="84" spans="1:5">
      <c r="A84">
        <f>HYPERLINK("http://www.twitter.com/NYCParks/status/799353978060505088", "799353978060505088")</f>
        <v>0</v>
      </c>
      <c r="B84" s="2">
        <v>42691.8682175926</v>
      </c>
      <c r="C84">
        <v>15</v>
      </c>
      <c r="D84">
        <v>7</v>
      </c>
      <c r="E84" t="s">
        <v>87</v>
      </c>
    </row>
    <row r="85" spans="1:5">
      <c r="A85">
        <f>HYPERLINK("http://www.twitter.com/NYCParks/status/799329783326928896", "799329783326928896")</f>
        <v>0</v>
      </c>
      <c r="B85" s="2">
        <v>42691.8014467593</v>
      </c>
      <c r="C85">
        <v>17</v>
      </c>
      <c r="D85">
        <v>11</v>
      </c>
      <c r="E85" t="s">
        <v>88</v>
      </c>
    </row>
    <row r="86" spans="1:5">
      <c r="A86">
        <f>HYPERLINK("http://www.twitter.com/NYCParks/status/799315459346604032", "799315459346604032")</f>
        <v>0</v>
      </c>
      <c r="B86" s="2">
        <v>42691.7619212963</v>
      </c>
      <c r="C86">
        <v>50</v>
      </c>
      <c r="D86">
        <v>33</v>
      </c>
      <c r="E86" t="s">
        <v>89</v>
      </c>
    </row>
    <row r="87" spans="1:5">
      <c r="A87">
        <f>HYPERLINK("http://www.twitter.com/NYCParks/status/799301684769984514", "799301684769984514")</f>
        <v>0</v>
      </c>
      <c r="B87" s="2">
        <v>42691.723912037</v>
      </c>
      <c r="C87">
        <v>36</v>
      </c>
      <c r="D87">
        <v>16</v>
      </c>
      <c r="E87" t="s">
        <v>90</v>
      </c>
    </row>
    <row r="88" spans="1:5">
      <c r="A88">
        <f>HYPERLINK("http://www.twitter.com/NYCParks/status/799289876013137922", "799289876013137922")</f>
        <v>0</v>
      </c>
      <c r="B88" s="2">
        <v>42691.6913310185</v>
      </c>
      <c r="C88">
        <v>18</v>
      </c>
      <c r="D88">
        <v>4</v>
      </c>
      <c r="E88" t="s">
        <v>91</v>
      </c>
    </row>
    <row r="89" spans="1:5">
      <c r="A89">
        <f>HYPERLINK("http://www.twitter.com/NYCParks/status/799018081150521351", "799018081150521351")</f>
        <v>0</v>
      </c>
      <c r="B89" s="2">
        <v>42690.9413194444</v>
      </c>
      <c r="C89">
        <v>0</v>
      </c>
      <c r="D89">
        <v>0</v>
      </c>
      <c r="E89" t="s">
        <v>92</v>
      </c>
    </row>
    <row r="90" spans="1:5">
      <c r="A90">
        <f>HYPERLINK("http://www.twitter.com/NYCParks/status/798991739524620288", "798991739524620288")</f>
        <v>0</v>
      </c>
      <c r="B90" s="2">
        <v>42690.8686226852</v>
      </c>
      <c r="C90">
        <v>56</v>
      </c>
      <c r="D90">
        <v>17</v>
      </c>
      <c r="E90" t="s">
        <v>93</v>
      </c>
    </row>
    <row r="91" spans="1:5">
      <c r="A91">
        <f>HYPERLINK("http://www.twitter.com/NYCParks/status/798966647109386247", "798966647109386247")</f>
        <v>0</v>
      </c>
      <c r="B91" s="2">
        <v>42690.7993865741</v>
      </c>
      <c r="C91">
        <v>0</v>
      </c>
      <c r="D91">
        <v>15</v>
      </c>
      <c r="E91" t="s">
        <v>94</v>
      </c>
    </row>
    <row r="92" spans="1:5">
      <c r="A92">
        <f>HYPERLINK("http://www.twitter.com/NYCParks/status/798952616336113664", "798952616336113664")</f>
        <v>0</v>
      </c>
      <c r="B92" s="2">
        <v>42690.7606712963</v>
      </c>
      <c r="C92">
        <v>22</v>
      </c>
      <c r="D92">
        <v>13</v>
      </c>
      <c r="E92" t="s">
        <v>95</v>
      </c>
    </row>
    <row r="93" spans="1:5">
      <c r="A93">
        <f>HYPERLINK("http://www.twitter.com/NYCParks/status/798943459893805061", "798943459893805061")</f>
        <v>0</v>
      </c>
      <c r="B93" s="2">
        <v>42690.7354050926</v>
      </c>
      <c r="C93">
        <v>0</v>
      </c>
      <c r="D93">
        <v>174</v>
      </c>
      <c r="E93" t="s">
        <v>96</v>
      </c>
    </row>
    <row r="94" spans="1:5">
      <c r="A94">
        <f>HYPERLINK("http://www.twitter.com/NYCParks/status/798943437148028928", "798943437148028928")</f>
        <v>0</v>
      </c>
      <c r="B94" s="2">
        <v>42690.7353356481</v>
      </c>
      <c r="C94">
        <v>4</v>
      </c>
      <c r="D94">
        <v>0</v>
      </c>
      <c r="E94" t="s">
        <v>97</v>
      </c>
    </row>
    <row r="95" spans="1:5">
      <c r="A95">
        <f>HYPERLINK("http://www.twitter.com/NYCParks/status/798917458174349312", "798917458174349312")</f>
        <v>0</v>
      </c>
      <c r="B95" s="2">
        <v>42690.6636458333</v>
      </c>
      <c r="C95">
        <v>77</v>
      </c>
      <c r="D95">
        <v>57</v>
      </c>
      <c r="E95" t="s">
        <v>98</v>
      </c>
    </row>
    <row r="96" spans="1:5">
      <c r="A96">
        <f>HYPERLINK("http://www.twitter.com/NYCParks/status/798630450763825152", "798630450763825152")</f>
        <v>0</v>
      </c>
      <c r="B96" s="2">
        <v>42689.8716550926</v>
      </c>
      <c r="C96">
        <v>35</v>
      </c>
      <c r="D96">
        <v>13</v>
      </c>
      <c r="E96" t="s">
        <v>99</v>
      </c>
    </row>
    <row r="97" spans="1:5">
      <c r="A97">
        <f>HYPERLINK("http://www.twitter.com/NYCParks/status/798607803652804608", "798607803652804608")</f>
        <v>0</v>
      </c>
      <c r="B97" s="2">
        <v>42689.8091666667</v>
      </c>
      <c r="C97">
        <v>13</v>
      </c>
      <c r="D97">
        <v>14</v>
      </c>
      <c r="E97" t="s">
        <v>100</v>
      </c>
    </row>
    <row r="98" spans="1:5">
      <c r="A98">
        <f>HYPERLINK("http://www.twitter.com/NYCParks/status/798590204630142977", "798590204630142977")</f>
        <v>0</v>
      </c>
      <c r="B98" s="2">
        <v>42689.7606018518</v>
      </c>
      <c r="C98">
        <v>9</v>
      </c>
      <c r="D98">
        <v>11</v>
      </c>
      <c r="E98" t="s">
        <v>101</v>
      </c>
    </row>
    <row r="99" spans="1:5">
      <c r="A99">
        <f>HYPERLINK("http://www.twitter.com/NYCParks/status/798580119795273728", "798580119795273728")</f>
        <v>0</v>
      </c>
      <c r="B99" s="2">
        <v>42689.7327777778</v>
      </c>
      <c r="C99">
        <v>6</v>
      </c>
      <c r="D99">
        <v>1</v>
      </c>
      <c r="E99" t="s">
        <v>102</v>
      </c>
    </row>
    <row r="100" spans="1:5">
      <c r="A100">
        <f>HYPERLINK("http://www.twitter.com/NYCParks/status/798558185250557952", "798558185250557952")</f>
        <v>0</v>
      </c>
      <c r="B100" s="2">
        <v>42689.6722453704</v>
      </c>
      <c r="C100">
        <v>0</v>
      </c>
      <c r="D100">
        <v>13</v>
      </c>
      <c r="E100" t="s">
        <v>103</v>
      </c>
    </row>
    <row r="101" spans="1:5">
      <c r="A101">
        <f>HYPERLINK("http://www.twitter.com/NYCParks/status/798526937874317312", "798526937874317312")</f>
        <v>0</v>
      </c>
      <c r="B101" s="2">
        <v>42689.5860185185</v>
      </c>
      <c r="C101">
        <v>125</v>
      </c>
      <c r="D101">
        <v>54</v>
      </c>
      <c r="E101" t="s">
        <v>104</v>
      </c>
    </row>
    <row r="102" spans="1:5">
      <c r="A102">
        <f>HYPERLINK("http://www.twitter.com/NYCParks/status/798291069947539456", "798291069947539456")</f>
        <v>0</v>
      </c>
      <c r="B102" s="2">
        <v>42688.935150463</v>
      </c>
      <c r="C102">
        <v>12</v>
      </c>
      <c r="D102">
        <v>3</v>
      </c>
      <c r="E102" t="s">
        <v>105</v>
      </c>
    </row>
    <row r="103" spans="1:5">
      <c r="A103">
        <f>HYPERLINK("http://www.twitter.com/NYCParks/status/798262250951806980", "798262250951806980")</f>
        <v>0</v>
      </c>
      <c r="B103" s="2">
        <v>42688.855625</v>
      </c>
      <c r="C103">
        <v>9</v>
      </c>
      <c r="D103">
        <v>3</v>
      </c>
      <c r="E103" t="s">
        <v>106</v>
      </c>
    </row>
    <row r="104" spans="1:5">
      <c r="A104">
        <f>HYPERLINK("http://www.twitter.com/NYCParks/status/798238009854332929", "798238009854332929")</f>
        <v>0</v>
      </c>
      <c r="B104" s="2">
        <v>42688.7887268519</v>
      </c>
      <c r="C104">
        <v>12</v>
      </c>
      <c r="D104">
        <v>9</v>
      </c>
      <c r="E104" t="s">
        <v>107</v>
      </c>
    </row>
    <row r="105" spans="1:5">
      <c r="A105">
        <f>HYPERLINK("http://www.twitter.com/NYCParks/status/798222663835680769", "798222663835680769")</f>
        <v>0</v>
      </c>
      <c r="B105" s="2">
        <v>42688.7463773148</v>
      </c>
      <c r="C105">
        <v>12</v>
      </c>
      <c r="D105">
        <v>5</v>
      </c>
      <c r="E105" t="s">
        <v>108</v>
      </c>
    </row>
    <row r="106" spans="1:5">
      <c r="A106">
        <f>HYPERLINK("http://www.twitter.com/NYCParks/status/798217042641948676", "798217042641948676")</f>
        <v>0</v>
      </c>
      <c r="B106" s="2">
        <v>42688.7308680556</v>
      </c>
      <c r="C106">
        <v>0</v>
      </c>
      <c r="D106">
        <v>0</v>
      </c>
      <c r="E106" t="s">
        <v>109</v>
      </c>
    </row>
    <row r="107" spans="1:5">
      <c r="A107">
        <f>HYPERLINK("http://www.twitter.com/NYCParks/status/798205230823436288", "798205230823436288")</f>
        <v>0</v>
      </c>
      <c r="B107" s="2">
        <v>42688.698275463</v>
      </c>
      <c r="C107">
        <v>0</v>
      </c>
      <c r="D107">
        <v>13</v>
      </c>
      <c r="E107" t="s">
        <v>110</v>
      </c>
    </row>
    <row r="108" spans="1:5">
      <c r="A108">
        <f>HYPERLINK("http://www.twitter.com/NYCParks/status/797108594927771648", "797108594927771648")</f>
        <v>0</v>
      </c>
      <c r="B108" s="2">
        <v>42685.6721412037</v>
      </c>
      <c r="C108">
        <v>25</v>
      </c>
      <c r="D108">
        <v>5</v>
      </c>
      <c r="E108" t="s">
        <v>111</v>
      </c>
    </row>
    <row r="109" spans="1:5">
      <c r="A109">
        <f>HYPERLINK("http://www.twitter.com/NYCParks/status/796847460647845892", "796847460647845892")</f>
        <v>0</v>
      </c>
      <c r="B109" s="2">
        <v>42684.9515393519</v>
      </c>
      <c r="C109">
        <v>13</v>
      </c>
      <c r="D109">
        <v>9</v>
      </c>
      <c r="E109" t="s">
        <v>112</v>
      </c>
    </row>
    <row r="110" spans="1:5">
      <c r="A110">
        <f>HYPERLINK("http://www.twitter.com/NYCParks/status/796809541304418304", "796809541304418304")</f>
        <v>0</v>
      </c>
      <c r="B110" s="2">
        <v>42684.8469097222</v>
      </c>
      <c r="C110">
        <v>0</v>
      </c>
      <c r="D110">
        <v>0</v>
      </c>
      <c r="E110" t="s">
        <v>113</v>
      </c>
    </row>
    <row r="111" spans="1:5">
      <c r="A111">
        <f>HYPERLINK("http://www.twitter.com/NYCParks/status/796809344352448513", "796809344352448513")</f>
        <v>0</v>
      </c>
      <c r="B111" s="2">
        <v>42684.8463657407</v>
      </c>
      <c r="C111">
        <v>1</v>
      </c>
      <c r="D111">
        <v>0</v>
      </c>
      <c r="E111" t="s">
        <v>114</v>
      </c>
    </row>
    <row r="112" spans="1:5">
      <c r="A112">
        <f>HYPERLINK("http://www.twitter.com/NYCParks/status/796804997887492096", "796804997887492096")</f>
        <v>0</v>
      </c>
      <c r="B112" s="2">
        <v>42684.834375</v>
      </c>
      <c r="C112">
        <v>41</v>
      </c>
      <c r="D112">
        <v>19</v>
      </c>
      <c r="E112" t="s">
        <v>115</v>
      </c>
    </row>
    <row r="113" spans="1:5">
      <c r="A113">
        <f>HYPERLINK("http://www.twitter.com/NYCParks/status/796770737965137920", "796770737965137920")</f>
        <v>0</v>
      </c>
      <c r="B113" s="2">
        <v>42684.7398263889</v>
      </c>
      <c r="C113">
        <v>9</v>
      </c>
      <c r="D113">
        <v>7</v>
      </c>
      <c r="E113" t="s">
        <v>116</v>
      </c>
    </row>
    <row r="114" spans="1:5">
      <c r="A114">
        <f>HYPERLINK("http://www.twitter.com/NYCParks/status/796740598577451008", "796740598577451008")</f>
        <v>0</v>
      </c>
      <c r="B114" s="2">
        <v>42684.6566666667</v>
      </c>
      <c r="C114">
        <v>8</v>
      </c>
      <c r="D114">
        <v>5</v>
      </c>
      <c r="E114" t="s">
        <v>117</v>
      </c>
    </row>
    <row r="115" spans="1:5">
      <c r="A115">
        <f>HYPERLINK("http://www.twitter.com/NYCParks/status/796485097394503680", "796485097394503680")</f>
        <v>0</v>
      </c>
      <c r="B115" s="2">
        <v>42683.9516087963</v>
      </c>
      <c r="C115">
        <v>68</v>
      </c>
      <c r="D115">
        <v>37</v>
      </c>
      <c r="E115" t="s">
        <v>118</v>
      </c>
    </row>
    <row r="116" spans="1:5">
      <c r="A116">
        <f>HYPERLINK("http://www.twitter.com/NYCParks/status/796437890502971392", "796437890502971392")</f>
        <v>0</v>
      </c>
      <c r="B116" s="2">
        <v>42683.8213425926</v>
      </c>
      <c r="C116">
        <v>0</v>
      </c>
      <c r="D116">
        <v>7</v>
      </c>
      <c r="E116" t="s">
        <v>119</v>
      </c>
    </row>
    <row r="117" spans="1:5">
      <c r="A117">
        <f>HYPERLINK("http://www.twitter.com/NYCParks/status/796373333570977792", "796373333570977792")</f>
        <v>0</v>
      </c>
      <c r="B117" s="2">
        <v>42683.6432060185</v>
      </c>
      <c r="C117">
        <v>0</v>
      </c>
      <c r="D117">
        <v>0</v>
      </c>
      <c r="E117" t="s">
        <v>120</v>
      </c>
    </row>
    <row r="118" spans="1:5">
      <c r="A118">
        <f>HYPERLINK("http://www.twitter.com/NYCParks/status/796046537985953792", "796046537985953792")</f>
        <v>0</v>
      </c>
      <c r="B118" s="2">
        <v>42682.7414236111</v>
      </c>
      <c r="C118">
        <v>16</v>
      </c>
      <c r="D118">
        <v>6</v>
      </c>
      <c r="E118" t="s">
        <v>121</v>
      </c>
    </row>
    <row r="119" spans="1:5">
      <c r="A119">
        <f>HYPERLINK("http://www.twitter.com/NYCParks/status/795762940225921024", "795762940225921024")</f>
        <v>0</v>
      </c>
      <c r="B119" s="2">
        <v>42681.9588425926</v>
      </c>
      <c r="C119">
        <v>34</v>
      </c>
      <c r="D119">
        <v>12</v>
      </c>
      <c r="E119" t="s">
        <v>122</v>
      </c>
    </row>
    <row r="120" spans="1:5">
      <c r="A120">
        <f>HYPERLINK("http://www.twitter.com/NYCParks/status/795713749604777985", "795713749604777985")</f>
        <v>0</v>
      </c>
      <c r="B120" s="2">
        <v>42681.8231018518</v>
      </c>
      <c r="C120">
        <v>12</v>
      </c>
      <c r="D120">
        <v>8</v>
      </c>
      <c r="E120" t="s">
        <v>123</v>
      </c>
    </row>
    <row r="121" spans="1:5">
      <c r="A121">
        <f>HYPERLINK("http://www.twitter.com/NYCParks/status/795702502129856512", "795702502129856512")</f>
        <v>0</v>
      </c>
      <c r="B121" s="2">
        <v>42681.7920601852</v>
      </c>
      <c r="C121">
        <v>0</v>
      </c>
      <c r="D121">
        <v>1</v>
      </c>
      <c r="E121" t="s">
        <v>124</v>
      </c>
    </row>
    <row r="122" spans="1:5">
      <c r="A122">
        <f>HYPERLINK("http://www.twitter.com/NYCParks/status/795691104129712128", "795691104129712128")</f>
        <v>0</v>
      </c>
      <c r="B122" s="2">
        <v>42681.7606134259</v>
      </c>
      <c r="C122">
        <v>19</v>
      </c>
      <c r="D122">
        <v>10</v>
      </c>
      <c r="E122" t="s">
        <v>125</v>
      </c>
    </row>
    <row r="123" spans="1:5">
      <c r="A123">
        <f>HYPERLINK("http://www.twitter.com/NYCParks/status/795676854535540736", "795676854535540736")</f>
        <v>0</v>
      </c>
      <c r="B123" s="2">
        <v>42681.7212847222</v>
      </c>
      <c r="C123">
        <v>1</v>
      </c>
      <c r="D123">
        <v>1</v>
      </c>
      <c r="E123" t="s">
        <v>126</v>
      </c>
    </row>
    <row r="124" spans="1:5">
      <c r="A124">
        <f>HYPERLINK("http://www.twitter.com/NYCParks/status/795670260225634304", "795670260225634304")</f>
        <v>0</v>
      </c>
      <c r="B124" s="2">
        <v>42681.7030902778</v>
      </c>
      <c r="C124">
        <v>4</v>
      </c>
      <c r="D124">
        <v>5</v>
      </c>
      <c r="E124" t="s">
        <v>127</v>
      </c>
    </row>
    <row r="125" spans="1:5">
      <c r="A125">
        <f>HYPERLINK("http://www.twitter.com/NYCParks/status/795667065336168448", "795667065336168448")</f>
        <v>0</v>
      </c>
      <c r="B125" s="2">
        <v>42681.6942708333</v>
      </c>
      <c r="C125">
        <v>1</v>
      </c>
      <c r="D125">
        <v>0</v>
      </c>
      <c r="E125" t="s">
        <v>128</v>
      </c>
    </row>
    <row r="126" spans="1:5">
      <c r="A126">
        <f>HYPERLINK("http://www.twitter.com/NYCParks/status/795666806384066560", "795666806384066560")</f>
        <v>0</v>
      </c>
      <c r="B126" s="2">
        <v>42681.6935648148</v>
      </c>
      <c r="C126">
        <v>1</v>
      </c>
      <c r="D126">
        <v>1</v>
      </c>
      <c r="E126" t="s">
        <v>129</v>
      </c>
    </row>
    <row r="127" spans="1:5">
      <c r="A127">
        <f>HYPERLINK("http://www.twitter.com/NYCParks/status/795651684399775744", "795651684399775744")</f>
        <v>0</v>
      </c>
      <c r="B127" s="2">
        <v>42681.6518287037</v>
      </c>
      <c r="C127">
        <v>13</v>
      </c>
      <c r="D127">
        <v>5</v>
      </c>
      <c r="E127" t="s">
        <v>130</v>
      </c>
    </row>
    <row r="128" spans="1:5">
      <c r="A128">
        <f>HYPERLINK("http://www.twitter.com/NYCParks/status/795648348405530625", "795648348405530625")</f>
        <v>0</v>
      </c>
      <c r="B128" s="2">
        <v>42681.6426273148</v>
      </c>
      <c r="C128">
        <v>1</v>
      </c>
      <c r="D128">
        <v>0</v>
      </c>
      <c r="E128" t="s">
        <v>131</v>
      </c>
    </row>
    <row r="129" spans="1:5">
      <c r="A129">
        <f>HYPERLINK("http://www.twitter.com/NYCParks/status/795636905677385728", "795636905677385728")</f>
        <v>0</v>
      </c>
      <c r="B129" s="2">
        <v>42681.6110532407</v>
      </c>
      <c r="C129">
        <v>0</v>
      </c>
      <c r="D129">
        <v>0</v>
      </c>
      <c r="E129" t="s">
        <v>132</v>
      </c>
    </row>
    <row r="130" spans="1:5">
      <c r="A130">
        <f>HYPERLINK("http://www.twitter.com/NYCParks/status/795319557011312640", "795319557011312640")</f>
        <v>0</v>
      </c>
      <c r="B130" s="2">
        <v>42680.7353356481</v>
      </c>
      <c r="C130">
        <v>36</v>
      </c>
      <c r="D130">
        <v>8</v>
      </c>
      <c r="E130" t="s">
        <v>133</v>
      </c>
    </row>
    <row r="131" spans="1:5">
      <c r="A131">
        <f>HYPERLINK("http://www.twitter.com/NYCParks/status/794646641190072321", "794646641190072321")</f>
        <v>0</v>
      </c>
      <c r="B131" s="2">
        <v>42678.8784375</v>
      </c>
      <c r="C131">
        <v>2</v>
      </c>
      <c r="D131">
        <v>2</v>
      </c>
      <c r="E131" t="s">
        <v>134</v>
      </c>
    </row>
    <row r="132" spans="1:5">
      <c r="A132">
        <f>HYPERLINK("http://www.twitter.com/NYCParks/status/794634006709104640", "794634006709104640")</f>
        <v>0</v>
      </c>
      <c r="B132" s="2">
        <v>42678.8435763889</v>
      </c>
      <c r="C132">
        <v>1</v>
      </c>
      <c r="D132">
        <v>0</v>
      </c>
      <c r="E132" t="s">
        <v>135</v>
      </c>
    </row>
    <row r="133" spans="1:5">
      <c r="A133">
        <f>HYPERLINK("http://www.twitter.com/NYCParks/status/794611537851731968", "794611537851731968")</f>
        <v>0</v>
      </c>
      <c r="B133" s="2">
        <v>42678.7815740741</v>
      </c>
      <c r="C133">
        <v>18</v>
      </c>
      <c r="D133">
        <v>9</v>
      </c>
      <c r="E133" t="s">
        <v>136</v>
      </c>
    </row>
    <row r="134" spans="1:5">
      <c r="A134">
        <f>HYPERLINK("http://www.twitter.com/NYCParks/status/794598207342968832", "794598207342968832")</f>
        <v>0</v>
      </c>
      <c r="B134" s="2">
        <v>42678.7447916667</v>
      </c>
      <c r="C134">
        <v>135</v>
      </c>
      <c r="D134">
        <v>95</v>
      </c>
      <c r="E134" t="s">
        <v>137</v>
      </c>
    </row>
    <row r="135" spans="1:5">
      <c r="A135">
        <f>HYPERLINK("http://www.twitter.com/NYCParks/status/794595939776348161", "794595939776348161")</f>
        <v>0</v>
      </c>
      <c r="B135" s="2">
        <v>42678.7385300926</v>
      </c>
      <c r="C135">
        <v>0</v>
      </c>
      <c r="D135">
        <v>0</v>
      </c>
      <c r="E135" t="s">
        <v>138</v>
      </c>
    </row>
    <row r="136" spans="1:5">
      <c r="A136">
        <f>HYPERLINK("http://www.twitter.com/NYCParks/status/794590641825206274", "794590641825206274")</f>
        <v>0</v>
      </c>
      <c r="B136" s="2">
        <v>42678.723912037</v>
      </c>
      <c r="C136">
        <v>0</v>
      </c>
      <c r="D136">
        <v>1</v>
      </c>
      <c r="E136" t="s">
        <v>139</v>
      </c>
    </row>
    <row r="137" spans="1:5">
      <c r="A137">
        <f>HYPERLINK("http://www.twitter.com/NYCParks/status/794587530146484224", "794587530146484224")</f>
        <v>0</v>
      </c>
      <c r="B137" s="2">
        <v>42678.7153240741</v>
      </c>
      <c r="C137">
        <v>15</v>
      </c>
      <c r="D137">
        <v>11</v>
      </c>
      <c r="E137" t="s">
        <v>140</v>
      </c>
    </row>
    <row r="138" spans="1:5">
      <c r="A138">
        <f>HYPERLINK("http://www.twitter.com/NYCParks/status/794582471576875008", "794582471576875008")</f>
        <v>0</v>
      </c>
      <c r="B138" s="2">
        <v>42678.7013657407</v>
      </c>
      <c r="C138">
        <v>1</v>
      </c>
      <c r="D138">
        <v>0</v>
      </c>
      <c r="E138" t="s">
        <v>141</v>
      </c>
    </row>
    <row r="139" spans="1:5">
      <c r="A139">
        <f>HYPERLINK("http://www.twitter.com/NYCParks/status/794582271755882498", "794582271755882498")</f>
        <v>0</v>
      </c>
      <c r="B139" s="2">
        <v>42678.7008101852</v>
      </c>
      <c r="C139">
        <v>1</v>
      </c>
      <c r="D139">
        <v>0</v>
      </c>
      <c r="E139" t="s">
        <v>142</v>
      </c>
    </row>
    <row r="140" spans="1:5">
      <c r="A140">
        <f>HYPERLINK("http://www.twitter.com/NYCParks/status/794577646638219265", "794577646638219265")</f>
        <v>0</v>
      </c>
      <c r="B140" s="2">
        <v>42678.6880555556</v>
      </c>
      <c r="C140">
        <v>0</v>
      </c>
      <c r="D140">
        <v>0</v>
      </c>
      <c r="E140" t="s">
        <v>143</v>
      </c>
    </row>
    <row r="141" spans="1:5">
      <c r="A141">
        <f>HYPERLINK("http://www.twitter.com/NYCParks/status/794577374088232960", "794577374088232960")</f>
        <v>0</v>
      </c>
      <c r="B141" s="2">
        <v>42678.6873032407</v>
      </c>
      <c r="C141">
        <v>2</v>
      </c>
      <c r="D141">
        <v>0</v>
      </c>
      <c r="E141" t="s">
        <v>144</v>
      </c>
    </row>
    <row r="142" spans="1:5">
      <c r="A142">
        <f>HYPERLINK("http://www.twitter.com/NYCParks/status/794572533655867392", "794572533655867392")</f>
        <v>0</v>
      </c>
      <c r="B142" s="2">
        <v>42678.6739467593</v>
      </c>
      <c r="C142">
        <v>25</v>
      </c>
      <c r="D142">
        <v>8</v>
      </c>
      <c r="E142" t="s">
        <v>145</v>
      </c>
    </row>
    <row r="143" spans="1:5">
      <c r="A143">
        <f>HYPERLINK("http://www.twitter.com/NYCParks/status/794565725105094656", "794565725105094656")</f>
        <v>0</v>
      </c>
      <c r="B143" s="2">
        <v>42678.655150463</v>
      </c>
      <c r="C143">
        <v>1</v>
      </c>
      <c r="D143">
        <v>1</v>
      </c>
      <c r="E143" t="s">
        <v>146</v>
      </c>
    </row>
    <row r="144" spans="1:5">
      <c r="A144">
        <f>HYPERLINK("http://www.twitter.com/NYCParks/status/794562212203466752", "794562212203466752")</f>
        <v>0</v>
      </c>
      <c r="B144" s="2">
        <v>42678.645462963</v>
      </c>
      <c r="C144">
        <v>1</v>
      </c>
      <c r="D144">
        <v>0</v>
      </c>
      <c r="E144" t="s">
        <v>147</v>
      </c>
    </row>
    <row r="145" spans="1:5">
      <c r="A145">
        <f>HYPERLINK("http://www.twitter.com/NYCParks/status/794555906356715520", "794555906356715520")</f>
        <v>0</v>
      </c>
      <c r="B145" s="2">
        <v>42678.6280555556</v>
      </c>
      <c r="C145">
        <v>18</v>
      </c>
      <c r="D145">
        <v>10</v>
      </c>
      <c r="E145" t="s">
        <v>148</v>
      </c>
    </row>
    <row r="146" spans="1:5">
      <c r="A146">
        <f>HYPERLINK("http://www.twitter.com/NYCParks/status/794550173233987585", "794550173233987585")</f>
        <v>0</v>
      </c>
      <c r="B146" s="2">
        <v>42678.6122337963</v>
      </c>
      <c r="C146">
        <v>31</v>
      </c>
      <c r="D146">
        <v>19</v>
      </c>
      <c r="E146" t="s">
        <v>149</v>
      </c>
    </row>
    <row r="147" spans="1:5">
      <c r="A147">
        <f>HYPERLINK("http://www.twitter.com/NYCParks/status/794534753575768064", "794534753575768064")</f>
        <v>0</v>
      </c>
      <c r="B147" s="2">
        <v>42678.5696875</v>
      </c>
      <c r="C147">
        <v>11</v>
      </c>
      <c r="D147">
        <v>6</v>
      </c>
      <c r="E147" t="s">
        <v>150</v>
      </c>
    </row>
    <row r="148" spans="1:5">
      <c r="A148">
        <f>HYPERLINK("http://www.twitter.com/NYCParks/status/794513368656838657", "794513368656838657")</f>
        <v>0</v>
      </c>
      <c r="B148" s="2">
        <v>42678.5106828704</v>
      </c>
      <c r="C148">
        <v>72</v>
      </c>
      <c r="D148">
        <v>61</v>
      </c>
      <c r="E148" t="s">
        <v>151</v>
      </c>
    </row>
    <row r="149" spans="1:5">
      <c r="A149">
        <f>HYPERLINK("http://www.twitter.com/NYCParks/status/794327359335886848", "794327359335886848")</f>
        <v>0</v>
      </c>
      <c r="B149" s="2">
        <v>42677.9973958333</v>
      </c>
      <c r="C149">
        <v>0</v>
      </c>
      <c r="D149">
        <v>47</v>
      </c>
      <c r="E149" t="s">
        <v>152</v>
      </c>
    </row>
    <row r="150" spans="1:5">
      <c r="A150">
        <f>HYPERLINK("http://www.twitter.com/NYCParks/status/794318757149704193", "794318757149704193")</f>
        <v>0</v>
      </c>
      <c r="B150" s="2">
        <v>42677.9736574074</v>
      </c>
      <c r="C150">
        <v>156</v>
      </c>
      <c r="D150">
        <v>138</v>
      </c>
      <c r="E150" t="s">
        <v>153</v>
      </c>
    </row>
    <row r="151" spans="1:5">
      <c r="A151">
        <f>HYPERLINK("http://www.twitter.com/NYCParks/status/794231483481387008", "794231483481387008")</f>
        <v>0</v>
      </c>
      <c r="B151" s="2">
        <v>42677.7328240741</v>
      </c>
      <c r="C151">
        <v>18</v>
      </c>
      <c r="D151">
        <v>12</v>
      </c>
      <c r="E151" t="s">
        <v>154</v>
      </c>
    </row>
    <row r="152" spans="1:5">
      <c r="A152">
        <f>HYPERLINK("http://www.twitter.com/NYCParks/status/794230148178542592", "794230148178542592")</f>
        <v>0</v>
      </c>
      <c r="B152" s="2">
        <v>42677.7291435185</v>
      </c>
      <c r="C152">
        <v>0</v>
      </c>
      <c r="D152">
        <v>20</v>
      </c>
      <c r="E152" t="s">
        <v>155</v>
      </c>
    </row>
    <row r="153" spans="1:5">
      <c r="A153">
        <f>HYPERLINK("http://www.twitter.com/NYCParks/status/794214980220551168", "794214980220551168")</f>
        <v>0</v>
      </c>
      <c r="B153" s="2">
        <v>42677.6872800926</v>
      </c>
      <c r="C153">
        <v>14</v>
      </c>
      <c r="D153">
        <v>8</v>
      </c>
      <c r="E153" t="s">
        <v>156</v>
      </c>
    </row>
    <row r="154" spans="1:5">
      <c r="A154">
        <f>HYPERLINK("http://www.twitter.com/NYCParks/status/794214403164008448", "794214403164008448")</f>
        <v>0</v>
      </c>
      <c r="B154" s="2">
        <v>42677.6856944444</v>
      </c>
      <c r="C154">
        <v>0</v>
      </c>
      <c r="D154">
        <v>0</v>
      </c>
      <c r="E154" t="s">
        <v>157</v>
      </c>
    </row>
    <row r="155" spans="1:5">
      <c r="A155">
        <f>HYPERLINK("http://www.twitter.com/NYCParks/status/794214279792697344", "794214279792697344")</f>
        <v>0</v>
      </c>
      <c r="B155" s="2">
        <v>42677.6853472222</v>
      </c>
      <c r="C155">
        <v>0</v>
      </c>
      <c r="D155">
        <v>0</v>
      </c>
      <c r="E155" t="s">
        <v>158</v>
      </c>
    </row>
    <row r="156" spans="1:5">
      <c r="A156">
        <f>HYPERLINK("http://www.twitter.com/NYCParks/status/794190264537587712", "794190264537587712")</f>
        <v>0</v>
      </c>
      <c r="B156" s="2">
        <v>42677.6190856481</v>
      </c>
      <c r="C156">
        <v>0</v>
      </c>
      <c r="D156">
        <v>8</v>
      </c>
      <c r="E156" t="s">
        <v>159</v>
      </c>
    </row>
    <row r="157" spans="1:5">
      <c r="A157">
        <f>HYPERLINK("http://www.twitter.com/NYCParks/status/793902999584305152", "793902999584305152")</f>
        <v>0</v>
      </c>
      <c r="B157" s="2">
        <v>42676.8263773148</v>
      </c>
      <c r="C157">
        <v>127</v>
      </c>
      <c r="D157">
        <v>84</v>
      </c>
      <c r="E157" t="s">
        <v>160</v>
      </c>
    </row>
    <row r="158" spans="1:5">
      <c r="A158">
        <f>HYPERLINK("http://www.twitter.com/NYCParks/status/793891046220365824", "793891046220365824")</f>
        <v>0</v>
      </c>
      <c r="B158" s="2">
        <v>42676.7933912037</v>
      </c>
      <c r="C158">
        <v>12</v>
      </c>
      <c r="D158">
        <v>5</v>
      </c>
      <c r="E158" t="s">
        <v>161</v>
      </c>
    </row>
    <row r="159" spans="1:5">
      <c r="A159">
        <f>HYPERLINK("http://www.twitter.com/NYCParks/status/793875306847272960", "793875306847272960")</f>
        <v>0</v>
      </c>
      <c r="B159" s="2">
        <v>42676.7499652778</v>
      </c>
      <c r="C159">
        <v>7</v>
      </c>
      <c r="D159">
        <v>7</v>
      </c>
      <c r="E159" t="s">
        <v>162</v>
      </c>
    </row>
    <row r="160" spans="1:5">
      <c r="A160">
        <f>HYPERLINK("http://www.twitter.com/NYCParks/status/793856980096061440", "793856980096061440")</f>
        <v>0</v>
      </c>
      <c r="B160" s="2">
        <v>42676.6993865741</v>
      </c>
      <c r="C160">
        <v>14</v>
      </c>
      <c r="D160">
        <v>13</v>
      </c>
      <c r="E160" t="s">
        <v>163</v>
      </c>
    </row>
    <row r="161" spans="1:5">
      <c r="A161">
        <f>HYPERLINK("http://www.twitter.com/NYCParks/status/793838275039420416", "793838275039420416")</f>
        <v>0</v>
      </c>
      <c r="B161" s="2">
        <v>42676.6477777778</v>
      </c>
      <c r="C161">
        <v>0</v>
      </c>
      <c r="D161">
        <v>27</v>
      </c>
      <c r="E161" t="s">
        <v>164</v>
      </c>
    </row>
    <row r="162" spans="1:5">
      <c r="A162">
        <f>HYPERLINK("http://www.twitter.com/NYCParks/status/793581439036092416", "793581439036092416")</f>
        <v>0</v>
      </c>
      <c r="B162" s="2">
        <v>42675.9390393519</v>
      </c>
      <c r="C162">
        <v>1</v>
      </c>
      <c r="D162">
        <v>0</v>
      </c>
      <c r="E162" t="s">
        <v>165</v>
      </c>
    </row>
    <row r="163" spans="1:5">
      <c r="A163">
        <f>HYPERLINK("http://www.twitter.com/NYCParks/status/793526709433798656", "793526709433798656")</f>
        <v>0</v>
      </c>
      <c r="B163" s="2">
        <v>42675.7880208333</v>
      </c>
      <c r="C163">
        <v>34</v>
      </c>
      <c r="D163">
        <v>23</v>
      </c>
      <c r="E163" t="s">
        <v>166</v>
      </c>
    </row>
    <row r="164" spans="1:5">
      <c r="A164">
        <f>HYPERLINK("http://www.twitter.com/NYCParks/status/793502040559411201", "793502040559411201")</f>
        <v>0</v>
      </c>
      <c r="B164" s="2">
        <v>42675.7199421296</v>
      </c>
      <c r="C164">
        <v>0</v>
      </c>
      <c r="D164">
        <v>1</v>
      </c>
      <c r="E164" t="s">
        <v>167</v>
      </c>
    </row>
    <row r="165" spans="1:5">
      <c r="A165">
        <f>HYPERLINK("http://www.twitter.com/NYCParks/status/793500420660465664", "793500420660465664")</f>
        <v>0</v>
      </c>
      <c r="B165" s="2">
        <v>42675.715474537</v>
      </c>
      <c r="C165">
        <v>68</v>
      </c>
      <c r="D165">
        <v>40</v>
      </c>
      <c r="E165" t="s">
        <v>168</v>
      </c>
    </row>
    <row r="166" spans="1:5">
      <c r="A166">
        <f>HYPERLINK("http://www.twitter.com/NYCParks/status/793485355269980160", "793485355269980160")</f>
        <v>0</v>
      </c>
      <c r="B166" s="2">
        <v>42675.673900463</v>
      </c>
      <c r="C166">
        <v>1</v>
      </c>
      <c r="D166">
        <v>2</v>
      </c>
      <c r="E166" t="s">
        <v>169</v>
      </c>
    </row>
    <row r="167" spans="1:5">
      <c r="A167">
        <f>HYPERLINK("http://www.twitter.com/NYCParks/status/793471016957800448", "793471016957800448")</f>
        <v>0</v>
      </c>
      <c r="B167" s="2">
        <v>42675.6343402778</v>
      </c>
      <c r="C167">
        <v>0</v>
      </c>
      <c r="D167">
        <v>4</v>
      </c>
      <c r="E167" t="s">
        <v>170</v>
      </c>
    </row>
    <row r="168" spans="1:5">
      <c r="A168">
        <f>HYPERLINK("http://www.twitter.com/NYCParks/status/793209753673592833", "793209753673592833")</f>
        <v>0</v>
      </c>
      <c r="B168" s="2">
        <v>42674.9133912037</v>
      </c>
      <c r="C168">
        <v>11</v>
      </c>
      <c r="D168">
        <v>8</v>
      </c>
      <c r="E168" t="s">
        <v>171</v>
      </c>
    </row>
    <row r="169" spans="1:5">
      <c r="A169">
        <f>HYPERLINK("http://www.twitter.com/NYCParks/status/793166013525270532", "793166013525270532")</f>
        <v>0</v>
      </c>
      <c r="B169" s="2">
        <v>42674.7926851852</v>
      </c>
      <c r="C169">
        <v>36</v>
      </c>
      <c r="D169">
        <v>36</v>
      </c>
      <c r="E169" t="s">
        <v>172</v>
      </c>
    </row>
    <row r="170" spans="1:5">
      <c r="A170">
        <f>HYPERLINK("http://www.twitter.com/NYCParks/status/793154168265412608", "793154168265412608")</f>
        <v>0</v>
      </c>
      <c r="B170" s="2">
        <v>42674.76</v>
      </c>
      <c r="C170">
        <v>8</v>
      </c>
      <c r="D170">
        <v>6</v>
      </c>
      <c r="E170" t="s">
        <v>173</v>
      </c>
    </row>
    <row r="171" spans="1:5">
      <c r="A171">
        <f>HYPERLINK("http://www.twitter.com/NYCParks/status/793135778985541632", "793135778985541632")</f>
        <v>0</v>
      </c>
      <c r="B171" s="2">
        <v>42674.7092592593</v>
      </c>
      <c r="C171">
        <v>0</v>
      </c>
      <c r="D171">
        <v>60</v>
      </c>
      <c r="E171" t="s">
        <v>174</v>
      </c>
    </row>
    <row r="172" spans="1:5">
      <c r="A172">
        <f>HYPERLINK("http://www.twitter.com/NYCParks/status/793119143327391744", "793119143327391744")</f>
        <v>0</v>
      </c>
      <c r="B172" s="2">
        <v>42674.6633449074</v>
      </c>
      <c r="C172">
        <v>20</v>
      </c>
      <c r="D172">
        <v>12</v>
      </c>
      <c r="E172" t="s">
        <v>175</v>
      </c>
    </row>
    <row r="173" spans="1:5">
      <c r="A173">
        <f>HYPERLINK("http://www.twitter.com/NYCParks/status/793099930269323264", "793099930269323264")</f>
        <v>0</v>
      </c>
      <c r="B173" s="2">
        <v>42674.6103356481</v>
      </c>
      <c r="C173">
        <v>31</v>
      </c>
      <c r="D173">
        <v>19</v>
      </c>
      <c r="E173" t="s">
        <v>176</v>
      </c>
    </row>
    <row r="174" spans="1:5">
      <c r="A174">
        <f>HYPERLINK("http://www.twitter.com/NYCParks/status/792389464173580288", "792389464173580288")</f>
        <v>0</v>
      </c>
      <c r="B174" s="2">
        <v>42672.6498148148</v>
      </c>
      <c r="C174">
        <v>25</v>
      </c>
      <c r="D174">
        <v>8</v>
      </c>
      <c r="E174" t="s">
        <v>177</v>
      </c>
    </row>
    <row r="175" spans="1:5">
      <c r="A175">
        <f>HYPERLINK("http://www.twitter.com/NYCParks/status/792120071195860993", "792120071195860993")</f>
        <v>0</v>
      </c>
      <c r="B175" s="2">
        <v>42671.9064351852</v>
      </c>
      <c r="C175">
        <v>3</v>
      </c>
      <c r="D175">
        <v>3</v>
      </c>
      <c r="E175" t="s">
        <v>178</v>
      </c>
    </row>
    <row r="176" spans="1:5">
      <c r="A176">
        <f>HYPERLINK("http://www.twitter.com/NYCParks/status/792107119201878016", "792107119201878016")</f>
        <v>0</v>
      </c>
      <c r="B176" s="2">
        <v>42671.8706944444</v>
      </c>
      <c r="C176">
        <v>54</v>
      </c>
      <c r="D176">
        <v>32</v>
      </c>
      <c r="E176" t="s">
        <v>179</v>
      </c>
    </row>
    <row r="177" spans="1:5">
      <c r="A177">
        <f>HYPERLINK("http://www.twitter.com/NYCParks/status/792092464177897472", "792092464177897472")</f>
        <v>0</v>
      </c>
      <c r="B177" s="2">
        <v>42671.8302546296</v>
      </c>
      <c r="C177">
        <v>62</v>
      </c>
      <c r="D177">
        <v>15</v>
      </c>
      <c r="E177" t="s">
        <v>180</v>
      </c>
    </row>
    <row r="178" spans="1:5">
      <c r="A178">
        <f>HYPERLINK("http://www.twitter.com/NYCParks/status/792078791854190593", "792078791854190593")</f>
        <v>0</v>
      </c>
      <c r="B178" s="2">
        <v>42671.7925231481</v>
      </c>
      <c r="C178">
        <v>18</v>
      </c>
      <c r="D178">
        <v>9</v>
      </c>
      <c r="E178" t="s">
        <v>181</v>
      </c>
    </row>
    <row r="179" spans="1:5">
      <c r="A179">
        <f>HYPERLINK("http://www.twitter.com/NYCParks/status/792060167479230464", "792060167479230464")</f>
        <v>0</v>
      </c>
      <c r="B179" s="2">
        <v>42671.7411342593</v>
      </c>
      <c r="C179">
        <v>31</v>
      </c>
      <c r="D179">
        <v>27</v>
      </c>
      <c r="E179" t="s">
        <v>182</v>
      </c>
    </row>
    <row r="180" spans="1:5">
      <c r="A180">
        <f>HYPERLINK("http://www.twitter.com/NYCParks/status/792048569301753860", "792048569301753860")</f>
        <v>0</v>
      </c>
      <c r="B180" s="2">
        <v>42671.7091319444</v>
      </c>
      <c r="C180">
        <v>0</v>
      </c>
      <c r="D180">
        <v>59</v>
      </c>
      <c r="E180" t="s">
        <v>183</v>
      </c>
    </row>
    <row r="181" spans="1:5">
      <c r="A181">
        <f>HYPERLINK("http://www.twitter.com/NYCParks/status/792035780483047424", "792035780483047424")</f>
        <v>0</v>
      </c>
      <c r="B181" s="2">
        <v>42671.6738425926</v>
      </c>
      <c r="C181">
        <v>101</v>
      </c>
      <c r="D181">
        <v>50</v>
      </c>
      <c r="E181" t="s">
        <v>184</v>
      </c>
    </row>
    <row r="182" spans="1:5">
      <c r="A182">
        <f>HYPERLINK("http://www.twitter.com/NYCParks/status/792018252738297856", "792018252738297856")</f>
        <v>0</v>
      </c>
      <c r="B182" s="2">
        <v>42671.625474537</v>
      </c>
      <c r="C182">
        <v>6</v>
      </c>
      <c r="D182">
        <v>3</v>
      </c>
      <c r="E182" t="s">
        <v>185</v>
      </c>
    </row>
    <row r="183" spans="1:5">
      <c r="A183">
        <f>HYPERLINK("http://www.twitter.com/NYCParks/status/792005187627917312", "792005187627917312")</f>
        <v>0</v>
      </c>
      <c r="B183" s="2">
        <v>42671.5894212963</v>
      </c>
      <c r="C183">
        <v>0</v>
      </c>
      <c r="D183">
        <v>26</v>
      </c>
      <c r="E183" t="s">
        <v>186</v>
      </c>
    </row>
    <row r="184" spans="1:5">
      <c r="A184">
        <f>HYPERLINK("http://www.twitter.com/NYCParks/status/791718006585982977", "791718006585982977")</f>
        <v>0</v>
      </c>
      <c r="B184" s="2">
        <v>42670.7969444444</v>
      </c>
      <c r="C184">
        <v>7</v>
      </c>
      <c r="D184">
        <v>3</v>
      </c>
      <c r="E184" t="s">
        <v>187</v>
      </c>
    </row>
    <row r="185" spans="1:5">
      <c r="A185">
        <f>HYPERLINK("http://www.twitter.com/NYCParks/status/791692339681034240", "791692339681034240")</f>
        <v>0</v>
      </c>
      <c r="B185" s="2">
        <v>42670.7261226852</v>
      </c>
      <c r="C185">
        <v>9</v>
      </c>
      <c r="D185">
        <v>1</v>
      </c>
      <c r="E185" t="s">
        <v>188</v>
      </c>
    </row>
    <row r="186" spans="1:5">
      <c r="A186">
        <f>HYPERLINK("http://www.twitter.com/NYCParks/status/791678469759467520", "791678469759467520")</f>
        <v>0</v>
      </c>
      <c r="B186" s="2">
        <v>42670.6878472222</v>
      </c>
      <c r="C186">
        <v>24</v>
      </c>
      <c r="D186">
        <v>13</v>
      </c>
      <c r="E186" t="s">
        <v>189</v>
      </c>
    </row>
    <row r="187" spans="1:5">
      <c r="A187">
        <f>HYPERLINK("http://www.twitter.com/NYCParks/status/791653574015082499", "791653574015082499")</f>
        <v>0</v>
      </c>
      <c r="B187" s="2">
        <v>42670.6191435185</v>
      </c>
      <c r="C187">
        <v>0</v>
      </c>
      <c r="D187">
        <v>20</v>
      </c>
      <c r="E187" t="s">
        <v>190</v>
      </c>
    </row>
    <row r="188" spans="1:5">
      <c r="A188">
        <f>HYPERLINK("http://www.twitter.com/NYCParks/status/791377627554713600", "791377627554713600")</f>
        <v>0</v>
      </c>
      <c r="B188" s="2">
        <v>42669.8576851852</v>
      </c>
      <c r="C188">
        <v>12</v>
      </c>
      <c r="D188">
        <v>4</v>
      </c>
      <c r="E188" t="s">
        <v>191</v>
      </c>
    </row>
    <row r="189" spans="1:5">
      <c r="A189">
        <f>HYPERLINK("http://www.twitter.com/NYCParks/status/791345400535855104", "791345400535855104")</f>
        <v>0</v>
      </c>
      <c r="B189" s="2">
        <v>42669.76875</v>
      </c>
      <c r="C189">
        <v>30</v>
      </c>
      <c r="D189">
        <v>9</v>
      </c>
      <c r="E189" t="s">
        <v>192</v>
      </c>
    </row>
    <row r="190" spans="1:5">
      <c r="A190">
        <f>HYPERLINK("http://www.twitter.com/NYCParks/status/791320520465711104", "791320520465711104")</f>
        <v>0</v>
      </c>
      <c r="B190" s="2">
        <v>42669.7000925926</v>
      </c>
      <c r="C190">
        <v>25</v>
      </c>
      <c r="D190">
        <v>12</v>
      </c>
      <c r="E190" t="s">
        <v>193</v>
      </c>
    </row>
    <row r="191" spans="1:5">
      <c r="A191">
        <f>HYPERLINK("http://www.twitter.com/NYCParks/status/791296953900474368", "791296953900474368")</f>
        <v>0</v>
      </c>
      <c r="B191" s="2">
        <v>42669.6350694444</v>
      </c>
      <c r="C191">
        <v>0</v>
      </c>
      <c r="D191">
        <v>7</v>
      </c>
      <c r="E191" t="s">
        <v>194</v>
      </c>
    </row>
    <row r="192" spans="1:5">
      <c r="A192">
        <f>HYPERLINK("http://www.twitter.com/NYCParks/status/791034230520307712", "791034230520307712")</f>
        <v>0</v>
      </c>
      <c r="B192" s="2">
        <v>42668.9100810185</v>
      </c>
      <c r="C192">
        <v>17</v>
      </c>
      <c r="D192">
        <v>8</v>
      </c>
      <c r="E192" t="s">
        <v>195</v>
      </c>
    </row>
    <row r="193" spans="1:5">
      <c r="A193">
        <f>HYPERLINK("http://www.twitter.com/NYCParks/status/791005221833084928", "791005221833084928")</f>
        <v>0</v>
      </c>
      <c r="B193" s="2">
        <v>42668.8300347222</v>
      </c>
      <c r="C193">
        <v>29</v>
      </c>
      <c r="D193">
        <v>18</v>
      </c>
      <c r="E193" t="s">
        <v>196</v>
      </c>
    </row>
    <row r="194" spans="1:5">
      <c r="A194">
        <f>HYPERLINK("http://www.twitter.com/NYCParks/status/790991455074521090", "790991455074521090")</f>
        <v>0</v>
      </c>
      <c r="B194" s="2">
        <v>42668.7920486111</v>
      </c>
      <c r="C194">
        <v>65</v>
      </c>
      <c r="D194">
        <v>39</v>
      </c>
      <c r="E194" t="s">
        <v>197</v>
      </c>
    </row>
    <row r="195" spans="1:5">
      <c r="A195">
        <f>HYPERLINK("http://www.twitter.com/NYCParks/status/790972521919176704", "790972521919176704")</f>
        <v>0</v>
      </c>
      <c r="B195" s="2">
        <v>42668.7398032407</v>
      </c>
      <c r="C195">
        <v>3</v>
      </c>
      <c r="D195">
        <v>5</v>
      </c>
      <c r="E195" t="s">
        <v>198</v>
      </c>
    </row>
    <row r="196" spans="1:5">
      <c r="A196">
        <f>HYPERLINK("http://www.twitter.com/NYCParks/status/790945890517286912", "790945890517286912")</f>
        <v>0</v>
      </c>
      <c r="B196" s="2">
        <v>42668.6663194444</v>
      </c>
      <c r="C196">
        <v>125</v>
      </c>
      <c r="D196">
        <v>59</v>
      </c>
      <c r="E196" t="s">
        <v>199</v>
      </c>
    </row>
    <row r="197" spans="1:5">
      <c r="A197">
        <f>HYPERLINK("http://www.twitter.com/NYCParks/status/790921328924696576", "790921328924696576")</f>
        <v>0</v>
      </c>
      <c r="B197" s="2">
        <v>42668.5985416667</v>
      </c>
      <c r="C197">
        <v>0</v>
      </c>
      <c r="D197">
        <v>5</v>
      </c>
      <c r="E197" t="s">
        <v>200</v>
      </c>
    </row>
    <row r="198" spans="1:5">
      <c r="A198">
        <f>HYPERLINK("http://www.twitter.com/NYCParks/status/790916285945249792", "790916285945249792")</f>
        <v>0</v>
      </c>
      <c r="B198" s="2">
        <v>42668.5846180556</v>
      </c>
      <c r="C198">
        <v>0</v>
      </c>
      <c r="D198">
        <v>0</v>
      </c>
      <c r="E198" t="s">
        <v>201</v>
      </c>
    </row>
    <row r="199" spans="1:5">
      <c r="A199">
        <f>HYPERLINK("http://www.twitter.com/NYCParks/status/790664936821260289", "790664936821260289")</f>
        <v>0</v>
      </c>
      <c r="B199" s="2">
        <v>42667.8910300926</v>
      </c>
      <c r="C199">
        <v>0</v>
      </c>
      <c r="D199">
        <v>42</v>
      </c>
      <c r="E199" t="s">
        <v>202</v>
      </c>
    </row>
    <row r="200" spans="1:5">
      <c r="A200">
        <f>HYPERLINK("http://www.twitter.com/NYCParks/status/790645013650739204", "790645013650739204")</f>
        <v>0</v>
      </c>
      <c r="B200" s="2">
        <v>42667.8360532407</v>
      </c>
      <c r="C200">
        <v>0</v>
      </c>
      <c r="D200">
        <v>203</v>
      </c>
      <c r="E200" t="s">
        <v>203</v>
      </c>
    </row>
    <row r="201" spans="1:5">
      <c r="A201">
        <f>HYPERLINK("http://www.twitter.com/NYCParks/status/790629212793298944", "790629212793298944")</f>
        <v>0</v>
      </c>
      <c r="B201" s="2">
        <v>42667.7924537037</v>
      </c>
      <c r="C201">
        <v>36</v>
      </c>
      <c r="D201">
        <v>28</v>
      </c>
      <c r="E201" t="s">
        <v>204</v>
      </c>
    </row>
    <row r="202" spans="1:5">
      <c r="A202">
        <f>HYPERLINK("http://www.twitter.com/NYCParks/status/790607572806107136", "790607572806107136")</f>
        <v>0</v>
      </c>
      <c r="B202" s="2">
        <v>42667.7327314815</v>
      </c>
      <c r="C202">
        <v>8</v>
      </c>
      <c r="D202">
        <v>5</v>
      </c>
      <c r="E202" t="s">
        <v>205</v>
      </c>
    </row>
    <row r="203" spans="1:5">
      <c r="A203">
        <f>HYPERLINK("http://www.twitter.com/NYCParks/status/790590376839176196", "790590376839176196")</f>
        <v>0</v>
      </c>
      <c r="B203" s="2">
        <v>42667.6852777778</v>
      </c>
      <c r="C203">
        <v>29</v>
      </c>
      <c r="D203">
        <v>24</v>
      </c>
      <c r="E203" t="s">
        <v>206</v>
      </c>
    </row>
    <row r="204" spans="1:5">
      <c r="A204">
        <f>HYPERLINK("http://www.twitter.com/NYCParks/status/790580072939917312", "790580072939917312")</f>
        <v>0</v>
      </c>
      <c r="B204" s="2">
        <v>42667.6568518519</v>
      </c>
      <c r="C204">
        <v>0</v>
      </c>
      <c r="D204">
        <v>0</v>
      </c>
      <c r="E204" t="s">
        <v>207</v>
      </c>
    </row>
    <row r="205" spans="1:5">
      <c r="A205">
        <f>HYPERLINK("http://www.twitter.com/NYCParks/status/790571130587344901", "790571130587344901")</f>
        <v>0</v>
      </c>
      <c r="B205" s="2">
        <v>42667.6321759259</v>
      </c>
      <c r="C205">
        <v>15</v>
      </c>
      <c r="D205">
        <v>6</v>
      </c>
      <c r="E205" t="s">
        <v>208</v>
      </c>
    </row>
    <row r="206" spans="1:5">
      <c r="A206">
        <f>HYPERLINK("http://www.twitter.com/NYCParks/status/789542570686869504", "789542570686869504")</f>
        <v>0</v>
      </c>
      <c r="B206" s="2">
        <v>42664.7938888889</v>
      </c>
      <c r="C206">
        <v>16</v>
      </c>
      <c r="D206">
        <v>12</v>
      </c>
      <c r="E206" t="s">
        <v>209</v>
      </c>
    </row>
    <row r="207" spans="1:5">
      <c r="A207">
        <f>HYPERLINK("http://www.twitter.com/NYCParks/status/789520897052962817", "789520897052962817")</f>
        <v>0</v>
      </c>
      <c r="B207" s="2">
        <v>42664.7340856481</v>
      </c>
      <c r="C207">
        <v>17</v>
      </c>
      <c r="D207">
        <v>12</v>
      </c>
      <c r="E207" t="s">
        <v>210</v>
      </c>
    </row>
    <row r="208" spans="1:5">
      <c r="A208">
        <f>HYPERLINK("http://www.twitter.com/NYCParks/status/789480672662609920", "789480672662609920")</f>
        <v>0</v>
      </c>
      <c r="B208" s="2">
        <v>42664.6230787037</v>
      </c>
      <c r="C208">
        <v>0</v>
      </c>
      <c r="D208">
        <v>3</v>
      </c>
      <c r="E208" t="s">
        <v>211</v>
      </c>
    </row>
    <row r="209" spans="1:5">
      <c r="A209">
        <f>HYPERLINK("http://www.twitter.com/NYCParks/status/789209311914422272", "789209311914422272")</f>
        <v>0</v>
      </c>
      <c r="B209" s="2">
        <v>42663.8742708333</v>
      </c>
      <c r="C209">
        <v>24</v>
      </c>
      <c r="D209">
        <v>14</v>
      </c>
      <c r="E209" t="s">
        <v>212</v>
      </c>
    </row>
    <row r="210" spans="1:5">
      <c r="A210">
        <f>HYPERLINK("http://www.twitter.com/NYCParks/status/789167255061790720", "789167255061790720")</f>
        <v>0</v>
      </c>
      <c r="B210" s="2">
        <v>42663.7582175926</v>
      </c>
      <c r="C210">
        <v>51</v>
      </c>
      <c r="D210">
        <v>23</v>
      </c>
      <c r="E210" t="s">
        <v>213</v>
      </c>
    </row>
    <row r="211" spans="1:5">
      <c r="A211">
        <f>HYPERLINK("http://www.twitter.com/NYCParks/status/789131537027653636", "789131537027653636")</f>
        <v>0</v>
      </c>
      <c r="B211" s="2">
        <v>42663.6596527778</v>
      </c>
      <c r="C211">
        <v>7</v>
      </c>
      <c r="D211">
        <v>3</v>
      </c>
      <c r="E211" t="s">
        <v>214</v>
      </c>
    </row>
    <row r="212" spans="1:5">
      <c r="A212">
        <f>HYPERLINK("http://www.twitter.com/NYCParks/status/789119731164913665", "789119731164913665")</f>
        <v>0</v>
      </c>
      <c r="B212" s="2">
        <v>42663.6270717593</v>
      </c>
      <c r="C212">
        <v>0</v>
      </c>
      <c r="D212">
        <v>13</v>
      </c>
      <c r="E212" t="s">
        <v>215</v>
      </c>
    </row>
    <row r="213" spans="1:5">
      <c r="A213">
        <f>HYPERLINK("http://www.twitter.com/NYCParks/status/788843510199881729", "788843510199881729")</f>
        <v>0</v>
      </c>
      <c r="B213" s="2">
        <v>42662.864849537</v>
      </c>
      <c r="C213">
        <v>25</v>
      </c>
      <c r="D213">
        <v>14</v>
      </c>
      <c r="E213" t="s">
        <v>216</v>
      </c>
    </row>
    <row r="214" spans="1:5">
      <c r="A214">
        <f>HYPERLINK("http://www.twitter.com/NYCParks/status/788817349671526400", "788817349671526400")</f>
        <v>0</v>
      </c>
      <c r="B214" s="2">
        <v>42662.792662037</v>
      </c>
      <c r="C214">
        <v>24</v>
      </c>
      <c r="D214">
        <v>10</v>
      </c>
      <c r="E214" t="s">
        <v>217</v>
      </c>
    </row>
    <row r="215" spans="1:5">
      <c r="A215">
        <f>HYPERLINK("http://www.twitter.com/NYCParks/status/788788937967996928", "788788937967996928")</f>
        <v>0</v>
      </c>
      <c r="B215" s="2">
        <v>42662.7142592593</v>
      </c>
      <c r="C215">
        <v>9</v>
      </c>
      <c r="D215">
        <v>10</v>
      </c>
      <c r="E215" t="s">
        <v>218</v>
      </c>
    </row>
    <row r="216" spans="1:5">
      <c r="A216">
        <f>HYPERLINK("http://www.twitter.com/NYCParks/status/788781806166433792", "788781806166433792")</f>
        <v>0</v>
      </c>
      <c r="B216" s="2">
        <v>42662.6945833333</v>
      </c>
      <c r="C216">
        <v>1</v>
      </c>
      <c r="D216">
        <v>1</v>
      </c>
      <c r="E216" t="s">
        <v>219</v>
      </c>
    </row>
    <row r="217" spans="1:5">
      <c r="A217">
        <f>HYPERLINK("http://www.twitter.com/NYCParks/status/788764234490478592", "788764234490478592")</f>
        <v>0</v>
      </c>
      <c r="B217" s="2">
        <v>42662.646087963</v>
      </c>
      <c r="C217">
        <v>10</v>
      </c>
      <c r="D217">
        <v>5</v>
      </c>
      <c r="E217" t="s">
        <v>220</v>
      </c>
    </row>
    <row r="218" spans="1:5">
      <c r="A218">
        <f>HYPERLINK("http://www.twitter.com/NYCParks/status/788450856152825857", "788450856152825857")</f>
        <v>0</v>
      </c>
      <c r="B218" s="2">
        <v>42661.7813310185</v>
      </c>
      <c r="C218">
        <v>27</v>
      </c>
      <c r="D218">
        <v>7</v>
      </c>
      <c r="E218" t="s">
        <v>221</v>
      </c>
    </row>
    <row r="219" spans="1:5">
      <c r="A219">
        <f>HYPERLINK("http://www.twitter.com/NYCParks/status/788447739994595328", "788447739994595328")</f>
        <v>0</v>
      </c>
      <c r="B219" s="2">
        <v>42661.7727314815</v>
      </c>
      <c r="C219">
        <v>1</v>
      </c>
      <c r="D219">
        <v>0</v>
      </c>
      <c r="E219" t="s">
        <v>222</v>
      </c>
    </row>
    <row r="220" spans="1:5">
      <c r="A220">
        <f>HYPERLINK("http://www.twitter.com/NYCParks/status/788440026044624897", "788440026044624897")</f>
        <v>0</v>
      </c>
      <c r="B220" s="2">
        <v>42661.7514467593</v>
      </c>
      <c r="C220">
        <v>7</v>
      </c>
      <c r="D220">
        <v>7</v>
      </c>
      <c r="E220" t="s">
        <v>223</v>
      </c>
    </row>
    <row r="221" spans="1:5">
      <c r="A221">
        <f>HYPERLINK("http://www.twitter.com/NYCParks/status/788425699992494080", "788425699992494080")</f>
        <v>0</v>
      </c>
      <c r="B221" s="2">
        <v>42661.7119097222</v>
      </c>
      <c r="C221">
        <v>12</v>
      </c>
      <c r="D221">
        <v>2</v>
      </c>
      <c r="E221" t="s">
        <v>224</v>
      </c>
    </row>
    <row r="222" spans="1:5">
      <c r="A222">
        <f>HYPERLINK("http://www.twitter.com/NYCParks/status/788419561125281792", "788419561125281792")</f>
        <v>0</v>
      </c>
      <c r="B222" s="2">
        <v>42661.6949768519</v>
      </c>
      <c r="C222">
        <v>21</v>
      </c>
      <c r="D222">
        <v>10</v>
      </c>
      <c r="E222" t="s">
        <v>225</v>
      </c>
    </row>
    <row r="223" spans="1:5">
      <c r="A223">
        <f>HYPERLINK("http://www.twitter.com/NYCParks/status/788407416333410304", "788407416333410304")</f>
        <v>0</v>
      </c>
      <c r="B223" s="2">
        <v>42661.6614583333</v>
      </c>
      <c r="C223">
        <v>10</v>
      </c>
      <c r="D223">
        <v>3</v>
      </c>
      <c r="E223" t="s">
        <v>226</v>
      </c>
    </row>
    <row r="224" spans="1:5">
      <c r="A224">
        <f>HYPERLINK("http://www.twitter.com/NYCParks/status/788105871058501632", "788105871058501632")</f>
        <v>0</v>
      </c>
      <c r="B224" s="2">
        <v>42660.8293518519</v>
      </c>
      <c r="C224">
        <v>0</v>
      </c>
      <c r="D224">
        <v>0</v>
      </c>
      <c r="E224" t="s">
        <v>227</v>
      </c>
    </row>
    <row r="225" spans="1:5">
      <c r="A225">
        <f>HYPERLINK("http://www.twitter.com/NYCParks/status/788104505950961664", "788104505950961664")</f>
        <v>0</v>
      </c>
      <c r="B225" s="2">
        <v>42660.8255902778</v>
      </c>
      <c r="C225">
        <v>8</v>
      </c>
      <c r="D225">
        <v>4</v>
      </c>
      <c r="E225" t="s">
        <v>228</v>
      </c>
    </row>
    <row r="226" spans="1:5">
      <c r="A226">
        <f>HYPERLINK("http://www.twitter.com/NYCParks/status/788088943438860288", "788088943438860288")</f>
        <v>0</v>
      </c>
      <c r="B226" s="2">
        <v>42660.7826388889</v>
      </c>
      <c r="C226">
        <v>0</v>
      </c>
      <c r="D226">
        <v>0</v>
      </c>
      <c r="E226" t="s">
        <v>229</v>
      </c>
    </row>
    <row r="227" spans="1:5">
      <c r="A227">
        <f>HYPERLINK("http://www.twitter.com/NYCParks/status/788087053477175301", "788087053477175301")</f>
        <v>0</v>
      </c>
      <c r="B227" s="2">
        <v>42660.7774305556</v>
      </c>
      <c r="C227">
        <v>12</v>
      </c>
      <c r="D227">
        <v>6</v>
      </c>
      <c r="E227" t="s">
        <v>230</v>
      </c>
    </row>
    <row r="228" spans="1:5">
      <c r="A228">
        <f>HYPERLINK("http://www.twitter.com/NYCParks/status/788064832729804800", "788064832729804800")</f>
        <v>0</v>
      </c>
      <c r="B228" s="2">
        <v>42660.7161111111</v>
      </c>
      <c r="C228">
        <v>27</v>
      </c>
      <c r="D228">
        <v>11</v>
      </c>
      <c r="E228" t="s">
        <v>231</v>
      </c>
    </row>
    <row r="229" spans="1:5">
      <c r="A229">
        <f>HYPERLINK("http://www.twitter.com/NYCParks/status/788058382813003776", "788058382813003776")</f>
        <v>0</v>
      </c>
      <c r="B229" s="2">
        <v>42660.6983101852</v>
      </c>
      <c r="C229">
        <v>0</v>
      </c>
      <c r="D229">
        <v>1</v>
      </c>
      <c r="E229" t="s">
        <v>232</v>
      </c>
    </row>
    <row r="230" spans="1:5">
      <c r="A230">
        <f>HYPERLINK("http://www.twitter.com/NYCParks/status/788016652059340800", "788016652059340800")</f>
        <v>0</v>
      </c>
      <c r="B230" s="2">
        <v>42660.5831597222</v>
      </c>
      <c r="C230">
        <v>60</v>
      </c>
      <c r="D230">
        <v>21</v>
      </c>
      <c r="E230" t="s">
        <v>233</v>
      </c>
    </row>
    <row r="231" spans="1:5">
      <c r="A231">
        <f>HYPERLINK("http://www.twitter.com/NYCParks/status/787050581164785665", "787050581164785665")</f>
        <v>0</v>
      </c>
      <c r="B231" s="2">
        <v>42657.9173032407</v>
      </c>
      <c r="C231">
        <v>20</v>
      </c>
      <c r="D231">
        <v>7</v>
      </c>
      <c r="E231" t="s">
        <v>234</v>
      </c>
    </row>
    <row r="232" spans="1:5">
      <c r="A232">
        <f>HYPERLINK("http://www.twitter.com/NYCParks/status/787001347459645440", "787001347459645440")</f>
        <v>0</v>
      </c>
      <c r="B232" s="2">
        <v>42657.7814467593</v>
      </c>
      <c r="C232">
        <v>15</v>
      </c>
      <c r="D232">
        <v>10</v>
      </c>
      <c r="E232" t="s">
        <v>235</v>
      </c>
    </row>
    <row r="233" spans="1:5">
      <c r="A233">
        <f>HYPERLINK("http://www.twitter.com/NYCParks/status/786990531377324033", "786990531377324033")</f>
        <v>0</v>
      </c>
      <c r="B233" s="2">
        <v>42657.7515972222</v>
      </c>
      <c r="C233">
        <v>1</v>
      </c>
      <c r="D233">
        <v>0</v>
      </c>
      <c r="E233" t="s">
        <v>236</v>
      </c>
    </row>
    <row r="234" spans="1:5">
      <c r="A234">
        <f>HYPERLINK("http://www.twitter.com/NYCParks/status/786987488996884480", "786987488996884480")</f>
        <v>0</v>
      </c>
      <c r="B234" s="2">
        <v>42657.7432060185</v>
      </c>
      <c r="C234">
        <v>14</v>
      </c>
      <c r="D234">
        <v>7</v>
      </c>
      <c r="E234" t="s">
        <v>237</v>
      </c>
    </row>
    <row r="235" spans="1:5">
      <c r="A235">
        <f>HYPERLINK("http://www.twitter.com/NYCParks/status/786981180554022912", "786981180554022912")</f>
        <v>0</v>
      </c>
      <c r="B235" s="2">
        <v>42657.7257986111</v>
      </c>
      <c r="C235">
        <v>0</v>
      </c>
      <c r="D235">
        <v>0</v>
      </c>
      <c r="E235" t="s">
        <v>238</v>
      </c>
    </row>
    <row r="236" spans="1:5">
      <c r="A236">
        <f>HYPERLINK("http://www.twitter.com/NYCParks/status/786963599516438529", "786963599516438529")</f>
        <v>0</v>
      </c>
      <c r="B236" s="2">
        <v>42657.6772800926</v>
      </c>
      <c r="C236">
        <v>42</v>
      </c>
      <c r="D236">
        <v>21</v>
      </c>
      <c r="E236" t="s">
        <v>239</v>
      </c>
    </row>
    <row r="237" spans="1:5">
      <c r="A237">
        <f>HYPERLINK("http://www.twitter.com/NYCParks/status/786945358249226240", "786945358249226240")</f>
        <v>0</v>
      </c>
      <c r="B237" s="2">
        <v>42657.6269444444</v>
      </c>
      <c r="C237">
        <v>15</v>
      </c>
      <c r="D237">
        <v>6</v>
      </c>
      <c r="E237" t="s">
        <v>240</v>
      </c>
    </row>
    <row r="238" spans="1:5">
      <c r="A238">
        <f>HYPERLINK("http://www.twitter.com/NYCParks/status/786673746883076096", "786673746883076096")</f>
        <v>0</v>
      </c>
      <c r="B238" s="2">
        <v>42656.8774421296</v>
      </c>
      <c r="C238">
        <v>59</v>
      </c>
      <c r="D238">
        <v>34</v>
      </c>
      <c r="E238" t="s">
        <v>241</v>
      </c>
    </row>
    <row r="239" spans="1:5">
      <c r="A239">
        <f>HYPERLINK("http://www.twitter.com/NYCParks/status/786645265105190912", "786645265105190912")</f>
        <v>0</v>
      </c>
      <c r="B239" s="2">
        <v>42656.7988541667</v>
      </c>
      <c r="C239">
        <v>17</v>
      </c>
      <c r="D239">
        <v>6</v>
      </c>
      <c r="E239" t="s">
        <v>242</v>
      </c>
    </row>
    <row r="240" spans="1:5">
      <c r="A240">
        <f>HYPERLINK("http://www.twitter.com/NYCParks/status/786603698973765632", "786603698973765632")</f>
        <v>0</v>
      </c>
      <c r="B240" s="2">
        <v>42656.6841435185</v>
      </c>
      <c r="C240">
        <v>4</v>
      </c>
      <c r="D240">
        <v>3</v>
      </c>
      <c r="E240" t="s">
        <v>243</v>
      </c>
    </row>
    <row r="241" spans="1:5">
      <c r="A241">
        <f>HYPERLINK("http://www.twitter.com/NYCParks/status/786581953193451520", "786581953193451520")</f>
        <v>0</v>
      </c>
      <c r="B241" s="2">
        <v>42656.6241435185</v>
      </c>
      <c r="C241">
        <v>5</v>
      </c>
      <c r="D241">
        <v>2</v>
      </c>
      <c r="E241" t="s">
        <v>244</v>
      </c>
    </row>
    <row r="242" spans="1:5">
      <c r="A242">
        <f>HYPERLINK("http://www.twitter.com/NYCParks/status/786323135972962305", "786323135972962305")</f>
        <v>0</v>
      </c>
      <c r="B242" s="2">
        <v>42655.9099421296</v>
      </c>
      <c r="C242">
        <v>11</v>
      </c>
      <c r="D242">
        <v>9</v>
      </c>
      <c r="E242" t="s">
        <v>245</v>
      </c>
    </row>
    <row r="243" spans="1:5">
      <c r="A243">
        <f>HYPERLINK("http://www.twitter.com/NYCParks/status/786280589230039040", "786280589230039040")</f>
        <v>0</v>
      </c>
      <c r="B243" s="2">
        <v>42655.7925347222</v>
      </c>
      <c r="C243">
        <v>20</v>
      </c>
      <c r="D243">
        <v>12</v>
      </c>
      <c r="E243" t="s">
        <v>246</v>
      </c>
    </row>
    <row r="244" spans="1:5">
      <c r="A244">
        <f>HYPERLINK("http://www.twitter.com/NYCParks/status/786258970881232896", "786258970881232896")</f>
        <v>0</v>
      </c>
      <c r="B244" s="2">
        <v>42655.7328819444</v>
      </c>
      <c r="C244">
        <v>19</v>
      </c>
      <c r="D244">
        <v>8</v>
      </c>
      <c r="E244" t="s">
        <v>247</v>
      </c>
    </row>
    <row r="245" spans="1:5">
      <c r="A245">
        <f>HYPERLINK("http://www.twitter.com/NYCParks/status/786236304514228225", "786236304514228225")</f>
        <v>0</v>
      </c>
      <c r="B245" s="2">
        <v>42655.6703356481</v>
      </c>
      <c r="C245">
        <v>14</v>
      </c>
      <c r="D245">
        <v>7</v>
      </c>
      <c r="E245" t="s">
        <v>248</v>
      </c>
    </row>
    <row r="246" spans="1:5">
      <c r="A246">
        <f>HYPERLINK("http://www.twitter.com/NYCParks/status/786204949176651776", "786204949176651776")</f>
        <v>0</v>
      </c>
      <c r="B246" s="2">
        <v>42655.5838078704</v>
      </c>
      <c r="C246">
        <v>0</v>
      </c>
      <c r="D246">
        <v>21</v>
      </c>
      <c r="E246" t="s">
        <v>249</v>
      </c>
    </row>
    <row r="247" spans="1:5">
      <c r="A247">
        <f>HYPERLINK("http://www.twitter.com/NYCParks/status/785930658682068992", "785930658682068992")</f>
        <v>0</v>
      </c>
      <c r="B247" s="2">
        <v>42654.8269097222</v>
      </c>
      <c r="C247">
        <v>8</v>
      </c>
      <c r="D247">
        <v>4</v>
      </c>
      <c r="E247" t="s">
        <v>250</v>
      </c>
    </row>
    <row r="248" spans="1:5">
      <c r="A248">
        <f>HYPERLINK("http://www.twitter.com/NYCParks/status/785897409406578688", "785897409406578688")</f>
        <v>0</v>
      </c>
      <c r="B248" s="2">
        <v>42654.735162037</v>
      </c>
      <c r="C248">
        <v>12</v>
      </c>
      <c r="D248">
        <v>2</v>
      </c>
      <c r="E248" t="s">
        <v>251</v>
      </c>
    </row>
    <row r="249" spans="1:5">
      <c r="A249">
        <f>HYPERLINK("http://www.twitter.com/NYCParks/status/785884446075461633", "785884446075461633")</f>
        <v>0</v>
      </c>
      <c r="B249" s="2">
        <v>42654.6993865741</v>
      </c>
      <c r="C249">
        <v>0</v>
      </c>
      <c r="D249">
        <v>0</v>
      </c>
      <c r="E249" t="s">
        <v>252</v>
      </c>
    </row>
    <row r="250" spans="1:5">
      <c r="A250">
        <f>HYPERLINK("http://www.twitter.com/NYCParks/status/785876427186987008", "785876427186987008")</f>
        <v>0</v>
      </c>
      <c r="B250" s="2">
        <v>42654.6772569444</v>
      </c>
      <c r="C250">
        <v>17</v>
      </c>
      <c r="D250">
        <v>5</v>
      </c>
      <c r="E250" t="s">
        <v>253</v>
      </c>
    </row>
    <row r="251" spans="1:5">
      <c r="A251">
        <f>HYPERLINK("http://www.twitter.com/NYCParks/status/785862426440925184", "785862426440925184")</f>
        <v>0</v>
      </c>
      <c r="B251" s="2">
        <v>42654.6386226852</v>
      </c>
      <c r="C251">
        <v>27</v>
      </c>
      <c r="D251">
        <v>7</v>
      </c>
      <c r="E251" t="s">
        <v>254</v>
      </c>
    </row>
    <row r="252" spans="1:5">
      <c r="A252">
        <f>HYPERLINK("http://www.twitter.com/NYCParks/status/785862104301592576", "785862104301592576")</f>
        <v>0</v>
      </c>
      <c r="B252" s="2">
        <v>42654.6377314815</v>
      </c>
      <c r="C252">
        <v>8</v>
      </c>
      <c r="D252">
        <v>0</v>
      </c>
      <c r="E252" t="s">
        <v>255</v>
      </c>
    </row>
    <row r="253" spans="1:5">
      <c r="A253">
        <f>HYPERLINK("http://www.twitter.com/NYCParks/status/784500249675128832", "784500249675128832")</f>
        <v>0</v>
      </c>
      <c r="B253" s="2">
        <v>42650.8797337963</v>
      </c>
      <c r="C253">
        <v>2</v>
      </c>
      <c r="D253">
        <v>0</v>
      </c>
      <c r="E253" t="s">
        <v>256</v>
      </c>
    </row>
    <row r="254" spans="1:5">
      <c r="A254">
        <f>HYPERLINK("http://www.twitter.com/NYCParks/status/784499002616193024", "784499002616193024")</f>
        <v>0</v>
      </c>
      <c r="B254" s="2">
        <v>42650.8762962963</v>
      </c>
      <c r="C254">
        <v>9</v>
      </c>
      <c r="D254">
        <v>4</v>
      </c>
      <c r="E254" t="s">
        <v>257</v>
      </c>
    </row>
    <row r="255" spans="1:5">
      <c r="A255">
        <f>HYPERLINK("http://www.twitter.com/NYCParks/status/784486577997316137", "784486577997316137")</f>
        <v>0</v>
      </c>
      <c r="B255" s="2">
        <v>42650.8420023148</v>
      </c>
      <c r="C255">
        <v>2</v>
      </c>
      <c r="D255">
        <v>0</v>
      </c>
      <c r="E255" t="s">
        <v>258</v>
      </c>
    </row>
    <row r="256" spans="1:5">
      <c r="A256">
        <f>HYPERLINK("http://www.twitter.com/NYCParks/status/784485985547612160", "784485985547612160")</f>
        <v>0</v>
      </c>
      <c r="B256" s="2">
        <v>42650.8403703704</v>
      </c>
      <c r="C256">
        <v>16</v>
      </c>
      <c r="D256">
        <v>10</v>
      </c>
      <c r="E256" t="s">
        <v>259</v>
      </c>
    </row>
    <row r="257" spans="1:5">
      <c r="A257">
        <f>HYPERLINK("http://www.twitter.com/NYCParks/status/784481577631936512", "784481577631936512")</f>
        <v>0</v>
      </c>
      <c r="B257" s="2">
        <v>42650.8282060185</v>
      </c>
      <c r="C257">
        <v>1</v>
      </c>
      <c r="D257">
        <v>0</v>
      </c>
      <c r="E257" t="s">
        <v>260</v>
      </c>
    </row>
    <row r="258" spans="1:5">
      <c r="A258">
        <f>HYPERLINK("http://www.twitter.com/NYCParks/status/784478171940945920", "784478171940945920")</f>
        <v>0</v>
      </c>
      <c r="B258" s="2">
        <v>42650.8188078704</v>
      </c>
      <c r="C258">
        <v>14</v>
      </c>
      <c r="D258">
        <v>3</v>
      </c>
      <c r="E258" t="s">
        <v>261</v>
      </c>
    </row>
    <row r="259" spans="1:5">
      <c r="A259">
        <f>HYPERLINK("http://www.twitter.com/NYCParks/status/784150055263567873", "784150055263567873")</f>
        <v>0</v>
      </c>
      <c r="B259" s="2">
        <v>42649.9133796296</v>
      </c>
      <c r="C259">
        <v>26</v>
      </c>
      <c r="D259">
        <v>14</v>
      </c>
      <c r="E259" t="s">
        <v>262</v>
      </c>
    </row>
    <row r="260" spans="1:5">
      <c r="A260">
        <f>HYPERLINK("http://www.twitter.com/NYCParks/status/784132006250774528", "784132006250774528")</f>
        <v>0</v>
      </c>
      <c r="B260" s="2">
        <v>42649.8635763889</v>
      </c>
      <c r="C260">
        <v>0</v>
      </c>
      <c r="D260">
        <v>16</v>
      </c>
      <c r="E260" t="s">
        <v>263</v>
      </c>
    </row>
    <row r="261" spans="1:5">
      <c r="A261">
        <f>HYPERLINK("http://www.twitter.com/NYCParks/status/784120213658828800", "784120213658828800")</f>
        <v>0</v>
      </c>
      <c r="B261" s="2">
        <v>42649.8310300926</v>
      </c>
      <c r="C261">
        <v>0</v>
      </c>
      <c r="D261">
        <v>19</v>
      </c>
      <c r="E261" t="s">
        <v>264</v>
      </c>
    </row>
    <row r="262" spans="1:5">
      <c r="A262">
        <f>HYPERLINK("http://www.twitter.com/NYCParks/status/784119696593416192", "784119696593416192")</f>
        <v>0</v>
      </c>
      <c r="B262" s="2">
        <v>42649.8296064815</v>
      </c>
      <c r="C262">
        <v>0</v>
      </c>
      <c r="D262">
        <v>0</v>
      </c>
      <c r="E262" t="s">
        <v>265</v>
      </c>
    </row>
    <row r="263" spans="1:5">
      <c r="A263">
        <f>HYPERLINK("http://www.twitter.com/NYCParks/status/784103538586750976", "784103538586750976")</f>
        <v>0</v>
      </c>
      <c r="B263" s="2">
        <v>42649.7850231481</v>
      </c>
      <c r="C263">
        <v>2</v>
      </c>
      <c r="D263">
        <v>3</v>
      </c>
      <c r="E263" t="s">
        <v>266</v>
      </c>
    </row>
    <row r="264" spans="1:5">
      <c r="A264">
        <f>HYPERLINK("http://www.twitter.com/NYCParks/status/784063245338415104", "784063245338415104")</f>
        <v>0</v>
      </c>
      <c r="B264" s="2">
        <v>42649.6738310185</v>
      </c>
      <c r="C264">
        <v>12</v>
      </c>
      <c r="D264">
        <v>8</v>
      </c>
      <c r="E264" t="s">
        <v>267</v>
      </c>
    </row>
    <row r="265" spans="1:5">
      <c r="A265">
        <f>HYPERLINK("http://www.twitter.com/NYCParks/status/784030992348639232", "784030992348639232")</f>
        <v>0</v>
      </c>
      <c r="B265" s="2">
        <v>42649.5848263889</v>
      </c>
      <c r="C265">
        <v>4</v>
      </c>
      <c r="D265">
        <v>0</v>
      </c>
      <c r="E265" t="s">
        <v>268</v>
      </c>
    </row>
    <row r="266" spans="1:5">
      <c r="A266">
        <f>HYPERLINK("http://www.twitter.com/NYCParks/status/783787672112431104", "783787672112431104")</f>
        <v>0</v>
      </c>
      <c r="B266" s="2">
        <v>42648.9133912037</v>
      </c>
      <c r="C266">
        <v>4</v>
      </c>
      <c r="D266">
        <v>3</v>
      </c>
      <c r="E266" t="s">
        <v>269</v>
      </c>
    </row>
    <row r="267" spans="1:5">
      <c r="A267">
        <f>HYPERLINK("http://www.twitter.com/NYCParks/status/783763770984267777", "783763770984267777")</f>
        <v>0</v>
      </c>
      <c r="B267" s="2">
        <v>42648.8474421296</v>
      </c>
      <c r="C267">
        <v>8</v>
      </c>
      <c r="D267">
        <v>4</v>
      </c>
      <c r="E267" t="s">
        <v>270</v>
      </c>
    </row>
    <row r="268" spans="1:5">
      <c r="A268">
        <f>HYPERLINK("http://www.twitter.com/NYCParks/status/783753407228157952", "783753407228157952")</f>
        <v>0</v>
      </c>
      <c r="B268" s="2">
        <v>42648.8188425926</v>
      </c>
      <c r="C268">
        <v>18</v>
      </c>
      <c r="D268">
        <v>3</v>
      </c>
      <c r="E268" t="s">
        <v>271</v>
      </c>
    </row>
    <row r="269" spans="1:5">
      <c r="A269">
        <f>HYPERLINK("http://www.twitter.com/NYCParks/status/783721072348827648", "783721072348827648")</f>
        <v>0</v>
      </c>
      <c r="B269" s="2">
        <v>42648.7296180556</v>
      </c>
      <c r="C269">
        <v>13</v>
      </c>
      <c r="D269">
        <v>7</v>
      </c>
      <c r="E269" t="s">
        <v>272</v>
      </c>
    </row>
    <row r="270" spans="1:5">
      <c r="A270">
        <f>HYPERLINK("http://www.twitter.com/NYCParks/status/783712486927237120", "783712486927237120")</f>
        <v>0</v>
      </c>
      <c r="B270" s="2">
        <v>42648.7059259259</v>
      </c>
      <c r="C270">
        <v>15</v>
      </c>
      <c r="D270">
        <v>4</v>
      </c>
      <c r="E270" t="s">
        <v>273</v>
      </c>
    </row>
    <row r="271" spans="1:5">
      <c r="A271">
        <f>HYPERLINK("http://www.twitter.com/NYCParks/status/783694588083105792", "783694588083105792")</f>
        <v>0</v>
      </c>
      <c r="B271" s="2">
        <v>42648.6565277778</v>
      </c>
      <c r="C271">
        <v>10</v>
      </c>
      <c r="D271">
        <v>8</v>
      </c>
      <c r="E271" t="s">
        <v>274</v>
      </c>
    </row>
    <row r="272" spans="1:5">
      <c r="A272">
        <f>HYPERLINK("http://www.twitter.com/NYCParks/status/783422810186190848", "783422810186190848")</f>
        <v>0</v>
      </c>
      <c r="B272" s="2">
        <v>42647.9065625</v>
      </c>
      <c r="C272">
        <v>8</v>
      </c>
      <c r="D272">
        <v>2</v>
      </c>
      <c r="E272" t="s">
        <v>275</v>
      </c>
    </row>
    <row r="273" spans="1:5">
      <c r="A273">
        <f>HYPERLINK("http://www.twitter.com/NYCParks/status/783403034659479553", "783403034659479553")</f>
        <v>0</v>
      </c>
      <c r="B273" s="2">
        <v>42647.8520023148</v>
      </c>
      <c r="C273">
        <v>0</v>
      </c>
      <c r="D273">
        <v>25</v>
      </c>
      <c r="E273" t="s">
        <v>276</v>
      </c>
    </row>
    <row r="274" spans="1:5">
      <c r="A274">
        <f>HYPERLINK("http://www.twitter.com/NYCParks/status/783385048523431936", "783385048523431936")</f>
        <v>0</v>
      </c>
      <c r="B274" s="2">
        <v>42647.8023611111</v>
      </c>
      <c r="C274">
        <v>11</v>
      </c>
      <c r="D274">
        <v>7</v>
      </c>
      <c r="E274" t="s">
        <v>277</v>
      </c>
    </row>
    <row r="275" spans="1:5">
      <c r="A275">
        <f>HYPERLINK("http://www.twitter.com/NYCParks/status/783375442753486852", "783375442753486852")</f>
        <v>0</v>
      </c>
      <c r="B275" s="2">
        <v>42647.7758564815</v>
      </c>
      <c r="C275">
        <v>2</v>
      </c>
      <c r="D275">
        <v>1</v>
      </c>
      <c r="E275" t="s">
        <v>278</v>
      </c>
    </row>
    <row r="276" spans="1:5">
      <c r="A276">
        <f>HYPERLINK("http://www.twitter.com/NYCParks/status/783369911368318976", "783369911368318976")</f>
        <v>0</v>
      </c>
      <c r="B276" s="2">
        <v>42647.7605902778</v>
      </c>
      <c r="C276">
        <v>17</v>
      </c>
      <c r="D276">
        <v>7</v>
      </c>
      <c r="E276" t="s">
        <v>279</v>
      </c>
    </row>
    <row r="277" spans="1:5">
      <c r="A277">
        <f>HYPERLINK("http://www.twitter.com/NYCParks/status/783361264999432193", "783361264999432193")</f>
        <v>0</v>
      </c>
      <c r="B277" s="2">
        <v>42647.7367361111</v>
      </c>
      <c r="C277">
        <v>0</v>
      </c>
      <c r="D277">
        <v>0</v>
      </c>
      <c r="E277" t="s">
        <v>280</v>
      </c>
    </row>
    <row r="278" spans="1:5">
      <c r="A278">
        <f>HYPERLINK("http://www.twitter.com/NYCParks/status/783361193729753088", "783361193729753088")</f>
        <v>0</v>
      </c>
      <c r="B278" s="2">
        <v>42647.7365393518</v>
      </c>
      <c r="C278">
        <v>0</v>
      </c>
      <c r="D278">
        <v>0</v>
      </c>
      <c r="E278" t="s">
        <v>281</v>
      </c>
    </row>
    <row r="279" spans="1:5">
      <c r="A279">
        <f>HYPERLINK("http://www.twitter.com/NYCParks/status/783356309307592704", "783356309307592704")</f>
        <v>0</v>
      </c>
      <c r="B279" s="2">
        <v>42647.7230555556</v>
      </c>
      <c r="C279">
        <v>8</v>
      </c>
      <c r="D279">
        <v>0</v>
      </c>
      <c r="E279" t="s">
        <v>282</v>
      </c>
    </row>
    <row r="280" spans="1:5">
      <c r="A280">
        <f>HYPERLINK("http://www.twitter.com/NYCParks/status/783336038911672320", "783336038911672320")</f>
        <v>0</v>
      </c>
      <c r="B280" s="2">
        <v>42647.6671296296</v>
      </c>
      <c r="C280">
        <v>7</v>
      </c>
      <c r="D280">
        <v>1</v>
      </c>
      <c r="E280" t="s">
        <v>283</v>
      </c>
    </row>
    <row r="281" spans="1:5">
      <c r="A281">
        <f>HYPERLINK("http://www.twitter.com/NYCParks/status/783324729147060224", "783324729147060224")</f>
        <v>0</v>
      </c>
      <c r="B281" s="2">
        <v>42647.6359143518</v>
      </c>
      <c r="C281">
        <v>0</v>
      </c>
      <c r="D281">
        <v>27</v>
      </c>
      <c r="E281" t="s">
        <v>284</v>
      </c>
    </row>
    <row r="282" spans="1:5">
      <c r="A282">
        <f>HYPERLINK("http://www.twitter.com/NYCParks/status/783060405153329152", "783060405153329152")</f>
        <v>0</v>
      </c>
      <c r="B282" s="2">
        <v>42646.9065162037</v>
      </c>
      <c r="C282">
        <v>14</v>
      </c>
      <c r="D282">
        <v>10</v>
      </c>
      <c r="E282" t="s">
        <v>285</v>
      </c>
    </row>
    <row r="283" spans="1:5">
      <c r="A283">
        <f>HYPERLINK("http://www.twitter.com/NYCParks/status/783043751367348224", "783043751367348224")</f>
        <v>0</v>
      </c>
      <c r="B283" s="2">
        <v>42646.8605671296</v>
      </c>
      <c r="C283">
        <v>0</v>
      </c>
      <c r="D283">
        <v>15</v>
      </c>
      <c r="E283" t="s">
        <v>286</v>
      </c>
    </row>
    <row r="284" spans="1:5">
      <c r="A284">
        <f>HYPERLINK("http://www.twitter.com/NYCParks/status/783024605367832576", "783024605367832576")</f>
        <v>0</v>
      </c>
      <c r="B284" s="2">
        <v>42646.8077314815</v>
      </c>
      <c r="C284">
        <v>4</v>
      </c>
      <c r="D284">
        <v>0</v>
      </c>
      <c r="E284" t="s">
        <v>287</v>
      </c>
    </row>
    <row r="285" spans="1:5">
      <c r="A285">
        <f>HYPERLINK("http://www.twitter.com/NYCParks/status/783021391704649728", "783021391704649728")</f>
        <v>0</v>
      </c>
      <c r="B285" s="2">
        <v>42646.7988657407</v>
      </c>
      <c r="C285">
        <v>14</v>
      </c>
      <c r="D285">
        <v>17</v>
      </c>
      <c r="E285" t="s">
        <v>288</v>
      </c>
    </row>
    <row r="286" spans="1:5">
      <c r="A286">
        <f>HYPERLINK("http://www.twitter.com/NYCParks/status/783010097530302464", "783010097530302464")</f>
        <v>0</v>
      </c>
      <c r="B286" s="2">
        <v>42646.7676967593</v>
      </c>
      <c r="C286">
        <v>13</v>
      </c>
      <c r="D286">
        <v>5</v>
      </c>
      <c r="E286" t="s">
        <v>289</v>
      </c>
    </row>
    <row r="287" spans="1:5">
      <c r="A287">
        <f>HYPERLINK("http://www.twitter.com/NYCParks/status/782988716897886209", "782988716897886209")</f>
        <v>0</v>
      </c>
      <c r="B287" s="2">
        <v>42646.7086921296</v>
      </c>
      <c r="C287">
        <v>10</v>
      </c>
      <c r="D287">
        <v>6</v>
      </c>
      <c r="E287" t="s">
        <v>290</v>
      </c>
    </row>
    <row r="288" spans="1:5">
      <c r="A288">
        <f>HYPERLINK("http://www.twitter.com/NYCParks/status/782961555319222273", "782961555319222273")</f>
        <v>0</v>
      </c>
      <c r="B288" s="2">
        <v>42646.63375</v>
      </c>
      <c r="C288">
        <v>42</v>
      </c>
      <c r="D288">
        <v>22</v>
      </c>
      <c r="E288" t="s">
        <v>291</v>
      </c>
    </row>
    <row r="289" spans="1:5">
      <c r="A289">
        <f>HYPERLINK("http://www.twitter.com/NYCParks/status/782953261041065984", "782953261041065984")</f>
        <v>0</v>
      </c>
      <c r="B289" s="2">
        <v>42646.6108564815</v>
      </c>
      <c r="C289">
        <v>0</v>
      </c>
      <c r="D289">
        <v>1</v>
      </c>
      <c r="E289" t="s">
        <v>292</v>
      </c>
    </row>
    <row r="290" spans="1:5">
      <c r="A290">
        <f>HYPERLINK("http://www.twitter.com/NYCParks/status/782951910244507648", "782951910244507648")</f>
        <v>0</v>
      </c>
      <c r="B290" s="2">
        <v>42646.6071296296</v>
      </c>
      <c r="C290">
        <v>0</v>
      </c>
      <c r="D290">
        <v>0</v>
      </c>
      <c r="E290" t="s">
        <v>293</v>
      </c>
    </row>
    <row r="291" spans="1:5">
      <c r="A291">
        <f>HYPERLINK("http://www.twitter.com/NYCParks/status/782013950053457924", "782013950053457924")</f>
        <v>0</v>
      </c>
      <c r="B291" s="2">
        <v>42644.0188541667</v>
      </c>
      <c r="C291">
        <v>13</v>
      </c>
      <c r="D291">
        <v>8</v>
      </c>
      <c r="E291" t="s">
        <v>294</v>
      </c>
    </row>
    <row r="292" spans="1:5">
      <c r="A292">
        <f>HYPERLINK("http://www.twitter.com/NYCParks/status/781975740522823684", "781975740522823684")</f>
        <v>0</v>
      </c>
      <c r="B292" s="2">
        <v>42643.9134143519</v>
      </c>
      <c r="C292">
        <v>25</v>
      </c>
      <c r="D292">
        <v>15</v>
      </c>
      <c r="E292" t="s">
        <v>295</v>
      </c>
    </row>
    <row r="293" spans="1:5">
      <c r="A293">
        <f>HYPERLINK("http://www.twitter.com/NYCParks/status/781954521530560513", "781954521530560513")</f>
        <v>0</v>
      </c>
      <c r="B293" s="2">
        <v>42643.8548611111</v>
      </c>
      <c r="C293">
        <v>5</v>
      </c>
      <c r="D293">
        <v>6</v>
      </c>
      <c r="E293" t="s">
        <v>296</v>
      </c>
    </row>
    <row r="294" spans="1:5">
      <c r="A294">
        <f>HYPERLINK("http://www.twitter.com/NYCParks/status/781933003593379840", "781933003593379840")</f>
        <v>0</v>
      </c>
      <c r="B294" s="2">
        <v>42643.7954861111</v>
      </c>
      <c r="C294">
        <v>15</v>
      </c>
      <c r="D294">
        <v>6</v>
      </c>
      <c r="E294" t="s">
        <v>297</v>
      </c>
    </row>
    <row r="295" spans="1:5">
      <c r="A295">
        <f>HYPERLINK("http://www.twitter.com/NYCParks/status/781910326510059522", "781910326510059522")</f>
        <v>0</v>
      </c>
      <c r="B295" s="2">
        <v>42643.7329050926</v>
      </c>
      <c r="C295">
        <v>7</v>
      </c>
      <c r="D295">
        <v>3</v>
      </c>
      <c r="E295" t="s">
        <v>298</v>
      </c>
    </row>
    <row r="296" spans="1:5">
      <c r="A296">
        <f>HYPERLINK("http://www.twitter.com/NYCParks/status/781888976554778624", "781888976554778624")</f>
        <v>0</v>
      </c>
      <c r="B296" s="2">
        <v>42643.6739930556</v>
      </c>
      <c r="C296">
        <v>8</v>
      </c>
      <c r="D296">
        <v>5</v>
      </c>
      <c r="E296" t="s">
        <v>299</v>
      </c>
    </row>
    <row r="297" spans="1:5">
      <c r="A297">
        <f>HYPERLINK("http://www.twitter.com/NYCParks/status/781614750081945600", "781614750081945600")</f>
        <v>0</v>
      </c>
      <c r="B297" s="2">
        <v>42642.9172685185</v>
      </c>
      <c r="C297">
        <v>112</v>
      </c>
      <c r="D297">
        <v>52</v>
      </c>
      <c r="E297" t="s">
        <v>300</v>
      </c>
    </row>
    <row r="298" spans="1:5">
      <c r="A298">
        <f>HYPERLINK("http://www.twitter.com/NYCParks/status/781585368219062273", "781585368219062273")</f>
        <v>0</v>
      </c>
      <c r="B298" s="2">
        <v>42642.8361921296</v>
      </c>
      <c r="C298">
        <v>7</v>
      </c>
      <c r="D298">
        <v>1</v>
      </c>
      <c r="E298" t="s">
        <v>301</v>
      </c>
    </row>
    <row r="299" spans="1:5">
      <c r="A299">
        <f>HYPERLINK("http://www.twitter.com/NYCParks/status/781571848207237120", "781571848207237120")</f>
        <v>0</v>
      </c>
      <c r="B299" s="2">
        <v>42642.7988888889</v>
      </c>
      <c r="C299">
        <v>22</v>
      </c>
      <c r="D299">
        <v>10</v>
      </c>
      <c r="E299" t="s">
        <v>302</v>
      </c>
    </row>
    <row r="300" spans="1:5">
      <c r="A300">
        <f>HYPERLINK("http://www.twitter.com/NYCParks/status/781546713282646017", "781546713282646017")</f>
        <v>0</v>
      </c>
      <c r="B300" s="2">
        <v>42642.729525463</v>
      </c>
      <c r="C300">
        <v>7</v>
      </c>
      <c r="D300">
        <v>6</v>
      </c>
      <c r="E300" t="s">
        <v>303</v>
      </c>
    </row>
    <row r="301" spans="1:5">
      <c r="A301">
        <f>HYPERLINK("http://www.twitter.com/NYCParks/status/781527810364084226", "781527810364084226")</f>
        <v>0</v>
      </c>
      <c r="B301" s="2">
        <v>42642.6773611111</v>
      </c>
      <c r="C301">
        <v>32</v>
      </c>
      <c r="D301">
        <v>24</v>
      </c>
      <c r="E301" t="s">
        <v>304</v>
      </c>
    </row>
    <row r="302" spans="1:5">
      <c r="A302">
        <f>HYPERLINK("http://www.twitter.com/NYCParks/status/781237919503753216", "781237919503753216")</f>
        <v>0</v>
      </c>
      <c r="B302" s="2">
        <v>42641.8774189815</v>
      </c>
      <c r="C302">
        <v>1</v>
      </c>
      <c r="D302">
        <v>3</v>
      </c>
      <c r="E302" t="s">
        <v>305</v>
      </c>
    </row>
    <row r="303" spans="1:5">
      <c r="A303">
        <f>HYPERLINK("http://www.twitter.com/NYCParks/status/781203234534858752", "781203234534858752")</f>
        <v>0</v>
      </c>
      <c r="B303" s="2">
        <v>42641.7817013889</v>
      </c>
      <c r="C303">
        <v>21</v>
      </c>
      <c r="D303">
        <v>12</v>
      </c>
      <c r="E303" t="s">
        <v>306</v>
      </c>
    </row>
    <row r="304" spans="1:5">
      <c r="A304">
        <f>HYPERLINK("http://www.twitter.com/NYCParks/status/781182183453167617", "781182183453167617")</f>
        <v>0</v>
      </c>
      <c r="B304" s="2">
        <v>42641.7236111111</v>
      </c>
      <c r="C304">
        <v>11</v>
      </c>
      <c r="D304">
        <v>2</v>
      </c>
      <c r="E304" t="s">
        <v>307</v>
      </c>
    </row>
    <row r="305" spans="1:5">
      <c r="A305">
        <f>HYPERLINK("http://www.twitter.com/NYCParks/status/781162977047248896", "781162977047248896")</f>
        <v>0</v>
      </c>
      <c r="B305" s="2">
        <v>42641.6706134259</v>
      </c>
      <c r="C305">
        <v>19</v>
      </c>
      <c r="D305">
        <v>15</v>
      </c>
      <c r="E305" t="s">
        <v>308</v>
      </c>
    </row>
    <row r="306" spans="1:5">
      <c r="A306">
        <f>HYPERLINK("http://www.twitter.com/NYCParks/status/781145268297359360", "781145268297359360")</f>
        <v>0</v>
      </c>
      <c r="B306" s="2">
        <v>42641.6217476852</v>
      </c>
      <c r="C306">
        <v>43</v>
      </c>
      <c r="D306">
        <v>24</v>
      </c>
      <c r="E306" t="s">
        <v>309</v>
      </c>
    </row>
    <row r="307" spans="1:5">
      <c r="A307">
        <f>HYPERLINK("http://www.twitter.com/NYCParks/status/780814873517326336", "780814873517326336")</f>
        <v>0</v>
      </c>
      <c r="B307" s="2">
        <v>42640.7100347222</v>
      </c>
      <c r="C307">
        <v>5</v>
      </c>
      <c r="D307">
        <v>5</v>
      </c>
      <c r="E307" t="s">
        <v>310</v>
      </c>
    </row>
    <row r="308" spans="1:5">
      <c r="A308">
        <f>HYPERLINK("http://www.twitter.com/NYCParks/status/780786532630355968", "780786532630355968")</f>
        <v>0</v>
      </c>
      <c r="B308" s="2">
        <v>42640.6318287037</v>
      </c>
      <c r="C308">
        <v>0</v>
      </c>
      <c r="D308">
        <v>46</v>
      </c>
      <c r="E308" t="s">
        <v>311</v>
      </c>
    </row>
    <row r="309" spans="1:5">
      <c r="A309">
        <f>HYPERLINK("http://www.twitter.com/NYCParks/status/780524920178606080", "780524920178606080")</f>
        <v>0</v>
      </c>
      <c r="B309" s="2">
        <v>42639.9099189815</v>
      </c>
      <c r="C309">
        <v>26</v>
      </c>
      <c r="D309">
        <v>7</v>
      </c>
      <c r="E309" t="s">
        <v>312</v>
      </c>
    </row>
    <row r="310" spans="1:5">
      <c r="A310">
        <f>HYPERLINK("http://www.twitter.com/NYCParks/status/780503512769785857", "780503512769785857")</f>
        <v>0</v>
      </c>
      <c r="B310" s="2">
        <v>42639.8508449074</v>
      </c>
      <c r="C310">
        <v>32</v>
      </c>
      <c r="D310">
        <v>16</v>
      </c>
      <c r="E310" t="s">
        <v>313</v>
      </c>
    </row>
    <row r="311" spans="1:5">
      <c r="A311">
        <f>HYPERLINK("http://www.twitter.com/NYCParks/status/780483408053018624", "780483408053018624")</f>
        <v>0</v>
      </c>
      <c r="B311" s="2">
        <v>42639.7953587963</v>
      </c>
      <c r="C311">
        <v>13</v>
      </c>
      <c r="D311">
        <v>9</v>
      </c>
      <c r="E311" t="s">
        <v>314</v>
      </c>
    </row>
    <row r="312" spans="1:5">
      <c r="A312">
        <f>HYPERLINK("http://www.twitter.com/NYCParks/status/780470955466522632", "780470955466522632")</f>
        <v>0</v>
      </c>
      <c r="B312" s="2">
        <v>42639.7609953704</v>
      </c>
      <c r="C312">
        <v>3</v>
      </c>
      <c r="D312">
        <v>0</v>
      </c>
      <c r="E312" t="s">
        <v>315</v>
      </c>
    </row>
    <row r="313" spans="1:5">
      <c r="A313">
        <f>HYPERLINK("http://www.twitter.com/NYCParks/status/780460725856788480", "780460725856788480")</f>
        <v>0</v>
      </c>
      <c r="B313" s="2">
        <v>42639.7327662037</v>
      </c>
      <c r="C313">
        <v>60</v>
      </c>
      <c r="D313">
        <v>21</v>
      </c>
      <c r="E313" t="s">
        <v>316</v>
      </c>
    </row>
    <row r="314" spans="1:5">
      <c r="A314">
        <f>HYPERLINK("http://www.twitter.com/NYCParks/status/780435560456396804", "780435560456396804")</f>
        <v>0</v>
      </c>
      <c r="B314" s="2">
        <v>42639.6633333333</v>
      </c>
      <c r="C314">
        <v>33</v>
      </c>
      <c r="D314">
        <v>12</v>
      </c>
      <c r="E314" t="s">
        <v>317</v>
      </c>
    </row>
    <row r="315" spans="1:5">
      <c r="A315">
        <f>HYPERLINK("http://www.twitter.com/NYCParks/status/779439003305177089", "779439003305177089")</f>
        <v>0</v>
      </c>
      <c r="B315" s="2">
        <v>42636.9133564815</v>
      </c>
      <c r="C315">
        <v>15</v>
      </c>
      <c r="D315">
        <v>12</v>
      </c>
      <c r="E315" t="s">
        <v>318</v>
      </c>
    </row>
    <row r="316" spans="1:5">
      <c r="A316">
        <f>HYPERLINK("http://www.twitter.com/NYCParks/status/779397506031583232", "779397506031583232")</f>
        <v>0</v>
      </c>
      <c r="B316" s="2">
        <v>42636.7988425926</v>
      </c>
      <c r="C316">
        <v>18</v>
      </c>
      <c r="D316">
        <v>10</v>
      </c>
      <c r="E316" t="s">
        <v>319</v>
      </c>
    </row>
    <row r="317" spans="1:5">
      <c r="A317">
        <f>HYPERLINK("http://www.twitter.com/NYCParks/status/779374839274606592", "779374839274606592")</f>
        <v>0</v>
      </c>
      <c r="B317" s="2">
        <v>42636.7362962963</v>
      </c>
      <c r="C317">
        <v>16</v>
      </c>
      <c r="D317">
        <v>5</v>
      </c>
      <c r="E317" t="s">
        <v>320</v>
      </c>
    </row>
    <row r="318" spans="1:5">
      <c r="A318">
        <f>HYPERLINK("http://www.twitter.com/NYCParks/status/779350931192344576", "779350931192344576")</f>
        <v>0</v>
      </c>
      <c r="B318" s="2">
        <v>42636.6703240741</v>
      </c>
      <c r="C318">
        <v>16</v>
      </c>
      <c r="D318">
        <v>13</v>
      </c>
      <c r="E318" t="s">
        <v>321</v>
      </c>
    </row>
    <row r="319" spans="1:5">
      <c r="A319">
        <f>HYPERLINK("http://www.twitter.com/NYCParks/status/779052726223302657", "779052726223302657")</f>
        <v>0</v>
      </c>
      <c r="B319" s="2">
        <v>42635.8474305556</v>
      </c>
      <c r="C319">
        <v>42</v>
      </c>
      <c r="D319">
        <v>11</v>
      </c>
      <c r="E319" t="s">
        <v>322</v>
      </c>
    </row>
    <row r="320" spans="1:5">
      <c r="A320">
        <f>HYPERLINK("http://www.twitter.com/NYCParks/status/779027568171315200", "779027568171315200")</f>
        <v>0</v>
      </c>
      <c r="B320" s="2">
        <v>42635.7780092593</v>
      </c>
      <c r="C320">
        <v>18</v>
      </c>
      <c r="D320">
        <v>10</v>
      </c>
      <c r="E320" t="s">
        <v>323</v>
      </c>
    </row>
    <row r="321" spans="1:5">
      <c r="A321">
        <f>HYPERLINK("http://www.twitter.com/NYCParks/status/779017563749703680", "779017563749703680")</f>
        <v>0</v>
      </c>
      <c r="B321" s="2">
        <v>42635.7504050926</v>
      </c>
      <c r="C321">
        <v>9</v>
      </c>
      <c r="D321">
        <v>1</v>
      </c>
      <c r="E321" t="s">
        <v>324</v>
      </c>
    </row>
    <row r="322" spans="1:5">
      <c r="A322">
        <f>HYPERLINK("http://www.twitter.com/NYCParks/status/778998185868001280", "778998185868001280")</f>
        <v>0</v>
      </c>
      <c r="B322" s="2">
        <v>42635.6969328704</v>
      </c>
      <c r="C322">
        <v>0</v>
      </c>
      <c r="D322">
        <v>2</v>
      </c>
      <c r="E322" t="s">
        <v>325</v>
      </c>
    </row>
    <row r="323" spans="1:5">
      <c r="A323">
        <f>HYPERLINK("http://www.twitter.com/NYCParks/status/778983156200472576", "778983156200472576")</f>
        <v>0</v>
      </c>
      <c r="B323" s="2">
        <v>42635.6554513889</v>
      </c>
      <c r="C323">
        <v>68</v>
      </c>
      <c r="D323">
        <v>39</v>
      </c>
      <c r="E323" t="s">
        <v>326</v>
      </c>
    </row>
    <row r="324" spans="1:5">
      <c r="A324">
        <f>HYPERLINK("http://www.twitter.com/NYCParks/status/778675903895310337", "778675903895310337")</f>
        <v>0</v>
      </c>
      <c r="B324" s="2">
        <v>42634.8076041667</v>
      </c>
      <c r="C324">
        <v>22</v>
      </c>
      <c r="D324">
        <v>14</v>
      </c>
      <c r="E324" t="s">
        <v>327</v>
      </c>
    </row>
    <row r="325" spans="1:5">
      <c r="A325">
        <f>HYPERLINK("http://www.twitter.com/NYCParks/status/778654229791641600", "778654229791641600")</f>
        <v>0</v>
      </c>
      <c r="B325" s="2">
        <v>42634.7477893519</v>
      </c>
      <c r="C325">
        <v>0</v>
      </c>
      <c r="D325">
        <v>1</v>
      </c>
      <c r="E325" t="s">
        <v>328</v>
      </c>
    </row>
    <row r="326" spans="1:5">
      <c r="A326">
        <f>HYPERLINK("http://www.twitter.com/NYCParks/status/778651940603432960", "778651940603432960")</f>
        <v>0</v>
      </c>
      <c r="B326" s="2">
        <v>42634.7414699074</v>
      </c>
      <c r="C326">
        <v>9</v>
      </c>
      <c r="D326">
        <v>4</v>
      </c>
      <c r="E326" t="s">
        <v>329</v>
      </c>
    </row>
    <row r="327" spans="1:5">
      <c r="A327">
        <f>HYPERLINK("http://www.twitter.com/NYCParks/status/778635868395503616", "778635868395503616")</f>
        <v>0</v>
      </c>
      <c r="B327" s="2">
        <v>42634.6971296296</v>
      </c>
      <c r="C327">
        <v>26</v>
      </c>
      <c r="D327">
        <v>18</v>
      </c>
      <c r="E327" t="s">
        <v>330</v>
      </c>
    </row>
    <row r="328" spans="1:5">
      <c r="A328">
        <f>HYPERLINK("http://www.twitter.com/NYCParks/status/778617023165235201", "778617023165235201")</f>
        <v>0</v>
      </c>
      <c r="B328" s="2">
        <v>42634.6451157407</v>
      </c>
      <c r="C328">
        <v>0</v>
      </c>
      <c r="D328">
        <v>17</v>
      </c>
      <c r="E328" t="s">
        <v>331</v>
      </c>
    </row>
    <row r="329" spans="1:5">
      <c r="A329">
        <f>HYPERLINK("http://www.twitter.com/NYCParks/status/778315472995545089", "778315472995545089")</f>
        <v>0</v>
      </c>
      <c r="B329" s="2">
        <v>42633.8129976852</v>
      </c>
      <c r="C329">
        <v>22</v>
      </c>
      <c r="D329">
        <v>8</v>
      </c>
      <c r="E329" t="s">
        <v>332</v>
      </c>
    </row>
    <row r="330" spans="1:5">
      <c r="A330">
        <f>HYPERLINK("http://www.twitter.com/NYCParks/status/778300375006900224", "778300375006900224")</f>
        <v>0</v>
      </c>
      <c r="B330" s="2">
        <v>42633.7713425926</v>
      </c>
      <c r="C330">
        <v>14</v>
      </c>
      <c r="D330">
        <v>10</v>
      </c>
      <c r="E330" t="s">
        <v>333</v>
      </c>
    </row>
    <row r="331" spans="1:5">
      <c r="A331">
        <f>HYPERLINK("http://www.twitter.com/NYCParks/status/778283891849330689", "778283891849330689")</f>
        <v>0</v>
      </c>
      <c r="B331" s="2">
        <v>42633.7258564815</v>
      </c>
      <c r="C331">
        <v>15</v>
      </c>
      <c r="D331">
        <v>9</v>
      </c>
      <c r="E331" t="s">
        <v>334</v>
      </c>
    </row>
    <row r="332" spans="1:5">
      <c r="A332">
        <f>HYPERLINK("http://www.twitter.com/NYCParks/status/778267548005625861", "778267548005625861")</f>
        <v>0</v>
      </c>
      <c r="B332" s="2">
        <v>42633.6807523148</v>
      </c>
      <c r="C332">
        <v>20</v>
      </c>
      <c r="D332">
        <v>8</v>
      </c>
      <c r="E332" t="s">
        <v>335</v>
      </c>
    </row>
    <row r="333" spans="1:5">
      <c r="A333">
        <f>HYPERLINK("http://www.twitter.com/NYCParks/status/778251193080541184", "778251193080541184")</f>
        <v>0</v>
      </c>
      <c r="B333" s="2">
        <v>42633.635625</v>
      </c>
      <c r="C333">
        <v>24</v>
      </c>
      <c r="D333">
        <v>8</v>
      </c>
      <c r="E333" t="s">
        <v>336</v>
      </c>
    </row>
    <row r="334" spans="1:5">
      <c r="A334">
        <f>HYPERLINK("http://www.twitter.com/NYCParks/status/778237119588397057", "778237119588397057")</f>
        <v>0</v>
      </c>
      <c r="B334" s="2">
        <v>42633.5967824074</v>
      </c>
      <c r="C334">
        <v>27</v>
      </c>
      <c r="D334">
        <v>13</v>
      </c>
      <c r="E334" t="s">
        <v>337</v>
      </c>
    </row>
    <row r="335" spans="1:5">
      <c r="A335">
        <f>HYPERLINK("http://www.twitter.com/NYCParks/status/777952906079301632", "777952906079301632")</f>
        <v>0</v>
      </c>
      <c r="B335" s="2">
        <v>42632.8125115741</v>
      </c>
      <c r="C335">
        <v>10</v>
      </c>
      <c r="D335">
        <v>6</v>
      </c>
      <c r="E335" t="s">
        <v>338</v>
      </c>
    </row>
    <row r="336" spans="1:5">
      <c r="A336">
        <f>HYPERLINK("http://www.twitter.com/NYCParks/status/777940171731963904", "777940171731963904")</f>
        <v>0</v>
      </c>
      <c r="B336" s="2">
        <v>42632.7773726852</v>
      </c>
      <c r="C336">
        <v>14</v>
      </c>
      <c r="D336">
        <v>13</v>
      </c>
      <c r="E336" t="s">
        <v>339</v>
      </c>
    </row>
    <row r="337" spans="1:5">
      <c r="A337">
        <f>HYPERLINK("http://www.twitter.com/NYCParks/status/777927123201843200", "777927123201843200")</f>
        <v>0</v>
      </c>
      <c r="B337" s="2">
        <v>42632.7413657407</v>
      </c>
      <c r="C337">
        <v>0</v>
      </c>
      <c r="D337">
        <v>54</v>
      </c>
      <c r="E337" t="s">
        <v>340</v>
      </c>
    </row>
    <row r="338" spans="1:5">
      <c r="A338">
        <f>HYPERLINK("http://www.twitter.com/NYCParks/status/777921481414238208", "777921481414238208")</f>
        <v>0</v>
      </c>
      <c r="B338" s="2">
        <v>42632.725787037</v>
      </c>
      <c r="C338">
        <v>6</v>
      </c>
      <c r="D338">
        <v>8</v>
      </c>
      <c r="E338" t="s">
        <v>341</v>
      </c>
    </row>
    <row r="339" spans="1:5">
      <c r="A339">
        <f>HYPERLINK("http://www.twitter.com/NYCParks/status/777905984148832256", "777905984148832256")</f>
        <v>0</v>
      </c>
      <c r="B339" s="2">
        <v>42632.6830324074</v>
      </c>
      <c r="C339">
        <v>0</v>
      </c>
      <c r="D339">
        <v>15</v>
      </c>
      <c r="E339" t="s">
        <v>342</v>
      </c>
    </row>
    <row r="340" spans="1:5">
      <c r="A340">
        <f>HYPERLINK("http://www.twitter.com/NYCParks/status/777889722135961600", "777889722135961600")</f>
        <v>0</v>
      </c>
      <c r="B340" s="2">
        <v>42632.6381481482</v>
      </c>
      <c r="C340">
        <v>0</v>
      </c>
      <c r="D340">
        <v>1053</v>
      </c>
      <c r="E340" t="s">
        <v>343</v>
      </c>
    </row>
    <row r="341" spans="1:5">
      <c r="A341">
        <f>HYPERLINK("http://www.twitter.com/NYCParks/status/777881597416726528", "777881597416726528")</f>
        <v>0</v>
      </c>
      <c r="B341" s="2">
        <v>42632.6157291667</v>
      </c>
      <c r="C341">
        <v>0</v>
      </c>
      <c r="D341">
        <v>0</v>
      </c>
      <c r="E341" t="s">
        <v>344</v>
      </c>
    </row>
    <row r="342" spans="1:5">
      <c r="A342">
        <f>HYPERLINK("http://www.twitter.com/NYCParks/status/777574857299091458", "777574857299091458")</f>
        <v>0</v>
      </c>
      <c r="B342" s="2">
        <v>42631.7692939815</v>
      </c>
      <c r="C342">
        <v>46</v>
      </c>
      <c r="D342">
        <v>15</v>
      </c>
      <c r="E342" t="s">
        <v>345</v>
      </c>
    </row>
    <row r="343" spans="1:5">
      <c r="A343">
        <f>HYPERLINK("http://www.twitter.com/NYCParks/status/777353692370575360", "777353692370575360")</f>
        <v>0</v>
      </c>
      <c r="B343" s="2">
        <v>42631.1589930556</v>
      </c>
      <c r="C343">
        <v>19</v>
      </c>
      <c r="D343">
        <v>22</v>
      </c>
      <c r="E343" t="s">
        <v>346</v>
      </c>
    </row>
    <row r="344" spans="1:5">
      <c r="A344">
        <f>HYPERLINK("http://www.twitter.com/NYCParks/status/777201955978575872", "777201955978575872")</f>
        <v>0</v>
      </c>
      <c r="B344" s="2">
        <v>42630.7402777778</v>
      </c>
      <c r="C344">
        <v>126</v>
      </c>
      <c r="D344">
        <v>41</v>
      </c>
      <c r="E344" t="s">
        <v>347</v>
      </c>
    </row>
    <row r="345" spans="1:5">
      <c r="A345">
        <f>HYPERLINK("http://www.twitter.com/NYCParks/status/776846994681761792", "776846994681761792")</f>
        <v>0</v>
      </c>
      <c r="B345" s="2">
        <v>42629.760775463</v>
      </c>
      <c r="C345">
        <v>35</v>
      </c>
      <c r="D345">
        <v>10</v>
      </c>
      <c r="E345" t="s">
        <v>348</v>
      </c>
    </row>
    <row r="346" spans="1:5">
      <c r="A346">
        <f>HYPERLINK("http://www.twitter.com/NYCParks/status/776830634778124290", "776830634778124290")</f>
        <v>0</v>
      </c>
      <c r="B346" s="2">
        <v>42629.715625</v>
      </c>
      <c r="C346">
        <v>10</v>
      </c>
      <c r="D346">
        <v>5</v>
      </c>
      <c r="E346" t="s">
        <v>349</v>
      </c>
    </row>
    <row r="347" spans="1:5">
      <c r="A347">
        <f>HYPERLINK("http://www.twitter.com/NYCParks/status/776821671693082624", "776821671693082624")</f>
        <v>0</v>
      </c>
      <c r="B347" s="2">
        <v>42629.6908912037</v>
      </c>
      <c r="C347">
        <v>0</v>
      </c>
      <c r="D347">
        <v>0</v>
      </c>
      <c r="E347" t="s">
        <v>350</v>
      </c>
    </row>
    <row r="348" spans="1:5">
      <c r="A348">
        <f>HYPERLINK("http://www.twitter.com/NYCParks/status/776814284349251585", "776814284349251585")</f>
        <v>0</v>
      </c>
      <c r="B348" s="2">
        <v>42629.6705092593</v>
      </c>
      <c r="C348">
        <v>9</v>
      </c>
      <c r="D348">
        <v>10</v>
      </c>
      <c r="E348" t="s">
        <v>351</v>
      </c>
    </row>
    <row r="349" spans="1:5">
      <c r="A349">
        <f>HYPERLINK("http://www.twitter.com/NYCParks/status/776798269825552384", "776798269825552384")</f>
        <v>0</v>
      </c>
      <c r="B349" s="2">
        <v>42629.6263194444</v>
      </c>
      <c r="C349">
        <v>26</v>
      </c>
      <c r="D349">
        <v>16</v>
      </c>
      <c r="E349" t="s">
        <v>352</v>
      </c>
    </row>
    <row r="350" spans="1:5">
      <c r="A350">
        <f>HYPERLINK("http://www.twitter.com/NYCParks/status/776490820354662400", "776490820354662400")</f>
        <v>0</v>
      </c>
      <c r="B350" s="2">
        <v>42628.7779166667</v>
      </c>
      <c r="C350">
        <v>11</v>
      </c>
      <c r="D350">
        <v>5</v>
      </c>
      <c r="E350" t="s">
        <v>353</v>
      </c>
    </row>
    <row r="351" spans="1:5">
      <c r="A351">
        <f>HYPERLINK("http://www.twitter.com/NYCParks/status/776475706234724352", "776475706234724352")</f>
        <v>0</v>
      </c>
      <c r="B351" s="2">
        <v>42628.7362152778</v>
      </c>
      <c r="C351">
        <v>50</v>
      </c>
      <c r="D351">
        <v>31</v>
      </c>
      <c r="E351" t="s">
        <v>354</v>
      </c>
    </row>
    <row r="352" spans="1:5">
      <c r="A352">
        <f>HYPERLINK("http://www.twitter.com/NYCParks/status/776472450536239105", "776472450536239105")</f>
        <v>0</v>
      </c>
      <c r="B352" s="2">
        <v>42628.7272337963</v>
      </c>
      <c r="C352">
        <v>0</v>
      </c>
      <c r="D352">
        <v>0</v>
      </c>
      <c r="E352" t="s">
        <v>355</v>
      </c>
    </row>
    <row r="353" spans="1:5">
      <c r="A353">
        <f>HYPERLINK("http://www.twitter.com/NYCParks/status/776472141600591872", "776472141600591872")</f>
        <v>0</v>
      </c>
      <c r="B353" s="2">
        <v>42628.7263773148</v>
      </c>
      <c r="C353">
        <v>0</v>
      </c>
      <c r="D353">
        <v>0</v>
      </c>
      <c r="E353" t="s">
        <v>356</v>
      </c>
    </row>
    <row r="354" spans="1:5">
      <c r="A354">
        <f>HYPERLINK("http://www.twitter.com/NYCParks/status/776471913887653888", "776471913887653888")</f>
        <v>0</v>
      </c>
      <c r="B354" s="2">
        <v>42628.7257523148</v>
      </c>
      <c r="C354">
        <v>2</v>
      </c>
      <c r="D354">
        <v>0</v>
      </c>
      <c r="E354" t="s">
        <v>357</v>
      </c>
    </row>
    <row r="355" spans="1:5">
      <c r="A355">
        <f>HYPERLINK("http://www.twitter.com/NYCParks/status/776458152657227776", "776458152657227776")</f>
        <v>0</v>
      </c>
      <c r="B355" s="2">
        <v>42628.6877777778</v>
      </c>
      <c r="C355">
        <v>31</v>
      </c>
      <c r="D355">
        <v>15</v>
      </c>
      <c r="E355" t="s">
        <v>358</v>
      </c>
    </row>
    <row r="356" spans="1:5">
      <c r="A356">
        <f>HYPERLINK("http://www.twitter.com/NYCParks/status/776436721143521280", "776436721143521280")</f>
        <v>0</v>
      </c>
      <c r="B356" s="2">
        <v>42628.6286342593</v>
      </c>
      <c r="C356">
        <v>0</v>
      </c>
      <c r="D356">
        <v>5</v>
      </c>
      <c r="E356" t="s">
        <v>359</v>
      </c>
    </row>
    <row r="357" spans="1:5">
      <c r="A357">
        <f>HYPERLINK("http://www.twitter.com/NYCParks/status/776189036285296640", "776189036285296640")</f>
        <v>0</v>
      </c>
      <c r="B357" s="2">
        <v>42627.945150463</v>
      </c>
      <c r="C357">
        <v>0</v>
      </c>
      <c r="D357">
        <v>0</v>
      </c>
      <c r="E357" t="s">
        <v>360</v>
      </c>
    </row>
    <row r="358" spans="1:5">
      <c r="A358">
        <f>HYPERLINK("http://www.twitter.com/NYCParks/status/776185522272210945", "776185522272210945")</f>
        <v>0</v>
      </c>
      <c r="B358" s="2">
        <v>42627.9354513889</v>
      </c>
      <c r="C358">
        <v>0</v>
      </c>
      <c r="D358">
        <v>24</v>
      </c>
      <c r="E358" t="s">
        <v>361</v>
      </c>
    </row>
    <row r="359" spans="1:5">
      <c r="A359">
        <f>HYPERLINK("http://www.twitter.com/NYCParks/status/776136074250821632", "776136074250821632")</f>
        <v>0</v>
      </c>
      <c r="B359" s="2">
        <v>42627.7990046296</v>
      </c>
      <c r="C359">
        <v>12</v>
      </c>
      <c r="D359">
        <v>4</v>
      </c>
      <c r="E359" t="s">
        <v>362</v>
      </c>
    </row>
    <row r="360" spans="1:5">
      <c r="A360">
        <f>HYPERLINK("http://www.twitter.com/NYCParks/status/776122227020398594", "776122227020398594")</f>
        <v>0</v>
      </c>
      <c r="B360" s="2">
        <v>42627.7607986111</v>
      </c>
      <c r="C360">
        <v>25</v>
      </c>
      <c r="D360">
        <v>12</v>
      </c>
      <c r="E360" t="s">
        <v>363</v>
      </c>
    </row>
    <row r="361" spans="1:5">
      <c r="A361">
        <f>HYPERLINK("http://www.twitter.com/NYCParks/status/776106383301349376", "776106383301349376")</f>
        <v>0</v>
      </c>
      <c r="B361" s="2">
        <v>42627.7170717593</v>
      </c>
      <c r="C361">
        <v>21</v>
      </c>
      <c r="D361">
        <v>9</v>
      </c>
      <c r="E361" t="s">
        <v>364</v>
      </c>
    </row>
    <row r="362" spans="1:5">
      <c r="A362">
        <f>HYPERLINK("http://www.twitter.com/NYCParks/status/776102447802703872", "776102447802703872")</f>
        <v>0</v>
      </c>
      <c r="B362" s="2">
        <v>42627.7062152778</v>
      </c>
      <c r="C362">
        <v>7</v>
      </c>
      <c r="D362">
        <v>2</v>
      </c>
      <c r="E362" t="s">
        <v>365</v>
      </c>
    </row>
    <row r="363" spans="1:5">
      <c r="A363">
        <f>HYPERLINK("http://www.twitter.com/NYCParks/status/776089521230319616", "776089521230319616")</f>
        <v>0</v>
      </c>
      <c r="B363" s="2">
        <v>42627.6705439815</v>
      </c>
      <c r="C363">
        <v>19</v>
      </c>
      <c r="D363">
        <v>8</v>
      </c>
      <c r="E363" t="s">
        <v>366</v>
      </c>
    </row>
    <row r="364" spans="1:5">
      <c r="A364">
        <f>HYPERLINK("http://www.twitter.com/NYCParks/status/775803903568936960", "775803903568936960")</f>
        <v>0</v>
      </c>
      <c r="B364" s="2">
        <v>42626.8823958333</v>
      </c>
      <c r="C364">
        <v>12</v>
      </c>
      <c r="D364">
        <v>5</v>
      </c>
      <c r="E364" t="s">
        <v>367</v>
      </c>
    </row>
    <row r="365" spans="1:5">
      <c r="A365">
        <f>HYPERLINK("http://www.twitter.com/NYCParks/status/775769545973886976", "775769545973886976")</f>
        <v>0</v>
      </c>
      <c r="B365" s="2">
        <v>42626.7875810185</v>
      </c>
      <c r="C365">
        <v>0</v>
      </c>
      <c r="D365">
        <v>0</v>
      </c>
      <c r="E365" t="s">
        <v>368</v>
      </c>
    </row>
    <row r="366" spans="1:5">
      <c r="A366">
        <f>HYPERLINK("http://www.twitter.com/NYCParks/status/775759783223816192", "775759783223816192")</f>
        <v>0</v>
      </c>
      <c r="B366" s="2">
        <v>42626.7606365741</v>
      </c>
      <c r="C366">
        <v>72</v>
      </c>
      <c r="D366">
        <v>28</v>
      </c>
      <c r="E366" t="s">
        <v>369</v>
      </c>
    </row>
    <row r="367" spans="1:5">
      <c r="A367">
        <f>HYPERLINK("http://www.twitter.com/NYCParks/status/775743422762278912", "775743422762278912")</f>
        <v>0</v>
      </c>
      <c r="B367" s="2">
        <v>42626.7154976852</v>
      </c>
      <c r="C367">
        <v>10</v>
      </c>
      <c r="D367">
        <v>9</v>
      </c>
      <c r="E367" t="s">
        <v>370</v>
      </c>
    </row>
    <row r="368" spans="1:5">
      <c r="A368">
        <f>HYPERLINK("http://www.twitter.com/NYCParks/status/775727058571890692", "775727058571890692")</f>
        <v>0</v>
      </c>
      <c r="B368" s="2">
        <v>42626.6703356481</v>
      </c>
      <c r="C368">
        <v>11</v>
      </c>
      <c r="D368">
        <v>13</v>
      </c>
      <c r="E368" t="s">
        <v>371</v>
      </c>
    </row>
    <row r="369" spans="1:5">
      <c r="A369">
        <f>HYPERLINK("http://www.twitter.com/NYCParks/status/775710636428914688", "775710636428914688")</f>
        <v>0</v>
      </c>
      <c r="B369" s="2">
        <v>42626.6250231481</v>
      </c>
      <c r="C369">
        <v>0</v>
      </c>
      <c r="D369">
        <v>8</v>
      </c>
      <c r="E369" t="s">
        <v>372</v>
      </c>
    </row>
    <row r="370" spans="1:5">
      <c r="A370">
        <f>HYPERLINK("http://www.twitter.com/NYCParks/status/775704013635551232", "775704013635551232")</f>
        <v>0</v>
      </c>
      <c r="B370" s="2">
        <v>42626.6067476852</v>
      </c>
      <c r="C370">
        <v>1</v>
      </c>
      <c r="D370">
        <v>1</v>
      </c>
      <c r="E370" t="s">
        <v>373</v>
      </c>
    </row>
    <row r="371" spans="1:5">
      <c r="A371">
        <f>HYPERLINK("http://www.twitter.com/NYCParks/status/775703648819093505", "775703648819093505")</f>
        <v>0</v>
      </c>
      <c r="B371" s="2">
        <v>42626.6057407407</v>
      </c>
      <c r="C371">
        <v>1</v>
      </c>
      <c r="D371">
        <v>0</v>
      </c>
      <c r="E371" t="s">
        <v>374</v>
      </c>
    </row>
    <row r="372" spans="1:5">
      <c r="A372">
        <f>HYPERLINK("http://www.twitter.com/NYCParks/status/775428646928576513", "775428646928576513")</f>
        <v>0</v>
      </c>
      <c r="B372" s="2">
        <v>42625.846875</v>
      </c>
      <c r="C372">
        <v>2</v>
      </c>
      <c r="D372">
        <v>0</v>
      </c>
      <c r="E372" t="s">
        <v>375</v>
      </c>
    </row>
    <row r="373" spans="1:5">
      <c r="A373">
        <f>HYPERLINK("http://www.twitter.com/NYCParks/status/775412007931641856", "775412007931641856")</f>
        <v>0</v>
      </c>
      <c r="B373" s="2">
        <v>42625.8009606482</v>
      </c>
      <c r="C373">
        <v>0</v>
      </c>
      <c r="D373">
        <v>12</v>
      </c>
      <c r="E373" t="s">
        <v>376</v>
      </c>
    </row>
    <row r="374" spans="1:5">
      <c r="A374">
        <f>HYPERLINK("http://www.twitter.com/NYCParks/status/775386100332433408", "775386100332433408")</f>
        <v>0</v>
      </c>
      <c r="B374" s="2">
        <v>42625.7294675926</v>
      </c>
      <c r="C374">
        <v>22</v>
      </c>
      <c r="D374">
        <v>9</v>
      </c>
      <c r="E374" t="s">
        <v>377</v>
      </c>
    </row>
    <row r="375" spans="1:5">
      <c r="A375">
        <f>HYPERLINK("http://www.twitter.com/NYCParks/status/775366065224318976", "775366065224318976")</f>
        <v>0</v>
      </c>
      <c r="B375" s="2">
        <v>42625.6741898148</v>
      </c>
      <c r="C375">
        <v>18</v>
      </c>
      <c r="D375">
        <v>5</v>
      </c>
      <c r="E375" t="s">
        <v>378</v>
      </c>
    </row>
    <row r="376" spans="1:5">
      <c r="A376">
        <f>HYPERLINK("http://www.twitter.com/NYCParks/status/775349325207597056", "775349325207597056")</f>
        <v>0</v>
      </c>
      <c r="B376" s="2">
        <v>42625.6279976852</v>
      </c>
      <c r="C376">
        <v>0</v>
      </c>
      <c r="D376">
        <v>17</v>
      </c>
      <c r="E376" t="s">
        <v>379</v>
      </c>
    </row>
    <row r="377" spans="1:5">
      <c r="A377">
        <f>HYPERLINK("http://www.twitter.com/NYCParks/status/775349192797618176", "775349192797618176")</f>
        <v>0</v>
      </c>
      <c r="B377" s="2">
        <v>42625.6276273148</v>
      </c>
      <c r="C377">
        <v>0</v>
      </c>
      <c r="D377">
        <v>0</v>
      </c>
      <c r="E377" t="s">
        <v>380</v>
      </c>
    </row>
    <row r="378" spans="1:5">
      <c r="A378">
        <f>HYPERLINK("http://www.twitter.com/NYCParks/status/775343114768777216", "775343114768777216")</f>
        <v>0</v>
      </c>
      <c r="B378" s="2">
        <v>42625.6108564815</v>
      </c>
      <c r="C378">
        <v>1</v>
      </c>
      <c r="D378">
        <v>0</v>
      </c>
      <c r="E378" t="s">
        <v>381</v>
      </c>
    </row>
    <row r="379" spans="1:5">
      <c r="A379">
        <f>HYPERLINK("http://www.twitter.com/NYCParks/status/774988196249792512", "774988196249792512")</f>
        <v>0</v>
      </c>
      <c r="B379" s="2">
        <v>42624.6314699074</v>
      </c>
      <c r="C379">
        <v>0</v>
      </c>
      <c r="D379">
        <v>5</v>
      </c>
      <c r="E379" t="s">
        <v>382</v>
      </c>
    </row>
    <row r="380" spans="1:5">
      <c r="A380">
        <f>HYPERLINK("http://www.twitter.com/NYCParks/status/774982221027508224", "774982221027508224")</f>
        <v>0</v>
      </c>
      <c r="B380" s="2">
        <v>42624.6149768519</v>
      </c>
      <c r="C380">
        <v>0</v>
      </c>
      <c r="D380">
        <v>491</v>
      </c>
      <c r="E380" t="s">
        <v>383</v>
      </c>
    </row>
    <row r="381" spans="1:5">
      <c r="A381">
        <f>HYPERLINK("http://www.twitter.com/NYCParks/status/774329189394747392", "774329189394747392")</f>
        <v>0</v>
      </c>
      <c r="B381" s="2">
        <v>42622.8129513889</v>
      </c>
      <c r="C381">
        <v>5</v>
      </c>
      <c r="D381">
        <v>4</v>
      </c>
      <c r="E381" t="s">
        <v>384</v>
      </c>
    </row>
    <row r="382" spans="1:5">
      <c r="A382">
        <f>HYPERLINK("http://www.twitter.com/NYCParks/status/774310247733268481", "774310247733268481")</f>
        <v>0</v>
      </c>
      <c r="B382" s="2">
        <v>42622.7606828704</v>
      </c>
      <c r="C382">
        <v>9</v>
      </c>
      <c r="D382">
        <v>7</v>
      </c>
      <c r="E382" t="s">
        <v>385</v>
      </c>
    </row>
    <row r="383" spans="1:5">
      <c r="A383">
        <f>HYPERLINK("http://www.twitter.com/NYCParks/status/774293868623847424", "774293868623847424")</f>
        <v>0</v>
      </c>
      <c r="B383" s="2">
        <v>42622.7154861111</v>
      </c>
      <c r="C383">
        <v>15</v>
      </c>
      <c r="D383">
        <v>5</v>
      </c>
      <c r="E383" t="s">
        <v>386</v>
      </c>
    </row>
    <row r="384" spans="1:5">
      <c r="A384">
        <f>HYPERLINK("http://www.twitter.com/NYCParks/status/774277505314414592", "774277505314414592")</f>
        <v>0</v>
      </c>
      <c r="B384" s="2">
        <v>42622.6703356481</v>
      </c>
      <c r="C384">
        <v>14</v>
      </c>
      <c r="D384">
        <v>8</v>
      </c>
      <c r="E384" t="s">
        <v>387</v>
      </c>
    </row>
    <row r="385" spans="1:5">
      <c r="A385">
        <f>HYPERLINK("http://www.twitter.com/NYCParks/status/774261260217151494", "774261260217151494")</f>
        <v>0</v>
      </c>
      <c r="B385" s="2">
        <v>42622.6255092593</v>
      </c>
      <c r="C385">
        <v>17</v>
      </c>
      <c r="D385">
        <v>10</v>
      </c>
      <c r="E385" t="s">
        <v>388</v>
      </c>
    </row>
    <row r="386" spans="1:5">
      <c r="A386">
        <f>HYPERLINK("http://www.twitter.com/NYCParks/status/774247491860570112", "774247491860570112")</f>
        <v>0</v>
      </c>
      <c r="B386" s="2">
        <v>42622.5875115741</v>
      </c>
      <c r="C386">
        <v>0</v>
      </c>
      <c r="D386">
        <v>0</v>
      </c>
      <c r="E386" t="s">
        <v>389</v>
      </c>
    </row>
    <row r="387" spans="1:5">
      <c r="A387">
        <f>HYPERLINK("http://www.twitter.com/NYCParks/status/773966792440111104", "773966792440111104")</f>
        <v>0</v>
      </c>
      <c r="B387" s="2">
        <v>42621.8129282407</v>
      </c>
      <c r="C387">
        <v>10</v>
      </c>
      <c r="D387">
        <v>5</v>
      </c>
      <c r="E387" t="s">
        <v>390</v>
      </c>
    </row>
    <row r="388" spans="1:5">
      <c r="A388">
        <f>HYPERLINK("http://www.twitter.com/NYCParks/status/773950376206819328", "773950376206819328")</f>
        <v>0</v>
      </c>
      <c r="B388" s="2">
        <v>42621.7676273148</v>
      </c>
      <c r="C388">
        <v>73</v>
      </c>
      <c r="D388">
        <v>38</v>
      </c>
      <c r="E388" t="s">
        <v>391</v>
      </c>
    </row>
    <row r="389" spans="1:5">
      <c r="A389">
        <f>HYPERLINK("http://www.twitter.com/NYCParks/status/773934006677049344", "773934006677049344")</f>
        <v>0</v>
      </c>
      <c r="B389" s="2">
        <v>42621.7224537037</v>
      </c>
      <c r="C389">
        <v>41</v>
      </c>
      <c r="D389">
        <v>14</v>
      </c>
      <c r="E389" t="s">
        <v>392</v>
      </c>
    </row>
    <row r="390" spans="1:5">
      <c r="A390">
        <f>HYPERLINK("http://www.twitter.com/NYCParks/status/773917661243858945", "773917661243858945")</f>
        <v>0</v>
      </c>
      <c r="B390" s="2">
        <v>42621.677349537</v>
      </c>
      <c r="C390">
        <v>71</v>
      </c>
      <c r="D390">
        <v>36</v>
      </c>
      <c r="E390" t="s">
        <v>393</v>
      </c>
    </row>
    <row r="391" spans="1:5">
      <c r="A391">
        <f>HYPERLINK("http://www.twitter.com/NYCParks/status/773901532400156672", "773901532400156672")</f>
        <v>0</v>
      </c>
      <c r="B391" s="2">
        <v>42621.6328472222</v>
      </c>
      <c r="C391">
        <v>0</v>
      </c>
      <c r="D391">
        <v>28</v>
      </c>
      <c r="E391" t="s">
        <v>394</v>
      </c>
    </row>
    <row r="392" spans="1:5">
      <c r="A392">
        <f>HYPERLINK("http://www.twitter.com/NYCParks/status/773612278298058752", "773612278298058752")</f>
        <v>0</v>
      </c>
      <c r="B392" s="2">
        <v>42620.8346527778</v>
      </c>
      <c r="C392">
        <v>7</v>
      </c>
      <c r="D392">
        <v>3</v>
      </c>
      <c r="E392" t="s">
        <v>395</v>
      </c>
    </row>
    <row r="393" spans="1:5">
      <c r="A393">
        <f>HYPERLINK("http://www.twitter.com/NYCParks/status/773599671184924672", "773599671184924672")</f>
        <v>0</v>
      </c>
      <c r="B393" s="2">
        <v>42620.7998726852</v>
      </c>
      <c r="C393">
        <v>0</v>
      </c>
      <c r="D393">
        <v>0</v>
      </c>
      <c r="E393" t="s">
        <v>396</v>
      </c>
    </row>
    <row r="394" spans="1:5">
      <c r="A394">
        <f>HYPERLINK("http://www.twitter.com/NYCParks/status/773597905894735872", "773597905894735872")</f>
        <v>0</v>
      </c>
      <c r="B394" s="2">
        <v>42620.795</v>
      </c>
      <c r="C394">
        <v>25</v>
      </c>
      <c r="D394">
        <v>5</v>
      </c>
      <c r="E394" t="s">
        <v>397</v>
      </c>
    </row>
    <row r="395" spans="1:5">
      <c r="A395">
        <f>HYPERLINK("http://www.twitter.com/NYCParks/status/773585466696151040", "773585466696151040")</f>
        <v>0</v>
      </c>
      <c r="B395" s="2">
        <v>42620.7606712963</v>
      </c>
      <c r="C395">
        <v>22</v>
      </c>
      <c r="D395">
        <v>8</v>
      </c>
      <c r="E395" t="s">
        <v>398</v>
      </c>
    </row>
    <row r="396" spans="1:5">
      <c r="A396">
        <f>HYPERLINK("http://www.twitter.com/NYCParks/status/773572455281614849", "773572455281614849")</f>
        <v>0</v>
      </c>
      <c r="B396" s="2">
        <v>42620.7247685185</v>
      </c>
      <c r="C396">
        <v>14</v>
      </c>
      <c r="D396">
        <v>12</v>
      </c>
      <c r="E396" t="s">
        <v>399</v>
      </c>
    </row>
    <row r="397" spans="1:5">
      <c r="A397">
        <f>HYPERLINK("http://www.twitter.com/NYCParks/status/773552744342941696", "773552744342941696")</f>
        <v>0</v>
      </c>
      <c r="B397" s="2">
        <v>42620.6703703704</v>
      </c>
      <c r="C397">
        <v>8</v>
      </c>
      <c r="D397">
        <v>0</v>
      </c>
      <c r="E397" t="s">
        <v>400</v>
      </c>
    </row>
    <row r="398" spans="1:5">
      <c r="A398">
        <f>HYPERLINK("http://www.twitter.com/NYCParks/status/773536458883887104", "773536458883887104")</f>
        <v>0</v>
      </c>
      <c r="B398" s="2">
        <v>42620.6254398148</v>
      </c>
      <c r="C398">
        <v>7</v>
      </c>
      <c r="D398">
        <v>7</v>
      </c>
      <c r="E398" t="s">
        <v>401</v>
      </c>
    </row>
    <row r="399" spans="1:5">
      <c r="A399">
        <f>HYPERLINK("http://www.twitter.com/NYCParks/status/773248207296028673", "773248207296028673")</f>
        <v>0</v>
      </c>
      <c r="B399" s="2">
        <v>42619.8300115741</v>
      </c>
      <c r="C399">
        <v>17</v>
      </c>
      <c r="D399">
        <v>11</v>
      </c>
      <c r="E399" t="s">
        <v>402</v>
      </c>
    </row>
    <row r="400" spans="1:5">
      <c r="A400">
        <f>HYPERLINK("http://www.twitter.com/NYCParks/status/773232171310022656", "773232171310022656")</f>
        <v>0</v>
      </c>
      <c r="B400" s="2">
        <v>42619.7857638889</v>
      </c>
      <c r="C400">
        <v>6</v>
      </c>
      <c r="D400">
        <v>6</v>
      </c>
      <c r="E400" t="s">
        <v>403</v>
      </c>
    </row>
    <row r="401" spans="1:5">
      <c r="A401">
        <f>HYPERLINK("http://www.twitter.com/NYCParks/status/773216731909292033", "773216731909292033")</f>
        <v>0</v>
      </c>
      <c r="B401" s="2">
        <v>42619.7431597222</v>
      </c>
      <c r="C401">
        <v>12</v>
      </c>
      <c r="D401">
        <v>7</v>
      </c>
      <c r="E401" t="s">
        <v>404</v>
      </c>
    </row>
    <row r="402" spans="1:5">
      <c r="A402">
        <f>HYPERLINK("http://www.twitter.com/NYCParks/status/773206159826284544", "773206159826284544")</f>
        <v>0</v>
      </c>
      <c r="B402" s="2">
        <v>42619.7139814815</v>
      </c>
      <c r="C402">
        <v>0</v>
      </c>
      <c r="D402">
        <v>0</v>
      </c>
      <c r="E402" t="s">
        <v>405</v>
      </c>
    </row>
    <row r="403" spans="1:5">
      <c r="A403">
        <f>HYPERLINK("http://www.twitter.com/NYCParks/status/773204548089421829", "773204548089421829")</f>
        <v>0</v>
      </c>
      <c r="B403" s="2">
        <v>42619.709537037</v>
      </c>
      <c r="C403">
        <v>0</v>
      </c>
      <c r="D403">
        <v>0</v>
      </c>
      <c r="E403" t="s">
        <v>406</v>
      </c>
    </row>
    <row r="404" spans="1:5">
      <c r="A404">
        <f>HYPERLINK("http://www.twitter.com/NYCParks/status/773203685350531072", "773203685350531072")</f>
        <v>0</v>
      </c>
      <c r="B404" s="2">
        <v>42619.7071527778</v>
      </c>
      <c r="C404">
        <v>1</v>
      </c>
      <c r="D404">
        <v>0</v>
      </c>
      <c r="E404" t="s">
        <v>407</v>
      </c>
    </row>
    <row r="405" spans="1:5">
      <c r="A405">
        <f>HYPERLINK("http://www.twitter.com/NYCParks/status/773202887845568512", "773202887845568512")</f>
        <v>0</v>
      </c>
      <c r="B405" s="2">
        <v>42619.7049537037</v>
      </c>
      <c r="C405">
        <v>0</v>
      </c>
      <c r="D405">
        <v>0</v>
      </c>
      <c r="E405" t="s">
        <v>408</v>
      </c>
    </row>
    <row r="406" spans="1:5">
      <c r="A406">
        <f>HYPERLINK("http://www.twitter.com/NYCParks/status/773199552472023041", "773199552472023041")</f>
        <v>0</v>
      </c>
      <c r="B406" s="2">
        <v>42619.6957523148</v>
      </c>
      <c r="C406">
        <v>0</v>
      </c>
      <c r="D406">
        <v>12</v>
      </c>
      <c r="E406" t="s">
        <v>409</v>
      </c>
    </row>
    <row r="407" spans="1:5">
      <c r="A407">
        <f>HYPERLINK("http://www.twitter.com/NYCParks/status/772847486398496768", "772847486398496768")</f>
        <v>0</v>
      </c>
      <c r="B407" s="2">
        <v>42618.7242361111</v>
      </c>
      <c r="C407">
        <v>8</v>
      </c>
      <c r="D407">
        <v>21</v>
      </c>
      <c r="E407" t="s">
        <v>410</v>
      </c>
    </row>
    <row r="408" spans="1:5">
      <c r="A408">
        <f>HYPERLINK("http://www.twitter.com/NYCParks/status/772491730209869824", "772491730209869824")</f>
        <v>0</v>
      </c>
      <c r="B408" s="2">
        <v>42617.7425347222</v>
      </c>
      <c r="C408">
        <v>0</v>
      </c>
      <c r="D408">
        <v>67</v>
      </c>
      <c r="E408" t="s">
        <v>411</v>
      </c>
    </row>
    <row r="409" spans="1:5">
      <c r="A409">
        <f>HYPERLINK("http://www.twitter.com/NYCParks/status/772491666838126594", "772491666838126594")</f>
        <v>0</v>
      </c>
      <c r="B409" s="2">
        <v>42617.7423611111</v>
      </c>
      <c r="C409">
        <v>0</v>
      </c>
      <c r="D409">
        <v>98</v>
      </c>
      <c r="E409" t="s">
        <v>412</v>
      </c>
    </row>
    <row r="410" spans="1:5">
      <c r="A410">
        <f>HYPERLINK("http://www.twitter.com/NYCParks/status/771785279027945472", "771785279027945472")</f>
        <v>0</v>
      </c>
      <c r="B410" s="2">
        <v>42615.7931018519</v>
      </c>
      <c r="C410">
        <v>0</v>
      </c>
      <c r="D410">
        <v>82</v>
      </c>
      <c r="E410" t="s">
        <v>413</v>
      </c>
    </row>
    <row r="411" spans="1:5">
      <c r="A411">
        <f>HYPERLINK("http://www.twitter.com/NYCParks/status/771773230227005441", "771773230227005441")</f>
        <v>0</v>
      </c>
      <c r="B411" s="2">
        <v>42615.759849537</v>
      </c>
      <c r="C411">
        <v>0</v>
      </c>
      <c r="D411">
        <v>93</v>
      </c>
      <c r="E411" t="s">
        <v>414</v>
      </c>
    </row>
    <row r="412" spans="1:5">
      <c r="A412">
        <f>HYPERLINK("http://www.twitter.com/NYCParks/status/771770892384952324", "771770892384952324")</f>
        <v>0</v>
      </c>
      <c r="B412" s="2">
        <v>42615.7534027778</v>
      </c>
      <c r="C412">
        <v>3</v>
      </c>
      <c r="D412">
        <v>1</v>
      </c>
      <c r="E412" t="s">
        <v>415</v>
      </c>
    </row>
    <row r="413" spans="1:5">
      <c r="A413">
        <f>HYPERLINK("http://www.twitter.com/NYCParks/status/771764191304806401", "771764191304806401")</f>
        <v>0</v>
      </c>
      <c r="B413" s="2">
        <v>42615.7349074074</v>
      </c>
      <c r="C413">
        <v>1</v>
      </c>
      <c r="D413">
        <v>0</v>
      </c>
      <c r="E413" t="s">
        <v>416</v>
      </c>
    </row>
    <row r="414" spans="1:5">
      <c r="A414">
        <f>HYPERLINK("http://www.twitter.com/NYCParks/status/771762571758145536", "771762571758145536")</f>
        <v>0</v>
      </c>
      <c r="B414" s="2">
        <v>42615.7304398148</v>
      </c>
      <c r="C414">
        <v>21</v>
      </c>
      <c r="D414">
        <v>12</v>
      </c>
      <c r="E414" t="s">
        <v>417</v>
      </c>
    </row>
    <row r="415" spans="1:5">
      <c r="A415">
        <f>HYPERLINK("http://www.twitter.com/NYCParks/status/771742288842203136", "771742288842203136")</f>
        <v>0</v>
      </c>
      <c r="B415" s="2">
        <v>42615.6744675926</v>
      </c>
      <c r="C415">
        <v>30</v>
      </c>
      <c r="D415">
        <v>18</v>
      </c>
      <c r="E415" t="s">
        <v>418</v>
      </c>
    </row>
    <row r="416" spans="1:5">
      <c r="A416">
        <f>HYPERLINK("http://www.twitter.com/NYCParks/status/771727712482385920", "771727712482385920")</f>
        <v>0</v>
      </c>
      <c r="B416" s="2">
        <v>42615.6342476852</v>
      </c>
      <c r="C416">
        <v>0</v>
      </c>
      <c r="D416">
        <v>32</v>
      </c>
      <c r="E416" t="s">
        <v>419</v>
      </c>
    </row>
    <row r="417" spans="1:5">
      <c r="A417">
        <f>HYPERLINK("http://www.twitter.com/NYCParks/status/771716298061602816", "771716298061602816")</f>
        <v>0</v>
      </c>
      <c r="B417" s="2">
        <v>42615.6027430556</v>
      </c>
      <c r="C417">
        <v>0</v>
      </c>
      <c r="D417">
        <v>0</v>
      </c>
      <c r="E417" t="s">
        <v>420</v>
      </c>
    </row>
    <row r="418" spans="1:5">
      <c r="A418">
        <f>HYPERLINK("http://www.twitter.com/NYCParks/status/771716201647054849", "771716201647054849")</f>
        <v>0</v>
      </c>
      <c r="B418" s="2">
        <v>42615.6024768519</v>
      </c>
      <c r="C418">
        <v>0</v>
      </c>
      <c r="D418">
        <v>0</v>
      </c>
      <c r="E418" t="s">
        <v>421</v>
      </c>
    </row>
    <row r="419" spans="1:5">
      <c r="A419">
        <f>HYPERLINK("http://www.twitter.com/NYCParks/status/771443942034288641", "771443942034288641")</f>
        <v>0</v>
      </c>
      <c r="B419" s="2">
        <v>42614.8511921296</v>
      </c>
      <c r="C419">
        <v>0</v>
      </c>
      <c r="D419">
        <v>0</v>
      </c>
      <c r="E419" t="s">
        <v>422</v>
      </c>
    </row>
    <row r="420" spans="1:5">
      <c r="A420">
        <f>HYPERLINK("http://www.twitter.com/NYCParks/status/771432598874750976", "771432598874750976")</f>
        <v>0</v>
      </c>
      <c r="B420" s="2">
        <v>42614.8198842593</v>
      </c>
      <c r="C420">
        <v>22</v>
      </c>
      <c r="D420">
        <v>8</v>
      </c>
      <c r="E420" t="s">
        <v>423</v>
      </c>
    </row>
    <row r="421" spans="1:5">
      <c r="A421">
        <f>HYPERLINK("http://www.twitter.com/NYCParks/status/771411196608180224", "771411196608180224")</f>
        <v>0</v>
      </c>
      <c r="B421" s="2">
        <v>42614.7608333333</v>
      </c>
      <c r="C421">
        <v>8</v>
      </c>
      <c r="D421">
        <v>8</v>
      </c>
      <c r="E421" t="s">
        <v>424</v>
      </c>
    </row>
    <row r="422" spans="1:5">
      <c r="A422">
        <f>HYPERLINK("http://www.twitter.com/NYCParks/status/771394819637870592", "771394819637870592")</f>
        <v>0</v>
      </c>
      <c r="B422" s="2">
        <v>42614.7156365741</v>
      </c>
      <c r="C422">
        <v>12</v>
      </c>
      <c r="D422">
        <v>9</v>
      </c>
      <c r="E422" t="s">
        <v>425</v>
      </c>
    </row>
    <row r="423" spans="1:5">
      <c r="A423">
        <f>HYPERLINK("http://www.twitter.com/NYCParks/status/771378496056729601", "771378496056729601")</f>
        <v>0</v>
      </c>
      <c r="B423" s="2">
        <v>42614.6705902778</v>
      </c>
      <c r="C423">
        <v>97</v>
      </c>
      <c r="D423">
        <v>32</v>
      </c>
      <c r="E423" t="s">
        <v>426</v>
      </c>
    </row>
    <row r="424" spans="1:5">
      <c r="A424">
        <f>HYPERLINK("http://www.twitter.com/NYCParks/status/771373326602088449", "771373326602088449")</f>
        <v>0</v>
      </c>
      <c r="B424" s="2">
        <v>42614.6563310185</v>
      </c>
      <c r="C424">
        <v>1</v>
      </c>
      <c r="D424">
        <v>0</v>
      </c>
      <c r="E424" t="s">
        <v>427</v>
      </c>
    </row>
    <row r="425" spans="1:5">
      <c r="A425">
        <f>HYPERLINK("http://www.twitter.com/NYCParks/status/771372836837400577", "771372836837400577")</f>
        <v>0</v>
      </c>
      <c r="B425" s="2">
        <v>42614.6549768519</v>
      </c>
      <c r="C425">
        <v>0</v>
      </c>
      <c r="D425">
        <v>0</v>
      </c>
      <c r="E425" t="s">
        <v>428</v>
      </c>
    </row>
    <row r="426" spans="1:5">
      <c r="A426">
        <f>HYPERLINK("http://www.twitter.com/NYCParks/status/771362516282798084", "771362516282798084")</f>
        <v>0</v>
      </c>
      <c r="B426" s="2">
        <v>42614.6264930556</v>
      </c>
      <c r="C426">
        <v>14</v>
      </c>
      <c r="D426">
        <v>10</v>
      </c>
      <c r="E426" t="s">
        <v>429</v>
      </c>
    </row>
    <row r="427" spans="1:5">
      <c r="A427">
        <f>HYPERLINK("http://www.twitter.com/NYCParks/status/771068326655168512", "771068326655168512")</f>
        <v>0</v>
      </c>
      <c r="B427" s="2">
        <v>42613.8146875</v>
      </c>
      <c r="C427">
        <v>0</v>
      </c>
      <c r="D427">
        <v>6</v>
      </c>
      <c r="E427" t="s">
        <v>430</v>
      </c>
    </row>
    <row r="428" spans="1:5">
      <c r="A428">
        <f>HYPERLINK("http://www.twitter.com/NYCParks/status/771061770777661440", "771061770777661440")</f>
        <v>0</v>
      </c>
      <c r="B428" s="2">
        <v>42613.7965972222</v>
      </c>
      <c r="C428">
        <v>0</v>
      </c>
      <c r="D428">
        <v>0</v>
      </c>
      <c r="E428" t="s">
        <v>431</v>
      </c>
    </row>
    <row r="429" spans="1:5">
      <c r="A429">
        <f>HYPERLINK("http://www.twitter.com/NYCParks/status/771051103752421376", "771051103752421376")</f>
        <v>0</v>
      </c>
      <c r="B429" s="2">
        <v>42613.7671643519</v>
      </c>
      <c r="C429">
        <v>20</v>
      </c>
      <c r="D429">
        <v>9</v>
      </c>
      <c r="E429" t="s">
        <v>432</v>
      </c>
    </row>
    <row r="430" spans="1:5">
      <c r="A430">
        <f>HYPERLINK("http://www.twitter.com/NYCParks/status/771030319084560384", "771030319084560384")</f>
        <v>0</v>
      </c>
      <c r="B430" s="2">
        <v>42613.7098032407</v>
      </c>
      <c r="C430">
        <v>31</v>
      </c>
      <c r="D430">
        <v>20</v>
      </c>
      <c r="E430" t="s">
        <v>433</v>
      </c>
    </row>
    <row r="431" spans="1:5">
      <c r="A431">
        <f>HYPERLINK("http://www.twitter.com/NYCParks/status/771029606174457856", "771029606174457856")</f>
        <v>0</v>
      </c>
      <c r="B431" s="2">
        <v>42613.7078356482</v>
      </c>
      <c r="C431">
        <v>31</v>
      </c>
      <c r="D431">
        <v>18</v>
      </c>
      <c r="E431" t="s">
        <v>434</v>
      </c>
    </row>
    <row r="432" spans="1:5">
      <c r="A432">
        <f>HYPERLINK("http://www.twitter.com/NYCParks/status/771012312664776704", "771012312664776704")</f>
        <v>0</v>
      </c>
      <c r="B432" s="2">
        <v>42613.6601157407</v>
      </c>
      <c r="C432">
        <v>4</v>
      </c>
      <c r="D432">
        <v>3</v>
      </c>
      <c r="E432" t="s">
        <v>435</v>
      </c>
    </row>
    <row r="433" spans="1:5">
      <c r="A433">
        <f>HYPERLINK("http://www.twitter.com/NYCParks/status/771010365329117184", "771010365329117184")</f>
        <v>0</v>
      </c>
      <c r="B433" s="2">
        <v>42613.6547453704</v>
      </c>
      <c r="C433">
        <v>1</v>
      </c>
      <c r="D433">
        <v>0</v>
      </c>
      <c r="E433" t="s">
        <v>436</v>
      </c>
    </row>
    <row r="434" spans="1:5">
      <c r="A434">
        <f>HYPERLINK("http://www.twitter.com/NYCParks/status/771002905361014784", "771002905361014784")</f>
        <v>0</v>
      </c>
      <c r="B434" s="2">
        <v>42613.6341550926</v>
      </c>
      <c r="C434">
        <v>0</v>
      </c>
      <c r="D434">
        <v>0</v>
      </c>
      <c r="E434" t="s">
        <v>437</v>
      </c>
    </row>
    <row r="435" spans="1:5">
      <c r="A435">
        <f>HYPERLINK("http://www.twitter.com/NYCParks/status/771001778078973952", "771001778078973952")</f>
        <v>0</v>
      </c>
      <c r="B435" s="2">
        <v>42613.6310532407</v>
      </c>
      <c r="C435">
        <v>0</v>
      </c>
      <c r="D435">
        <v>0</v>
      </c>
      <c r="E435" t="s">
        <v>438</v>
      </c>
    </row>
    <row r="436" spans="1:5">
      <c r="A436">
        <f>HYPERLINK("http://www.twitter.com/NYCParks/status/770733643530637312", "770733643530637312")</f>
        <v>0</v>
      </c>
      <c r="B436" s="2">
        <v>42612.8911342593</v>
      </c>
      <c r="C436">
        <v>0</v>
      </c>
      <c r="D436">
        <v>0</v>
      </c>
      <c r="E436" t="s">
        <v>439</v>
      </c>
    </row>
    <row r="437" spans="1:5">
      <c r="A437">
        <f>HYPERLINK("http://www.twitter.com/NYCParks/status/770713998580912132", "770713998580912132")</f>
        <v>0</v>
      </c>
      <c r="B437" s="2">
        <v>42612.8369328704</v>
      </c>
      <c r="C437">
        <v>75</v>
      </c>
      <c r="D437">
        <v>27</v>
      </c>
      <c r="E437" t="s">
        <v>440</v>
      </c>
    </row>
    <row r="438" spans="1:5">
      <c r="A438">
        <f>HYPERLINK("http://www.twitter.com/NYCParks/status/770701681566879746", "770701681566879746")</f>
        <v>0</v>
      </c>
      <c r="B438" s="2">
        <v>42612.8029398148</v>
      </c>
      <c r="C438">
        <v>0</v>
      </c>
      <c r="D438">
        <v>37</v>
      </c>
      <c r="E438" t="s">
        <v>441</v>
      </c>
    </row>
    <row r="439" spans="1:5">
      <c r="A439">
        <f>HYPERLINK("http://www.twitter.com/NYCParks/status/770686352488816640", "770686352488816640")</f>
        <v>0</v>
      </c>
      <c r="B439" s="2">
        <v>42612.7606365741</v>
      </c>
      <c r="C439">
        <v>20</v>
      </c>
      <c r="D439">
        <v>6</v>
      </c>
      <c r="E439" t="s">
        <v>442</v>
      </c>
    </row>
    <row r="440" spans="1:5">
      <c r="A440">
        <f>HYPERLINK("http://www.twitter.com/NYCParks/status/770669993998647296", "770669993998647296")</f>
        <v>0</v>
      </c>
      <c r="B440" s="2">
        <v>42612.7154976852</v>
      </c>
      <c r="C440">
        <v>46</v>
      </c>
      <c r="D440">
        <v>20</v>
      </c>
      <c r="E440" t="s">
        <v>443</v>
      </c>
    </row>
    <row r="441" spans="1:5">
      <c r="A441">
        <f>HYPERLINK("http://www.twitter.com/NYCParks/status/770653631293120512", "770653631293120512")</f>
        <v>0</v>
      </c>
      <c r="B441" s="2">
        <v>42612.6703472222</v>
      </c>
      <c r="C441">
        <v>33</v>
      </c>
      <c r="D441">
        <v>20</v>
      </c>
      <c r="E441" t="s">
        <v>444</v>
      </c>
    </row>
    <row r="442" spans="1:5">
      <c r="A442">
        <f>HYPERLINK("http://www.twitter.com/NYCParks/status/770637229324693505", "770637229324693505")</f>
        <v>0</v>
      </c>
      <c r="B442" s="2">
        <v>42612.6250810185</v>
      </c>
      <c r="C442">
        <v>0</v>
      </c>
      <c r="D442">
        <v>14</v>
      </c>
      <c r="E442" t="s">
        <v>445</v>
      </c>
    </row>
    <row r="443" spans="1:5">
      <c r="A443">
        <f>HYPERLINK("http://www.twitter.com/NYCParks/status/770615450325483520", "770615450325483520")</f>
        <v>0</v>
      </c>
      <c r="B443" s="2">
        <v>42612.5649884259</v>
      </c>
      <c r="C443">
        <v>0</v>
      </c>
      <c r="D443">
        <v>1</v>
      </c>
      <c r="E443" t="s">
        <v>446</v>
      </c>
    </row>
    <row r="444" spans="1:5">
      <c r="A444">
        <f>HYPERLINK("http://www.twitter.com/NYCParks/status/770341576455364609", "770341576455364609")</f>
        <v>0</v>
      </c>
      <c r="B444" s="2">
        <v>42611.8092361111</v>
      </c>
      <c r="C444">
        <v>9</v>
      </c>
      <c r="D444">
        <v>6</v>
      </c>
      <c r="E444" t="s">
        <v>447</v>
      </c>
    </row>
    <row r="445" spans="1:5">
      <c r="A445">
        <f>HYPERLINK("http://www.twitter.com/NYCParks/status/770325282410594305", "770325282410594305")</f>
        <v>0</v>
      </c>
      <c r="B445" s="2">
        <v>42611.7642708333</v>
      </c>
      <c r="C445">
        <v>21</v>
      </c>
      <c r="D445">
        <v>9</v>
      </c>
      <c r="E445" t="s">
        <v>448</v>
      </c>
    </row>
    <row r="446" spans="1:5">
      <c r="A446">
        <f>HYPERLINK("http://www.twitter.com/NYCParks/status/770308881134256128", "770308881134256128")</f>
        <v>0</v>
      </c>
      <c r="B446" s="2">
        <v>42611.7190162037</v>
      </c>
      <c r="C446">
        <v>10</v>
      </c>
      <c r="D446">
        <v>19</v>
      </c>
      <c r="E446" t="s">
        <v>449</v>
      </c>
    </row>
    <row r="447" spans="1:5">
      <c r="A447">
        <f>HYPERLINK("http://www.twitter.com/NYCParks/status/770290926476484609", "770290926476484609")</f>
        <v>0</v>
      </c>
      <c r="B447" s="2">
        <v>42611.6694675926</v>
      </c>
      <c r="C447">
        <v>11</v>
      </c>
      <c r="D447">
        <v>9</v>
      </c>
      <c r="E447" t="s">
        <v>450</v>
      </c>
    </row>
    <row r="448" spans="1:5">
      <c r="A448">
        <f>HYPERLINK("http://www.twitter.com/NYCParks/status/770276139856257025", "770276139856257025")</f>
        <v>0</v>
      </c>
      <c r="B448" s="2">
        <v>42611.6286689815</v>
      </c>
      <c r="C448">
        <v>0</v>
      </c>
      <c r="D448">
        <v>9</v>
      </c>
      <c r="E448" t="s">
        <v>451</v>
      </c>
    </row>
    <row r="449" spans="1:5">
      <c r="A449">
        <f>HYPERLINK("http://www.twitter.com/NYCParks/status/770267532968198144", "770267532968198144")</f>
        <v>0</v>
      </c>
      <c r="B449" s="2">
        <v>42611.6049189815</v>
      </c>
      <c r="C449">
        <v>0</v>
      </c>
      <c r="D449">
        <v>0</v>
      </c>
      <c r="E449" t="s">
        <v>452</v>
      </c>
    </row>
    <row r="450" spans="1:5">
      <c r="A450">
        <f>HYPERLINK("http://www.twitter.com/NYCParks/status/769236846106832896", "769236846106832896")</f>
        <v>0</v>
      </c>
      <c r="B450" s="2">
        <v>42608.7607638889</v>
      </c>
      <c r="C450">
        <v>21</v>
      </c>
      <c r="D450">
        <v>9</v>
      </c>
      <c r="E450" t="s">
        <v>453</v>
      </c>
    </row>
    <row r="451" spans="1:5">
      <c r="A451">
        <f>HYPERLINK("http://www.twitter.com/NYCParks/status/769226758050701312", "769226758050701312")</f>
        <v>0</v>
      </c>
      <c r="B451" s="2">
        <v>42608.7329282407</v>
      </c>
      <c r="C451">
        <v>15</v>
      </c>
      <c r="D451">
        <v>7</v>
      </c>
      <c r="E451" t="s">
        <v>454</v>
      </c>
    </row>
    <row r="452" spans="1:5">
      <c r="A452">
        <f>HYPERLINK("http://www.twitter.com/NYCParks/status/769216628693278721", "769216628693278721")</f>
        <v>0</v>
      </c>
      <c r="B452" s="2">
        <v>42608.7049768519</v>
      </c>
      <c r="C452">
        <v>20</v>
      </c>
      <c r="D452">
        <v>4</v>
      </c>
      <c r="E452" t="s">
        <v>455</v>
      </c>
    </row>
    <row r="453" spans="1:5">
      <c r="A453">
        <f>HYPERLINK("http://www.twitter.com/NYCParks/status/769204142476816384", "769204142476816384")</f>
        <v>0</v>
      </c>
      <c r="B453" s="2">
        <v>42608.6705208333</v>
      </c>
      <c r="C453">
        <v>31</v>
      </c>
      <c r="D453">
        <v>29</v>
      </c>
      <c r="E453" t="s">
        <v>456</v>
      </c>
    </row>
    <row r="454" spans="1:5">
      <c r="A454">
        <f>HYPERLINK("http://www.twitter.com/NYCParks/status/769188121523126272", "769188121523126272")</f>
        <v>0</v>
      </c>
      <c r="B454" s="2">
        <v>42608.6263078704</v>
      </c>
      <c r="C454">
        <v>20</v>
      </c>
      <c r="D454">
        <v>16</v>
      </c>
      <c r="E454" t="s">
        <v>457</v>
      </c>
    </row>
    <row r="455" spans="1:5">
      <c r="A455">
        <f>HYPERLINK("http://www.twitter.com/NYCParks/status/768902252451000320", "768902252451000320")</f>
        <v>0</v>
      </c>
      <c r="B455" s="2">
        <v>42607.8374652778</v>
      </c>
      <c r="C455">
        <v>13</v>
      </c>
      <c r="D455">
        <v>2</v>
      </c>
      <c r="E455" t="s">
        <v>458</v>
      </c>
    </row>
    <row r="456" spans="1:5">
      <c r="A456">
        <f>HYPERLINK("http://www.twitter.com/NYCParks/status/768900457360154624", "768900457360154624")</f>
        <v>0</v>
      </c>
      <c r="B456" s="2">
        <v>42607.8325115741</v>
      </c>
      <c r="C456">
        <v>0</v>
      </c>
      <c r="D456">
        <v>0</v>
      </c>
      <c r="E456" t="s">
        <v>459</v>
      </c>
    </row>
    <row r="457" spans="1:5">
      <c r="A457">
        <f>HYPERLINK("http://www.twitter.com/NYCParks/status/768874414649769984", "768874414649769984")</f>
        <v>0</v>
      </c>
      <c r="B457" s="2">
        <v>42607.7606481481</v>
      </c>
      <c r="C457">
        <v>12</v>
      </c>
      <c r="D457">
        <v>8</v>
      </c>
      <c r="E457" t="s">
        <v>460</v>
      </c>
    </row>
    <row r="458" spans="1:5">
      <c r="A458">
        <f>HYPERLINK("http://www.twitter.com/NYCParks/status/768861824745963525", "768861824745963525")</f>
        <v>0</v>
      </c>
      <c r="B458" s="2">
        <v>42607.7259027778</v>
      </c>
      <c r="C458">
        <v>37</v>
      </c>
      <c r="D458">
        <v>17</v>
      </c>
      <c r="E458" t="s">
        <v>461</v>
      </c>
    </row>
    <row r="459" spans="1:5">
      <c r="A459">
        <f>HYPERLINK("http://www.twitter.com/NYCParks/status/768844177341870080", "768844177341870080")</f>
        <v>0</v>
      </c>
      <c r="B459" s="2">
        <v>42607.6771990741</v>
      </c>
      <c r="C459">
        <v>20</v>
      </c>
      <c r="D459">
        <v>10</v>
      </c>
      <c r="E459" t="s">
        <v>462</v>
      </c>
    </row>
    <row r="460" spans="1:5">
      <c r="A460">
        <f>HYPERLINK("http://www.twitter.com/NYCParks/status/768829090019311616", "768829090019311616")</f>
        <v>0</v>
      </c>
      <c r="B460" s="2">
        <v>42607.6355671296</v>
      </c>
      <c r="C460">
        <v>17</v>
      </c>
      <c r="D460">
        <v>8</v>
      </c>
      <c r="E460" t="s">
        <v>463</v>
      </c>
    </row>
    <row r="461" spans="1:5">
      <c r="A461">
        <f>HYPERLINK("http://www.twitter.com/NYCParks/status/768813085201141760", "768813085201141760")</f>
        <v>0</v>
      </c>
      <c r="B461" s="2">
        <v>42607.591412037</v>
      </c>
      <c r="C461">
        <v>15</v>
      </c>
      <c r="D461">
        <v>11</v>
      </c>
      <c r="E461" t="s">
        <v>464</v>
      </c>
    </row>
    <row r="462" spans="1:5">
      <c r="A462">
        <f>HYPERLINK("http://www.twitter.com/NYCParks/status/768552741912346624", "768552741912346624")</f>
        <v>0</v>
      </c>
      <c r="B462" s="2">
        <v>42606.8729976852</v>
      </c>
      <c r="C462">
        <v>0</v>
      </c>
      <c r="D462">
        <v>1</v>
      </c>
      <c r="E462" t="s">
        <v>465</v>
      </c>
    </row>
    <row r="463" spans="1:5">
      <c r="A463">
        <f>HYPERLINK("http://www.twitter.com/NYCParks/status/768552592079192064", "768552592079192064")</f>
        <v>0</v>
      </c>
      <c r="B463" s="2">
        <v>42606.8725810185</v>
      </c>
      <c r="C463">
        <v>0</v>
      </c>
      <c r="D463">
        <v>1</v>
      </c>
      <c r="E463" t="s">
        <v>466</v>
      </c>
    </row>
    <row r="464" spans="1:5">
      <c r="A464">
        <f>HYPERLINK("http://www.twitter.com/NYCParks/status/768545506905690112", "768545506905690112")</f>
        <v>0</v>
      </c>
      <c r="B464" s="2">
        <v>42606.8530324074</v>
      </c>
      <c r="C464">
        <v>1</v>
      </c>
      <c r="D464">
        <v>0</v>
      </c>
      <c r="E464" t="s">
        <v>467</v>
      </c>
    </row>
    <row r="465" spans="1:5">
      <c r="A465">
        <f>HYPERLINK("http://www.twitter.com/NYCParks/status/768528384565637121", "768528384565637121")</f>
        <v>0</v>
      </c>
      <c r="B465" s="2">
        <v>42606.805787037</v>
      </c>
      <c r="C465">
        <v>21</v>
      </c>
      <c r="D465">
        <v>12</v>
      </c>
      <c r="E465" t="s">
        <v>468</v>
      </c>
    </row>
    <row r="466" spans="1:5">
      <c r="A466">
        <f>HYPERLINK("http://www.twitter.com/NYCParks/status/768528035549184001", "768528035549184001")</f>
        <v>0</v>
      </c>
      <c r="B466" s="2">
        <v>42606.8048148148</v>
      </c>
      <c r="C466">
        <v>1</v>
      </c>
      <c r="D466">
        <v>0</v>
      </c>
      <c r="E466" t="s">
        <v>469</v>
      </c>
    </row>
    <row r="467" spans="1:5">
      <c r="A467">
        <f>HYPERLINK("http://www.twitter.com/NYCParks/status/768512038217932800", "768512038217932800")</f>
        <v>0</v>
      </c>
      <c r="B467" s="2">
        <v>42606.7606712963</v>
      </c>
      <c r="C467">
        <v>15</v>
      </c>
      <c r="D467">
        <v>4</v>
      </c>
      <c r="E467" t="s">
        <v>470</v>
      </c>
    </row>
    <row r="468" spans="1:5">
      <c r="A468">
        <f>HYPERLINK("http://www.twitter.com/NYCParks/status/768495638300483584", "768495638300483584")</f>
        <v>0</v>
      </c>
      <c r="B468" s="2">
        <v>42606.7154166667</v>
      </c>
      <c r="C468">
        <v>7</v>
      </c>
      <c r="D468">
        <v>4</v>
      </c>
      <c r="E468" t="s">
        <v>471</v>
      </c>
    </row>
    <row r="469" spans="1:5">
      <c r="A469">
        <f>HYPERLINK("http://www.twitter.com/NYCParks/status/768490420657590272", "768490420657590272")</f>
        <v>0</v>
      </c>
      <c r="B469" s="2">
        <v>42606.7010185185</v>
      </c>
      <c r="C469">
        <v>9</v>
      </c>
      <c r="D469">
        <v>6</v>
      </c>
      <c r="E469" t="s">
        <v>472</v>
      </c>
    </row>
    <row r="470" spans="1:5">
      <c r="A470">
        <f>HYPERLINK("http://www.twitter.com/NYCParks/status/768470074764226560", "768470074764226560")</f>
        <v>0</v>
      </c>
      <c r="B470" s="2">
        <v>42606.6448726852</v>
      </c>
      <c r="C470">
        <v>0</v>
      </c>
      <c r="D470">
        <v>33</v>
      </c>
      <c r="E470" t="s">
        <v>473</v>
      </c>
    </row>
    <row r="471" spans="1:5">
      <c r="A471">
        <f>HYPERLINK("http://www.twitter.com/NYCParks/status/768176219015770112", "768176219015770112")</f>
        <v>0</v>
      </c>
      <c r="B471" s="2">
        <v>42605.8339930556</v>
      </c>
      <c r="C471">
        <v>18</v>
      </c>
      <c r="D471">
        <v>22</v>
      </c>
      <c r="E471" t="s">
        <v>474</v>
      </c>
    </row>
    <row r="472" spans="1:5">
      <c r="A472">
        <f>HYPERLINK("http://www.twitter.com/NYCParks/status/768161138009894913", "768161138009894913")</f>
        <v>0</v>
      </c>
      <c r="B472" s="2">
        <v>42605.7923726852</v>
      </c>
      <c r="C472">
        <v>27</v>
      </c>
      <c r="D472">
        <v>13</v>
      </c>
      <c r="E472" t="s">
        <v>475</v>
      </c>
    </row>
    <row r="473" spans="1:5">
      <c r="A473">
        <f>HYPERLINK("http://www.twitter.com/NYCParks/status/768146128638504961", "768146128638504961")</f>
        <v>0</v>
      </c>
      <c r="B473" s="2">
        <v>42605.7509606481</v>
      </c>
      <c r="C473">
        <v>10</v>
      </c>
      <c r="D473">
        <v>5</v>
      </c>
      <c r="E473" t="s">
        <v>476</v>
      </c>
    </row>
    <row r="474" spans="1:5">
      <c r="A474">
        <f>HYPERLINK("http://www.twitter.com/NYCParks/status/768130892732727296", "768130892732727296")</f>
        <v>0</v>
      </c>
      <c r="B474" s="2">
        <v>42605.708912037</v>
      </c>
      <c r="C474">
        <v>14</v>
      </c>
      <c r="D474">
        <v>11</v>
      </c>
      <c r="E474" t="s">
        <v>477</v>
      </c>
    </row>
    <row r="475" spans="1:5">
      <c r="A475">
        <f>HYPERLINK("http://www.twitter.com/NYCParks/status/768115749986631680", "768115749986631680")</f>
        <v>0</v>
      </c>
      <c r="B475" s="2">
        <v>42605.6671296296</v>
      </c>
      <c r="C475">
        <v>5</v>
      </c>
      <c r="D475">
        <v>4</v>
      </c>
      <c r="E475" t="s">
        <v>478</v>
      </c>
    </row>
    <row r="476" spans="1:5">
      <c r="A476">
        <f>HYPERLINK("http://www.twitter.com/NYCParks/status/768098415515492352", "768098415515492352")</f>
        <v>0</v>
      </c>
      <c r="B476" s="2">
        <v>42605.6192939815</v>
      </c>
      <c r="C476">
        <v>21</v>
      </c>
      <c r="D476">
        <v>18</v>
      </c>
      <c r="E476" t="s">
        <v>479</v>
      </c>
    </row>
    <row r="477" spans="1:5">
      <c r="A477">
        <f>HYPERLINK("http://www.twitter.com/NYCParks/status/767832632168099840", "767832632168099840")</f>
        <v>0</v>
      </c>
      <c r="B477" s="2">
        <v>42604.8858680556</v>
      </c>
      <c r="C477">
        <v>0</v>
      </c>
      <c r="D477">
        <v>18</v>
      </c>
      <c r="E477" t="s">
        <v>480</v>
      </c>
    </row>
    <row r="478" spans="1:5">
      <c r="A478">
        <f>HYPERLINK("http://www.twitter.com/NYCParks/status/767809155763675136", "767809155763675136")</f>
        <v>0</v>
      </c>
      <c r="B478" s="2">
        <v>42604.821087963</v>
      </c>
      <c r="C478">
        <v>17</v>
      </c>
      <c r="D478">
        <v>14</v>
      </c>
      <c r="E478" t="s">
        <v>481</v>
      </c>
    </row>
    <row r="479" spans="1:5">
      <c r="A479">
        <f>HYPERLINK("http://www.twitter.com/NYCParks/status/767787230047956996", "767787230047956996")</f>
        <v>0</v>
      </c>
      <c r="B479" s="2">
        <v>42604.7605902778</v>
      </c>
      <c r="C479">
        <v>21</v>
      </c>
      <c r="D479">
        <v>13</v>
      </c>
      <c r="E479" t="s">
        <v>482</v>
      </c>
    </row>
    <row r="480" spans="1:5">
      <c r="A480">
        <f>HYPERLINK("http://www.twitter.com/NYCParks/status/767771660481077248", "767771660481077248")</f>
        <v>0</v>
      </c>
      <c r="B480" s="2">
        <v>42604.7176273148</v>
      </c>
      <c r="C480">
        <v>10</v>
      </c>
      <c r="D480">
        <v>6</v>
      </c>
      <c r="E480" t="s">
        <v>483</v>
      </c>
    </row>
    <row r="481" spans="1:5">
      <c r="A481">
        <f>HYPERLINK("http://www.twitter.com/NYCParks/status/767754059583463424", "767754059583463424")</f>
        <v>0</v>
      </c>
      <c r="B481" s="2">
        <v>42604.6690509259</v>
      </c>
      <c r="C481">
        <v>17</v>
      </c>
      <c r="D481">
        <v>13</v>
      </c>
      <c r="E481" t="s">
        <v>484</v>
      </c>
    </row>
    <row r="482" spans="1:5">
      <c r="A482">
        <f>HYPERLINK("http://www.twitter.com/NYCParks/status/767742006009458688", "767742006009458688")</f>
        <v>0</v>
      </c>
      <c r="B482" s="2">
        <v>42604.635787037</v>
      </c>
      <c r="C482">
        <v>0</v>
      </c>
      <c r="D482">
        <v>31</v>
      </c>
      <c r="E482" t="s">
        <v>485</v>
      </c>
    </row>
    <row r="483" spans="1:5">
      <c r="A483">
        <f>HYPERLINK("http://www.twitter.com/NYCParks/status/766987296579186689", "766987296579186689")</f>
        <v>0</v>
      </c>
      <c r="B483" s="2">
        <v>42602.5531944444</v>
      </c>
      <c r="C483">
        <v>10</v>
      </c>
      <c r="D483">
        <v>4</v>
      </c>
      <c r="E483" t="s">
        <v>486</v>
      </c>
    </row>
    <row r="484" spans="1:5">
      <c r="A484">
        <f>HYPERLINK("http://www.twitter.com/NYCParks/status/766986081552261120", "766986081552261120")</f>
        <v>0</v>
      </c>
      <c r="B484" s="2">
        <v>42602.549837963</v>
      </c>
      <c r="C484">
        <v>0</v>
      </c>
      <c r="D484">
        <v>52</v>
      </c>
      <c r="E484" t="s">
        <v>487</v>
      </c>
    </row>
    <row r="485" spans="1:5">
      <c r="A485">
        <f>HYPERLINK("http://www.twitter.com/NYCParks/status/766747454221983744", "766747454221983744")</f>
        <v>0</v>
      </c>
      <c r="B485" s="2">
        <v>42601.8913541667</v>
      </c>
      <c r="C485">
        <v>1</v>
      </c>
      <c r="D485">
        <v>0</v>
      </c>
      <c r="E485" t="s">
        <v>488</v>
      </c>
    </row>
    <row r="486" spans="1:5">
      <c r="A486">
        <f>HYPERLINK("http://www.twitter.com/NYCParks/status/766717907028021249", "766717907028021249")</f>
        <v>0</v>
      </c>
      <c r="B486" s="2">
        <v>42601.8098148148</v>
      </c>
      <c r="C486">
        <v>99</v>
      </c>
      <c r="D486">
        <v>29</v>
      </c>
      <c r="E486" t="s">
        <v>489</v>
      </c>
    </row>
    <row r="487" spans="1:5">
      <c r="A487">
        <f>HYPERLINK("http://www.twitter.com/NYCParks/status/766701341603459072", "766701341603459072")</f>
        <v>0</v>
      </c>
      <c r="B487" s="2">
        <v>42601.7641087963</v>
      </c>
      <c r="C487">
        <v>110</v>
      </c>
      <c r="D487">
        <v>37</v>
      </c>
      <c r="E487" t="s">
        <v>490</v>
      </c>
    </row>
    <row r="488" spans="1:5">
      <c r="A488">
        <f>HYPERLINK("http://www.twitter.com/NYCParks/status/766684960195547136", "766684960195547136")</f>
        <v>0</v>
      </c>
      <c r="B488" s="2">
        <v>42601.718900463</v>
      </c>
      <c r="C488">
        <v>49</v>
      </c>
      <c r="D488">
        <v>22</v>
      </c>
      <c r="E488" t="s">
        <v>491</v>
      </c>
    </row>
    <row r="489" spans="1:5">
      <c r="A489">
        <f>HYPERLINK("http://www.twitter.com/NYCParks/status/766679397546033152", "766679397546033152")</f>
        <v>0</v>
      </c>
      <c r="B489" s="2">
        <v>42601.7035532407</v>
      </c>
      <c r="C489">
        <v>22</v>
      </c>
      <c r="D489">
        <v>6</v>
      </c>
      <c r="E489" t="s">
        <v>492</v>
      </c>
    </row>
    <row r="490" spans="1:5">
      <c r="A490">
        <f>HYPERLINK("http://www.twitter.com/NYCParks/status/766668617203191814", "766668617203191814")</f>
        <v>0</v>
      </c>
      <c r="B490" s="2">
        <v>42601.6738078704</v>
      </c>
      <c r="C490">
        <v>19</v>
      </c>
      <c r="D490">
        <v>19</v>
      </c>
      <c r="E490" t="s">
        <v>493</v>
      </c>
    </row>
    <row r="491" spans="1:5">
      <c r="A491">
        <f>HYPERLINK("http://www.twitter.com/NYCParks/status/766403695613534208", "766403695613534208")</f>
        <v>0</v>
      </c>
      <c r="B491" s="2">
        <v>42600.9427546296</v>
      </c>
      <c r="C491">
        <v>1</v>
      </c>
      <c r="D491">
        <v>0</v>
      </c>
      <c r="E491" t="s">
        <v>494</v>
      </c>
    </row>
    <row r="492" spans="1:5">
      <c r="A492">
        <f>HYPERLINK("http://www.twitter.com/NYCParks/status/766370764836798464", "766370764836798464")</f>
        <v>0</v>
      </c>
      <c r="B492" s="2">
        <v>42600.8518865741</v>
      </c>
      <c r="C492">
        <v>43</v>
      </c>
      <c r="D492">
        <v>21</v>
      </c>
      <c r="E492" t="s">
        <v>495</v>
      </c>
    </row>
    <row r="493" spans="1:5">
      <c r="A493">
        <f>HYPERLINK("http://www.twitter.com/NYCParks/status/766354324150706176", "766354324150706176")</f>
        <v>0</v>
      </c>
      <c r="B493" s="2">
        <v>42600.8065162037</v>
      </c>
      <c r="C493">
        <v>0</v>
      </c>
      <c r="D493">
        <v>20</v>
      </c>
      <c r="E493" t="s">
        <v>496</v>
      </c>
    </row>
    <row r="494" spans="1:5">
      <c r="A494">
        <f>HYPERLINK("http://www.twitter.com/NYCParks/status/766327574817546240", "766327574817546240")</f>
        <v>0</v>
      </c>
      <c r="B494" s="2">
        <v>42600.7327083333</v>
      </c>
      <c r="C494">
        <v>37</v>
      </c>
      <c r="D494">
        <v>20</v>
      </c>
      <c r="E494" t="s">
        <v>497</v>
      </c>
    </row>
    <row r="495" spans="1:5">
      <c r="A495">
        <f>HYPERLINK("http://www.twitter.com/NYCParks/status/766311602840858624", "766311602840858624")</f>
        <v>0</v>
      </c>
      <c r="B495" s="2">
        <v>42600.6886342593</v>
      </c>
      <c r="C495">
        <v>36</v>
      </c>
      <c r="D495">
        <v>22</v>
      </c>
      <c r="E495" t="s">
        <v>498</v>
      </c>
    </row>
    <row r="496" spans="1:5">
      <c r="A496">
        <f>HYPERLINK("http://www.twitter.com/NYCParks/status/766290701042737152", "766290701042737152")</f>
        <v>0</v>
      </c>
      <c r="B496" s="2">
        <v>42600.6309490741</v>
      </c>
      <c r="C496">
        <v>0</v>
      </c>
      <c r="D496">
        <v>69</v>
      </c>
      <c r="E496" t="s">
        <v>499</v>
      </c>
    </row>
    <row r="497" spans="1:5">
      <c r="A497">
        <f>HYPERLINK("http://www.twitter.com/NYCParks/status/766001855050702850", "766001855050702850")</f>
        <v>0</v>
      </c>
      <c r="B497" s="2">
        <v>42599.8338888889</v>
      </c>
      <c r="C497">
        <v>18</v>
      </c>
      <c r="D497">
        <v>11</v>
      </c>
      <c r="E497" t="s">
        <v>500</v>
      </c>
    </row>
    <row r="498" spans="1:5">
      <c r="A498">
        <f>HYPERLINK("http://www.twitter.com/NYCParks/status/765986779073810433", "765986779073810433")</f>
        <v>0</v>
      </c>
      <c r="B498" s="2">
        <v>42599.7922916667</v>
      </c>
      <c r="C498">
        <v>50</v>
      </c>
      <c r="D498">
        <v>26</v>
      </c>
      <c r="E498" t="s">
        <v>501</v>
      </c>
    </row>
    <row r="499" spans="1:5">
      <c r="A499">
        <f>HYPERLINK("http://www.twitter.com/NYCParks/status/765970058459873280", "765970058459873280")</f>
        <v>0</v>
      </c>
      <c r="B499" s="2">
        <v>42599.7461458333</v>
      </c>
      <c r="C499">
        <v>0</v>
      </c>
      <c r="D499">
        <v>10</v>
      </c>
      <c r="E499" t="s">
        <v>502</v>
      </c>
    </row>
    <row r="500" spans="1:5">
      <c r="A500">
        <f>HYPERLINK("http://www.twitter.com/NYCParks/status/765947601959153664", "765947601959153664")</f>
        <v>0</v>
      </c>
      <c r="B500" s="2">
        <v>42599.6841782407</v>
      </c>
      <c r="C500">
        <v>0</v>
      </c>
      <c r="D500">
        <v>1</v>
      </c>
      <c r="E500" t="s">
        <v>503</v>
      </c>
    </row>
    <row r="501" spans="1:5">
      <c r="A501">
        <f>HYPERLINK("http://www.twitter.com/NYCParks/status/765946348134948865", "765946348134948865")</f>
        <v>0</v>
      </c>
      <c r="B501" s="2">
        <v>42599.6807175926</v>
      </c>
      <c r="C501">
        <v>27</v>
      </c>
      <c r="D501">
        <v>10</v>
      </c>
      <c r="E501" t="s">
        <v>504</v>
      </c>
    </row>
    <row r="502" spans="1:5">
      <c r="A502">
        <f>HYPERLINK("http://www.twitter.com/NYCParks/status/765929975618961408", "765929975618961408")</f>
        <v>0</v>
      </c>
      <c r="B502" s="2">
        <v>42599.6355439815</v>
      </c>
      <c r="C502">
        <v>10</v>
      </c>
      <c r="D502">
        <v>7</v>
      </c>
      <c r="E502" t="s">
        <v>505</v>
      </c>
    </row>
    <row r="503" spans="1:5">
      <c r="A503">
        <f>HYPERLINK("http://www.twitter.com/NYCParks/status/765637883835326464", "765637883835326464")</f>
        <v>0</v>
      </c>
      <c r="B503" s="2">
        <v>42598.829525463</v>
      </c>
      <c r="C503">
        <v>11</v>
      </c>
      <c r="D503">
        <v>7</v>
      </c>
      <c r="E503" t="s">
        <v>506</v>
      </c>
    </row>
    <row r="504" spans="1:5">
      <c r="A504">
        <f>HYPERLINK("http://www.twitter.com/NYCParks/status/765622057954598914", "765622057954598914")</f>
        <v>0</v>
      </c>
      <c r="B504" s="2">
        <v>42598.7858449074</v>
      </c>
      <c r="C504">
        <v>0</v>
      </c>
      <c r="D504">
        <v>12</v>
      </c>
      <c r="E504" t="s">
        <v>507</v>
      </c>
    </row>
    <row r="505" spans="1:5">
      <c r="A505">
        <f>HYPERLINK("http://www.twitter.com/NYCParks/status/765604710556508160", "765604710556508160")</f>
        <v>0</v>
      </c>
      <c r="B505" s="2">
        <v>42598.737974537</v>
      </c>
      <c r="C505">
        <v>25</v>
      </c>
      <c r="D505">
        <v>26</v>
      </c>
      <c r="E505" t="s">
        <v>508</v>
      </c>
    </row>
    <row r="506" spans="1:5">
      <c r="A506">
        <f>HYPERLINK("http://www.twitter.com/NYCParks/status/765578369241083904", "765578369241083904")</f>
        <v>0</v>
      </c>
      <c r="B506" s="2">
        <v>42598.6652893519</v>
      </c>
      <c r="C506">
        <v>11</v>
      </c>
      <c r="D506">
        <v>3</v>
      </c>
      <c r="E506" t="s">
        <v>509</v>
      </c>
    </row>
    <row r="507" spans="1:5">
      <c r="A507">
        <f>HYPERLINK("http://www.twitter.com/NYCParks/status/765578233979035648", "765578233979035648")</f>
        <v>0</v>
      </c>
      <c r="B507" s="2">
        <v>42598.6649189815</v>
      </c>
      <c r="C507">
        <v>0</v>
      </c>
      <c r="D507">
        <v>0</v>
      </c>
      <c r="E507" t="s">
        <v>510</v>
      </c>
    </row>
    <row r="508" spans="1:5">
      <c r="A508">
        <f>HYPERLINK("http://www.twitter.com/NYCParks/status/765570285819064324", "765570285819064324")</f>
        <v>0</v>
      </c>
      <c r="B508" s="2">
        <v>42598.6429861111</v>
      </c>
      <c r="C508">
        <v>18</v>
      </c>
      <c r="D508">
        <v>5</v>
      </c>
      <c r="E508" t="s">
        <v>511</v>
      </c>
    </row>
    <row r="509" spans="1:5">
      <c r="A509">
        <f>HYPERLINK("http://www.twitter.com/NYCParks/status/765271916726853633", "765271916726853633")</f>
        <v>0</v>
      </c>
      <c r="B509" s="2">
        <v>42597.8196412037</v>
      </c>
      <c r="C509">
        <v>26</v>
      </c>
      <c r="D509">
        <v>15</v>
      </c>
      <c r="E509" t="s">
        <v>512</v>
      </c>
    </row>
    <row r="510" spans="1:5">
      <c r="A510">
        <f>HYPERLINK("http://www.twitter.com/NYCParks/status/765250516674904064", "765250516674904064")</f>
        <v>0</v>
      </c>
      <c r="B510" s="2">
        <v>42597.7605902778</v>
      </c>
      <c r="C510">
        <v>17</v>
      </c>
      <c r="D510">
        <v>11</v>
      </c>
      <c r="E510" t="s">
        <v>513</v>
      </c>
    </row>
    <row r="511" spans="1:5">
      <c r="A511">
        <f>HYPERLINK("http://www.twitter.com/NYCParks/status/765249848035737600", "765249848035737600")</f>
        <v>0</v>
      </c>
      <c r="B511" s="2">
        <v>42597.75875</v>
      </c>
      <c r="C511">
        <v>0</v>
      </c>
      <c r="D511">
        <v>0</v>
      </c>
      <c r="E511" t="s">
        <v>514</v>
      </c>
    </row>
    <row r="512" spans="1:5">
      <c r="A512">
        <f>HYPERLINK("http://www.twitter.com/NYCParks/status/765232394160967681", "765232394160967681")</f>
        <v>0</v>
      </c>
      <c r="B512" s="2">
        <v>42597.7105787037</v>
      </c>
      <c r="C512">
        <v>8</v>
      </c>
      <c r="D512">
        <v>12</v>
      </c>
      <c r="E512" t="s">
        <v>515</v>
      </c>
    </row>
    <row r="513" spans="1:5">
      <c r="A513">
        <f>HYPERLINK("http://www.twitter.com/NYCParks/status/765231800088162304", "765231800088162304")</f>
        <v>0</v>
      </c>
      <c r="B513" s="2">
        <v>42597.7089467593</v>
      </c>
      <c r="C513">
        <v>41</v>
      </c>
      <c r="D513">
        <v>24</v>
      </c>
      <c r="E513" t="s">
        <v>516</v>
      </c>
    </row>
    <row r="514" spans="1:5">
      <c r="A514">
        <f>HYPERLINK("http://www.twitter.com/NYCParks/status/765230640149229568", "765230640149229568")</f>
        <v>0</v>
      </c>
      <c r="B514" s="2">
        <v>42597.7057407407</v>
      </c>
      <c r="C514">
        <v>3</v>
      </c>
      <c r="D514">
        <v>1</v>
      </c>
      <c r="E514" t="s">
        <v>517</v>
      </c>
    </row>
    <row r="515" spans="1:5">
      <c r="A515">
        <f>HYPERLINK("http://www.twitter.com/NYCParks/status/765230598856245248", "765230598856245248")</f>
        <v>0</v>
      </c>
      <c r="B515" s="2">
        <v>42597.705625</v>
      </c>
      <c r="C515">
        <v>3</v>
      </c>
      <c r="D515">
        <v>2</v>
      </c>
      <c r="E515" t="s">
        <v>518</v>
      </c>
    </row>
    <row r="516" spans="1:5">
      <c r="A516">
        <f>HYPERLINK("http://www.twitter.com/NYCParks/status/765217154971164676", "765217154971164676")</f>
        <v>0</v>
      </c>
      <c r="B516" s="2">
        <v>42597.6685300926</v>
      </c>
      <c r="C516">
        <v>3</v>
      </c>
      <c r="D516">
        <v>7</v>
      </c>
      <c r="E516" t="s">
        <v>519</v>
      </c>
    </row>
    <row r="517" spans="1:5">
      <c r="A517">
        <f>HYPERLINK("http://www.twitter.com/NYCParks/status/765211445328015360", "765211445328015360")</f>
        <v>0</v>
      </c>
      <c r="B517" s="2">
        <v>42597.6527777778</v>
      </c>
      <c r="C517">
        <v>1</v>
      </c>
      <c r="D517">
        <v>0</v>
      </c>
      <c r="E517" t="s">
        <v>520</v>
      </c>
    </row>
    <row r="518" spans="1:5">
      <c r="A518">
        <f>HYPERLINK("http://www.twitter.com/NYCParks/status/765210241688604708", "765210241688604708")</f>
        <v>0</v>
      </c>
      <c r="B518" s="2">
        <v>42597.6494560185</v>
      </c>
      <c r="C518">
        <v>2</v>
      </c>
      <c r="D518">
        <v>1</v>
      </c>
      <c r="E518" t="s">
        <v>521</v>
      </c>
    </row>
    <row r="519" spans="1:5">
      <c r="A519">
        <f>HYPERLINK("http://www.twitter.com/NYCParks/status/765206879282860033", "765206879282860033")</f>
        <v>0</v>
      </c>
      <c r="B519" s="2">
        <v>42597.6401736111</v>
      </c>
      <c r="C519">
        <v>0</v>
      </c>
      <c r="D519">
        <v>4</v>
      </c>
      <c r="E519" t="s">
        <v>522</v>
      </c>
    </row>
    <row r="520" spans="1:5">
      <c r="A520">
        <f>HYPERLINK("http://www.twitter.com/NYCParks/status/765187142729564161", "765187142729564161")</f>
        <v>0</v>
      </c>
      <c r="B520" s="2">
        <v>42597.5857060185</v>
      </c>
      <c r="C520">
        <v>1</v>
      </c>
      <c r="D520">
        <v>0</v>
      </c>
      <c r="E520" t="s">
        <v>523</v>
      </c>
    </row>
    <row r="521" spans="1:5">
      <c r="A521">
        <f>HYPERLINK("http://www.twitter.com/NYCParks/status/764193839372439552", "764193839372439552")</f>
        <v>0</v>
      </c>
      <c r="B521" s="2">
        <v>42594.8447106481</v>
      </c>
      <c r="C521">
        <v>0</v>
      </c>
      <c r="D521">
        <v>23</v>
      </c>
      <c r="E521" t="s">
        <v>524</v>
      </c>
    </row>
    <row r="522" spans="1:5">
      <c r="A522">
        <f>HYPERLINK("http://www.twitter.com/NYCParks/status/764191973527912448", "764191973527912448")</f>
        <v>0</v>
      </c>
      <c r="B522" s="2">
        <v>42594.8395717593</v>
      </c>
      <c r="C522">
        <v>35</v>
      </c>
      <c r="D522">
        <v>29</v>
      </c>
      <c r="E522" t="s">
        <v>525</v>
      </c>
    </row>
    <row r="523" spans="1:5">
      <c r="A523">
        <f>HYPERLINK("http://www.twitter.com/NYCParks/status/764176108082323456", "764176108082323456")</f>
        <v>0</v>
      </c>
      <c r="B523" s="2">
        <v>42594.795787037</v>
      </c>
      <c r="C523">
        <v>25</v>
      </c>
      <c r="D523">
        <v>5</v>
      </c>
      <c r="E523" t="s">
        <v>526</v>
      </c>
    </row>
    <row r="524" spans="1:5">
      <c r="A524">
        <f>HYPERLINK("http://www.twitter.com/NYCParks/status/764173692058341380", "764173692058341380")</f>
        <v>0</v>
      </c>
      <c r="B524" s="2">
        <v>42594.7891203704</v>
      </c>
      <c r="C524">
        <v>0</v>
      </c>
      <c r="D524">
        <v>0</v>
      </c>
      <c r="E524" t="s">
        <v>527</v>
      </c>
    </row>
    <row r="525" spans="1:5">
      <c r="A525">
        <f>HYPERLINK("http://www.twitter.com/NYCParks/status/764171853875347457", "764171853875347457")</f>
        <v>0</v>
      </c>
      <c r="B525" s="2">
        <v>42594.7840509259</v>
      </c>
      <c r="C525">
        <v>1</v>
      </c>
      <c r="D525">
        <v>0</v>
      </c>
      <c r="E525" t="s">
        <v>528</v>
      </c>
    </row>
    <row r="526" spans="1:5">
      <c r="A526">
        <f>HYPERLINK("http://www.twitter.com/NYCParks/status/764169640754999296", "764169640754999296")</f>
        <v>0</v>
      </c>
      <c r="B526" s="2">
        <v>42594.7779398148</v>
      </c>
      <c r="C526">
        <v>12</v>
      </c>
      <c r="D526">
        <v>3</v>
      </c>
      <c r="E526" t="s">
        <v>529</v>
      </c>
    </row>
    <row r="527" spans="1:5">
      <c r="A527">
        <f>HYPERLINK("http://www.twitter.com/NYCParks/status/764147068852113409", "764147068852113409")</f>
        <v>0</v>
      </c>
      <c r="B527" s="2">
        <v>42594.7156597222</v>
      </c>
      <c r="C527">
        <v>42</v>
      </c>
      <c r="D527">
        <v>15</v>
      </c>
      <c r="E527" t="s">
        <v>530</v>
      </c>
    </row>
    <row r="528" spans="1:5">
      <c r="A528">
        <f>HYPERLINK("http://www.twitter.com/NYCParks/status/764130697552560128", "764130697552560128")</f>
        <v>0</v>
      </c>
      <c r="B528" s="2">
        <v>42594.670474537</v>
      </c>
      <c r="C528">
        <v>21</v>
      </c>
      <c r="D528">
        <v>13</v>
      </c>
      <c r="E528" t="s">
        <v>531</v>
      </c>
    </row>
    <row r="529" spans="1:5">
      <c r="A529">
        <f>HYPERLINK("http://www.twitter.com/NYCParks/status/764114576308834304", "764114576308834304")</f>
        <v>0</v>
      </c>
      <c r="B529" s="2">
        <v>42594.6259953704</v>
      </c>
      <c r="C529">
        <v>15</v>
      </c>
      <c r="D529">
        <v>16</v>
      </c>
      <c r="E529" t="s">
        <v>532</v>
      </c>
    </row>
    <row r="530" spans="1:5">
      <c r="A530">
        <f>HYPERLINK("http://www.twitter.com/NYCParks/status/763817342166007812", "763817342166007812")</f>
        <v>0</v>
      </c>
      <c r="B530" s="2">
        <v>42593.805787037</v>
      </c>
      <c r="C530">
        <v>22</v>
      </c>
      <c r="D530">
        <v>15</v>
      </c>
      <c r="E530" t="s">
        <v>533</v>
      </c>
    </row>
    <row r="531" spans="1:5">
      <c r="A531">
        <f>HYPERLINK("http://www.twitter.com/NYCParks/status/763802236501782529", "763802236501782529")</f>
        <v>0</v>
      </c>
      <c r="B531" s="2">
        <v>42593.7640972222</v>
      </c>
      <c r="C531">
        <v>18</v>
      </c>
      <c r="D531">
        <v>20</v>
      </c>
      <c r="E531" t="s">
        <v>534</v>
      </c>
    </row>
    <row r="532" spans="1:5">
      <c r="A532">
        <f>HYPERLINK("http://www.twitter.com/NYCParks/status/763784635109273600", "763784635109273600")</f>
        <v>0</v>
      </c>
      <c r="B532" s="2">
        <v>42593.7155324074</v>
      </c>
      <c r="C532">
        <v>6</v>
      </c>
      <c r="D532">
        <v>8</v>
      </c>
      <c r="E532" t="s">
        <v>535</v>
      </c>
    </row>
    <row r="533" spans="1:5">
      <c r="A533">
        <f>HYPERLINK("http://www.twitter.com/NYCParks/status/763770251490299904", "763770251490299904")</f>
        <v>0</v>
      </c>
      <c r="B533" s="2">
        <v>42593.6758333333</v>
      </c>
      <c r="C533">
        <v>55</v>
      </c>
      <c r="D533">
        <v>22</v>
      </c>
      <c r="E533" t="s">
        <v>536</v>
      </c>
    </row>
    <row r="534" spans="1:5">
      <c r="A534">
        <f>HYPERLINK("http://www.twitter.com/NYCParks/status/763752055332868096", "763752055332868096")</f>
        <v>0</v>
      </c>
      <c r="B534" s="2">
        <v>42593.625625</v>
      </c>
      <c r="C534">
        <v>17</v>
      </c>
      <c r="D534">
        <v>8</v>
      </c>
      <c r="E534" t="s">
        <v>537</v>
      </c>
    </row>
    <row r="535" spans="1:5">
      <c r="A535">
        <f>HYPERLINK("http://www.twitter.com/NYCParks/status/763741482872348672", "763741482872348672")</f>
        <v>0</v>
      </c>
      <c r="B535" s="2">
        <v>42593.5964467593</v>
      </c>
      <c r="C535">
        <v>0</v>
      </c>
      <c r="D535">
        <v>0</v>
      </c>
      <c r="E535" t="s">
        <v>538</v>
      </c>
    </row>
    <row r="536" spans="1:5">
      <c r="A536">
        <f>HYPERLINK("http://www.twitter.com/NYCParks/status/763741179619971072", "763741179619971072")</f>
        <v>0</v>
      </c>
      <c r="B536" s="2">
        <v>42593.5956134259</v>
      </c>
      <c r="C536">
        <v>0</v>
      </c>
      <c r="D536">
        <v>0</v>
      </c>
      <c r="E536" t="s">
        <v>539</v>
      </c>
    </row>
    <row r="537" spans="1:5">
      <c r="A537">
        <f>HYPERLINK("http://www.twitter.com/NYCParks/status/763489524001439748", "763489524001439748")</f>
        <v>0</v>
      </c>
      <c r="B537" s="2">
        <v>42592.9011805556</v>
      </c>
      <c r="C537">
        <v>0</v>
      </c>
      <c r="D537">
        <v>0</v>
      </c>
      <c r="E537" t="s">
        <v>540</v>
      </c>
    </row>
    <row r="538" spans="1:5">
      <c r="A538">
        <f>HYPERLINK("http://www.twitter.com/NYCParks/status/763486396967419905", "763486396967419905")</f>
        <v>0</v>
      </c>
      <c r="B538" s="2">
        <v>42592.8925462963</v>
      </c>
      <c r="C538">
        <v>0</v>
      </c>
      <c r="D538">
        <v>4</v>
      </c>
      <c r="E538" t="s">
        <v>541</v>
      </c>
    </row>
    <row r="539" spans="1:5">
      <c r="A539">
        <f>HYPERLINK("http://www.twitter.com/NYCParks/status/763461282821464064", "763461282821464064")</f>
        <v>0</v>
      </c>
      <c r="B539" s="2">
        <v>42592.8232407407</v>
      </c>
      <c r="C539">
        <v>1</v>
      </c>
      <c r="D539">
        <v>0</v>
      </c>
      <c r="E539" t="s">
        <v>542</v>
      </c>
    </row>
    <row r="540" spans="1:5">
      <c r="A540">
        <f>HYPERLINK("http://www.twitter.com/NYCParks/status/763454939821727744", "763454939821727744")</f>
        <v>0</v>
      </c>
      <c r="B540" s="2">
        <v>42592.8057407407</v>
      </c>
      <c r="C540">
        <v>13</v>
      </c>
      <c r="D540">
        <v>5</v>
      </c>
      <c r="E540" t="s">
        <v>543</v>
      </c>
    </row>
    <row r="541" spans="1:5">
      <c r="A541">
        <f>HYPERLINK("http://www.twitter.com/NYCParks/status/763442398542331904", "763442398542331904")</f>
        <v>0</v>
      </c>
      <c r="B541" s="2">
        <v>42592.7711342593</v>
      </c>
      <c r="C541">
        <v>15</v>
      </c>
      <c r="D541">
        <v>5</v>
      </c>
      <c r="E541" t="s">
        <v>544</v>
      </c>
    </row>
    <row r="542" spans="1:5">
      <c r="A542">
        <f>HYPERLINK("http://www.twitter.com/NYCParks/status/763427271583657985", "763427271583657985")</f>
        <v>0</v>
      </c>
      <c r="B542" s="2">
        <v>42592.7293865741</v>
      </c>
      <c r="C542">
        <v>20</v>
      </c>
      <c r="D542">
        <v>10</v>
      </c>
      <c r="E542" t="s">
        <v>545</v>
      </c>
    </row>
    <row r="543" spans="1:5">
      <c r="A543">
        <f>HYPERLINK("http://www.twitter.com/NYCParks/status/763402161631928320", "763402161631928320")</f>
        <v>0</v>
      </c>
      <c r="B543" s="2">
        <v>42592.6601041667</v>
      </c>
      <c r="C543">
        <v>26</v>
      </c>
      <c r="D543">
        <v>16</v>
      </c>
      <c r="E543" t="s">
        <v>546</v>
      </c>
    </row>
    <row r="544" spans="1:5">
      <c r="A544">
        <f>HYPERLINK("http://www.twitter.com/NYCParks/status/763095157365415936", "763095157365415936")</f>
        <v>0</v>
      </c>
      <c r="B544" s="2">
        <v>42591.8129282407</v>
      </c>
      <c r="C544">
        <v>9</v>
      </c>
      <c r="D544">
        <v>10</v>
      </c>
      <c r="E544" t="s">
        <v>547</v>
      </c>
    </row>
    <row r="545" spans="1:5">
      <c r="A545">
        <f>HYPERLINK("http://www.twitter.com/NYCParks/status/763080026195685380", "763080026195685380")</f>
        <v>0</v>
      </c>
      <c r="B545" s="2">
        <v>42591.7711805556</v>
      </c>
      <c r="C545">
        <v>58</v>
      </c>
      <c r="D545">
        <v>33</v>
      </c>
      <c r="E545" t="s">
        <v>548</v>
      </c>
    </row>
    <row r="546" spans="1:5">
      <c r="A546">
        <f>HYPERLINK("http://www.twitter.com/NYCParks/status/763064952504680449", "763064952504680449")</f>
        <v>0</v>
      </c>
      <c r="B546" s="2">
        <v>42591.7295833333</v>
      </c>
      <c r="C546">
        <v>18</v>
      </c>
      <c r="D546">
        <v>13</v>
      </c>
      <c r="E546" t="s">
        <v>549</v>
      </c>
    </row>
    <row r="547" spans="1:5">
      <c r="A547">
        <f>HYPERLINK("http://www.twitter.com/NYCParks/status/763051682477568000", "763051682477568000")</f>
        <v>0</v>
      </c>
      <c r="B547" s="2">
        <v>42591.692962963</v>
      </c>
      <c r="C547">
        <v>11</v>
      </c>
      <c r="D547">
        <v>5</v>
      </c>
      <c r="E547" t="s">
        <v>550</v>
      </c>
    </row>
    <row r="548" spans="1:5">
      <c r="A548">
        <f>HYPERLINK("http://www.twitter.com/NYCParks/status/763030626580697088", "763030626580697088")</f>
        <v>0</v>
      </c>
      <c r="B548" s="2">
        <v>42591.6348611111</v>
      </c>
      <c r="C548">
        <v>0</v>
      </c>
      <c r="D548">
        <v>4</v>
      </c>
      <c r="E548" t="s">
        <v>551</v>
      </c>
    </row>
    <row r="549" spans="1:5">
      <c r="A549">
        <f>HYPERLINK("http://www.twitter.com/NYCParks/status/763018163990716417", "763018163990716417")</f>
        <v>0</v>
      </c>
      <c r="B549" s="2">
        <v>42591.600474537</v>
      </c>
      <c r="C549">
        <v>0</v>
      </c>
      <c r="D549">
        <v>0</v>
      </c>
      <c r="E549" t="s">
        <v>552</v>
      </c>
    </row>
    <row r="550" spans="1:5">
      <c r="A550">
        <f>HYPERLINK("http://www.twitter.com/NYCParks/status/762730158663098368", "762730158663098368")</f>
        <v>0</v>
      </c>
      <c r="B550" s="2">
        <v>42590.8057291667</v>
      </c>
      <c r="C550">
        <v>19</v>
      </c>
      <c r="D550">
        <v>15</v>
      </c>
      <c r="E550" t="s">
        <v>553</v>
      </c>
    </row>
    <row r="551" spans="1:5">
      <c r="A551">
        <f>HYPERLINK("http://www.twitter.com/NYCParks/status/762713847241248768", "762713847241248768")</f>
        <v>0</v>
      </c>
      <c r="B551" s="2">
        <v>42590.7607175926</v>
      </c>
      <c r="C551">
        <v>24</v>
      </c>
      <c r="D551">
        <v>11</v>
      </c>
      <c r="E551" t="s">
        <v>554</v>
      </c>
    </row>
    <row r="552" spans="1:5">
      <c r="A552">
        <f>HYPERLINK("http://www.twitter.com/NYCParks/status/762697455079157760", "762697455079157760")</f>
        <v>0</v>
      </c>
      <c r="B552" s="2">
        <v>42590.7154861111</v>
      </c>
      <c r="C552">
        <v>31</v>
      </c>
      <c r="D552">
        <v>27</v>
      </c>
      <c r="E552" t="s">
        <v>555</v>
      </c>
    </row>
    <row r="553" spans="1:5">
      <c r="A553">
        <f>HYPERLINK("http://www.twitter.com/NYCParks/status/762679461393362944", "762679461393362944")</f>
        <v>0</v>
      </c>
      <c r="B553" s="2">
        <v>42590.6658333333</v>
      </c>
      <c r="C553">
        <v>19</v>
      </c>
      <c r="D553">
        <v>9</v>
      </c>
      <c r="E553" t="s">
        <v>556</v>
      </c>
    </row>
    <row r="554" spans="1:5">
      <c r="A554">
        <f>HYPERLINK("http://www.twitter.com/NYCParks/status/762666687980240896", "762666687980240896")</f>
        <v>0</v>
      </c>
      <c r="B554" s="2">
        <v>42590.6305787037</v>
      </c>
      <c r="C554">
        <v>0</v>
      </c>
      <c r="D554">
        <v>15</v>
      </c>
      <c r="E554" t="s">
        <v>557</v>
      </c>
    </row>
    <row r="555" spans="1:5">
      <c r="A555">
        <f>HYPERLINK("http://www.twitter.com/NYCParks/status/761644249263796224", "761644249263796224")</f>
        <v>0</v>
      </c>
      <c r="B555" s="2">
        <v>42587.8091898148</v>
      </c>
      <c r="C555">
        <v>25</v>
      </c>
      <c r="D555">
        <v>21</v>
      </c>
      <c r="E555" t="s">
        <v>558</v>
      </c>
    </row>
    <row r="556" spans="1:5">
      <c r="A556">
        <f>HYPERLINK("http://www.twitter.com/NYCParks/status/761634193147326464", "761634193147326464")</f>
        <v>0</v>
      </c>
      <c r="B556" s="2">
        <v>42587.7814351852</v>
      </c>
      <c r="C556">
        <v>13</v>
      </c>
      <c r="D556">
        <v>3</v>
      </c>
      <c r="E556" t="s">
        <v>559</v>
      </c>
    </row>
    <row r="557" spans="1:5">
      <c r="A557">
        <f>HYPERLINK("http://www.twitter.com/NYCParks/status/761615335560712192", "761615335560712192")</f>
        <v>0</v>
      </c>
      <c r="B557" s="2">
        <v>42587.7293981481</v>
      </c>
      <c r="C557">
        <v>13</v>
      </c>
      <c r="D557">
        <v>4</v>
      </c>
      <c r="E557" t="s">
        <v>560</v>
      </c>
    </row>
    <row r="558" spans="1:5">
      <c r="A558">
        <f>HYPERLINK("http://www.twitter.com/NYCParks/status/761602702799413248", "761602702799413248")</f>
        <v>0</v>
      </c>
      <c r="B558" s="2">
        <v>42587.694537037</v>
      </c>
      <c r="C558">
        <v>19</v>
      </c>
      <c r="D558">
        <v>2</v>
      </c>
      <c r="E558" t="s">
        <v>561</v>
      </c>
    </row>
    <row r="559" spans="1:5">
      <c r="A559">
        <f>HYPERLINK("http://www.twitter.com/NYCParks/status/761593905750085632", "761593905750085632")</f>
        <v>0</v>
      </c>
      <c r="B559" s="2">
        <v>42587.6702662037</v>
      </c>
      <c r="C559">
        <v>9</v>
      </c>
      <c r="D559">
        <v>6</v>
      </c>
      <c r="E559" t="s">
        <v>562</v>
      </c>
    </row>
    <row r="560" spans="1:5">
      <c r="A560">
        <f>HYPERLINK("http://www.twitter.com/NYCParks/status/761280628906201088", "761280628906201088")</f>
        <v>0</v>
      </c>
      <c r="B560" s="2">
        <v>42586.805787037</v>
      </c>
      <c r="C560">
        <v>32</v>
      </c>
      <c r="D560">
        <v>11</v>
      </c>
      <c r="E560" t="s">
        <v>563</v>
      </c>
    </row>
    <row r="561" spans="1:5">
      <c r="A561">
        <f>HYPERLINK("http://www.twitter.com/NYCParks/status/761264275939790848", "761264275939790848")</f>
        <v>0</v>
      </c>
      <c r="B561" s="2">
        <v>42586.7606597222</v>
      </c>
      <c r="C561">
        <v>27</v>
      </c>
      <c r="D561">
        <v>22</v>
      </c>
      <c r="E561" t="s">
        <v>564</v>
      </c>
    </row>
    <row r="562" spans="1:5">
      <c r="A562">
        <f>HYPERLINK("http://www.twitter.com/NYCParks/status/761247916560375810", "761247916560375810")</f>
        <v>0</v>
      </c>
      <c r="B562" s="2">
        <v>42586.7155208333</v>
      </c>
      <c r="C562">
        <v>6</v>
      </c>
      <c r="D562">
        <v>5</v>
      </c>
      <c r="E562" t="s">
        <v>565</v>
      </c>
    </row>
    <row r="563" spans="1:5">
      <c r="A563">
        <f>HYPERLINK("http://www.twitter.com/NYCParks/status/761234078909796352", "761234078909796352")</f>
        <v>0</v>
      </c>
      <c r="B563" s="2">
        <v>42586.677337963</v>
      </c>
      <c r="C563">
        <v>13</v>
      </c>
      <c r="D563">
        <v>7</v>
      </c>
      <c r="E563" t="s">
        <v>566</v>
      </c>
    </row>
    <row r="564" spans="1:5">
      <c r="A564">
        <f>HYPERLINK("http://www.twitter.com/NYCParks/status/761214252485074944", "761214252485074944")</f>
        <v>0</v>
      </c>
      <c r="B564" s="2">
        <v>42586.6226273148</v>
      </c>
      <c r="C564">
        <v>0</v>
      </c>
      <c r="D564">
        <v>17</v>
      </c>
      <c r="E564" t="s">
        <v>567</v>
      </c>
    </row>
    <row r="565" spans="1:5">
      <c r="A565">
        <f>HYPERLINK("http://www.twitter.com/NYCParks/status/760954455139422208", "760954455139422208")</f>
        <v>0</v>
      </c>
      <c r="B565" s="2">
        <v>42585.9057175926</v>
      </c>
      <c r="C565">
        <v>0</v>
      </c>
      <c r="D565">
        <v>20</v>
      </c>
      <c r="E565" t="s">
        <v>568</v>
      </c>
    </row>
    <row r="566" spans="1:5">
      <c r="A566">
        <f>HYPERLINK("http://www.twitter.com/NYCParks/status/760928452727934976", "760928452727934976")</f>
        <v>0</v>
      </c>
      <c r="B566" s="2">
        <v>42585.8339699074</v>
      </c>
      <c r="C566">
        <v>119</v>
      </c>
      <c r="D566">
        <v>81</v>
      </c>
      <c r="E566" t="s">
        <v>569</v>
      </c>
    </row>
    <row r="567" spans="1:5">
      <c r="A567">
        <f>HYPERLINK("http://www.twitter.com/NYCParks/status/760909922448052224", "760909922448052224")</f>
        <v>0</v>
      </c>
      <c r="B567" s="2">
        <v>42585.7828356481</v>
      </c>
      <c r="C567">
        <v>34</v>
      </c>
      <c r="D567">
        <v>15</v>
      </c>
      <c r="E567" t="s">
        <v>570</v>
      </c>
    </row>
    <row r="568" spans="1:5">
      <c r="A568">
        <f>HYPERLINK("http://www.twitter.com/NYCParks/status/760885502715236352", "760885502715236352")</f>
        <v>0</v>
      </c>
      <c r="B568" s="2">
        <v>42585.7154513889</v>
      </c>
      <c r="C568">
        <v>18</v>
      </c>
      <c r="D568">
        <v>10</v>
      </c>
      <c r="E568" t="s">
        <v>571</v>
      </c>
    </row>
    <row r="569" spans="1:5">
      <c r="A569">
        <f>HYPERLINK("http://www.twitter.com/NYCParks/status/760869225565134848", "760869225565134848")</f>
        <v>0</v>
      </c>
      <c r="B569" s="2">
        <v>42585.6705324074</v>
      </c>
      <c r="C569">
        <v>15</v>
      </c>
      <c r="D569">
        <v>17</v>
      </c>
      <c r="E569" t="s">
        <v>572</v>
      </c>
    </row>
    <row r="570" spans="1:5">
      <c r="A570">
        <f>HYPERLINK("http://www.twitter.com/NYCParks/status/760852573624467456", "760852573624467456")</f>
        <v>0</v>
      </c>
      <c r="B570" s="2">
        <v>42585.6245833333</v>
      </c>
      <c r="C570">
        <v>0</v>
      </c>
      <c r="D570">
        <v>16</v>
      </c>
      <c r="E570" t="s">
        <v>573</v>
      </c>
    </row>
    <row r="571" spans="1:5">
      <c r="A571">
        <f>HYPERLINK("http://www.twitter.com/NYCParks/status/760555887786356736", "760555887786356736")</f>
        <v>0</v>
      </c>
      <c r="B571" s="2">
        <v>42584.8058796296</v>
      </c>
      <c r="C571">
        <v>43</v>
      </c>
      <c r="D571">
        <v>39</v>
      </c>
      <c r="E571" t="s">
        <v>574</v>
      </c>
    </row>
    <row r="572" spans="1:5">
      <c r="A572">
        <f>HYPERLINK("http://www.twitter.com/NYCParks/status/760539459045715968", "760539459045715968")</f>
        <v>0</v>
      </c>
      <c r="B572" s="2">
        <v>42584.7605439815</v>
      </c>
      <c r="C572">
        <v>14</v>
      </c>
      <c r="D572">
        <v>11</v>
      </c>
      <c r="E572" t="s">
        <v>575</v>
      </c>
    </row>
    <row r="573" spans="1:5">
      <c r="A573">
        <f>HYPERLINK("http://www.twitter.com/NYCParks/status/760524360138588161", "760524360138588161")</f>
        <v>0</v>
      </c>
      <c r="B573" s="2">
        <v>42584.7188773148</v>
      </c>
      <c r="C573">
        <v>34</v>
      </c>
      <c r="D573">
        <v>16</v>
      </c>
      <c r="E573" t="s">
        <v>576</v>
      </c>
    </row>
    <row r="574" spans="1:5">
      <c r="A574">
        <f>HYPERLINK("http://www.twitter.com/NYCParks/status/760506743298359296", "760506743298359296")</f>
        <v>0</v>
      </c>
      <c r="B574" s="2">
        <v>42584.6702662037</v>
      </c>
      <c r="C574">
        <v>14</v>
      </c>
      <c r="D574">
        <v>6</v>
      </c>
      <c r="E574" t="s">
        <v>577</v>
      </c>
    </row>
    <row r="575" spans="1:5">
      <c r="A575">
        <f>HYPERLINK("http://www.twitter.com/NYCParks/status/760493576845422592", "760493576845422592")</f>
        <v>0</v>
      </c>
      <c r="B575" s="2">
        <v>42584.6339351852</v>
      </c>
      <c r="C575">
        <v>23</v>
      </c>
      <c r="D575">
        <v>16</v>
      </c>
      <c r="E575" t="s">
        <v>578</v>
      </c>
    </row>
    <row r="576" spans="1:5">
      <c r="A576">
        <f>HYPERLINK("http://www.twitter.com/NYCParks/status/760208587851460608", "760208587851460608")</f>
        <v>0</v>
      </c>
      <c r="B576" s="2">
        <v>42583.8475115741</v>
      </c>
      <c r="C576">
        <v>23</v>
      </c>
      <c r="D576">
        <v>12</v>
      </c>
      <c r="E576" t="s">
        <v>579</v>
      </c>
    </row>
    <row r="577" spans="1:5">
      <c r="A577">
        <f>HYPERLINK("http://www.twitter.com/NYCParks/status/760193462834692096", "760193462834692096")</f>
        <v>0</v>
      </c>
      <c r="B577" s="2">
        <v>42583.805775463</v>
      </c>
      <c r="C577">
        <v>11</v>
      </c>
      <c r="D577">
        <v>6</v>
      </c>
      <c r="E577" t="s">
        <v>580</v>
      </c>
    </row>
    <row r="578" spans="1:5">
      <c r="A578">
        <f>HYPERLINK("http://www.twitter.com/NYCParks/status/760178355211829248", "760178355211829248")</f>
        <v>0</v>
      </c>
      <c r="B578" s="2">
        <v>42583.7640856481</v>
      </c>
      <c r="C578">
        <v>14</v>
      </c>
      <c r="D578">
        <v>13</v>
      </c>
      <c r="E578" t="s">
        <v>581</v>
      </c>
    </row>
    <row r="579" spans="1:5">
      <c r="A579">
        <f>HYPERLINK("http://www.twitter.com/NYCParks/status/760162644468916224", "760162644468916224")</f>
        <v>0</v>
      </c>
      <c r="B579" s="2">
        <v>42583.7207407407</v>
      </c>
      <c r="C579">
        <v>21</v>
      </c>
      <c r="D579">
        <v>12</v>
      </c>
      <c r="E579" t="s">
        <v>582</v>
      </c>
    </row>
    <row r="580" spans="1:5">
      <c r="A580">
        <f>HYPERLINK("http://www.twitter.com/NYCParks/status/760146886816886784", "760146886816886784")</f>
        <v>0</v>
      </c>
      <c r="B580" s="2">
        <v>42583.6772569444</v>
      </c>
      <c r="C580">
        <v>19</v>
      </c>
      <c r="D580">
        <v>8</v>
      </c>
      <c r="E580" t="s">
        <v>583</v>
      </c>
    </row>
    <row r="581" spans="1:5">
      <c r="A581">
        <f>HYPERLINK("http://www.twitter.com/NYCParks/status/760129897834643461", "760129897834643461")</f>
        <v>0</v>
      </c>
      <c r="B581" s="2">
        <v>42583.6303703704</v>
      </c>
      <c r="C581">
        <v>0</v>
      </c>
      <c r="D581">
        <v>8</v>
      </c>
      <c r="E581" t="s">
        <v>584</v>
      </c>
    </row>
    <row r="582" spans="1:5">
      <c r="A582">
        <f>HYPERLINK("http://www.twitter.com/NYCParks/status/760129420858449924", "760129420858449924")</f>
        <v>0</v>
      </c>
      <c r="B582" s="2">
        <v>42583.6290625</v>
      </c>
      <c r="C582">
        <v>0</v>
      </c>
      <c r="D582">
        <v>0</v>
      </c>
      <c r="E582" t="s">
        <v>585</v>
      </c>
    </row>
    <row r="583" spans="1:5">
      <c r="A583">
        <f>HYPERLINK("http://www.twitter.com/NYCParks/status/760127804382085120", "760127804382085120")</f>
        <v>0</v>
      </c>
      <c r="B583" s="2">
        <v>42583.6245949074</v>
      </c>
      <c r="C583">
        <v>0</v>
      </c>
      <c r="D583">
        <v>0</v>
      </c>
      <c r="E583" t="s">
        <v>586</v>
      </c>
    </row>
    <row r="584" spans="1:5">
      <c r="A584">
        <f>HYPERLINK("http://www.twitter.com/NYCParks/status/759111287053750272", "759111287053750272")</f>
        <v>0</v>
      </c>
      <c r="B584" s="2">
        <v>42580.8195486111</v>
      </c>
      <c r="C584">
        <v>84</v>
      </c>
      <c r="D584">
        <v>19</v>
      </c>
      <c r="E584" t="s">
        <v>587</v>
      </c>
    </row>
    <row r="585" spans="1:5">
      <c r="A585">
        <f>HYPERLINK("http://www.twitter.com/NYCParks/status/759093768985448448", "759093768985448448")</f>
        <v>0</v>
      </c>
      <c r="B585" s="2">
        <v>42580.7712037037</v>
      </c>
      <c r="C585">
        <v>39</v>
      </c>
      <c r="D585">
        <v>34</v>
      </c>
      <c r="E585" t="s">
        <v>588</v>
      </c>
    </row>
    <row r="586" spans="1:5">
      <c r="A586">
        <f>HYPERLINK("http://www.twitter.com/NYCParks/status/759077316970553345", "759077316970553345")</f>
        <v>0</v>
      </c>
      <c r="B586" s="2">
        <v>42580.7257986111</v>
      </c>
      <c r="C586">
        <v>12</v>
      </c>
      <c r="D586">
        <v>11</v>
      </c>
      <c r="E586" t="s">
        <v>589</v>
      </c>
    </row>
    <row r="587" spans="1:5">
      <c r="A587">
        <f>HYPERLINK("http://www.twitter.com/NYCParks/status/759060969247105024", "759060969247105024")</f>
        <v>0</v>
      </c>
      <c r="B587" s="2">
        <v>42580.6806944444</v>
      </c>
      <c r="C587">
        <v>9</v>
      </c>
      <c r="D587">
        <v>12</v>
      </c>
      <c r="E587" t="s">
        <v>590</v>
      </c>
    </row>
    <row r="588" spans="1:5">
      <c r="A588">
        <f>HYPERLINK("http://www.twitter.com/NYCParks/status/759040721504473088", "759040721504473088")</f>
        <v>0</v>
      </c>
      <c r="B588" s="2">
        <v>42580.6248148148</v>
      </c>
      <c r="C588">
        <v>19</v>
      </c>
      <c r="D588">
        <v>7</v>
      </c>
      <c r="E588" t="s">
        <v>591</v>
      </c>
    </row>
    <row r="589" spans="1:5">
      <c r="A589">
        <f>HYPERLINK("http://www.twitter.com/NYCParks/status/758778779321921536", "758778779321921536")</f>
        <v>0</v>
      </c>
      <c r="B589" s="2">
        <v>42579.9020023148</v>
      </c>
      <c r="C589">
        <v>0</v>
      </c>
      <c r="D589">
        <v>7</v>
      </c>
      <c r="E589" t="s">
        <v>592</v>
      </c>
    </row>
    <row r="590" spans="1:5">
      <c r="A590">
        <f>HYPERLINK("http://www.twitter.com/NYCParks/status/758754123596652545", "758754123596652545")</f>
        <v>0</v>
      </c>
      <c r="B590" s="2">
        <v>42579.8339583333</v>
      </c>
      <c r="C590">
        <v>32</v>
      </c>
      <c r="D590">
        <v>15</v>
      </c>
      <c r="E590" t="s">
        <v>593</v>
      </c>
    </row>
    <row r="591" spans="1:5">
      <c r="A591">
        <f>HYPERLINK("http://www.twitter.com/NYCParks/status/758739029370081284", "758739029370081284")</f>
        <v>0</v>
      </c>
      <c r="B591" s="2">
        <v>42579.7923032407</v>
      </c>
      <c r="C591">
        <v>24</v>
      </c>
      <c r="D591">
        <v>13</v>
      </c>
      <c r="E591" t="s">
        <v>594</v>
      </c>
    </row>
    <row r="592" spans="1:5">
      <c r="A592">
        <f>HYPERLINK("http://www.twitter.com/NYCParks/status/758723925807333380", "758723925807333380")</f>
        <v>0</v>
      </c>
      <c r="B592" s="2">
        <v>42579.750625</v>
      </c>
      <c r="C592">
        <v>5</v>
      </c>
      <c r="D592">
        <v>8</v>
      </c>
      <c r="E592" t="s">
        <v>595</v>
      </c>
    </row>
    <row r="593" spans="1:5">
      <c r="A593">
        <f>HYPERLINK("http://www.twitter.com/NYCParks/status/758708923872477185", "758708923872477185")</f>
        <v>0</v>
      </c>
      <c r="B593" s="2">
        <v>42579.7092361111</v>
      </c>
      <c r="C593">
        <v>9</v>
      </c>
      <c r="D593">
        <v>4</v>
      </c>
      <c r="E593" t="s">
        <v>596</v>
      </c>
    </row>
    <row r="594" spans="1:5">
      <c r="A594">
        <f>HYPERLINK("http://www.twitter.com/NYCParks/status/758693665233666049", "758693665233666049")</f>
        <v>0</v>
      </c>
      <c r="B594" s="2">
        <v>42579.6671296296</v>
      </c>
      <c r="C594">
        <v>14</v>
      </c>
      <c r="D594">
        <v>12</v>
      </c>
      <c r="E594" t="s">
        <v>597</v>
      </c>
    </row>
    <row r="595" spans="1:5">
      <c r="A595">
        <f>HYPERLINK("http://www.twitter.com/NYCParks/status/758680959344664576", "758680959344664576")</f>
        <v>0</v>
      </c>
      <c r="B595" s="2">
        <v>42579.6320601852</v>
      </c>
      <c r="C595">
        <v>0</v>
      </c>
      <c r="D595">
        <v>24</v>
      </c>
      <c r="E595" t="s">
        <v>598</v>
      </c>
    </row>
    <row r="596" spans="1:5">
      <c r="A596">
        <f>HYPERLINK("http://www.twitter.com/NYCParks/status/758399194688327680", "758399194688327680")</f>
        <v>0</v>
      </c>
      <c r="B596" s="2">
        <v>42578.8545486111</v>
      </c>
      <c r="C596">
        <v>45</v>
      </c>
      <c r="D596">
        <v>16</v>
      </c>
      <c r="E596" t="s">
        <v>599</v>
      </c>
    </row>
    <row r="597" spans="1:5">
      <c r="A597">
        <f>HYPERLINK("http://www.twitter.com/NYCParks/status/758384104777850880", "758384104777850880")</f>
        <v>0</v>
      </c>
      <c r="B597" s="2">
        <v>42578.8129050926</v>
      </c>
      <c r="C597">
        <v>510</v>
      </c>
      <c r="D597">
        <v>229</v>
      </c>
      <c r="E597" t="s">
        <v>600</v>
      </c>
    </row>
    <row r="598" spans="1:5">
      <c r="A598">
        <f>HYPERLINK("http://www.twitter.com/NYCParks/status/758377015770804224", "758377015770804224")</f>
        <v>0</v>
      </c>
      <c r="B598" s="2">
        <v>42578.7933449074</v>
      </c>
      <c r="C598">
        <v>7</v>
      </c>
      <c r="D598">
        <v>0</v>
      </c>
      <c r="E598" t="s">
        <v>601</v>
      </c>
    </row>
    <row r="599" spans="1:5">
      <c r="A599">
        <f>HYPERLINK("http://www.twitter.com/NYCParks/status/758370482576031744", "758370482576031744")</f>
        <v>0</v>
      </c>
      <c r="B599" s="2">
        <v>42578.7753125</v>
      </c>
      <c r="C599">
        <v>22</v>
      </c>
      <c r="D599">
        <v>14</v>
      </c>
      <c r="E599" t="s">
        <v>602</v>
      </c>
    </row>
    <row r="600" spans="1:5">
      <c r="A600">
        <f>HYPERLINK("http://www.twitter.com/NYCParks/status/758346433733033984", "758346433733033984")</f>
        <v>0</v>
      </c>
      <c r="B600" s="2">
        <v>42578.7089467593</v>
      </c>
      <c r="C600">
        <v>69</v>
      </c>
      <c r="D600">
        <v>27</v>
      </c>
      <c r="E600" t="s">
        <v>603</v>
      </c>
    </row>
    <row r="601" spans="1:5">
      <c r="A601">
        <f>HYPERLINK("http://www.twitter.com/NYCParks/status/758331324008697856", "758331324008697856")</f>
        <v>0</v>
      </c>
      <c r="B601" s="2">
        <v>42578.6672569444</v>
      </c>
      <c r="C601">
        <v>24</v>
      </c>
      <c r="D601">
        <v>17</v>
      </c>
      <c r="E601" t="s">
        <v>604</v>
      </c>
    </row>
    <row r="602" spans="1:5">
      <c r="A602">
        <f>HYPERLINK("http://www.twitter.com/NYCParks/status/758315926597013507", "758315926597013507")</f>
        <v>0</v>
      </c>
      <c r="B602" s="2">
        <v>42578.6247685185</v>
      </c>
      <c r="C602">
        <v>0</v>
      </c>
      <c r="D602">
        <v>43</v>
      </c>
      <c r="E602" t="s">
        <v>605</v>
      </c>
    </row>
    <row r="603" spans="1:5">
      <c r="A603">
        <f>HYPERLINK("http://www.twitter.com/NYCParks/status/758045830985224192", "758045830985224192")</f>
        <v>0</v>
      </c>
      <c r="B603" s="2">
        <v>42577.8794444444</v>
      </c>
      <c r="C603">
        <v>0</v>
      </c>
      <c r="D603">
        <v>5</v>
      </c>
      <c r="E603" t="s">
        <v>606</v>
      </c>
    </row>
    <row r="604" spans="1:5">
      <c r="A604">
        <f>HYPERLINK("http://www.twitter.com/NYCParks/status/758019159410212864", "758019159410212864")</f>
        <v>0</v>
      </c>
      <c r="B604" s="2">
        <v>42577.8058449074</v>
      </c>
      <c r="C604">
        <v>20</v>
      </c>
      <c r="D604">
        <v>9</v>
      </c>
      <c r="E604" t="s">
        <v>607</v>
      </c>
    </row>
    <row r="605" spans="1:5">
      <c r="A605">
        <f>HYPERLINK("http://www.twitter.com/NYCParks/status/758002778904129536", "758002778904129536")</f>
        <v>0</v>
      </c>
      <c r="B605" s="2">
        <v>42577.7606481481</v>
      </c>
      <c r="C605">
        <v>28</v>
      </c>
      <c r="D605">
        <v>23</v>
      </c>
      <c r="E605" t="s">
        <v>608</v>
      </c>
    </row>
    <row r="606" spans="1:5">
      <c r="A606">
        <f>HYPERLINK("http://www.twitter.com/NYCParks/status/757986408111964160", "757986408111964160")</f>
        <v>0</v>
      </c>
      <c r="B606" s="2">
        <v>42577.715474537</v>
      </c>
      <c r="C606">
        <v>28</v>
      </c>
      <c r="D606">
        <v>20</v>
      </c>
      <c r="E606" t="s">
        <v>609</v>
      </c>
    </row>
    <row r="607" spans="1:5">
      <c r="A607">
        <f>HYPERLINK("http://www.twitter.com/NYCParks/status/757970045167427585", "757970045167427585")</f>
        <v>0</v>
      </c>
      <c r="B607" s="2">
        <v>42577.6703125</v>
      </c>
      <c r="C607">
        <v>14</v>
      </c>
      <c r="D607">
        <v>6</v>
      </c>
      <c r="E607" t="s">
        <v>610</v>
      </c>
    </row>
    <row r="608" spans="1:5">
      <c r="A608">
        <f>HYPERLINK("http://www.twitter.com/NYCParks/status/757953653084946433", "757953653084946433")</f>
        <v>0</v>
      </c>
      <c r="B608" s="2">
        <v>42577.6250810185</v>
      </c>
      <c r="C608">
        <v>0</v>
      </c>
      <c r="D608">
        <v>31</v>
      </c>
      <c r="E608" t="s">
        <v>611</v>
      </c>
    </row>
    <row r="609" spans="1:5">
      <c r="A609">
        <f>HYPERLINK("http://www.twitter.com/NYCParks/status/757943227819368448", "757943227819368448")</f>
        <v>0</v>
      </c>
      <c r="B609" s="2">
        <v>42577.5963194444</v>
      </c>
      <c r="C609">
        <v>2</v>
      </c>
      <c r="D609">
        <v>0</v>
      </c>
      <c r="E609" t="s">
        <v>612</v>
      </c>
    </row>
    <row r="610" spans="1:5">
      <c r="A610">
        <f>HYPERLINK("http://www.twitter.com/NYCParks/status/757702784640843776", "757702784640843776")</f>
        <v>0</v>
      </c>
      <c r="B610" s="2">
        <v>42576.9328125</v>
      </c>
      <c r="C610">
        <v>0</v>
      </c>
      <c r="D610">
        <v>0</v>
      </c>
      <c r="E610" t="s">
        <v>613</v>
      </c>
    </row>
    <row r="611" spans="1:5">
      <c r="A611">
        <f>HYPERLINK("http://www.twitter.com/NYCParks/status/757697135928287232", "757697135928287232")</f>
        <v>0</v>
      </c>
      <c r="B611" s="2">
        <v>42576.9172337963</v>
      </c>
      <c r="C611">
        <v>0</v>
      </c>
      <c r="D611">
        <v>0</v>
      </c>
      <c r="E611" t="s">
        <v>614</v>
      </c>
    </row>
    <row r="612" spans="1:5">
      <c r="A612">
        <f>HYPERLINK("http://www.twitter.com/NYCParks/status/757656726934056961", "757656726934056961")</f>
        <v>0</v>
      </c>
      <c r="B612" s="2">
        <v>42576.8057175926</v>
      </c>
      <c r="C612">
        <v>11</v>
      </c>
      <c r="D612">
        <v>9</v>
      </c>
      <c r="E612" t="s">
        <v>615</v>
      </c>
    </row>
    <row r="613" spans="1:5">
      <c r="A613">
        <f>HYPERLINK("http://www.twitter.com/NYCParks/status/757640369769181184", "757640369769181184")</f>
        <v>0</v>
      </c>
      <c r="B613" s="2">
        <v>42576.7605902778</v>
      </c>
      <c r="C613">
        <v>8</v>
      </c>
      <c r="D613">
        <v>1</v>
      </c>
      <c r="E613" t="s">
        <v>616</v>
      </c>
    </row>
    <row r="614" spans="1:5">
      <c r="A614">
        <f>HYPERLINK("http://www.twitter.com/NYCParks/status/757624013900439552", "757624013900439552")</f>
        <v>0</v>
      </c>
      <c r="B614" s="2">
        <v>42576.7154513889</v>
      </c>
      <c r="C614">
        <v>25</v>
      </c>
      <c r="D614">
        <v>15</v>
      </c>
      <c r="E614" t="s">
        <v>617</v>
      </c>
    </row>
    <row r="615" spans="1:5">
      <c r="A615">
        <f>HYPERLINK("http://www.twitter.com/NYCParks/status/757618857876021249", "757618857876021249")</f>
        <v>0</v>
      </c>
      <c r="B615" s="2">
        <v>42576.7012268519</v>
      </c>
      <c r="C615">
        <v>0</v>
      </c>
      <c r="D615">
        <v>0</v>
      </c>
      <c r="E615" t="s">
        <v>618</v>
      </c>
    </row>
    <row r="616" spans="1:5">
      <c r="A616">
        <f>HYPERLINK("http://www.twitter.com/NYCParks/status/757617188123602944", "757617188123602944")</f>
        <v>0</v>
      </c>
      <c r="B616" s="2">
        <v>42576.6966203704</v>
      </c>
      <c r="C616">
        <v>1</v>
      </c>
      <c r="D616">
        <v>0</v>
      </c>
      <c r="E616" t="s">
        <v>619</v>
      </c>
    </row>
    <row r="617" spans="1:5">
      <c r="A617">
        <f>HYPERLINK("http://www.twitter.com/NYCParks/status/757608243678081027", "757608243678081027")</f>
        <v>0</v>
      </c>
      <c r="B617" s="2">
        <v>42576.6719328704</v>
      </c>
      <c r="C617">
        <v>17</v>
      </c>
      <c r="D617">
        <v>17</v>
      </c>
      <c r="E617" t="s">
        <v>620</v>
      </c>
    </row>
    <row r="618" spans="1:5">
      <c r="A618">
        <f>HYPERLINK("http://www.twitter.com/NYCParks/status/757592646957293568", "757592646957293568")</f>
        <v>0</v>
      </c>
      <c r="B618" s="2">
        <v>42576.628900463</v>
      </c>
      <c r="C618">
        <v>17</v>
      </c>
      <c r="D618">
        <v>6</v>
      </c>
      <c r="E618" t="s">
        <v>621</v>
      </c>
    </row>
    <row r="619" spans="1:5">
      <c r="A619">
        <f>HYPERLINK("http://www.twitter.com/NYCParks/status/756579915470868484", "756579915470868484")</f>
        <v>0</v>
      </c>
      <c r="B619" s="2">
        <v>42573.8342939815</v>
      </c>
      <c r="C619">
        <v>17</v>
      </c>
      <c r="D619">
        <v>10</v>
      </c>
      <c r="E619" t="s">
        <v>622</v>
      </c>
    </row>
    <row r="620" spans="1:5">
      <c r="A620">
        <f>HYPERLINK("http://www.twitter.com/NYCParks/status/756564850197798913", "756564850197798913")</f>
        <v>0</v>
      </c>
      <c r="B620" s="2">
        <v>42573.7927199074</v>
      </c>
      <c r="C620">
        <v>39</v>
      </c>
      <c r="D620">
        <v>22</v>
      </c>
      <c r="E620" t="s">
        <v>623</v>
      </c>
    </row>
    <row r="621" spans="1:5">
      <c r="A621">
        <f>HYPERLINK("http://www.twitter.com/NYCParks/status/756549744684654592", "756549744684654592")</f>
        <v>0</v>
      </c>
      <c r="B621" s="2">
        <v>42573.7510300926</v>
      </c>
      <c r="C621">
        <v>24</v>
      </c>
      <c r="D621">
        <v>14</v>
      </c>
      <c r="E621" t="s">
        <v>624</v>
      </c>
    </row>
    <row r="622" spans="1:5">
      <c r="A622">
        <f>HYPERLINK("http://www.twitter.com/NYCParks/status/756534677217931264", "756534677217931264")</f>
        <v>0</v>
      </c>
      <c r="B622" s="2">
        <v>42573.7094560185</v>
      </c>
      <c r="C622">
        <v>27</v>
      </c>
      <c r="D622">
        <v>12</v>
      </c>
      <c r="E622" t="s">
        <v>625</v>
      </c>
    </row>
    <row r="623" spans="1:5">
      <c r="A623">
        <f>HYPERLINK("http://www.twitter.com/NYCParks/status/756519498061123584", "756519498061123584")</f>
        <v>0</v>
      </c>
      <c r="B623" s="2">
        <v>42573.6675694444</v>
      </c>
      <c r="C623">
        <v>0</v>
      </c>
      <c r="D623">
        <v>24</v>
      </c>
      <c r="E623" t="s">
        <v>626</v>
      </c>
    </row>
    <row r="624" spans="1:5">
      <c r="A624">
        <f>HYPERLINK("http://www.twitter.com/NYCParks/status/756504427335417857", "756504427335417857")</f>
        <v>0</v>
      </c>
      <c r="B624" s="2">
        <v>42573.6259837963</v>
      </c>
      <c r="C624">
        <v>17</v>
      </c>
      <c r="D624">
        <v>18</v>
      </c>
      <c r="E624" t="s">
        <v>627</v>
      </c>
    </row>
    <row r="625" spans="1:5">
      <c r="A625">
        <f>HYPERLINK("http://www.twitter.com/NYCParks/status/756240672244568064", "756240672244568064")</f>
        <v>0</v>
      </c>
      <c r="B625" s="2">
        <v>42572.8981597222</v>
      </c>
      <c r="C625">
        <v>0</v>
      </c>
      <c r="D625">
        <v>9</v>
      </c>
      <c r="E625" t="s">
        <v>628</v>
      </c>
    </row>
    <row r="626" spans="1:5">
      <c r="A626">
        <f>HYPERLINK("http://www.twitter.com/NYCParks/status/756210943588261889", "756210943588261889")</f>
        <v>0</v>
      </c>
      <c r="B626" s="2">
        <v>42572.8161226852</v>
      </c>
      <c r="C626">
        <v>16</v>
      </c>
      <c r="D626">
        <v>8</v>
      </c>
      <c r="E626" t="s">
        <v>629</v>
      </c>
    </row>
    <row r="627" spans="1:5">
      <c r="A627">
        <f>HYPERLINK("http://www.twitter.com/NYCParks/status/756195868068417536", "756195868068417536")</f>
        <v>0</v>
      </c>
      <c r="B627" s="2">
        <v>42572.774525463</v>
      </c>
      <c r="C627">
        <v>45</v>
      </c>
      <c r="D627">
        <v>15</v>
      </c>
      <c r="E627" t="s">
        <v>630</v>
      </c>
    </row>
    <row r="628" spans="1:5">
      <c r="A628">
        <f>HYPERLINK("http://www.twitter.com/NYCParks/status/756180535328866308", "756180535328866308")</f>
        <v>0</v>
      </c>
      <c r="B628" s="2">
        <v>42572.7322106482</v>
      </c>
      <c r="C628">
        <v>0</v>
      </c>
      <c r="D628">
        <v>14</v>
      </c>
      <c r="E628" t="s">
        <v>631</v>
      </c>
    </row>
    <row r="629" spans="1:5">
      <c r="A629">
        <f>HYPERLINK("http://www.twitter.com/NYCParks/status/756163111162417152", "756163111162417152")</f>
        <v>0</v>
      </c>
      <c r="B629" s="2">
        <v>42572.6841319444</v>
      </c>
      <c r="C629">
        <v>13</v>
      </c>
      <c r="D629">
        <v>12</v>
      </c>
      <c r="E629" t="s">
        <v>632</v>
      </c>
    </row>
    <row r="630" spans="1:5">
      <c r="A630">
        <f>HYPERLINK("http://www.twitter.com/NYCParks/status/756148733117603840", "756148733117603840")</f>
        <v>0</v>
      </c>
      <c r="B630" s="2">
        <v>42572.6444560185</v>
      </c>
      <c r="C630">
        <v>0</v>
      </c>
      <c r="D630">
        <v>0</v>
      </c>
      <c r="E630" t="s">
        <v>633</v>
      </c>
    </row>
    <row r="631" spans="1:5">
      <c r="A631">
        <f>HYPERLINK("http://www.twitter.com/NYCParks/status/756146220461068289", "756146220461068289")</f>
        <v>0</v>
      </c>
      <c r="B631" s="2">
        <v>42572.6375231482</v>
      </c>
      <c r="C631">
        <v>358</v>
      </c>
      <c r="D631">
        <v>215</v>
      </c>
      <c r="E631" t="s">
        <v>634</v>
      </c>
    </row>
    <row r="632" spans="1:5">
      <c r="A632">
        <f>HYPERLINK("http://www.twitter.com/NYCParks/status/755864452487081984", "755864452487081984")</f>
        <v>0</v>
      </c>
      <c r="B632" s="2">
        <v>42571.8599884259</v>
      </c>
      <c r="C632">
        <v>0</v>
      </c>
      <c r="D632">
        <v>3</v>
      </c>
      <c r="E632" t="s">
        <v>635</v>
      </c>
    </row>
    <row r="633" spans="1:5">
      <c r="A633">
        <f>HYPERLINK("http://www.twitter.com/NYCParks/status/755846495912329217", "755846495912329217")</f>
        <v>0</v>
      </c>
      <c r="B633" s="2">
        <v>42571.8104398148</v>
      </c>
      <c r="C633">
        <v>0</v>
      </c>
      <c r="D633">
        <v>14</v>
      </c>
      <c r="E633" t="s">
        <v>636</v>
      </c>
    </row>
    <row r="634" spans="1:5">
      <c r="A634">
        <f>HYPERLINK("http://www.twitter.com/NYCParks/status/755828438850740224", "755828438850740224")</f>
        <v>0</v>
      </c>
      <c r="B634" s="2">
        <v>42571.7606134259</v>
      </c>
      <c r="C634">
        <v>13</v>
      </c>
      <c r="D634">
        <v>10</v>
      </c>
      <c r="E634" t="s">
        <v>637</v>
      </c>
    </row>
    <row r="635" spans="1:5">
      <c r="A635">
        <f>HYPERLINK("http://www.twitter.com/NYCParks/status/755812068415143936", "755812068415143936")</f>
        <v>0</v>
      </c>
      <c r="B635" s="2">
        <v>42571.7154398148</v>
      </c>
      <c r="C635">
        <v>11</v>
      </c>
      <c r="D635">
        <v>6</v>
      </c>
      <c r="E635" t="s">
        <v>638</v>
      </c>
    </row>
    <row r="636" spans="1:5">
      <c r="A636">
        <f>HYPERLINK("http://www.twitter.com/NYCParks/status/755794604969041921", "755794604969041921")</f>
        <v>0</v>
      </c>
      <c r="B636" s="2">
        <v>42571.6672453704</v>
      </c>
      <c r="C636">
        <v>20</v>
      </c>
      <c r="D636">
        <v>6</v>
      </c>
      <c r="E636" t="s">
        <v>639</v>
      </c>
    </row>
    <row r="637" spans="1:5">
      <c r="A637">
        <f>HYPERLINK("http://www.twitter.com/NYCParks/status/755791612282822656", "755791612282822656")</f>
        <v>0</v>
      </c>
      <c r="B637" s="2">
        <v>42571.6589814815</v>
      </c>
      <c r="C637">
        <v>1</v>
      </c>
      <c r="D637">
        <v>0</v>
      </c>
      <c r="E637" t="s">
        <v>640</v>
      </c>
    </row>
    <row r="638" spans="1:5">
      <c r="A638">
        <f>HYPERLINK("http://www.twitter.com/NYCParks/status/755527260162158593", "755527260162158593")</f>
        <v>0</v>
      </c>
      <c r="B638" s="2">
        <v>42570.9295138889</v>
      </c>
      <c r="C638">
        <v>14</v>
      </c>
      <c r="D638">
        <v>11</v>
      </c>
      <c r="E638" t="s">
        <v>641</v>
      </c>
    </row>
    <row r="639" spans="1:5">
      <c r="A639">
        <f>HYPERLINK("http://www.twitter.com/NYCParks/status/755514311922085892", "755514311922085892")</f>
        <v>0</v>
      </c>
      <c r="B639" s="2">
        <v>42570.8937847222</v>
      </c>
      <c r="C639">
        <v>0</v>
      </c>
      <c r="D639">
        <v>28</v>
      </c>
      <c r="E639" t="s">
        <v>642</v>
      </c>
    </row>
    <row r="640" spans="1:5">
      <c r="A640">
        <f>HYPERLINK("http://www.twitter.com/NYCParks/status/755474850966282240", "755474850966282240")</f>
        <v>0</v>
      </c>
      <c r="B640" s="2">
        <v>42570.7848958333</v>
      </c>
      <c r="C640">
        <v>19</v>
      </c>
      <c r="D640">
        <v>20</v>
      </c>
      <c r="E640" t="s">
        <v>643</v>
      </c>
    </row>
    <row r="641" spans="1:5">
      <c r="A641">
        <f>HYPERLINK("http://www.twitter.com/NYCParks/status/755458484402020353", "755458484402020353")</f>
        <v>0</v>
      </c>
      <c r="B641" s="2">
        <v>42570.7397337963</v>
      </c>
      <c r="C641">
        <v>13</v>
      </c>
      <c r="D641">
        <v>8</v>
      </c>
      <c r="E641" t="s">
        <v>644</v>
      </c>
    </row>
    <row r="642" spans="1:5">
      <c r="A642">
        <f>HYPERLINK("http://www.twitter.com/NYCParks/status/755442124485722112", "755442124485722112")</f>
        <v>0</v>
      </c>
      <c r="B642" s="2">
        <v>42570.6945833333</v>
      </c>
      <c r="C642">
        <v>11</v>
      </c>
      <c r="D642">
        <v>9</v>
      </c>
      <c r="E642" t="s">
        <v>645</v>
      </c>
    </row>
    <row r="643" spans="1:5">
      <c r="A643">
        <f>HYPERLINK("http://www.twitter.com/NYCParks/status/755424963818127360", "755424963818127360")</f>
        <v>0</v>
      </c>
      <c r="B643" s="2">
        <v>42570.6472337963</v>
      </c>
      <c r="C643">
        <v>8</v>
      </c>
      <c r="D643">
        <v>2</v>
      </c>
      <c r="E643" t="s">
        <v>646</v>
      </c>
    </row>
    <row r="644" spans="1:5">
      <c r="A644">
        <f>HYPERLINK("http://www.twitter.com/NYCParks/status/755411104256450560", "755411104256450560")</f>
        <v>0</v>
      </c>
      <c r="B644" s="2">
        <v>42570.6089814815</v>
      </c>
      <c r="C644">
        <v>0</v>
      </c>
      <c r="D644">
        <v>49</v>
      </c>
      <c r="E644" t="s">
        <v>647</v>
      </c>
    </row>
    <row r="645" spans="1:5">
      <c r="A645">
        <f>HYPERLINK("http://www.twitter.com/NYCParks/status/755396813557997568", "755396813557997568")</f>
        <v>0</v>
      </c>
      <c r="B645" s="2">
        <v>42570.5695486111</v>
      </c>
      <c r="C645">
        <v>0</v>
      </c>
      <c r="D645">
        <v>0</v>
      </c>
      <c r="E645" t="s">
        <v>648</v>
      </c>
    </row>
    <row r="646" spans="1:5">
      <c r="A646">
        <f>HYPERLINK("http://www.twitter.com/NYCParks/status/755150797629980672", "755150797629980672")</f>
        <v>0</v>
      </c>
      <c r="B646" s="2">
        <v>42569.8906712963</v>
      </c>
      <c r="C646">
        <v>0</v>
      </c>
      <c r="D646">
        <v>1</v>
      </c>
      <c r="E646" t="s">
        <v>649</v>
      </c>
    </row>
    <row r="647" spans="1:5">
      <c r="A647">
        <f>HYPERLINK("http://www.twitter.com/NYCParks/status/755130194931945472", "755130194931945472")</f>
        <v>0</v>
      </c>
      <c r="B647" s="2">
        <v>42569.8338194444</v>
      </c>
      <c r="C647">
        <v>12</v>
      </c>
      <c r="D647">
        <v>4</v>
      </c>
      <c r="E647" t="s">
        <v>650</v>
      </c>
    </row>
    <row r="648" spans="1:5">
      <c r="A648">
        <f>HYPERLINK("http://www.twitter.com/NYCParks/status/755115063200063488", "755115063200063488")</f>
        <v>0</v>
      </c>
      <c r="B648" s="2">
        <v>42569.7920717593</v>
      </c>
      <c r="C648">
        <v>15</v>
      </c>
      <c r="D648">
        <v>3</v>
      </c>
      <c r="E648" t="s">
        <v>651</v>
      </c>
    </row>
    <row r="649" spans="1:5">
      <c r="A649">
        <f>HYPERLINK("http://www.twitter.com/NYCParks/status/755096558400569346", "755096558400569346")</f>
        <v>0</v>
      </c>
      <c r="B649" s="2">
        <v>42569.7410069444</v>
      </c>
      <c r="C649">
        <v>18</v>
      </c>
      <c r="D649">
        <v>8</v>
      </c>
      <c r="E649" t="s">
        <v>652</v>
      </c>
    </row>
    <row r="650" spans="1:5">
      <c r="A650">
        <f>HYPERLINK("http://www.twitter.com/NYCParks/status/755076245122146306", "755076245122146306")</f>
        <v>0</v>
      </c>
      <c r="B650" s="2">
        <v>42569.6849537037</v>
      </c>
      <c r="C650">
        <v>13</v>
      </c>
      <c r="D650">
        <v>12</v>
      </c>
      <c r="E650" t="s">
        <v>653</v>
      </c>
    </row>
    <row r="651" spans="1:5">
      <c r="A651">
        <f>HYPERLINK("http://www.twitter.com/NYCParks/status/755056982311202816", "755056982311202816")</f>
        <v>0</v>
      </c>
      <c r="B651" s="2">
        <v>42569.6317939815</v>
      </c>
      <c r="C651">
        <v>29</v>
      </c>
      <c r="D651">
        <v>26</v>
      </c>
      <c r="E651" t="s">
        <v>654</v>
      </c>
    </row>
    <row r="652" spans="1:5">
      <c r="A652">
        <f>HYPERLINK("http://www.twitter.com/NYCParks/status/755053762813816832", "755053762813816832")</f>
        <v>0</v>
      </c>
      <c r="B652" s="2">
        <v>42569.6229050926</v>
      </c>
      <c r="C652">
        <v>0</v>
      </c>
      <c r="D652">
        <v>0</v>
      </c>
      <c r="E652" t="s">
        <v>655</v>
      </c>
    </row>
    <row r="653" spans="1:5">
      <c r="A653">
        <f>HYPERLINK("http://www.twitter.com/NYCParks/status/755051116652589056", "755051116652589056")</f>
        <v>0</v>
      </c>
      <c r="B653" s="2">
        <v>42569.6156134259</v>
      </c>
      <c r="C653">
        <v>1</v>
      </c>
      <c r="D653">
        <v>1</v>
      </c>
      <c r="E653" t="s">
        <v>656</v>
      </c>
    </row>
    <row r="654" spans="1:5">
      <c r="A654">
        <f>HYPERLINK("http://www.twitter.com/NYCParks/status/754785300317106177", "754785300317106177")</f>
        <v>0</v>
      </c>
      <c r="B654" s="2">
        <v>42568.8820949074</v>
      </c>
      <c r="C654">
        <v>30</v>
      </c>
      <c r="D654">
        <v>11</v>
      </c>
      <c r="E654" t="s">
        <v>657</v>
      </c>
    </row>
    <row r="655" spans="1:5">
      <c r="A655">
        <f>HYPERLINK("http://www.twitter.com/NYCParks/status/754039749254475776", "754039749254475776")</f>
        <v>0</v>
      </c>
      <c r="B655" s="2">
        <v>42566.8247685185</v>
      </c>
      <c r="C655">
        <v>30</v>
      </c>
      <c r="D655">
        <v>15</v>
      </c>
      <c r="E655" t="s">
        <v>658</v>
      </c>
    </row>
    <row r="656" spans="1:5">
      <c r="A656">
        <f>HYPERLINK("http://www.twitter.com/NYCParks/status/754017846146035712", "754017846146035712")</f>
        <v>0</v>
      </c>
      <c r="B656" s="2">
        <v>42566.7643287037</v>
      </c>
      <c r="C656">
        <v>30</v>
      </c>
      <c r="D656">
        <v>13</v>
      </c>
      <c r="E656" t="s">
        <v>659</v>
      </c>
    </row>
    <row r="657" spans="1:5">
      <c r="A657">
        <f>HYPERLINK("http://www.twitter.com/NYCParks/status/753993363335053313", "753993363335053313")</f>
        <v>0</v>
      </c>
      <c r="B657" s="2">
        <v>42566.6967592593</v>
      </c>
      <c r="C657">
        <v>60</v>
      </c>
      <c r="D657">
        <v>16</v>
      </c>
      <c r="E657" t="s">
        <v>660</v>
      </c>
    </row>
    <row r="658" spans="1:5">
      <c r="A658">
        <f>HYPERLINK("http://www.twitter.com/NYCParks/status/753973379342995456", "753973379342995456")</f>
        <v>0</v>
      </c>
      <c r="B658" s="2">
        <v>42566.6416203704</v>
      </c>
      <c r="C658">
        <v>21</v>
      </c>
      <c r="D658">
        <v>9</v>
      </c>
      <c r="E658" t="s">
        <v>661</v>
      </c>
    </row>
    <row r="659" spans="1:5">
      <c r="A659">
        <f>HYPERLINK("http://www.twitter.com/NYCParks/status/753692677737213952", "753692677737213952")</f>
        <v>0</v>
      </c>
      <c r="B659" s="2">
        <v>42565.867025463</v>
      </c>
      <c r="C659">
        <v>3</v>
      </c>
      <c r="D659">
        <v>1</v>
      </c>
      <c r="E659" t="s">
        <v>662</v>
      </c>
    </row>
    <row r="660" spans="1:5">
      <c r="A660">
        <f>HYPERLINK("http://www.twitter.com/NYCParks/status/753670460391485444", "753670460391485444")</f>
        <v>0</v>
      </c>
      <c r="B660" s="2">
        <v>42565.8057175926</v>
      </c>
      <c r="C660">
        <v>12</v>
      </c>
      <c r="D660">
        <v>10</v>
      </c>
      <c r="E660" t="s">
        <v>663</v>
      </c>
    </row>
    <row r="661" spans="1:5">
      <c r="A661">
        <f>HYPERLINK("http://www.twitter.com/NYCParks/status/753654102958149632", "753654102958149632")</f>
        <v>0</v>
      </c>
      <c r="B661" s="2">
        <v>42565.7605902778</v>
      </c>
      <c r="C661">
        <v>19</v>
      </c>
      <c r="D661">
        <v>7</v>
      </c>
      <c r="E661" t="s">
        <v>664</v>
      </c>
    </row>
    <row r="662" spans="1:5">
      <c r="A662">
        <f>HYPERLINK("http://www.twitter.com/NYCParks/status/753636474466238464", "753636474466238464")</f>
        <v>0</v>
      </c>
      <c r="B662" s="2">
        <v>42565.7119444444</v>
      </c>
      <c r="C662">
        <v>20</v>
      </c>
      <c r="D662">
        <v>5</v>
      </c>
      <c r="E662" t="s">
        <v>665</v>
      </c>
    </row>
    <row r="663" spans="1:5">
      <c r="A663">
        <f>HYPERLINK("http://www.twitter.com/NYCParks/status/753632910423560192", "753632910423560192")</f>
        <v>0</v>
      </c>
      <c r="B663" s="2">
        <v>42565.7021064815</v>
      </c>
      <c r="C663">
        <v>1</v>
      </c>
      <c r="D663">
        <v>0</v>
      </c>
      <c r="E663" t="s">
        <v>666</v>
      </c>
    </row>
    <row r="664" spans="1:5">
      <c r="A664">
        <f>HYPERLINK("http://www.twitter.com/NYCParks/status/753622640804372480", "753622640804372480")</f>
        <v>0</v>
      </c>
      <c r="B664" s="2">
        <v>42565.6737615741</v>
      </c>
      <c r="C664">
        <v>40</v>
      </c>
      <c r="D664">
        <v>11</v>
      </c>
      <c r="E664" t="s">
        <v>667</v>
      </c>
    </row>
    <row r="665" spans="1:5">
      <c r="A665">
        <f>HYPERLINK("http://www.twitter.com/NYCParks/status/753606076701020160", "753606076701020160")</f>
        <v>0</v>
      </c>
      <c r="B665" s="2">
        <v>42565.6280555556</v>
      </c>
      <c r="C665">
        <v>0</v>
      </c>
      <c r="D665">
        <v>10</v>
      </c>
      <c r="E665" t="s">
        <v>668</v>
      </c>
    </row>
    <row r="666" spans="1:5">
      <c r="A666">
        <f>HYPERLINK("http://www.twitter.com/NYCParks/status/753314365365968896", "753314365365968896")</f>
        <v>0</v>
      </c>
      <c r="B666" s="2">
        <v>42564.8230902778</v>
      </c>
      <c r="C666">
        <v>22</v>
      </c>
      <c r="D666">
        <v>5</v>
      </c>
      <c r="E666" t="s">
        <v>669</v>
      </c>
    </row>
    <row r="667" spans="1:5">
      <c r="A667">
        <f>HYPERLINK("http://www.twitter.com/NYCParks/status/753298009195212800", "753298009195212800")</f>
        <v>0</v>
      </c>
      <c r="B667" s="2">
        <v>42564.7779513889</v>
      </c>
      <c r="C667">
        <v>14</v>
      </c>
      <c r="D667">
        <v>3</v>
      </c>
      <c r="E667" t="s">
        <v>670</v>
      </c>
    </row>
    <row r="668" spans="1:5">
      <c r="A668">
        <f>HYPERLINK("http://www.twitter.com/NYCParks/status/753281629146247168", "753281629146247168")</f>
        <v>0</v>
      </c>
      <c r="B668" s="2">
        <v>42564.7327546296</v>
      </c>
      <c r="C668">
        <v>87</v>
      </c>
      <c r="D668">
        <v>28</v>
      </c>
      <c r="E668" t="s">
        <v>671</v>
      </c>
    </row>
    <row r="669" spans="1:5">
      <c r="A669">
        <f>HYPERLINK("http://www.twitter.com/NYCParks/status/753265321214083072", "753265321214083072")</f>
        <v>0</v>
      </c>
      <c r="B669" s="2">
        <v>42564.6877546296</v>
      </c>
      <c r="C669">
        <v>14</v>
      </c>
      <c r="D669">
        <v>10</v>
      </c>
      <c r="E669" t="s">
        <v>672</v>
      </c>
    </row>
    <row r="670" spans="1:5">
      <c r="A670">
        <f>HYPERLINK("http://www.twitter.com/NYCParks/status/753247138642026497", "753247138642026497")</f>
        <v>0</v>
      </c>
      <c r="B670" s="2">
        <v>42564.6375810185</v>
      </c>
      <c r="C670">
        <v>13</v>
      </c>
      <c r="D670">
        <v>8</v>
      </c>
      <c r="E670" t="s">
        <v>673</v>
      </c>
    </row>
    <row r="671" spans="1:5">
      <c r="A671">
        <f>HYPERLINK("http://www.twitter.com/NYCParks/status/753219745650995200", "753219745650995200")</f>
        <v>0</v>
      </c>
      <c r="B671" s="2">
        <v>42564.5619907407</v>
      </c>
      <c r="C671">
        <v>2</v>
      </c>
      <c r="D671">
        <v>2</v>
      </c>
      <c r="E671" t="s">
        <v>674</v>
      </c>
    </row>
    <row r="672" spans="1:5">
      <c r="A672">
        <f>HYPERLINK("http://www.twitter.com/NYCParks/status/753021243960487936", "753021243960487936")</f>
        <v>0</v>
      </c>
      <c r="B672" s="2">
        <v>42564.014224537</v>
      </c>
      <c r="C672">
        <v>32</v>
      </c>
      <c r="D672">
        <v>12</v>
      </c>
      <c r="E672" t="s">
        <v>675</v>
      </c>
    </row>
    <row r="673" spans="1:5">
      <c r="A673">
        <f>HYPERLINK("http://www.twitter.com/NYCParks/status/752988801396576256", "752988801396576256")</f>
        <v>0</v>
      </c>
      <c r="B673" s="2">
        <v>42563.9246990741</v>
      </c>
      <c r="C673">
        <v>37</v>
      </c>
      <c r="D673">
        <v>12</v>
      </c>
      <c r="E673" t="s">
        <v>676</v>
      </c>
    </row>
    <row r="674" spans="1:5">
      <c r="A674">
        <f>HYPERLINK("http://www.twitter.com/NYCParks/status/752963900568637440", "752963900568637440")</f>
        <v>0</v>
      </c>
      <c r="B674" s="2">
        <v>42563.8559837963</v>
      </c>
      <c r="C674">
        <v>0</v>
      </c>
      <c r="D674">
        <v>10</v>
      </c>
      <c r="E674" t="s">
        <v>677</v>
      </c>
    </row>
    <row r="675" spans="1:5">
      <c r="A675">
        <f>HYPERLINK("http://www.twitter.com/NYCParks/status/752946042300137480", "752946042300137480")</f>
        <v>0</v>
      </c>
      <c r="B675" s="2">
        <v>42563.806712963</v>
      </c>
      <c r="C675">
        <v>49</v>
      </c>
      <c r="D675">
        <v>10</v>
      </c>
      <c r="E675" t="s">
        <v>678</v>
      </c>
    </row>
    <row r="676" spans="1:5">
      <c r="A676">
        <f>HYPERLINK("http://www.twitter.com/NYCParks/status/752930592241639424", "752930592241639424")</f>
        <v>0</v>
      </c>
      <c r="B676" s="2">
        <v>42563.7640740741</v>
      </c>
      <c r="C676">
        <v>32</v>
      </c>
      <c r="D676">
        <v>16</v>
      </c>
      <c r="E676" t="s">
        <v>679</v>
      </c>
    </row>
    <row r="677" spans="1:5">
      <c r="A677">
        <f>HYPERLINK("http://www.twitter.com/NYCParks/status/752914237194928129", "752914237194928129")</f>
        <v>0</v>
      </c>
      <c r="B677" s="2">
        <v>42563.7189467593</v>
      </c>
      <c r="C677">
        <v>21</v>
      </c>
      <c r="D677">
        <v>11</v>
      </c>
      <c r="E677" t="s">
        <v>680</v>
      </c>
    </row>
    <row r="678" spans="1:5">
      <c r="A678">
        <f>HYPERLINK("http://www.twitter.com/NYCParks/status/752901068246441984", "752901068246441984")</f>
        <v>0</v>
      </c>
      <c r="B678" s="2">
        <v>42563.6826041667</v>
      </c>
      <c r="C678">
        <v>2</v>
      </c>
      <c r="D678">
        <v>0</v>
      </c>
      <c r="E678" t="s">
        <v>681</v>
      </c>
    </row>
    <row r="679" spans="1:5">
      <c r="A679">
        <f>HYPERLINK("http://www.twitter.com/NYCParks/status/752897878373310465", "752897878373310465")</f>
        <v>0</v>
      </c>
      <c r="B679" s="2">
        <v>42563.6738078704</v>
      </c>
      <c r="C679">
        <v>18</v>
      </c>
      <c r="D679">
        <v>16</v>
      </c>
      <c r="E679" t="s">
        <v>682</v>
      </c>
    </row>
    <row r="680" spans="1:5">
      <c r="A680">
        <f>HYPERLINK("http://www.twitter.com/NYCParks/status/752882941450133504", "752882941450133504")</f>
        <v>0</v>
      </c>
      <c r="B680" s="2">
        <v>42563.6325810185</v>
      </c>
      <c r="C680">
        <v>0</v>
      </c>
      <c r="D680">
        <v>50</v>
      </c>
      <c r="E680" t="s">
        <v>683</v>
      </c>
    </row>
    <row r="681" spans="1:5">
      <c r="A681">
        <f>HYPERLINK("http://www.twitter.com/NYCParks/status/752685317275213824", "752685317275213824")</f>
        <v>0</v>
      </c>
      <c r="B681" s="2">
        <v>42563.0872453704</v>
      </c>
      <c r="C681">
        <v>0</v>
      </c>
      <c r="D681">
        <v>468</v>
      </c>
      <c r="E681" t="s">
        <v>684</v>
      </c>
    </row>
    <row r="682" spans="1:5">
      <c r="A682">
        <f>HYPERLINK("http://www.twitter.com/NYCParks/status/752608585323057152", "752608585323057152")</f>
        <v>0</v>
      </c>
      <c r="B682" s="2">
        <v>42562.8755092593</v>
      </c>
      <c r="C682">
        <v>0</v>
      </c>
      <c r="D682">
        <v>37</v>
      </c>
      <c r="E682" t="s">
        <v>685</v>
      </c>
    </row>
    <row r="683" spans="1:5">
      <c r="A683">
        <f>HYPERLINK("http://www.twitter.com/NYCParks/status/752603212692262917", "752603212692262917")</f>
        <v>0</v>
      </c>
      <c r="B683" s="2">
        <v>42562.8606828704</v>
      </c>
      <c r="C683">
        <v>1</v>
      </c>
      <c r="D683">
        <v>0</v>
      </c>
      <c r="E683" t="s">
        <v>686</v>
      </c>
    </row>
    <row r="684" spans="1:5">
      <c r="A684">
        <f>HYPERLINK("http://www.twitter.com/NYCParks/status/752594605942636544", "752594605942636544")</f>
        <v>0</v>
      </c>
      <c r="B684" s="2">
        <v>42562.8369328704</v>
      </c>
      <c r="C684">
        <v>15</v>
      </c>
      <c r="D684">
        <v>11</v>
      </c>
      <c r="E684" t="s">
        <v>687</v>
      </c>
    </row>
    <row r="685" spans="1:5">
      <c r="A685">
        <f>HYPERLINK("http://www.twitter.com/NYCParks/status/752578369695412224", "752578369695412224")</f>
        <v>0</v>
      </c>
      <c r="B685" s="2">
        <v>42562.7921296296</v>
      </c>
      <c r="C685">
        <v>31</v>
      </c>
      <c r="D685">
        <v>17</v>
      </c>
      <c r="E685" t="s">
        <v>688</v>
      </c>
    </row>
    <row r="686" spans="1:5">
      <c r="A686">
        <f>HYPERLINK("http://www.twitter.com/NYCParks/status/752561878707146752", "752561878707146752")</f>
        <v>0</v>
      </c>
      <c r="B686" s="2">
        <v>42562.7466203704</v>
      </c>
      <c r="C686">
        <v>14</v>
      </c>
      <c r="D686">
        <v>6</v>
      </c>
      <c r="E686" t="s">
        <v>689</v>
      </c>
    </row>
    <row r="687" spans="1:5">
      <c r="A687">
        <f>HYPERLINK("http://www.twitter.com/NYCParks/status/752547618413215744", "752547618413215744")</f>
        <v>0</v>
      </c>
      <c r="B687" s="2">
        <v>42562.7072685185</v>
      </c>
      <c r="C687">
        <v>10</v>
      </c>
      <c r="D687">
        <v>10</v>
      </c>
      <c r="E687" t="s">
        <v>690</v>
      </c>
    </row>
    <row r="688" spans="1:5">
      <c r="A688">
        <f>HYPERLINK("http://www.twitter.com/NYCParks/status/752529174636720129", "752529174636720129")</f>
        <v>0</v>
      </c>
      <c r="B688" s="2">
        <v>42562.6563773148</v>
      </c>
      <c r="C688">
        <v>27</v>
      </c>
      <c r="D688">
        <v>19</v>
      </c>
      <c r="E688" t="s">
        <v>691</v>
      </c>
    </row>
    <row r="689" spans="1:5">
      <c r="A689">
        <f>HYPERLINK("http://www.twitter.com/NYCParks/status/752523354473717760", "752523354473717760")</f>
        <v>0</v>
      </c>
      <c r="B689" s="2">
        <v>42562.6403125</v>
      </c>
      <c r="C689">
        <v>1</v>
      </c>
      <c r="D689">
        <v>0</v>
      </c>
      <c r="E689" t="s">
        <v>692</v>
      </c>
    </row>
    <row r="690" spans="1:5">
      <c r="A690">
        <f>HYPERLINK("http://www.twitter.com/NYCParks/status/752519073288843264", "752519073288843264")</f>
        <v>0</v>
      </c>
      <c r="B690" s="2">
        <v>42562.6284953704</v>
      </c>
      <c r="C690">
        <v>2</v>
      </c>
      <c r="D690">
        <v>1</v>
      </c>
      <c r="E690" t="s">
        <v>693</v>
      </c>
    </row>
    <row r="691" spans="1:5">
      <c r="A691">
        <f>HYPERLINK("http://www.twitter.com/NYCParks/status/751539893629816832", "751539893629816832")</f>
        <v>0</v>
      </c>
      <c r="B691" s="2">
        <v>42559.9264814815</v>
      </c>
      <c r="C691">
        <v>0</v>
      </c>
      <c r="D691">
        <v>107</v>
      </c>
      <c r="E691" t="s">
        <v>694</v>
      </c>
    </row>
    <row r="692" spans="1:5">
      <c r="A692">
        <f>HYPERLINK("http://www.twitter.com/NYCParks/status/751518641280126977", "751518641280126977")</f>
        <v>0</v>
      </c>
      <c r="B692" s="2">
        <v>42559.8678356481</v>
      </c>
      <c r="C692">
        <v>23</v>
      </c>
      <c r="D692">
        <v>13</v>
      </c>
      <c r="E692" t="s">
        <v>695</v>
      </c>
    </row>
    <row r="693" spans="1:5">
      <c r="A693">
        <f>HYPERLINK("http://www.twitter.com/NYCParks/status/751499891801808897", "751499891801808897")</f>
        <v>0</v>
      </c>
      <c r="B693" s="2">
        <v>42559.816099537</v>
      </c>
      <c r="C693">
        <v>160</v>
      </c>
      <c r="D693">
        <v>83</v>
      </c>
      <c r="E693" t="s">
        <v>696</v>
      </c>
    </row>
    <row r="694" spans="1:5">
      <c r="A694">
        <f>HYPERLINK("http://www.twitter.com/NYCParks/status/751483600252600321", "751483600252600321")</f>
        <v>0</v>
      </c>
      <c r="B694" s="2">
        <v>42559.7711342593</v>
      </c>
      <c r="C694">
        <v>20</v>
      </c>
      <c r="D694">
        <v>6</v>
      </c>
      <c r="E694" t="s">
        <v>697</v>
      </c>
    </row>
    <row r="695" spans="1:5">
      <c r="A695">
        <f>HYPERLINK("http://www.twitter.com/NYCParks/status/751467171725869056", "751467171725869056")</f>
        <v>0</v>
      </c>
      <c r="B695" s="2">
        <v>42559.7257986111</v>
      </c>
      <c r="C695">
        <v>11</v>
      </c>
      <c r="D695">
        <v>7</v>
      </c>
      <c r="E695" t="s">
        <v>698</v>
      </c>
    </row>
    <row r="696" spans="1:5">
      <c r="A696">
        <f>HYPERLINK("http://www.twitter.com/NYCParks/status/751450826800062464", "751450826800062464")</f>
        <v>0</v>
      </c>
      <c r="B696" s="2">
        <v>42559.6807060185</v>
      </c>
      <c r="C696">
        <v>23</v>
      </c>
      <c r="D696">
        <v>19</v>
      </c>
      <c r="E696" t="s">
        <v>699</v>
      </c>
    </row>
    <row r="697" spans="1:5">
      <c r="A697">
        <f>HYPERLINK("http://www.twitter.com/NYCParks/status/751438455373266944", "751438455373266944")</f>
        <v>0</v>
      </c>
      <c r="B697" s="2">
        <v>42559.6465625</v>
      </c>
      <c r="C697">
        <v>1</v>
      </c>
      <c r="D697">
        <v>0</v>
      </c>
      <c r="E697" t="s">
        <v>700</v>
      </c>
    </row>
    <row r="698" spans="1:5">
      <c r="A698">
        <f>HYPERLINK("http://www.twitter.com/NYCParks/status/751436875265548288", "751436875265548288")</f>
        <v>0</v>
      </c>
      <c r="B698" s="2">
        <v>42559.6421990741</v>
      </c>
      <c r="C698">
        <v>2</v>
      </c>
      <c r="D698">
        <v>0</v>
      </c>
      <c r="E698" t="s">
        <v>701</v>
      </c>
    </row>
    <row r="699" spans="1:5">
      <c r="A699">
        <f>HYPERLINK("http://www.twitter.com/NYCParks/status/751433503452127232", "751433503452127232")</f>
        <v>0</v>
      </c>
      <c r="B699" s="2">
        <v>42559.6328935185</v>
      </c>
      <c r="C699">
        <v>24</v>
      </c>
      <c r="D699">
        <v>28</v>
      </c>
      <c r="E699" t="s">
        <v>702</v>
      </c>
    </row>
    <row r="700" spans="1:5">
      <c r="A700">
        <f>HYPERLINK("http://www.twitter.com/NYCParks/status/751155917429809153", "751155917429809153")</f>
        <v>0</v>
      </c>
      <c r="B700" s="2">
        <v>42558.8669097222</v>
      </c>
      <c r="C700">
        <v>0</v>
      </c>
      <c r="D700">
        <v>33</v>
      </c>
      <c r="E700" t="s">
        <v>703</v>
      </c>
    </row>
    <row r="701" spans="1:5">
      <c r="A701">
        <f>HYPERLINK("http://www.twitter.com/NYCParks/status/751136307959783424", "751136307959783424")</f>
        <v>0</v>
      </c>
      <c r="B701" s="2">
        <v>42558.8127893519</v>
      </c>
      <c r="C701">
        <v>36</v>
      </c>
      <c r="D701">
        <v>15</v>
      </c>
      <c r="E701" t="s">
        <v>704</v>
      </c>
    </row>
    <row r="702" spans="1:5">
      <c r="A702">
        <f>HYPERLINK("http://www.twitter.com/NYCParks/status/751121404720975872", "751121404720975872")</f>
        <v>0</v>
      </c>
      <c r="B702" s="2">
        <v>42558.7716666667</v>
      </c>
      <c r="C702">
        <v>1</v>
      </c>
      <c r="D702">
        <v>0</v>
      </c>
      <c r="E702" t="s">
        <v>705</v>
      </c>
    </row>
    <row r="703" spans="1:5">
      <c r="A703">
        <f>HYPERLINK("http://www.twitter.com/NYCParks/status/751121206108164096", "751121206108164096")</f>
        <v>0</v>
      </c>
      <c r="B703" s="2">
        <v>42558.7711226852</v>
      </c>
      <c r="C703">
        <v>9</v>
      </c>
      <c r="D703">
        <v>9</v>
      </c>
      <c r="E703" t="s">
        <v>706</v>
      </c>
    </row>
    <row r="704" spans="1:5">
      <c r="A704">
        <f>HYPERLINK("http://www.twitter.com/NYCParks/status/751114021684805632", "751114021684805632")</f>
        <v>0</v>
      </c>
      <c r="B704" s="2">
        <v>42558.7512962963</v>
      </c>
      <c r="C704">
        <v>1</v>
      </c>
      <c r="D704">
        <v>0</v>
      </c>
      <c r="E704" t="s">
        <v>707</v>
      </c>
    </row>
    <row r="705" spans="1:5">
      <c r="A705">
        <f>HYPERLINK("http://www.twitter.com/NYCParks/status/751113567299076096", "751113567299076096")</f>
        <v>0</v>
      </c>
      <c r="B705" s="2">
        <v>42558.7500462963</v>
      </c>
      <c r="C705">
        <v>1</v>
      </c>
      <c r="D705">
        <v>0</v>
      </c>
      <c r="E705" t="s">
        <v>708</v>
      </c>
    </row>
    <row r="706" spans="1:5">
      <c r="A706">
        <f>HYPERLINK("http://www.twitter.com/NYCParks/status/751109597759410176", "751109597759410176")</f>
        <v>0</v>
      </c>
      <c r="B706" s="2">
        <v>42558.7390856482</v>
      </c>
      <c r="C706">
        <v>1</v>
      </c>
      <c r="D706">
        <v>0</v>
      </c>
      <c r="E706" t="s">
        <v>709</v>
      </c>
    </row>
    <row r="707" spans="1:5">
      <c r="A707">
        <f>HYPERLINK("http://www.twitter.com/NYCParks/status/751106102230654976", "751106102230654976")</f>
        <v>0</v>
      </c>
      <c r="B707" s="2">
        <v>42558.7294444444</v>
      </c>
      <c r="C707">
        <v>35</v>
      </c>
      <c r="D707">
        <v>20</v>
      </c>
      <c r="E707" t="s">
        <v>710</v>
      </c>
    </row>
    <row r="708" spans="1:5">
      <c r="A708">
        <f>HYPERLINK("http://www.twitter.com/NYCParks/status/751090966329720832", "751090966329720832")</f>
        <v>0</v>
      </c>
      <c r="B708" s="2">
        <v>42558.6876736111</v>
      </c>
      <c r="C708">
        <v>12</v>
      </c>
      <c r="D708">
        <v>9</v>
      </c>
      <c r="E708" t="s">
        <v>711</v>
      </c>
    </row>
    <row r="709" spans="1:5">
      <c r="A709">
        <f>HYPERLINK("http://www.twitter.com/NYCParks/status/751076655423221760", "751076655423221760")</f>
        <v>0</v>
      </c>
      <c r="B709" s="2">
        <v>42558.6481828704</v>
      </c>
      <c r="C709">
        <v>36</v>
      </c>
      <c r="D709">
        <v>31</v>
      </c>
      <c r="E709" t="s">
        <v>712</v>
      </c>
    </row>
    <row r="710" spans="1:5">
      <c r="A710">
        <f>HYPERLINK("http://www.twitter.com/NYCParks/status/751056369667739648", "751056369667739648")</f>
        <v>0</v>
      </c>
      <c r="B710" s="2">
        <v>42558.5922106481</v>
      </c>
      <c r="C710">
        <v>16</v>
      </c>
      <c r="D710">
        <v>6</v>
      </c>
      <c r="E710" t="s">
        <v>713</v>
      </c>
    </row>
    <row r="711" spans="1:5">
      <c r="A711">
        <f>HYPERLINK("http://www.twitter.com/NYCParks/status/751048064241176576", "751048064241176576")</f>
        <v>0</v>
      </c>
      <c r="B711" s="2">
        <v>42558.5692824074</v>
      </c>
      <c r="C711">
        <v>14</v>
      </c>
      <c r="D711">
        <v>4</v>
      </c>
      <c r="E711" t="s">
        <v>714</v>
      </c>
    </row>
    <row r="712" spans="1:5">
      <c r="A712">
        <f>HYPERLINK("http://www.twitter.com/NYCParks/status/750805832841986048", "750805832841986048")</f>
        <v>0</v>
      </c>
      <c r="B712" s="2">
        <v>42557.9008564815</v>
      </c>
      <c r="C712">
        <v>0</v>
      </c>
      <c r="D712">
        <v>13</v>
      </c>
      <c r="E712" t="s">
        <v>715</v>
      </c>
    </row>
    <row r="713" spans="1:5">
      <c r="A713">
        <f>HYPERLINK("http://www.twitter.com/NYCParks/status/750781562719961091", "750781562719961091")</f>
        <v>0</v>
      </c>
      <c r="B713" s="2">
        <v>42557.8338888889</v>
      </c>
      <c r="C713">
        <v>11</v>
      </c>
      <c r="D713">
        <v>5</v>
      </c>
      <c r="E713" t="s">
        <v>716</v>
      </c>
    </row>
    <row r="714" spans="1:5">
      <c r="A714">
        <f>HYPERLINK("http://www.twitter.com/NYCParks/status/750771481337073664", "750771481337073664")</f>
        <v>0</v>
      </c>
      <c r="B714" s="2">
        <v>42557.8060648148</v>
      </c>
      <c r="C714">
        <v>5</v>
      </c>
      <c r="D714">
        <v>0</v>
      </c>
      <c r="E714" t="s">
        <v>717</v>
      </c>
    </row>
    <row r="715" spans="1:5">
      <c r="A715">
        <f>HYPERLINK("http://www.twitter.com/NYCParks/status/750766487481245696", "750766487481245696")</f>
        <v>0</v>
      </c>
      <c r="B715" s="2">
        <v>42557.7922800926</v>
      </c>
      <c r="C715">
        <v>18</v>
      </c>
      <c r="D715">
        <v>7</v>
      </c>
      <c r="E715" t="s">
        <v>718</v>
      </c>
    </row>
    <row r="716" spans="1:5">
      <c r="A716">
        <f>HYPERLINK("http://www.twitter.com/NYCParks/status/750751330491371524", "750751330491371524")</f>
        <v>0</v>
      </c>
      <c r="B716" s="2">
        <v>42557.750462963</v>
      </c>
      <c r="C716">
        <v>15</v>
      </c>
      <c r="D716">
        <v>16</v>
      </c>
      <c r="E716" t="s">
        <v>719</v>
      </c>
    </row>
    <row r="717" spans="1:5">
      <c r="A717">
        <f>HYPERLINK("http://www.twitter.com/NYCParks/status/750741488020099072", "750741488020099072")</f>
        <v>0</v>
      </c>
      <c r="B717" s="2">
        <v>42557.7232986111</v>
      </c>
      <c r="C717">
        <v>1</v>
      </c>
      <c r="D717">
        <v>0</v>
      </c>
      <c r="E717" t="s">
        <v>720</v>
      </c>
    </row>
    <row r="718" spans="1:5">
      <c r="A718">
        <f>HYPERLINK("http://www.twitter.com/NYCParks/status/750740723490840576", "750740723490840576")</f>
        <v>0</v>
      </c>
      <c r="B718" s="2">
        <v>42557.7211921296</v>
      </c>
      <c r="C718">
        <v>1</v>
      </c>
      <c r="D718">
        <v>0</v>
      </c>
      <c r="E718" t="s">
        <v>721</v>
      </c>
    </row>
    <row r="719" spans="1:5">
      <c r="A719">
        <f>HYPERLINK("http://www.twitter.com/NYCParks/status/750740631316815872", "750740631316815872")</f>
        <v>0</v>
      </c>
      <c r="B719" s="2">
        <v>42557.7209375</v>
      </c>
      <c r="C719">
        <v>1</v>
      </c>
      <c r="D719">
        <v>0</v>
      </c>
      <c r="E719" t="s">
        <v>722</v>
      </c>
    </row>
    <row r="720" spans="1:5">
      <c r="A720">
        <f>HYPERLINK("http://www.twitter.com/NYCParks/status/750736558815322112", "750736558815322112")</f>
        <v>0</v>
      </c>
      <c r="B720" s="2">
        <v>42557.7096990741</v>
      </c>
      <c r="C720">
        <v>0</v>
      </c>
      <c r="D720">
        <v>14</v>
      </c>
      <c r="E720" t="s">
        <v>723</v>
      </c>
    </row>
    <row r="721" spans="1:5">
      <c r="A721">
        <f>HYPERLINK("http://www.twitter.com/NYCParks/status/750722278544080896", "750722278544080896")</f>
        <v>0</v>
      </c>
      <c r="B721" s="2">
        <v>42557.6702893519</v>
      </c>
      <c r="C721">
        <v>18</v>
      </c>
      <c r="D721">
        <v>13</v>
      </c>
      <c r="E721" t="s">
        <v>724</v>
      </c>
    </row>
    <row r="722" spans="1:5">
      <c r="A722">
        <f>HYPERLINK("http://www.twitter.com/NYCParks/status/750705109777190912", "750705109777190912")</f>
        <v>0</v>
      </c>
      <c r="B722" s="2">
        <v>42557.6229166667</v>
      </c>
      <c r="C722">
        <v>0</v>
      </c>
      <c r="D722">
        <v>10</v>
      </c>
      <c r="E722" t="s">
        <v>725</v>
      </c>
    </row>
    <row r="723" spans="1:5">
      <c r="A723">
        <f>HYPERLINK("http://www.twitter.com/NYCParks/status/750426646147104768", "750426646147104768")</f>
        <v>0</v>
      </c>
      <c r="B723" s="2">
        <v>42556.8545023148</v>
      </c>
      <c r="C723">
        <v>33</v>
      </c>
      <c r="D723">
        <v>18</v>
      </c>
      <c r="E723" t="s">
        <v>726</v>
      </c>
    </row>
    <row r="724" spans="1:5">
      <c r="A724">
        <f>HYPERLINK("http://www.twitter.com/NYCParks/status/750396452468293632", "750396452468293632")</f>
        <v>0</v>
      </c>
      <c r="B724" s="2">
        <v>42556.7711805556</v>
      </c>
      <c r="C724">
        <v>25</v>
      </c>
      <c r="D724">
        <v>12</v>
      </c>
      <c r="E724" t="s">
        <v>727</v>
      </c>
    </row>
    <row r="725" spans="1:5">
      <c r="A725">
        <f>HYPERLINK("http://www.twitter.com/NYCParks/status/750381345189289986", "750381345189289986")</f>
        <v>0</v>
      </c>
      <c r="B725" s="2">
        <v>42556.7294907407</v>
      </c>
      <c r="C725">
        <v>21</v>
      </c>
      <c r="D725">
        <v>13</v>
      </c>
      <c r="E725" t="s">
        <v>728</v>
      </c>
    </row>
    <row r="726" spans="1:5">
      <c r="A726">
        <f>HYPERLINK("http://www.twitter.com/NYCParks/status/750366223259557889", "750366223259557889")</f>
        <v>0</v>
      </c>
      <c r="B726" s="2">
        <v>42556.6877662037</v>
      </c>
      <c r="C726">
        <v>20</v>
      </c>
      <c r="D726">
        <v>13</v>
      </c>
      <c r="E726" t="s">
        <v>729</v>
      </c>
    </row>
    <row r="727" spans="1:5">
      <c r="A727">
        <f>HYPERLINK("http://www.twitter.com/NYCParks/status/750351257219506177", "750351257219506177")</f>
        <v>0</v>
      </c>
      <c r="B727" s="2">
        <v>42556.6464699074</v>
      </c>
      <c r="C727">
        <v>30</v>
      </c>
      <c r="D727">
        <v>11</v>
      </c>
      <c r="E727" t="s">
        <v>730</v>
      </c>
    </row>
    <row r="728" spans="1:5">
      <c r="A728">
        <f>HYPERLINK("http://www.twitter.com/NYCParks/status/749241436038656000", "749241436038656000")</f>
        <v>0</v>
      </c>
      <c r="B728" s="2">
        <v>42553.5839467593</v>
      </c>
      <c r="C728">
        <v>37</v>
      </c>
      <c r="D728">
        <v>23</v>
      </c>
      <c r="E728" t="s">
        <v>731</v>
      </c>
    </row>
    <row r="729" spans="1:5">
      <c r="A729">
        <f>HYPERLINK("http://www.twitter.com/NYCParks/status/748986483537768448", "748986483537768448")</f>
        <v>0</v>
      </c>
      <c r="B729" s="2">
        <v>42552.8804050926</v>
      </c>
      <c r="C729">
        <v>3</v>
      </c>
      <c r="D729">
        <v>1</v>
      </c>
      <c r="E729" t="s">
        <v>732</v>
      </c>
    </row>
    <row r="730" spans="1:5">
      <c r="A730">
        <f>HYPERLINK("http://www.twitter.com/NYCParks/status/748972651331391491", "748972651331391491")</f>
        <v>0</v>
      </c>
      <c r="B730" s="2">
        <v>42552.8422337963</v>
      </c>
      <c r="C730">
        <v>0</v>
      </c>
      <c r="D730">
        <v>38</v>
      </c>
      <c r="E730" t="s">
        <v>733</v>
      </c>
    </row>
    <row r="731" spans="1:5">
      <c r="A731">
        <f>HYPERLINK("http://www.twitter.com/NYCParks/status/748943060789293056", "748943060789293056")</f>
        <v>0</v>
      </c>
      <c r="B731" s="2">
        <v>42552.7605902778</v>
      </c>
      <c r="C731">
        <v>214</v>
      </c>
      <c r="D731">
        <v>105</v>
      </c>
      <c r="E731" t="s">
        <v>734</v>
      </c>
    </row>
    <row r="732" spans="1:5">
      <c r="A732">
        <f>HYPERLINK("http://www.twitter.com/NYCParks/status/748932269155426304", "748932269155426304")</f>
        <v>0</v>
      </c>
      <c r="B732" s="2">
        <v>42552.7308101852</v>
      </c>
      <c r="C732">
        <v>1</v>
      </c>
      <c r="D732">
        <v>0</v>
      </c>
      <c r="E732" t="s">
        <v>735</v>
      </c>
    </row>
    <row r="733" spans="1:5">
      <c r="A733">
        <f>HYPERLINK("http://www.twitter.com/NYCParks/status/748926695881764865", "748926695881764865")</f>
        <v>0</v>
      </c>
      <c r="B733" s="2">
        <v>42552.7154282407</v>
      </c>
      <c r="C733">
        <v>35</v>
      </c>
      <c r="D733">
        <v>31</v>
      </c>
      <c r="E733" t="s">
        <v>736</v>
      </c>
    </row>
    <row r="734" spans="1:5">
      <c r="A734">
        <f>HYPERLINK("http://www.twitter.com/NYCParks/status/748921067448725504", "748921067448725504")</f>
        <v>0</v>
      </c>
      <c r="B734" s="2">
        <v>42552.6998958333</v>
      </c>
      <c r="C734">
        <v>1</v>
      </c>
      <c r="D734">
        <v>0</v>
      </c>
      <c r="E734" t="s">
        <v>737</v>
      </c>
    </row>
    <row r="735" spans="1:5">
      <c r="A735">
        <f>HYPERLINK("http://www.twitter.com/NYCParks/status/748920223659687936", "748920223659687936")</f>
        <v>0</v>
      </c>
      <c r="B735" s="2">
        <v>42552.6975694444</v>
      </c>
      <c r="C735">
        <v>2</v>
      </c>
      <c r="D735">
        <v>1</v>
      </c>
      <c r="E735" t="s">
        <v>738</v>
      </c>
    </row>
    <row r="736" spans="1:5">
      <c r="A736">
        <f>HYPERLINK("http://www.twitter.com/NYCParks/status/748910335239872512", "748910335239872512")</f>
        <v>0</v>
      </c>
      <c r="B736" s="2">
        <v>42552.6702777778</v>
      </c>
      <c r="C736">
        <v>28</v>
      </c>
      <c r="D736">
        <v>6</v>
      </c>
      <c r="E736" t="s">
        <v>739</v>
      </c>
    </row>
    <row r="737" spans="1:5">
      <c r="A737">
        <f>HYPERLINK("http://www.twitter.com/NYCParks/status/748895674993815552", "748895674993815552")</f>
        <v>0</v>
      </c>
      <c r="B737" s="2">
        <v>42552.6298263889</v>
      </c>
      <c r="C737">
        <v>48</v>
      </c>
      <c r="D737">
        <v>24</v>
      </c>
      <c r="E737" t="s">
        <v>740</v>
      </c>
    </row>
    <row r="738" spans="1:5">
      <c r="A738">
        <f>HYPERLINK("http://www.twitter.com/NYCParks/status/748598284210610176", "748598284210610176")</f>
        <v>0</v>
      </c>
      <c r="B738" s="2">
        <v>42551.8091782407</v>
      </c>
      <c r="C738">
        <v>5</v>
      </c>
      <c r="D738">
        <v>2</v>
      </c>
      <c r="E738" t="s">
        <v>741</v>
      </c>
    </row>
    <row r="739" spans="1:5">
      <c r="A739">
        <f>HYPERLINK("http://www.twitter.com/NYCParks/status/748581973753466881", "748581973753466881")</f>
        <v>0</v>
      </c>
      <c r="B739" s="2">
        <v>42551.7641782407</v>
      </c>
      <c r="C739">
        <v>13</v>
      </c>
      <c r="D739">
        <v>3</v>
      </c>
      <c r="E739" t="s">
        <v>742</v>
      </c>
    </row>
    <row r="740" spans="1:5">
      <c r="A740">
        <f>HYPERLINK("http://www.twitter.com/NYCParks/status/748565641712570372", "748565641712570372")</f>
        <v>0</v>
      </c>
      <c r="B740" s="2">
        <v>42551.7191087963</v>
      </c>
      <c r="C740">
        <v>16</v>
      </c>
      <c r="D740">
        <v>6</v>
      </c>
      <c r="E740" t="s">
        <v>743</v>
      </c>
    </row>
    <row r="741" spans="1:5">
      <c r="A741">
        <f>HYPERLINK("http://www.twitter.com/NYCParks/status/748548043104890881", "748548043104890881")</f>
        <v>0</v>
      </c>
      <c r="B741" s="2">
        <v>42551.6705439815</v>
      </c>
      <c r="C741">
        <v>20</v>
      </c>
      <c r="D741">
        <v>11</v>
      </c>
      <c r="E741" t="s">
        <v>744</v>
      </c>
    </row>
    <row r="742" spans="1:5">
      <c r="A742">
        <f>HYPERLINK("http://www.twitter.com/NYCParks/status/748531916652093440", "748531916652093440")</f>
        <v>0</v>
      </c>
      <c r="B742" s="2">
        <v>42551.6260416667</v>
      </c>
      <c r="C742">
        <v>44</v>
      </c>
      <c r="D742">
        <v>26</v>
      </c>
      <c r="E742" t="s">
        <v>745</v>
      </c>
    </row>
    <row r="743" spans="1:5">
      <c r="A743">
        <f>HYPERLINK("http://www.twitter.com/NYCParks/status/748267634488115200", "748267634488115200")</f>
        <v>0</v>
      </c>
      <c r="B743" s="2">
        <v>42550.8967592593</v>
      </c>
      <c r="C743">
        <v>2</v>
      </c>
      <c r="D743">
        <v>0</v>
      </c>
      <c r="E743" t="s">
        <v>746</v>
      </c>
    </row>
    <row r="744" spans="1:5">
      <c r="A744">
        <f>HYPERLINK("http://www.twitter.com/NYCParks/status/748267499750326272", "748267499750326272")</f>
        <v>0</v>
      </c>
      <c r="B744" s="2">
        <v>42550.8963888889</v>
      </c>
      <c r="C744">
        <v>1</v>
      </c>
      <c r="D744">
        <v>0</v>
      </c>
      <c r="E744" t="s">
        <v>747</v>
      </c>
    </row>
    <row r="745" spans="1:5">
      <c r="A745">
        <f>HYPERLINK("http://www.twitter.com/NYCParks/status/748261990842437632", "748261990842437632")</f>
        <v>0</v>
      </c>
      <c r="B745" s="2">
        <v>42550.8811921296</v>
      </c>
      <c r="C745">
        <v>30</v>
      </c>
      <c r="D745">
        <v>5</v>
      </c>
      <c r="E745" t="s">
        <v>748</v>
      </c>
    </row>
    <row r="746" spans="1:5">
      <c r="A746">
        <f>HYPERLINK("http://www.twitter.com/NYCParks/status/748233401870782465", "748233401870782465")</f>
        <v>0</v>
      </c>
      <c r="B746" s="2">
        <v>42550.8023032407</v>
      </c>
      <c r="C746">
        <v>36</v>
      </c>
      <c r="D746">
        <v>27</v>
      </c>
      <c r="E746" t="s">
        <v>749</v>
      </c>
    </row>
    <row r="747" spans="1:5">
      <c r="A747">
        <f>HYPERLINK("http://www.twitter.com/NYCParks/status/748218281975287808", "748218281975287808")</f>
        <v>0</v>
      </c>
      <c r="B747" s="2">
        <v>42550.7605787037</v>
      </c>
      <c r="C747">
        <v>30</v>
      </c>
      <c r="D747">
        <v>9</v>
      </c>
      <c r="E747" t="s">
        <v>750</v>
      </c>
    </row>
    <row r="748" spans="1:5">
      <c r="A748">
        <f>HYPERLINK("http://www.twitter.com/NYCParks/status/748205057343107072", "748205057343107072")</f>
        <v>0</v>
      </c>
      <c r="B748" s="2">
        <v>42550.7240856482</v>
      </c>
      <c r="C748">
        <v>1</v>
      </c>
      <c r="D748">
        <v>0</v>
      </c>
      <c r="E748" t="s">
        <v>751</v>
      </c>
    </row>
    <row r="749" spans="1:5">
      <c r="A749">
        <f>HYPERLINK("http://www.twitter.com/NYCParks/status/748203936583135233", "748203936583135233")</f>
        <v>0</v>
      </c>
      <c r="B749" s="2">
        <v>42550.7209953704</v>
      </c>
      <c r="C749">
        <v>17</v>
      </c>
      <c r="D749">
        <v>15</v>
      </c>
      <c r="E749" t="s">
        <v>752</v>
      </c>
    </row>
    <row r="750" spans="1:5">
      <c r="A750">
        <f>HYPERLINK("http://www.twitter.com/NYCParks/status/748185569751142400", "748185569751142400")</f>
        <v>0</v>
      </c>
      <c r="B750" s="2">
        <v>42550.6703125</v>
      </c>
      <c r="C750">
        <v>57</v>
      </c>
      <c r="D750">
        <v>12</v>
      </c>
      <c r="E750" t="s">
        <v>753</v>
      </c>
    </row>
    <row r="751" spans="1:5">
      <c r="A751">
        <f>HYPERLINK("http://www.twitter.com/NYCParks/status/748169895360237568", "748169895360237568")</f>
        <v>0</v>
      </c>
      <c r="B751" s="2">
        <v>42550.6270601852</v>
      </c>
      <c r="C751">
        <v>36</v>
      </c>
      <c r="D751">
        <v>19</v>
      </c>
      <c r="E751" t="s">
        <v>754</v>
      </c>
    </row>
    <row r="752" spans="1:5">
      <c r="A752">
        <f>HYPERLINK("http://www.twitter.com/NYCParks/status/747893652995842048", "747893652995842048")</f>
        <v>0</v>
      </c>
      <c r="B752" s="2">
        <v>42549.8647685185</v>
      </c>
      <c r="C752">
        <v>55</v>
      </c>
      <c r="D752">
        <v>38</v>
      </c>
      <c r="E752" t="s">
        <v>755</v>
      </c>
    </row>
    <row r="753" spans="1:5">
      <c r="A753">
        <f>HYPERLINK("http://www.twitter.com/NYCParks/status/747876031076401153", "747876031076401153")</f>
        <v>0</v>
      </c>
      <c r="B753" s="2">
        <v>42549.8161458333</v>
      </c>
      <c r="C753">
        <v>22</v>
      </c>
      <c r="D753">
        <v>23</v>
      </c>
      <c r="E753" t="s">
        <v>756</v>
      </c>
    </row>
    <row r="754" spans="1:5">
      <c r="A754">
        <f>HYPERLINK("http://www.twitter.com/NYCParks/status/747868906929389568", "747868906929389568")</f>
        <v>0</v>
      </c>
      <c r="B754" s="2">
        <v>42549.7964814815</v>
      </c>
      <c r="C754">
        <v>1</v>
      </c>
      <c r="D754">
        <v>0</v>
      </c>
      <c r="E754" t="s">
        <v>757</v>
      </c>
    </row>
    <row r="755" spans="1:5">
      <c r="A755">
        <f>HYPERLINK("http://www.twitter.com/NYCParks/status/747859745147621376", "747859745147621376")</f>
        <v>0</v>
      </c>
      <c r="B755" s="2">
        <v>42549.7712037037</v>
      </c>
      <c r="C755">
        <v>28</v>
      </c>
      <c r="D755">
        <v>18</v>
      </c>
      <c r="E755" t="s">
        <v>758</v>
      </c>
    </row>
    <row r="756" spans="1:5">
      <c r="A756">
        <f>HYPERLINK("http://www.twitter.com/NYCParks/status/747843326586589188", "747843326586589188")</f>
        <v>0</v>
      </c>
      <c r="B756" s="2">
        <v>42549.7258912037</v>
      </c>
      <c r="C756">
        <v>16</v>
      </c>
      <c r="D756">
        <v>13</v>
      </c>
      <c r="E756" t="s">
        <v>759</v>
      </c>
    </row>
    <row r="757" spans="1:5">
      <c r="A757">
        <f>HYPERLINK("http://www.twitter.com/NYCParks/status/747827804801241088", "747827804801241088")</f>
        <v>0</v>
      </c>
      <c r="B757" s="2">
        <v>42549.6830671296</v>
      </c>
      <c r="C757">
        <v>13</v>
      </c>
      <c r="D757">
        <v>7</v>
      </c>
      <c r="E757" t="s">
        <v>760</v>
      </c>
    </row>
    <row r="758" spans="1:5">
      <c r="A758">
        <f>HYPERLINK("http://www.twitter.com/NYCParks/status/747806772434448384", "747806772434448384")</f>
        <v>0</v>
      </c>
      <c r="B758" s="2">
        <v>42549.6250231481</v>
      </c>
      <c r="C758">
        <v>18</v>
      </c>
      <c r="D758">
        <v>5</v>
      </c>
      <c r="E758" t="s">
        <v>761</v>
      </c>
    </row>
    <row r="759" spans="1:5">
      <c r="A759">
        <f>HYPERLINK("http://www.twitter.com/NYCParks/status/747554037831172096", "747554037831172096")</f>
        <v>0</v>
      </c>
      <c r="B759" s="2">
        <v>42548.9276157407</v>
      </c>
      <c r="C759">
        <v>17</v>
      </c>
      <c r="D759">
        <v>5</v>
      </c>
      <c r="E759" t="s">
        <v>762</v>
      </c>
    </row>
    <row r="760" spans="1:5">
      <c r="A760">
        <f>HYPERLINK("http://www.twitter.com/NYCParks/status/747542559912828928", "747542559912828928")</f>
        <v>0</v>
      </c>
      <c r="B760" s="2">
        <v>42548.8959375</v>
      </c>
      <c r="C760">
        <v>12</v>
      </c>
      <c r="D760">
        <v>4</v>
      </c>
      <c r="E760" t="s">
        <v>763</v>
      </c>
    </row>
    <row r="761" spans="1:5">
      <c r="A761">
        <f>HYPERLINK("http://www.twitter.com/NYCParks/status/747528871080124416", "747528871080124416")</f>
        <v>0</v>
      </c>
      <c r="B761" s="2">
        <v>42548.8581597222</v>
      </c>
      <c r="C761">
        <v>19</v>
      </c>
      <c r="D761">
        <v>6</v>
      </c>
      <c r="E761" t="s">
        <v>764</v>
      </c>
    </row>
    <row r="762" spans="1:5">
      <c r="A762">
        <f>HYPERLINK("http://www.twitter.com/NYCParks/status/747485609078460416", "747485609078460416")</f>
        <v>0</v>
      </c>
      <c r="B762" s="2">
        <v>42548.7387847222</v>
      </c>
      <c r="C762">
        <v>42</v>
      </c>
      <c r="D762">
        <v>28</v>
      </c>
      <c r="E762" t="s">
        <v>765</v>
      </c>
    </row>
    <row r="763" spans="1:5">
      <c r="A763">
        <f>HYPERLINK("http://www.twitter.com/NYCParks/status/747473489620144128", "747473489620144128")</f>
        <v>0</v>
      </c>
      <c r="B763" s="2">
        <v>42548.7053356481</v>
      </c>
      <c r="C763">
        <v>2</v>
      </c>
      <c r="D763">
        <v>0</v>
      </c>
      <c r="E763" t="s">
        <v>766</v>
      </c>
    </row>
    <row r="764" spans="1:5">
      <c r="A764">
        <f>HYPERLINK("http://www.twitter.com/NYCParks/status/747473347789787136", "747473347789787136")</f>
        <v>0</v>
      </c>
      <c r="B764" s="2">
        <v>42548.7049537037</v>
      </c>
      <c r="C764">
        <v>6</v>
      </c>
      <c r="D764">
        <v>3</v>
      </c>
      <c r="E764" t="s">
        <v>767</v>
      </c>
    </row>
    <row r="765" spans="1:5">
      <c r="A765">
        <f>HYPERLINK("http://www.twitter.com/NYCParks/status/747473218982707200", "747473218982707200")</f>
        <v>0</v>
      </c>
      <c r="B765" s="2">
        <v>42548.7045949074</v>
      </c>
      <c r="C765">
        <v>1</v>
      </c>
      <c r="D765">
        <v>0</v>
      </c>
      <c r="E765" t="s">
        <v>768</v>
      </c>
    </row>
    <row r="766" spans="1:5">
      <c r="A766">
        <f>HYPERLINK("http://www.twitter.com/NYCParks/status/747468141890936833", "747468141890936833")</f>
        <v>0</v>
      </c>
      <c r="B766" s="2">
        <v>42548.6905787037</v>
      </c>
      <c r="C766">
        <v>13</v>
      </c>
      <c r="D766">
        <v>10</v>
      </c>
      <c r="E766" t="s">
        <v>769</v>
      </c>
    </row>
    <row r="767" spans="1:5">
      <c r="A767">
        <f>HYPERLINK("http://www.twitter.com/NYCParks/status/747465611870011392", "747465611870011392")</f>
        <v>0</v>
      </c>
      <c r="B767" s="2">
        <v>42548.683599537</v>
      </c>
      <c r="C767">
        <v>0</v>
      </c>
      <c r="D767">
        <v>0</v>
      </c>
      <c r="E767" t="s">
        <v>770</v>
      </c>
    </row>
    <row r="768" spans="1:5">
      <c r="A768">
        <f>HYPERLINK("http://www.twitter.com/NYCParks/status/747460767931260928", "747460767931260928")</f>
        <v>0</v>
      </c>
      <c r="B768" s="2">
        <v>42548.6702314815</v>
      </c>
      <c r="C768">
        <v>0</v>
      </c>
      <c r="D768">
        <v>0</v>
      </c>
      <c r="E768" t="s">
        <v>771</v>
      </c>
    </row>
    <row r="769" spans="1:5">
      <c r="A769">
        <f>HYPERLINK("http://www.twitter.com/NYCParks/status/747458851738288128", "747458851738288128")</f>
        <v>0</v>
      </c>
      <c r="B769" s="2">
        <v>42548.6649537037</v>
      </c>
      <c r="C769">
        <v>0</v>
      </c>
      <c r="D769">
        <v>0</v>
      </c>
      <c r="E769" t="s">
        <v>772</v>
      </c>
    </row>
    <row r="770" spans="1:5">
      <c r="A770">
        <f>HYPERLINK("http://www.twitter.com/NYCParks/status/747448470160683008", "747448470160683008")</f>
        <v>0</v>
      </c>
      <c r="B770" s="2">
        <v>42548.6362962963</v>
      </c>
      <c r="C770">
        <v>20</v>
      </c>
      <c r="D770">
        <v>6</v>
      </c>
      <c r="E770" t="s">
        <v>773</v>
      </c>
    </row>
    <row r="771" spans="1:5">
      <c r="A771">
        <f>HYPERLINK("http://www.twitter.com/NYCParks/status/746790279127113728", "746790279127113728")</f>
        <v>0</v>
      </c>
      <c r="B771" s="2">
        <v>42546.8200347222</v>
      </c>
      <c r="C771">
        <v>0</v>
      </c>
      <c r="D771">
        <v>50</v>
      </c>
      <c r="E771" t="s">
        <v>774</v>
      </c>
    </row>
    <row r="772" spans="1:5">
      <c r="A772">
        <f>HYPERLINK("http://www.twitter.com/NYCParks/status/746731427421691904", "746731427421691904")</f>
        <v>0</v>
      </c>
      <c r="B772" s="2">
        <v>42546.6576388889</v>
      </c>
      <c r="C772">
        <v>0</v>
      </c>
      <c r="D772">
        <v>33</v>
      </c>
      <c r="E772" t="s">
        <v>775</v>
      </c>
    </row>
    <row r="773" spans="1:5">
      <c r="A773">
        <f>HYPERLINK("http://www.twitter.com/NYCParks/status/746459210796400640", "746459210796400640")</f>
        <v>0</v>
      </c>
      <c r="B773" s="2">
        <v>42545.9064699074</v>
      </c>
      <c r="C773">
        <v>80</v>
      </c>
      <c r="D773">
        <v>32</v>
      </c>
      <c r="E773" t="s">
        <v>776</v>
      </c>
    </row>
    <row r="774" spans="1:5">
      <c r="A774">
        <f>HYPERLINK("http://www.twitter.com/NYCParks/status/746444071456096257", "746444071456096257")</f>
        <v>0</v>
      </c>
      <c r="B774" s="2">
        <v>42545.8646875</v>
      </c>
      <c r="C774">
        <v>7</v>
      </c>
      <c r="D774">
        <v>6</v>
      </c>
      <c r="E774" t="s">
        <v>777</v>
      </c>
    </row>
    <row r="775" spans="1:5">
      <c r="A775">
        <f>HYPERLINK("http://www.twitter.com/NYCParks/status/746428993251983360", "746428993251983360")</f>
        <v>0</v>
      </c>
      <c r="B775" s="2">
        <v>42545.8230787037</v>
      </c>
      <c r="C775">
        <v>16</v>
      </c>
      <c r="D775">
        <v>12</v>
      </c>
      <c r="E775" t="s">
        <v>778</v>
      </c>
    </row>
    <row r="776" spans="1:5">
      <c r="A776">
        <f>HYPERLINK("http://www.twitter.com/NYCParks/status/746411342869868544", "746411342869868544")</f>
        <v>0</v>
      </c>
      <c r="B776" s="2">
        <v>42545.774375</v>
      </c>
      <c r="C776">
        <v>0</v>
      </c>
      <c r="D776">
        <v>9</v>
      </c>
      <c r="E776" t="s">
        <v>779</v>
      </c>
    </row>
    <row r="777" spans="1:5">
      <c r="A777">
        <f>HYPERLINK("http://www.twitter.com/NYCParks/status/746395910519787520", "746395910519787520")</f>
        <v>0</v>
      </c>
      <c r="B777" s="2">
        <v>42545.7317939815</v>
      </c>
      <c r="C777">
        <v>30</v>
      </c>
      <c r="D777">
        <v>17</v>
      </c>
      <c r="E777" t="s">
        <v>780</v>
      </c>
    </row>
    <row r="778" spans="1:5">
      <c r="A778">
        <f>HYPERLINK("http://www.twitter.com/NYCParks/status/746385802473635840", "746385802473635840")</f>
        <v>0</v>
      </c>
      <c r="B778" s="2">
        <v>42545.703900463</v>
      </c>
      <c r="C778">
        <v>0</v>
      </c>
      <c r="D778">
        <v>1192</v>
      </c>
      <c r="E778" t="s">
        <v>781</v>
      </c>
    </row>
    <row r="779" spans="1:5">
      <c r="A779">
        <f>HYPERLINK("http://www.twitter.com/NYCParks/status/746374874973741057", "746374874973741057")</f>
        <v>0</v>
      </c>
      <c r="B779" s="2">
        <v>42545.6737384259</v>
      </c>
      <c r="C779">
        <v>18</v>
      </c>
      <c r="D779">
        <v>19</v>
      </c>
      <c r="E779" t="s">
        <v>782</v>
      </c>
    </row>
    <row r="780" spans="1:5">
      <c r="A780">
        <f>HYPERLINK("http://www.twitter.com/NYCParks/status/746359242953728002", "746359242953728002")</f>
        <v>0</v>
      </c>
      <c r="B780" s="2">
        <v>42545.6306018519</v>
      </c>
      <c r="C780">
        <v>1</v>
      </c>
      <c r="D780">
        <v>1</v>
      </c>
      <c r="E780" t="s">
        <v>783</v>
      </c>
    </row>
    <row r="781" spans="1:5">
      <c r="A781">
        <f>HYPERLINK("http://www.twitter.com/NYCParks/status/746357335224913920", "746357335224913920")</f>
        <v>0</v>
      </c>
      <c r="B781" s="2">
        <v>42545.6253472222</v>
      </c>
      <c r="C781">
        <v>19</v>
      </c>
      <c r="D781">
        <v>5</v>
      </c>
      <c r="E781" t="s">
        <v>784</v>
      </c>
    </row>
    <row r="782" spans="1:5">
      <c r="A782">
        <f>HYPERLINK("http://www.twitter.com/NYCParks/status/746126030700687360", "746126030700687360")</f>
        <v>0</v>
      </c>
      <c r="B782" s="2">
        <v>42544.9870601852</v>
      </c>
      <c r="C782">
        <v>0</v>
      </c>
      <c r="D782">
        <v>2</v>
      </c>
      <c r="E782" t="s">
        <v>785</v>
      </c>
    </row>
    <row r="783" spans="1:5">
      <c r="A783">
        <f>HYPERLINK("http://www.twitter.com/NYCParks/status/746112933734711297", "746112933734711297")</f>
        <v>0</v>
      </c>
      <c r="B783" s="2">
        <v>42544.9509259259</v>
      </c>
      <c r="C783">
        <v>13</v>
      </c>
      <c r="D783">
        <v>6</v>
      </c>
      <c r="E783" t="s">
        <v>786</v>
      </c>
    </row>
    <row r="784" spans="1:5">
      <c r="A784">
        <f>HYPERLINK("http://www.twitter.com/NYCParks/status/746087725351211009", "746087725351211009")</f>
        <v>0</v>
      </c>
      <c r="B784" s="2">
        <v>42544.8813657407</v>
      </c>
      <c r="C784">
        <v>25</v>
      </c>
      <c r="D784">
        <v>14</v>
      </c>
      <c r="E784" t="s">
        <v>787</v>
      </c>
    </row>
    <row r="785" spans="1:5">
      <c r="A785">
        <f>HYPERLINK("http://www.twitter.com/NYCParks/status/746065313146482688", "746065313146482688")</f>
        <v>0</v>
      </c>
      <c r="B785" s="2">
        <v>42544.8195138889</v>
      </c>
      <c r="C785">
        <v>0</v>
      </c>
      <c r="D785">
        <v>0</v>
      </c>
      <c r="E785" t="s">
        <v>788</v>
      </c>
    </row>
    <row r="786" spans="1:5">
      <c r="A786">
        <f>HYPERLINK("http://www.twitter.com/NYCParks/status/746062193704112129", "746062193704112129")</f>
        <v>0</v>
      </c>
      <c r="B786" s="2">
        <v>42544.8109027778</v>
      </c>
      <c r="C786">
        <v>17</v>
      </c>
      <c r="D786">
        <v>8</v>
      </c>
      <c r="E786" t="s">
        <v>789</v>
      </c>
    </row>
    <row r="787" spans="1:5">
      <c r="A787">
        <f>HYPERLINK("http://www.twitter.com/NYCParks/status/746060314148495360", "746060314148495360")</f>
        <v>0</v>
      </c>
      <c r="B787" s="2">
        <v>42544.8057175926</v>
      </c>
      <c r="C787">
        <v>6</v>
      </c>
      <c r="D787">
        <v>7</v>
      </c>
      <c r="E787" t="s">
        <v>790</v>
      </c>
    </row>
    <row r="788" spans="1:5">
      <c r="A788">
        <f>HYPERLINK("http://www.twitter.com/NYCParks/status/746030104464269312", "746030104464269312")</f>
        <v>0</v>
      </c>
      <c r="B788" s="2">
        <v>42544.7223611111</v>
      </c>
      <c r="C788">
        <v>76</v>
      </c>
      <c r="D788">
        <v>30</v>
      </c>
      <c r="E788" t="s">
        <v>791</v>
      </c>
    </row>
    <row r="789" spans="1:5">
      <c r="A789">
        <f>HYPERLINK("http://www.twitter.com/NYCParks/status/746015005896810496", "746015005896810496")</f>
        <v>0</v>
      </c>
      <c r="B789" s="2">
        <v>42544.6806944444</v>
      </c>
      <c r="C789">
        <v>19</v>
      </c>
      <c r="D789">
        <v>8</v>
      </c>
      <c r="E789" t="s">
        <v>792</v>
      </c>
    </row>
    <row r="790" spans="1:5">
      <c r="A790">
        <f>HYPERLINK("http://www.twitter.com/NYCParks/status/746003342996934656", "746003342996934656")</f>
        <v>0</v>
      </c>
      <c r="B790" s="2">
        <v>42544.6485069444</v>
      </c>
      <c r="C790">
        <v>0</v>
      </c>
      <c r="D790">
        <v>20</v>
      </c>
      <c r="E790" t="s">
        <v>793</v>
      </c>
    </row>
    <row r="791" spans="1:5">
      <c r="A791">
        <f>HYPERLINK("http://www.twitter.com/NYCParks/status/745997267245613056", "745997267245613056")</f>
        <v>0</v>
      </c>
      <c r="B791" s="2">
        <v>42544.6317476852</v>
      </c>
      <c r="C791">
        <v>1</v>
      </c>
      <c r="D791">
        <v>0</v>
      </c>
      <c r="E791" t="s">
        <v>794</v>
      </c>
    </row>
    <row r="792" spans="1:5">
      <c r="A792">
        <f>HYPERLINK("http://www.twitter.com/NYCParks/status/745715616095571968", "745715616095571968")</f>
        <v>0</v>
      </c>
      <c r="B792" s="2">
        <v>42543.854537037</v>
      </c>
      <c r="C792">
        <v>14</v>
      </c>
      <c r="D792">
        <v>12</v>
      </c>
      <c r="E792" t="s">
        <v>795</v>
      </c>
    </row>
    <row r="793" spans="1:5">
      <c r="A793">
        <f>HYPERLINK("http://www.twitter.com/NYCParks/status/745697924546502656", "745697924546502656")</f>
        <v>0</v>
      </c>
      <c r="B793" s="2">
        <v>42543.8057175926</v>
      </c>
      <c r="C793">
        <v>33</v>
      </c>
      <c r="D793">
        <v>14</v>
      </c>
      <c r="E793" t="s">
        <v>796</v>
      </c>
    </row>
    <row r="794" spans="1:5">
      <c r="A794">
        <f>HYPERLINK("http://www.twitter.com/NYCParks/status/745684093900316673", "745684093900316673")</f>
        <v>0</v>
      </c>
      <c r="B794" s="2">
        <v>42543.7675462963</v>
      </c>
      <c r="C794">
        <v>10</v>
      </c>
      <c r="D794">
        <v>2</v>
      </c>
      <c r="E794" t="s">
        <v>797</v>
      </c>
    </row>
    <row r="795" spans="1:5">
      <c r="A795">
        <f>HYPERLINK("http://www.twitter.com/NYCParks/status/745667761796440064", "745667761796440064")</f>
        <v>0</v>
      </c>
      <c r="B795" s="2">
        <v>42543.7224768518</v>
      </c>
      <c r="C795">
        <v>25</v>
      </c>
      <c r="D795">
        <v>14</v>
      </c>
      <c r="E795" t="s">
        <v>798</v>
      </c>
    </row>
    <row r="796" spans="1:5">
      <c r="A796">
        <f>HYPERLINK("http://www.twitter.com/NYCParks/status/745652624058351616", "745652624058351616")</f>
        <v>0</v>
      </c>
      <c r="B796" s="2">
        <v>42543.6807060185</v>
      </c>
      <c r="C796">
        <v>12</v>
      </c>
      <c r="D796">
        <v>2</v>
      </c>
      <c r="E796" t="s">
        <v>799</v>
      </c>
    </row>
    <row r="797" spans="1:5">
      <c r="A797">
        <f>HYPERLINK("http://www.twitter.com/NYCParks/status/745634734777188352", "745634734777188352")</f>
        <v>0</v>
      </c>
      <c r="B797" s="2">
        <v>42543.6313425926</v>
      </c>
      <c r="C797">
        <v>41</v>
      </c>
      <c r="D797">
        <v>24</v>
      </c>
      <c r="E797" t="s">
        <v>800</v>
      </c>
    </row>
    <row r="798" spans="1:5">
      <c r="A798">
        <f>HYPERLINK("http://www.twitter.com/NYCParks/status/745428218870644736", "745428218870644736")</f>
        <v>0</v>
      </c>
      <c r="B798" s="2">
        <v>42543.0614699074</v>
      </c>
      <c r="C798">
        <v>1</v>
      </c>
      <c r="D798">
        <v>1</v>
      </c>
      <c r="E798" t="s">
        <v>801</v>
      </c>
    </row>
    <row r="799" spans="1:5">
      <c r="A799">
        <f>HYPERLINK("http://www.twitter.com/NYCParks/status/745398456831836160", "745398456831836160")</f>
        <v>0</v>
      </c>
      <c r="B799" s="2">
        <v>42542.9793402778</v>
      </c>
      <c r="C799">
        <v>25</v>
      </c>
      <c r="D799">
        <v>12</v>
      </c>
      <c r="E799" t="s">
        <v>802</v>
      </c>
    </row>
    <row r="800" spans="1:5">
      <c r="A800">
        <f>HYPERLINK("http://www.twitter.com/NYCParks/status/745382335093235712", "745382335093235712")</f>
        <v>0</v>
      </c>
      <c r="B800" s="2">
        <v>42542.934849537</v>
      </c>
      <c r="C800">
        <v>21</v>
      </c>
      <c r="D800">
        <v>10</v>
      </c>
      <c r="E800" t="s">
        <v>803</v>
      </c>
    </row>
    <row r="801" spans="1:5">
      <c r="A801">
        <f>HYPERLINK("http://www.twitter.com/NYCParks/status/745354391474012160", "745354391474012160")</f>
        <v>0</v>
      </c>
      <c r="B801" s="2">
        <v>42542.8577430556</v>
      </c>
      <c r="C801">
        <v>13</v>
      </c>
      <c r="D801">
        <v>9</v>
      </c>
      <c r="E801" t="s">
        <v>804</v>
      </c>
    </row>
    <row r="802" spans="1:5">
      <c r="A802">
        <f>HYPERLINK("http://www.twitter.com/NYCParks/status/745338145248583680", "745338145248583680")</f>
        <v>0</v>
      </c>
      <c r="B802" s="2">
        <v>42542.8129166667</v>
      </c>
      <c r="C802">
        <v>38</v>
      </c>
      <c r="D802">
        <v>7</v>
      </c>
      <c r="E802" t="s">
        <v>805</v>
      </c>
    </row>
    <row r="803" spans="1:5">
      <c r="A803">
        <f>HYPERLINK("http://www.twitter.com/NYCParks/status/745321682303320064", "745321682303320064")</f>
        <v>0</v>
      </c>
      <c r="B803" s="2">
        <v>42542.7674884259</v>
      </c>
      <c r="C803">
        <v>22</v>
      </c>
      <c r="D803">
        <v>13</v>
      </c>
      <c r="E803" t="s">
        <v>806</v>
      </c>
    </row>
    <row r="804" spans="1:5">
      <c r="A804">
        <f>HYPERLINK("http://www.twitter.com/NYCParks/status/745304547497742336", "745304547497742336")</f>
        <v>0</v>
      </c>
      <c r="B804" s="2">
        <v>42542.7201967593</v>
      </c>
      <c r="C804">
        <v>0</v>
      </c>
      <c r="D804">
        <v>12</v>
      </c>
      <c r="E804" t="s">
        <v>807</v>
      </c>
    </row>
    <row r="805" spans="1:5">
      <c r="A805">
        <f>HYPERLINK("http://www.twitter.com/NYCParks/status/745288987925954565", "745288987925954565")</f>
        <v>0</v>
      </c>
      <c r="B805" s="2">
        <v>42542.6772685185</v>
      </c>
      <c r="C805">
        <v>20</v>
      </c>
      <c r="D805">
        <v>12</v>
      </c>
      <c r="E805" t="s">
        <v>808</v>
      </c>
    </row>
    <row r="806" spans="1:5">
      <c r="A806">
        <f>HYPERLINK("http://www.twitter.com/NYCParks/status/745272036881240065", "745272036881240065")</f>
        <v>0</v>
      </c>
      <c r="B806" s="2">
        <v>42542.6304861111</v>
      </c>
      <c r="C806">
        <v>21</v>
      </c>
      <c r="D806">
        <v>15</v>
      </c>
      <c r="E806" t="s">
        <v>809</v>
      </c>
    </row>
    <row r="807" spans="1:5">
      <c r="A807">
        <f>HYPERLINK("http://www.twitter.com/NYCParks/status/745267947518726144", "745267947518726144")</f>
        <v>0</v>
      </c>
      <c r="B807" s="2">
        <v>42542.6192013889</v>
      </c>
      <c r="C807">
        <v>0</v>
      </c>
      <c r="D807">
        <v>0</v>
      </c>
      <c r="E807" t="s">
        <v>810</v>
      </c>
    </row>
    <row r="808" spans="1:5">
      <c r="A808">
        <f>HYPERLINK("http://www.twitter.com/NYCParks/status/745011443687366656", "745011443687366656")</f>
        <v>0</v>
      </c>
      <c r="B808" s="2">
        <v>42541.9113888889</v>
      </c>
      <c r="C808">
        <v>33</v>
      </c>
      <c r="D808">
        <v>14</v>
      </c>
      <c r="E808" t="s">
        <v>811</v>
      </c>
    </row>
    <row r="809" spans="1:5">
      <c r="A809">
        <f>HYPERLINK("http://www.twitter.com/NYCParks/status/744990841370976256", "744990841370976256")</f>
        <v>0</v>
      </c>
      <c r="B809" s="2">
        <v>42541.854537037</v>
      </c>
      <c r="C809">
        <v>34</v>
      </c>
      <c r="D809">
        <v>15</v>
      </c>
      <c r="E809" t="s">
        <v>812</v>
      </c>
    </row>
    <row r="810" spans="1:5">
      <c r="A810">
        <f>HYPERLINK("http://www.twitter.com/NYCParks/status/744973144620933125", "744973144620933125")</f>
        <v>0</v>
      </c>
      <c r="B810" s="2">
        <v>42541.8057060185</v>
      </c>
      <c r="C810">
        <v>24</v>
      </c>
      <c r="D810">
        <v>12</v>
      </c>
      <c r="E810" t="s">
        <v>813</v>
      </c>
    </row>
    <row r="811" spans="1:5">
      <c r="A811">
        <f>HYPERLINK("http://www.twitter.com/NYCParks/status/744960619732934657", "744960619732934657")</f>
        <v>0</v>
      </c>
      <c r="B811" s="2">
        <v>42541.7711458333</v>
      </c>
      <c r="C811">
        <v>33</v>
      </c>
      <c r="D811">
        <v>18</v>
      </c>
      <c r="E811" t="s">
        <v>814</v>
      </c>
    </row>
    <row r="812" spans="1:5">
      <c r="A812">
        <f>HYPERLINK("http://www.twitter.com/NYCParks/status/744937176031440896", "744937176031440896")</f>
        <v>0</v>
      </c>
      <c r="B812" s="2">
        <v>42541.7064467593</v>
      </c>
      <c r="C812">
        <v>46</v>
      </c>
      <c r="D812">
        <v>25</v>
      </c>
      <c r="E812" t="s">
        <v>815</v>
      </c>
    </row>
    <row r="813" spans="1:5">
      <c r="A813">
        <f>HYPERLINK("http://www.twitter.com/NYCParks/status/744912351363764224", "744912351363764224")</f>
        <v>0</v>
      </c>
      <c r="B813" s="2">
        <v>42541.6379513889</v>
      </c>
      <c r="C813">
        <v>17</v>
      </c>
      <c r="D813">
        <v>11</v>
      </c>
      <c r="E813" t="s">
        <v>816</v>
      </c>
    </row>
    <row r="814" spans="1:5">
      <c r="A814">
        <f>HYPERLINK("http://www.twitter.com/NYCParks/status/744160360677113856", "744160360677113856")</f>
        <v>0</v>
      </c>
      <c r="B814" s="2">
        <v>42539.5628472222</v>
      </c>
      <c r="C814">
        <v>27</v>
      </c>
      <c r="D814">
        <v>23</v>
      </c>
      <c r="E814" t="s">
        <v>817</v>
      </c>
    </row>
    <row r="815" spans="1:5">
      <c r="A815">
        <f>HYPERLINK("http://www.twitter.com/NYCParks/status/743909702354997248", "743909702354997248")</f>
        <v>0</v>
      </c>
      <c r="B815" s="2">
        <v>42538.8711574074</v>
      </c>
      <c r="C815">
        <v>31</v>
      </c>
      <c r="D815">
        <v>11</v>
      </c>
      <c r="E815" t="s">
        <v>818</v>
      </c>
    </row>
    <row r="816" spans="1:5">
      <c r="A816">
        <f>HYPERLINK("http://www.twitter.com/NYCParks/status/743893533816414208", "743893533816414208")</f>
        <v>0</v>
      </c>
      <c r="B816" s="2">
        <v>42538.8265393519</v>
      </c>
      <c r="C816">
        <v>19</v>
      </c>
      <c r="D816">
        <v>11</v>
      </c>
      <c r="E816" t="s">
        <v>819</v>
      </c>
    </row>
    <row r="817" spans="1:5">
      <c r="A817">
        <f>HYPERLINK("http://www.twitter.com/NYCParks/status/743870879587778560", "743870879587778560")</f>
        <v>0</v>
      </c>
      <c r="B817" s="2">
        <v>42538.7640277778</v>
      </c>
      <c r="C817">
        <v>26</v>
      </c>
      <c r="D817">
        <v>18</v>
      </c>
      <c r="E817" t="s">
        <v>820</v>
      </c>
    </row>
    <row r="818" spans="1:5">
      <c r="A818">
        <f>HYPERLINK("http://www.twitter.com/NYCParks/status/743855075722952704", "743855075722952704")</f>
        <v>0</v>
      </c>
      <c r="B818" s="2">
        <v>42538.7204166667</v>
      </c>
      <c r="C818">
        <v>28</v>
      </c>
      <c r="D818">
        <v>11</v>
      </c>
      <c r="E818" t="s">
        <v>821</v>
      </c>
    </row>
    <row r="819" spans="1:5">
      <c r="A819">
        <f>HYPERLINK("http://www.twitter.com/NYCParks/status/743839389973905408", "743839389973905408")</f>
        <v>0</v>
      </c>
      <c r="B819" s="2">
        <v>42538.6771412037</v>
      </c>
      <c r="C819">
        <v>0</v>
      </c>
      <c r="D819">
        <v>17</v>
      </c>
      <c r="E819" t="s">
        <v>822</v>
      </c>
    </row>
    <row r="820" spans="1:5">
      <c r="A820">
        <f>HYPERLINK("http://www.twitter.com/NYCParks/status/743823849133834240", "743823849133834240")</f>
        <v>0</v>
      </c>
      <c r="B820" s="2">
        <v>42538.6342476852</v>
      </c>
      <c r="C820">
        <v>21</v>
      </c>
      <c r="D820">
        <v>11</v>
      </c>
      <c r="E820" t="s">
        <v>823</v>
      </c>
    </row>
    <row r="821" spans="1:5">
      <c r="A821">
        <f>HYPERLINK("http://www.twitter.com/NYCParks/status/743558827027664897", "743558827027664897")</f>
        <v>0</v>
      </c>
      <c r="B821" s="2">
        <v>42537.9029282407</v>
      </c>
      <c r="C821">
        <v>21</v>
      </c>
      <c r="D821">
        <v>15</v>
      </c>
      <c r="E821" t="s">
        <v>824</v>
      </c>
    </row>
    <row r="822" spans="1:5">
      <c r="A822">
        <f>HYPERLINK("http://www.twitter.com/NYCParks/status/743542454654218240", "743542454654218240")</f>
        <v>0</v>
      </c>
      <c r="B822" s="2">
        <v>42537.8577546296</v>
      </c>
      <c r="C822">
        <v>15</v>
      </c>
      <c r="D822">
        <v>13</v>
      </c>
      <c r="E822" t="s">
        <v>825</v>
      </c>
    </row>
    <row r="823" spans="1:5">
      <c r="A823">
        <f>HYPERLINK("http://www.twitter.com/NYCParks/status/743526187494965248", "743526187494965248")</f>
        <v>0</v>
      </c>
      <c r="B823" s="2">
        <v>42537.8128587963</v>
      </c>
      <c r="C823">
        <v>28</v>
      </c>
      <c r="D823">
        <v>22</v>
      </c>
      <c r="E823" t="s">
        <v>826</v>
      </c>
    </row>
    <row r="824" spans="1:5">
      <c r="A824">
        <f>HYPERLINK("http://www.twitter.com/NYCParks/status/743509753444372481", "743509753444372481")</f>
        <v>0</v>
      </c>
      <c r="B824" s="2">
        <v>42537.7675115741</v>
      </c>
      <c r="C824">
        <v>45</v>
      </c>
      <c r="D824">
        <v>19</v>
      </c>
      <c r="E824" t="s">
        <v>827</v>
      </c>
    </row>
    <row r="825" spans="1:5">
      <c r="A825">
        <f>HYPERLINK("http://www.twitter.com/NYCParks/status/743494510966095873", "743494510966095873")</f>
        <v>0</v>
      </c>
      <c r="B825" s="2">
        <v>42537.7254513889</v>
      </c>
      <c r="C825">
        <v>0</v>
      </c>
      <c r="D825">
        <v>13</v>
      </c>
      <c r="E825" t="s">
        <v>828</v>
      </c>
    </row>
    <row r="826" spans="1:5">
      <c r="A826">
        <f>HYPERLINK("http://www.twitter.com/NYCParks/status/743480176550494208", "743480176550494208")</f>
        <v>0</v>
      </c>
      <c r="B826" s="2">
        <v>42537.6858912037</v>
      </c>
      <c r="C826">
        <v>0</v>
      </c>
      <c r="D826">
        <v>8</v>
      </c>
      <c r="E826" t="s">
        <v>829</v>
      </c>
    </row>
    <row r="827" spans="1:5">
      <c r="A827">
        <f>HYPERLINK("http://www.twitter.com/NYCParks/status/743463178500251648", "743463178500251648")</f>
        <v>0</v>
      </c>
      <c r="B827" s="2">
        <v>42537.6389930556</v>
      </c>
      <c r="C827">
        <v>15</v>
      </c>
      <c r="D827">
        <v>4</v>
      </c>
      <c r="E827" t="s">
        <v>830</v>
      </c>
    </row>
    <row r="828" spans="1:5">
      <c r="A828">
        <f>HYPERLINK("http://www.twitter.com/NYCParks/status/743161224918147072", "743161224918147072")</f>
        <v>0</v>
      </c>
      <c r="B828" s="2">
        <v>42536.8057523148</v>
      </c>
      <c r="C828">
        <v>19</v>
      </c>
      <c r="D828">
        <v>6</v>
      </c>
      <c r="E828" t="s">
        <v>831</v>
      </c>
    </row>
    <row r="829" spans="1:5">
      <c r="A829">
        <f>HYPERLINK("http://www.twitter.com/NYCParks/status/743144863638691841", "743144863638691841")</f>
        <v>0</v>
      </c>
      <c r="B829" s="2">
        <v>42536.7606134259</v>
      </c>
      <c r="C829">
        <v>31</v>
      </c>
      <c r="D829">
        <v>17</v>
      </c>
      <c r="E829" t="s">
        <v>832</v>
      </c>
    </row>
    <row r="830" spans="1:5">
      <c r="A830">
        <f>HYPERLINK("http://www.twitter.com/NYCParks/status/743128511477633024", "743128511477633024")</f>
        <v>0</v>
      </c>
      <c r="B830" s="2">
        <v>42536.7154861111</v>
      </c>
      <c r="C830">
        <v>29</v>
      </c>
      <c r="D830">
        <v>22</v>
      </c>
      <c r="E830" t="s">
        <v>833</v>
      </c>
    </row>
    <row r="831" spans="1:5">
      <c r="A831">
        <f>HYPERLINK("http://www.twitter.com/NYCParks/status/743112166220419072", "743112166220419072")</f>
        <v>0</v>
      </c>
      <c r="B831" s="2">
        <v>42536.6703819444</v>
      </c>
      <c r="C831">
        <v>24</v>
      </c>
      <c r="D831">
        <v>8</v>
      </c>
      <c r="E831" t="s">
        <v>834</v>
      </c>
    </row>
    <row r="832" spans="1:5">
      <c r="A832">
        <f>HYPERLINK("http://www.twitter.com/NYCParks/status/743095844648456192", "743095844648456192")</f>
        <v>0</v>
      </c>
      <c r="B832" s="2">
        <v>42536.6253472222</v>
      </c>
      <c r="C832">
        <v>19</v>
      </c>
      <c r="D832">
        <v>3</v>
      </c>
      <c r="E832" t="s">
        <v>835</v>
      </c>
    </row>
    <row r="833" spans="1:5">
      <c r="A833">
        <f>HYPERLINK("http://www.twitter.com/NYCParks/status/742819631015067648", "742819631015067648")</f>
        <v>0</v>
      </c>
      <c r="B833" s="2">
        <v>42535.8631365741</v>
      </c>
      <c r="C833">
        <v>23</v>
      </c>
      <c r="D833">
        <v>12</v>
      </c>
      <c r="E833" t="s">
        <v>836</v>
      </c>
    </row>
    <row r="834" spans="1:5">
      <c r="A834">
        <f>HYPERLINK("http://www.twitter.com/NYCParks/status/742801697756598272", "742801697756598272")</f>
        <v>0</v>
      </c>
      <c r="B834" s="2">
        <v>42535.8136458333</v>
      </c>
      <c r="C834">
        <v>0</v>
      </c>
      <c r="D834">
        <v>0</v>
      </c>
      <c r="E834" t="s">
        <v>837</v>
      </c>
    </row>
    <row r="835" spans="1:5">
      <c r="A835">
        <f>HYPERLINK("http://www.twitter.com/NYCParks/status/742801526431846401", "742801526431846401")</f>
        <v>0</v>
      </c>
      <c r="B835" s="2">
        <v>42535.8131828704</v>
      </c>
      <c r="C835">
        <v>0</v>
      </c>
      <c r="D835">
        <v>0</v>
      </c>
      <c r="E835" t="s">
        <v>838</v>
      </c>
    </row>
    <row r="836" spans="1:5">
      <c r="A836">
        <f>HYPERLINK("http://www.twitter.com/NYCParks/status/742794294004699136", "742794294004699136")</f>
        <v>0</v>
      </c>
      <c r="B836" s="2">
        <v>42535.7932175926</v>
      </c>
      <c r="C836">
        <v>16</v>
      </c>
      <c r="D836">
        <v>4</v>
      </c>
      <c r="E836" t="s">
        <v>839</v>
      </c>
    </row>
    <row r="837" spans="1:5">
      <c r="A837">
        <f>HYPERLINK("http://www.twitter.com/NYCParks/status/742783350243491841", "742783350243491841")</f>
        <v>0</v>
      </c>
      <c r="B837" s="2">
        <v>42535.7630208333</v>
      </c>
      <c r="C837">
        <v>8</v>
      </c>
      <c r="D837">
        <v>1</v>
      </c>
      <c r="E837" t="s">
        <v>840</v>
      </c>
    </row>
    <row r="838" spans="1:5">
      <c r="A838">
        <f>HYPERLINK("http://www.twitter.com/NYCParks/status/742768613359243264", "742768613359243264")</f>
        <v>0</v>
      </c>
      <c r="B838" s="2">
        <v>42535.7223611111</v>
      </c>
      <c r="C838">
        <v>14</v>
      </c>
      <c r="D838">
        <v>13</v>
      </c>
      <c r="E838" t="s">
        <v>841</v>
      </c>
    </row>
    <row r="839" spans="1:5">
      <c r="A839">
        <f>HYPERLINK("http://www.twitter.com/NYCParks/status/742753331249065985", "742753331249065985")</f>
        <v>0</v>
      </c>
      <c r="B839" s="2">
        <v>42535.6801851852</v>
      </c>
      <c r="C839">
        <v>33</v>
      </c>
      <c r="D839">
        <v>23</v>
      </c>
      <c r="E839" t="s">
        <v>842</v>
      </c>
    </row>
    <row r="840" spans="1:5">
      <c r="A840">
        <f>HYPERLINK("http://www.twitter.com/NYCParks/status/742737468139708417", "742737468139708417")</f>
        <v>0</v>
      </c>
      <c r="B840" s="2">
        <v>42535.636412037</v>
      </c>
      <c r="C840">
        <v>18</v>
      </c>
      <c r="D840">
        <v>5</v>
      </c>
      <c r="E840" t="s">
        <v>843</v>
      </c>
    </row>
    <row r="841" spans="1:5">
      <c r="A841">
        <f>HYPERLINK("http://www.twitter.com/NYCParks/status/742475822796308480", "742475822796308480")</f>
        <v>0</v>
      </c>
      <c r="B841" s="2">
        <v>42534.9144097222</v>
      </c>
      <c r="C841">
        <v>1</v>
      </c>
      <c r="D841">
        <v>0</v>
      </c>
      <c r="E841" t="s">
        <v>844</v>
      </c>
    </row>
    <row r="842" spans="1:5">
      <c r="A842">
        <f>HYPERLINK("http://www.twitter.com/NYCParks/status/742475293122777088", "742475293122777088")</f>
        <v>0</v>
      </c>
      <c r="B842" s="2">
        <v>42534.9129513889</v>
      </c>
      <c r="C842">
        <v>2</v>
      </c>
      <c r="D842">
        <v>0</v>
      </c>
      <c r="E842" t="s">
        <v>845</v>
      </c>
    </row>
    <row r="843" spans="1:5">
      <c r="A843">
        <f>HYPERLINK("http://www.twitter.com/NYCParks/status/742450938800144384", "742450938800144384")</f>
        <v>0</v>
      </c>
      <c r="B843" s="2">
        <v>42534.8457407407</v>
      </c>
      <c r="C843">
        <v>23</v>
      </c>
      <c r="D843">
        <v>9</v>
      </c>
      <c r="E843" t="s">
        <v>846</v>
      </c>
    </row>
    <row r="844" spans="1:5">
      <c r="A844">
        <f>HYPERLINK("http://www.twitter.com/NYCParks/status/742419185058381825", "742419185058381825")</f>
        <v>0</v>
      </c>
      <c r="B844" s="2">
        <v>42534.7581134259</v>
      </c>
      <c r="C844">
        <v>7</v>
      </c>
      <c r="D844">
        <v>6</v>
      </c>
      <c r="E844" t="s">
        <v>847</v>
      </c>
    </row>
    <row r="845" spans="1:5">
      <c r="A845">
        <f>HYPERLINK("http://www.twitter.com/NYCParks/status/742399285526958080", "742399285526958080")</f>
        <v>0</v>
      </c>
      <c r="B845" s="2">
        <v>42534.7032060185</v>
      </c>
      <c r="C845">
        <v>15</v>
      </c>
      <c r="D845">
        <v>15</v>
      </c>
      <c r="E845" t="s">
        <v>848</v>
      </c>
    </row>
    <row r="846" spans="1:5">
      <c r="A846">
        <f>HYPERLINK("http://www.twitter.com/NYCParks/status/742387052201824257", "742387052201824257")</f>
        <v>0</v>
      </c>
      <c r="B846" s="2">
        <v>42534.6694444444</v>
      </c>
      <c r="C846">
        <v>0</v>
      </c>
      <c r="D846">
        <v>0</v>
      </c>
      <c r="E846" t="s">
        <v>849</v>
      </c>
    </row>
    <row r="847" spans="1:5">
      <c r="A847">
        <f>HYPERLINK("http://www.twitter.com/NYCParks/status/742387001895358464", "742387001895358464")</f>
        <v>0</v>
      </c>
      <c r="B847" s="2">
        <v>42534.6693055556</v>
      </c>
      <c r="C847">
        <v>0</v>
      </c>
      <c r="D847">
        <v>0</v>
      </c>
      <c r="E847" t="s">
        <v>850</v>
      </c>
    </row>
    <row r="848" spans="1:5">
      <c r="A848">
        <f>HYPERLINK("http://www.twitter.com/NYCParks/status/742379510620950529", "742379510620950529")</f>
        <v>0</v>
      </c>
      <c r="B848" s="2">
        <v>42534.6486342593</v>
      </c>
      <c r="C848">
        <v>20</v>
      </c>
      <c r="D848">
        <v>13</v>
      </c>
      <c r="E848" t="s">
        <v>851</v>
      </c>
    </row>
    <row r="849" spans="1:5">
      <c r="A849">
        <f>HYPERLINK("http://www.twitter.com/NYCParks/status/742378286337163264", "742378286337163264")</f>
        <v>0</v>
      </c>
      <c r="B849" s="2">
        <v>42534.6452546296</v>
      </c>
      <c r="C849">
        <v>1</v>
      </c>
      <c r="D849">
        <v>0</v>
      </c>
      <c r="E849" t="s">
        <v>852</v>
      </c>
    </row>
    <row r="850" spans="1:5">
      <c r="A850">
        <f>HYPERLINK("http://www.twitter.com/NYCParks/status/742363407702200325", "742363407702200325")</f>
        <v>0</v>
      </c>
      <c r="B850" s="2">
        <v>42534.6042013889</v>
      </c>
      <c r="C850">
        <v>0</v>
      </c>
      <c r="D850">
        <v>0</v>
      </c>
      <c r="E850" t="s">
        <v>853</v>
      </c>
    </row>
    <row r="851" spans="1:5">
      <c r="A851">
        <f>HYPERLINK("http://www.twitter.com/NYCParks/status/742358847940120577", "742358847940120577")</f>
        <v>0</v>
      </c>
      <c r="B851" s="2">
        <v>42534.5916203704</v>
      </c>
      <c r="C851">
        <v>0</v>
      </c>
      <c r="D851">
        <v>0</v>
      </c>
      <c r="E851" t="s">
        <v>854</v>
      </c>
    </row>
    <row r="852" spans="1:5">
      <c r="A852">
        <f>HYPERLINK("http://www.twitter.com/NYCParks/status/741353651709546496", "741353651709546496")</f>
        <v>0</v>
      </c>
      <c r="B852" s="2">
        <v>42531.8178009259</v>
      </c>
      <c r="C852">
        <v>31</v>
      </c>
      <c r="D852">
        <v>11</v>
      </c>
      <c r="E852" t="s">
        <v>855</v>
      </c>
    </row>
    <row r="853" spans="1:5">
      <c r="A853">
        <f>HYPERLINK("http://www.twitter.com/NYCParks/status/741333716170113024", "741333716170113024")</f>
        <v>0</v>
      </c>
      <c r="B853" s="2">
        <v>42531.7627893519</v>
      </c>
      <c r="C853">
        <v>26</v>
      </c>
      <c r="D853">
        <v>12</v>
      </c>
      <c r="E853" t="s">
        <v>856</v>
      </c>
    </row>
    <row r="854" spans="1:5">
      <c r="A854">
        <f>HYPERLINK("http://www.twitter.com/NYCParks/status/741284131267608576", "741284131267608576")</f>
        <v>0</v>
      </c>
      <c r="B854" s="2">
        <v>42531.6259606481</v>
      </c>
      <c r="C854">
        <v>17</v>
      </c>
      <c r="D854">
        <v>9</v>
      </c>
      <c r="E854" t="s">
        <v>857</v>
      </c>
    </row>
    <row r="855" spans="1:5">
      <c r="A855">
        <f>HYPERLINK("http://www.twitter.com/NYCParks/status/740989571995971584", "740989571995971584")</f>
        <v>0</v>
      </c>
      <c r="B855" s="2">
        <v>42530.8131365741</v>
      </c>
      <c r="C855">
        <v>19</v>
      </c>
      <c r="D855">
        <v>12</v>
      </c>
      <c r="E855" t="s">
        <v>858</v>
      </c>
    </row>
    <row r="856" spans="1:5">
      <c r="A856">
        <f>HYPERLINK("http://www.twitter.com/NYCParks/status/740974356227035136", "740974356227035136")</f>
        <v>0</v>
      </c>
      <c r="B856" s="2">
        <v>42530.7711458333</v>
      </c>
      <c r="C856">
        <v>45</v>
      </c>
      <c r="D856">
        <v>12</v>
      </c>
      <c r="E856" t="s">
        <v>859</v>
      </c>
    </row>
    <row r="857" spans="1:5">
      <c r="A857">
        <f>HYPERLINK("http://www.twitter.com/NYCParks/status/740955430332030976", "740955430332030976")</f>
        <v>0</v>
      </c>
      <c r="B857" s="2">
        <v>42530.7189236111</v>
      </c>
      <c r="C857">
        <v>22</v>
      </c>
      <c r="D857">
        <v>8</v>
      </c>
      <c r="E857" t="s">
        <v>860</v>
      </c>
    </row>
    <row r="858" spans="1:5">
      <c r="A858">
        <f>HYPERLINK("http://www.twitter.com/NYCParks/status/740939079949389825", "740939079949389825")</f>
        <v>0</v>
      </c>
      <c r="B858" s="2">
        <v>42530.6738078704</v>
      </c>
      <c r="C858">
        <v>30</v>
      </c>
      <c r="D858">
        <v>11</v>
      </c>
      <c r="E858" t="s">
        <v>861</v>
      </c>
    </row>
    <row r="859" spans="1:5">
      <c r="A859">
        <f>HYPERLINK("http://www.twitter.com/NYCParks/status/740923227749396481", "740923227749396481")</f>
        <v>0</v>
      </c>
      <c r="B859" s="2">
        <v>42530.6300578704</v>
      </c>
      <c r="C859">
        <v>30</v>
      </c>
      <c r="D859">
        <v>22</v>
      </c>
      <c r="E859" t="s">
        <v>862</v>
      </c>
    </row>
    <row r="860" spans="1:5">
      <c r="A860">
        <f>HYPERLINK("http://www.twitter.com/NYCParks/status/740608136113999872", "740608136113999872")</f>
        <v>0</v>
      </c>
      <c r="B860" s="2">
        <v>42529.7605787037</v>
      </c>
      <c r="C860">
        <v>10</v>
      </c>
      <c r="D860">
        <v>10</v>
      </c>
      <c r="E860" t="s">
        <v>863</v>
      </c>
    </row>
    <row r="861" spans="1:5">
      <c r="A861">
        <f>HYPERLINK("http://www.twitter.com/NYCParks/status/740591782866604033", "740591782866604033")</f>
        <v>0</v>
      </c>
      <c r="B861" s="2">
        <v>42529.7154513889</v>
      </c>
      <c r="C861">
        <v>14</v>
      </c>
      <c r="D861">
        <v>8</v>
      </c>
      <c r="E861" t="s">
        <v>864</v>
      </c>
    </row>
    <row r="862" spans="1:5">
      <c r="A862">
        <f>HYPERLINK("http://www.twitter.com/NYCParks/status/740575445754728452", "740575445754728452")</f>
        <v>0</v>
      </c>
      <c r="B862" s="2">
        <v>42529.6703703704</v>
      </c>
      <c r="C862">
        <v>23</v>
      </c>
      <c r="D862">
        <v>3</v>
      </c>
      <c r="E862" t="s">
        <v>865</v>
      </c>
    </row>
    <row r="863" spans="1:5">
      <c r="A863">
        <f>HYPERLINK("http://www.twitter.com/NYCParks/status/740559156579598336", "740559156579598336")</f>
        <v>0</v>
      </c>
      <c r="B863" s="2">
        <v>42529.6254166667</v>
      </c>
      <c r="C863">
        <v>22</v>
      </c>
      <c r="D863">
        <v>9</v>
      </c>
      <c r="E863" t="s">
        <v>866</v>
      </c>
    </row>
    <row r="864" spans="1:5">
      <c r="A864">
        <f>HYPERLINK("http://www.twitter.com/NYCParks/status/740261663434276864", "740261663434276864")</f>
        <v>0</v>
      </c>
      <c r="B864" s="2">
        <v>42528.8044907407</v>
      </c>
      <c r="C864">
        <v>0</v>
      </c>
      <c r="D864">
        <v>95</v>
      </c>
      <c r="E864" t="s">
        <v>867</v>
      </c>
    </row>
    <row r="865" spans="1:5">
      <c r="A865">
        <f>HYPERLINK("http://www.twitter.com/NYCParks/status/740250077877436416", "740250077877436416")</f>
        <v>0</v>
      </c>
      <c r="B865" s="2">
        <v>42528.7725231481</v>
      </c>
      <c r="C865">
        <v>0</v>
      </c>
      <c r="D865">
        <v>7</v>
      </c>
      <c r="E865" t="s">
        <v>868</v>
      </c>
    </row>
    <row r="866" spans="1:5">
      <c r="A866">
        <f>HYPERLINK("http://www.twitter.com/NYCParks/status/740233161880293377", "740233161880293377")</f>
        <v>0</v>
      </c>
      <c r="B866" s="2">
        <v>42528.7258449074</v>
      </c>
      <c r="C866">
        <v>6</v>
      </c>
      <c r="D866">
        <v>1</v>
      </c>
      <c r="E866" t="s">
        <v>869</v>
      </c>
    </row>
    <row r="867" spans="1:5">
      <c r="A867">
        <f>HYPERLINK("http://www.twitter.com/NYCParks/status/740211905847955457", "740211905847955457")</f>
        <v>0</v>
      </c>
      <c r="B867" s="2">
        <v>42528.6671875</v>
      </c>
      <c r="C867">
        <v>15</v>
      </c>
      <c r="D867">
        <v>10</v>
      </c>
      <c r="E867" t="s">
        <v>870</v>
      </c>
    </row>
    <row r="868" spans="1:5">
      <c r="A868">
        <f>HYPERLINK("http://www.twitter.com/NYCParks/status/740196747209756672", "740196747209756672")</f>
        <v>0</v>
      </c>
      <c r="B868" s="2">
        <v>42528.6253587963</v>
      </c>
      <c r="C868">
        <v>29</v>
      </c>
      <c r="D868">
        <v>11</v>
      </c>
      <c r="E868" t="s">
        <v>871</v>
      </c>
    </row>
    <row r="869" spans="1:5">
      <c r="A869">
        <f>HYPERLINK("http://www.twitter.com/NYCParks/status/740187317399343106", "740187317399343106")</f>
        <v>0</v>
      </c>
      <c r="B869" s="2">
        <v>42528.5993402778</v>
      </c>
      <c r="C869">
        <v>0</v>
      </c>
      <c r="D869">
        <v>0</v>
      </c>
      <c r="E869" t="s">
        <v>872</v>
      </c>
    </row>
    <row r="870" spans="1:5">
      <c r="A870">
        <f>HYPERLINK("http://www.twitter.com/NYCParks/status/739928239565602816", "739928239565602816")</f>
        <v>0</v>
      </c>
      <c r="B870" s="2">
        <v>42527.8844212963</v>
      </c>
      <c r="C870">
        <v>15</v>
      </c>
      <c r="D870">
        <v>12</v>
      </c>
      <c r="E870" t="s">
        <v>873</v>
      </c>
    </row>
    <row r="871" spans="1:5">
      <c r="A871">
        <f>HYPERLINK("http://www.twitter.com/NYCParks/status/739912466981920768", "739912466981920768")</f>
        <v>0</v>
      </c>
      <c r="B871" s="2">
        <v>42527.8408912037</v>
      </c>
      <c r="C871">
        <v>49</v>
      </c>
      <c r="D871">
        <v>15</v>
      </c>
      <c r="E871" t="s">
        <v>874</v>
      </c>
    </row>
    <row r="872" spans="1:5">
      <c r="A872">
        <f>HYPERLINK("http://www.twitter.com/NYCParks/status/739893334563520512", "739893334563520512")</f>
        <v>0</v>
      </c>
      <c r="B872" s="2">
        <v>42527.7881018519</v>
      </c>
      <c r="C872">
        <v>15</v>
      </c>
      <c r="D872">
        <v>9</v>
      </c>
      <c r="E872" t="s">
        <v>875</v>
      </c>
    </row>
    <row r="873" spans="1:5">
      <c r="A873">
        <f>HYPERLINK("http://www.twitter.com/NYCParks/status/739876641728516096", "739876641728516096")</f>
        <v>0</v>
      </c>
      <c r="B873" s="2">
        <v>42527.742037037</v>
      </c>
      <c r="C873">
        <v>0</v>
      </c>
      <c r="D873">
        <v>8</v>
      </c>
      <c r="E873" t="s">
        <v>876</v>
      </c>
    </row>
    <row r="874" spans="1:5">
      <c r="A874">
        <f>HYPERLINK("http://www.twitter.com/NYCParks/status/739860634054078464", "739860634054078464")</f>
        <v>0</v>
      </c>
      <c r="B874" s="2">
        <v>42527.6978587963</v>
      </c>
      <c r="C874">
        <v>38</v>
      </c>
      <c r="D874">
        <v>33</v>
      </c>
      <c r="E874" t="s">
        <v>877</v>
      </c>
    </row>
    <row r="875" spans="1:5">
      <c r="A875">
        <f>HYPERLINK("http://www.twitter.com/NYCParks/status/739838724599611392", "739838724599611392")</f>
        <v>0</v>
      </c>
      <c r="B875" s="2">
        <v>42527.6374074074</v>
      </c>
      <c r="C875">
        <v>14</v>
      </c>
      <c r="D875">
        <v>10</v>
      </c>
      <c r="E875" t="s">
        <v>878</v>
      </c>
    </row>
    <row r="876" spans="1:5">
      <c r="A876">
        <f>HYPERLINK("http://www.twitter.com/NYCParks/status/739491879239176192", "739491879239176192")</f>
        <v>0</v>
      </c>
      <c r="B876" s="2">
        <v>42526.6802893519</v>
      </c>
      <c r="C876">
        <v>0</v>
      </c>
      <c r="D876">
        <v>756</v>
      </c>
      <c r="E876" t="s">
        <v>879</v>
      </c>
    </row>
    <row r="877" spans="1:5">
      <c r="A877">
        <f>HYPERLINK("http://www.twitter.com/NYCParks/status/739121165604651008", "739121165604651008")</f>
        <v>0</v>
      </c>
      <c r="B877" s="2">
        <v>42525.6573148148</v>
      </c>
      <c r="C877">
        <v>0</v>
      </c>
      <c r="D877">
        <v>9</v>
      </c>
      <c r="E877" t="s">
        <v>880</v>
      </c>
    </row>
    <row r="878" spans="1:5">
      <c r="A878">
        <f>HYPERLINK("http://www.twitter.com/NYCParks/status/738823709432090625", "738823709432090625")</f>
        <v>0</v>
      </c>
      <c r="B878" s="2">
        <v>42524.8364930556</v>
      </c>
      <c r="C878">
        <v>33</v>
      </c>
      <c r="D878">
        <v>19</v>
      </c>
      <c r="E878" t="s">
        <v>881</v>
      </c>
    </row>
    <row r="879" spans="1:5">
      <c r="A879">
        <f>HYPERLINK("http://www.twitter.com/NYCParks/status/738804055250743296", "738804055250743296")</f>
        <v>0</v>
      </c>
      <c r="B879" s="2">
        <v>42524.7822569444</v>
      </c>
      <c r="C879">
        <v>32</v>
      </c>
      <c r="D879">
        <v>17</v>
      </c>
      <c r="E879" t="s">
        <v>882</v>
      </c>
    </row>
    <row r="880" spans="1:5">
      <c r="A880">
        <f>HYPERLINK("http://www.twitter.com/NYCParks/status/738781508887031808", "738781508887031808")</f>
        <v>0</v>
      </c>
      <c r="B880" s="2">
        <v>42524.7200462963</v>
      </c>
      <c r="C880">
        <v>25</v>
      </c>
      <c r="D880">
        <v>10</v>
      </c>
      <c r="E880" t="s">
        <v>883</v>
      </c>
    </row>
    <row r="881" spans="1:5">
      <c r="A881">
        <f>HYPERLINK("http://www.twitter.com/NYCParks/status/738763701046661120", "738763701046661120")</f>
        <v>0</v>
      </c>
      <c r="B881" s="2">
        <v>42524.6709027778</v>
      </c>
      <c r="C881">
        <v>0</v>
      </c>
      <c r="D881">
        <v>2</v>
      </c>
      <c r="E881" t="s">
        <v>884</v>
      </c>
    </row>
    <row r="882" spans="1:5">
      <c r="A882">
        <f>HYPERLINK("http://www.twitter.com/NYCParks/status/738747173681135617", "738747173681135617")</f>
        <v>0</v>
      </c>
      <c r="B882" s="2">
        <v>42524.6253009259</v>
      </c>
      <c r="C882">
        <v>15</v>
      </c>
      <c r="D882">
        <v>13</v>
      </c>
      <c r="E882" t="s">
        <v>885</v>
      </c>
    </row>
    <row r="883" spans="1:5">
      <c r="A883">
        <f>HYPERLINK("http://www.twitter.com/NYCParks/status/738740857868783617", "738740857868783617")</f>
        <v>0</v>
      </c>
      <c r="B883" s="2">
        <v>42524.6078703704</v>
      </c>
      <c r="C883">
        <v>1</v>
      </c>
      <c r="D883">
        <v>0</v>
      </c>
      <c r="E883" t="s">
        <v>886</v>
      </c>
    </row>
    <row r="884" spans="1:5">
      <c r="A884">
        <f>HYPERLINK("http://www.twitter.com/NYCParks/status/738736281266577408", "738736281266577408")</f>
        <v>0</v>
      </c>
      <c r="B884" s="2">
        <v>42524.5952430556</v>
      </c>
      <c r="C884">
        <v>1</v>
      </c>
      <c r="D884">
        <v>1</v>
      </c>
      <c r="E884" t="s">
        <v>887</v>
      </c>
    </row>
    <row r="885" spans="1:5">
      <c r="A885">
        <f>HYPERLINK("http://www.twitter.com/NYCParks/status/738452734320488448", "738452734320488448")</f>
        <v>0</v>
      </c>
      <c r="B885" s="2">
        <v>42523.8128009259</v>
      </c>
      <c r="C885">
        <v>19</v>
      </c>
      <c r="D885">
        <v>10</v>
      </c>
      <c r="E885" t="s">
        <v>888</v>
      </c>
    </row>
    <row r="886" spans="1:5">
      <c r="A886">
        <f>HYPERLINK("http://www.twitter.com/NYCParks/status/738436030072803329", "738436030072803329")</f>
        <v>0</v>
      </c>
      <c r="B886" s="2">
        <v>42523.7667013889</v>
      </c>
      <c r="C886">
        <v>33</v>
      </c>
      <c r="D886">
        <v>19</v>
      </c>
      <c r="E886" t="s">
        <v>889</v>
      </c>
    </row>
    <row r="887" spans="1:5">
      <c r="A887">
        <f>HYPERLINK("http://www.twitter.com/NYCParks/status/738418075092017156", "738418075092017156")</f>
        <v>0</v>
      </c>
      <c r="B887" s="2">
        <v>42523.7171527778</v>
      </c>
      <c r="C887">
        <v>0</v>
      </c>
      <c r="D887">
        <v>14</v>
      </c>
      <c r="E887" t="s">
        <v>890</v>
      </c>
    </row>
    <row r="888" spans="1:5">
      <c r="A888">
        <f>HYPERLINK("http://www.twitter.com/NYCParks/status/738403166509801472", "738403166509801472")</f>
        <v>0</v>
      </c>
      <c r="B888" s="2">
        <v>42523.6760185185</v>
      </c>
      <c r="C888">
        <v>22</v>
      </c>
      <c r="D888">
        <v>12</v>
      </c>
      <c r="E888" t="s">
        <v>891</v>
      </c>
    </row>
    <row r="889" spans="1:5">
      <c r="A889">
        <f>HYPERLINK("http://www.twitter.com/NYCParks/status/738385991136841728", "738385991136841728")</f>
        <v>0</v>
      </c>
      <c r="B889" s="2">
        <v>42523.6286226852</v>
      </c>
      <c r="C889">
        <v>0</v>
      </c>
      <c r="D889">
        <v>11</v>
      </c>
      <c r="E889" t="s">
        <v>892</v>
      </c>
    </row>
    <row r="890" spans="1:5">
      <c r="A890">
        <f>HYPERLINK("http://www.twitter.com/NYCParks/status/738129635670667264", "738129635670667264")</f>
        <v>0</v>
      </c>
      <c r="B890" s="2">
        <v>42522.9212152778</v>
      </c>
      <c r="C890">
        <v>0</v>
      </c>
      <c r="D890">
        <v>3</v>
      </c>
      <c r="E890" t="s">
        <v>893</v>
      </c>
    </row>
    <row r="891" spans="1:5">
      <c r="A891">
        <f>HYPERLINK("http://www.twitter.com/NYCParks/status/738110035335782400", "738110035335782400")</f>
        <v>0</v>
      </c>
      <c r="B891" s="2">
        <v>42522.8671296296</v>
      </c>
      <c r="C891">
        <v>0</v>
      </c>
      <c r="D891">
        <v>0</v>
      </c>
      <c r="E891" t="s">
        <v>894</v>
      </c>
    </row>
    <row r="892" spans="1:5">
      <c r="A892">
        <f>HYPERLINK("http://www.twitter.com/NYCParks/status/738109779734888448", "738109779734888448")</f>
        <v>0</v>
      </c>
      <c r="B892" s="2">
        <v>42522.8664236111</v>
      </c>
      <c r="C892">
        <v>0</v>
      </c>
      <c r="D892">
        <v>1</v>
      </c>
      <c r="E892" t="s">
        <v>895</v>
      </c>
    </row>
    <row r="893" spans="1:5">
      <c r="A893">
        <f>HYPERLINK("http://www.twitter.com/NYCParks/status/738105465360556032", "738105465360556032")</f>
        <v>0</v>
      </c>
      <c r="B893" s="2">
        <v>42522.8545138889</v>
      </c>
      <c r="C893">
        <v>66</v>
      </c>
      <c r="D893">
        <v>17</v>
      </c>
      <c r="E893" t="s">
        <v>896</v>
      </c>
    </row>
    <row r="894" spans="1:5">
      <c r="A894">
        <f>HYPERLINK("http://www.twitter.com/NYCParks/status/738100734894428160", "738100734894428160")</f>
        <v>0</v>
      </c>
      <c r="B894" s="2">
        <v>42522.8414699074</v>
      </c>
      <c r="C894">
        <v>0</v>
      </c>
      <c r="D894">
        <v>0</v>
      </c>
      <c r="E894" t="s">
        <v>897</v>
      </c>
    </row>
    <row r="895" spans="1:5">
      <c r="A895">
        <f>HYPERLINK("http://www.twitter.com/NYCParks/status/738087809345593344", "738087809345593344")</f>
        <v>0</v>
      </c>
      <c r="B895" s="2">
        <v>42522.8057986111</v>
      </c>
      <c r="C895">
        <v>37</v>
      </c>
      <c r="D895">
        <v>15</v>
      </c>
      <c r="E895" t="s">
        <v>898</v>
      </c>
    </row>
    <row r="896" spans="1:5">
      <c r="A896">
        <f>HYPERLINK("http://www.twitter.com/NYCParks/status/738071468530126848", "738071468530126848")</f>
        <v>0</v>
      </c>
      <c r="B896" s="2">
        <v>42522.7607060185</v>
      </c>
      <c r="C896">
        <v>19</v>
      </c>
      <c r="D896">
        <v>6</v>
      </c>
      <c r="E896" t="s">
        <v>899</v>
      </c>
    </row>
    <row r="897" spans="1:5">
      <c r="A897">
        <f>HYPERLINK("http://www.twitter.com/NYCParks/status/738055097775689728", "738055097775689728")</f>
        <v>0</v>
      </c>
      <c r="B897" s="2">
        <v>42522.7155324074</v>
      </c>
      <c r="C897">
        <v>16</v>
      </c>
      <c r="D897">
        <v>11</v>
      </c>
      <c r="E897" t="s">
        <v>900</v>
      </c>
    </row>
    <row r="898" spans="1:5">
      <c r="A898">
        <f>HYPERLINK("http://www.twitter.com/NYCParks/status/738038761200750593", "738038761200750593")</f>
        <v>0</v>
      </c>
      <c r="B898" s="2">
        <v>42522.6704513889</v>
      </c>
      <c r="C898">
        <v>21</v>
      </c>
      <c r="D898">
        <v>7</v>
      </c>
      <c r="E898" t="s">
        <v>901</v>
      </c>
    </row>
    <row r="899" spans="1:5">
      <c r="A899">
        <f>HYPERLINK("http://www.twitter.com/NYCParks/status/738022623905452032", "738022623905452032")</f>
        <v>0</v>
      </c>
      <c r="B899" s="2">
        <v>42522.6259143519</v>
      </c>
      <c r="C899">
        <v>10</v>
      </c>
      <c r="D899">
        <v>4</v>
      </c>
      <c r="E899" t="s">
        <v>902</v>
      </c>
    </row>
    <row r="900" spans="1:5">
      <c r="A900">
        <f>HYPERLINK("http://www.twitter.com/NYCParks/status/737748765940060160", "737748765940060160")</f>
        <v>0</v>
      </c>
      <c r="B900" s="2">
        <v>42521.8702199074</v>
      </c>
      <c r="C900">
        <v>20</v>
      </c>
      <c r="D900">
        <v>14</v>
      </c>
      <c r="E900" t="s">
        <v>903</v>
      </c>
    </row>
    <row r="901" spans="1:5">
      <c r="A901">
        <f>HYPERLINK("http://www.twitter.com/NYCParks/status/737732603583827972", "737732603583827972")</f>
        <v>0</v>
      </c>
      <c r="B901" s="2">
        <v>42521.8256134259</v>
      </c>
      <c r="C901">
        <v>12</v>
      </c>
      <c r="D901">
        <v>12</v>
      </c>
      <c r="E901" t="s">
        <v>904</v>
      </c>
    </row>
    <row r="902" spans="1:5">
      <c r="A902">
        <f>HYPERLINK("http://www.twitter.com/NYCParks/status/737713628116353024", "737713628116353024")</f>
        <v>0</v>
      </c>
      <c r="B902" s="2">
        <v>42521.7732523148</v>
      </c>
      <c r="C902">
        <v>25</v>
      </c>
      <c r="D902">
        <v>15</v>
      </c>
      <c r="E902" t="s">
        <v>905</v>
      </c>
    </row>
    <row r="903" spans="1:5">
      <c r="A903">
        <f>HYPERLINK("http://www.twitter.com/NYCParks/status/737694247357415424", "737694247357415424")</f>
        <v>0</v>
      </c>
      <c r="B903" s="2">
        <v>42521.7197685185</v>
      </c>
      <c r="C903">
        <v>27</v>
      </c>
      <c r="D903">
        <v>22</v>
      </c>
      <c r="E903" t="s">
        <v>906</v>
      </c>
    </row>
    <row r="904" spans="1:5">
      <c r="A904">
        <f>HYPERLINK("http://www.twitter.com/NYCParks/status/737673663936368640", "737673663936368640")</f>
        <v>0</v>
      </c>
      <c r="B904" s="2">
        <v>42521.662974537</v>
      </c>
      <c r="C904">
        <v>14</v>
      </c>
      <c r="D904">
        <v>7</v>
      </c>
      <c r="E904" t="s">
        <v>907</v>
      </c>
    </row>
    <row r="905" spans="1:5">
      <c r="A905">
        <f>HYPERLINK("http://www.twitter.com/NYCParks/status/737649069779222528", "737649069779222528")</f>
        <v>0</v>
      </c>
      <c r="B905" s="2">
        <v>42521.5951041667</v>
      </c>
      <c r="C905">
        <v>73</v>
      </c>
      <c r="D905">
        <v>25</v>
      </c>
      <c r="E905" t="s">
        <v>908</v>
      </c>
    </row>
    <row r="906" spans="1:5">
      <c r="A906">
        <f>HYPERLINK("http://www.twitter.com/NYCParks/status/737639609849548801", "737639609849548801")</f>
        <v>0</v>
      </c>
      <c r="B906" s="2">
        <v>42521.5690046296</v>
      </c>
      <c r="C906">
        <v>23</v>
      </c>
      <c r="D906">
        <v>13</v>
      </c>
      <c r="E906" t="s">
        <v>909</v>
      </c>
    </row>
    <row r="907" spans="1:5">
      <c r="A907">
        <f>HYPERLINK("http://www.twitter.com/NYCParks/status/737282860915249152", "737282860915249152")</f>
        <v>0</v>
      </c>
      <c r="B907" s="2">
        <v>42520.5845601852</v>
      </c>
      <c r="C907">
        <v>60</v>
      </c>
      <c r="D907">
        <v>29</v>
      </c>
      <c r="E907" t="s">
        <v>910</v>
      </c>
    </row>
    <row r="908" spans="1:5">
      <c r="A908">
        <f>HYPERLINK("http://www.twitter.com/NYCParks/status/736565322644369408", "736565322644369408")</f>
        <v>0</v>
      </c>
      <c r="B908" s="2">
        <v>42518.604537037</v>
      </c>
      <c r="C908">
        <v>133</v>
      </c>
      <c r="D908">
        <v>50</v>
      </c>
      <c r="E908" t="s">
        <v>911</v>
      </c>
    </row>
    <row r="909" spans="1:5">
      <c r="A909">
        <f>HYPERLINK("http://www.twitter.com/NYCParks/status/736314095209701377", "736314095209701377")</f>
        <v>0</v>
      </c>
      <c r="B909" s="2">
        <v>42517.9112847222</v>
      </c>
      <c r="C909">
        <v>0</v>
      </c>
      <c r="D909">
        <v>17</v>
      </c>
      <c r="E909" t="s">
        <v>912</v>
      </c>
    </row>
    <row r="910" spans="1:5">
      <c r="A910">
        <f>HYPERLINK("http://www.twitter.com/NYCParks/status/736299127244521476", "736299127244521476")</f>
        <v>0</v>
      </c>
      <c r="B910" s="2">
        <v>42517.8699768518</v>
      </c>
      <c r="C910">
        <v>0</v>
      </c>
      <c r="D910">
        <v>1</v>
      </c>
      <c r="E910" t="s">
        <v>913</v>
      </c>
    </row>
    <row r="911" spans="1:5">
      <c r="A911">
        <f>HYPERLINK("http://www.twitter.com/NYCParks/status/736284648909705216", "736284648909705216")</f>
        <v>0</v>
      </c>
      <c r="B911" s="2">
        <v>42517.8300231481</v>
      </c>
      <c r="C911">
        <v>92</v>
      </c>
      <c r="D911">
        <v>69</v>
      </c>
      <c r="E911" t="s">
        <v>914</v>
      </c>
    </row>
    <row r="912" spans="1:5">
      <c r="A912">
        <f>HYPERLINK("http://www.twitter.com/NYCParks/status/736272602814091267", "736272602814091267")</f>
        <v>0</v>
      </c>
      <c r="B912" s="2">
        <v>42517.7967824074</v>
      </c>
      <c r="C912">
        <v>1</v>
      </c>
      <c r="D912">
        <v>0</v>
      </c>
      <c r="E912" t="s">
        <v>915</v>
      </c>
    </row>
    <row r="913" spans="1:5">
      <c r="A913">
        <f>HYPERLINK("http://www.twitter.com/NYCParks/status/736269544323436546", "736269544323436546")</f>
        <v>0</v>
      </c>
      <c r="B913" s="2">
        <v>42517.7883449074</v>
      </c>
      <c r="C913">
        <v>11</v>
      </c>
      <c r="D913">
        <v>8</v>
      </c>
      <c r="E913" t="s">
        <v>916</v>
      </c>
    </row>
    <row r="914" spans="1:5">
      <c r="A914">
        <f>HYPERLINK("http://www.twitter.com/NYCParks/status/736254435316371456", "736254435316371456")</f>
        <v>0</v>
      </c>
      <c r="B914" s="2">
        <v>42517.7466435185</v>
      </c>
      <c r="C914">
        <v>16</v>
      </c>
      <c r="D914">
        <v>5</v>
      </c>
      <c r="E914" t="s">
        <v>917</v>
      </c>
    </row>
    <row r="915" spans="1:5">
      <c r="A915">
        <f>HYPERLINK("http://www.twitter.com/NYCParks/status/736238668030070788", "736238668030070788")</f>
        <v>0</v>
      </c>
      <c r="B915" s="2">
        <v>42517.7031365741</v>
      </c>
      <c r="C915">
        <v>93</v>
      </c>
      <c r="D915">
        <v>27</v>
      </c>
      <c r="E915" t="s">
        <v>918</v>
      </c>
    </row>
    <row r="916" spans="1:5">
      <c r="A916">
        <f>HYPERLINK("http://www.twitter.com/NYCParks/status/736230151344820224", "736230151344820224")</f>
        <v>0</v>
      </c>
      <c r="B916" s="2">
        <v>42517.6796412037</v>
      </c>
      <c r="C916">
        <v>1</v>
      </c>
      <c r="D916">
        <v>1</v>
      </c>
      <c r="E916" t="s">
        <v>919</v>
      </c>
    </row>
    <row r="917" spans="1:5">
      <c r="A917">
        <f>HYPERLINK("http://www.twitter.com/NYCParks/status/736224243139088384", "736224243139088384")</f>
        <v>0</v>
      </c>
      <c r="B917" s="2">
        <v>42517.6633333333</v>
      </c>
      <c r="C917">
        <v>34</v>
      </c>
      <c r="D917">
        <v>25</v>
      </c>
      <c r="E917" t="s">
        <v>920</v>
      </c>
    </row>
    <row r="918" spans="1:5">
      <c r="A918">
        <f>HYPERLINK("http://www.twitter.com/NYCParks/status/736208646133166080", "736208646133166080")</f>
        <v>0</v>
      </c>
      <c r="B918" s="2">
        <v>42517.6202893518</v>
      </c>
      <c r="C918">
        <v>30</v>
      </c>
      <c r="D918">
        <v>20</v>
      </c>
      <c r="E918" t="s">
        <v>921</v>
      </c>
    </row>
    <row r="919" spans="1:5">
      <c r="A919">
        <f>HYPERLINK("http://www.twitter.com/NYCParks/status/736197159276695552", "736197159276695552")</f>
        <v>0</v>
      </c>
      <c r="B919" s="2">
        <v>42517.588599537</v>
      </c>
      <c r="C919">
        <v>0</v>
      </c>
      <c r="D919">
        <v>21</v>
      </c>
      <c r="E919" t="s">
        <v>922</v>
      </c>
    </row>
    <row r="920" spans="1:5">
      <c r="A920">
        <f>HYPERLINK("http://www.twitter.com/NYCParks/status/735913553849384960", "735913553849384960")</f>
        <v>0</v>
      </c>
      <c r="B920" s="2">
        <v>42516.8059953704</v>
      </c>
      <c r="C920">
        <v>0</v>
      </c>
      <c r="D920">
        <v>15</v>
      </c>
      <c r="E920" t="s">
        <v>923</v>
      </c>
    </row>
    <row r="921" spans="1:5">
      <c r="A921">
        <f>HYPERLINK("http://www.twitter.com/NYCParks/status/735891910540308481", "735891910540308481")</f>
        <v>0</v>
      </c>
      <c r="B921" s="2">
        <v>42516.7462731482</v>
      </c>
      <c r="C921">
        <v>32</v>
      </c>
      <c r="D921">
        <v>15</v>
      </c>
      <c r="E921" t="s">
        <v>924</v>
      </c>
    </row>
    <row r="922" spans="1:5">
      <c r="A922">
        <f>HYPERLINK("http://www.twitter.com/NYCParks/status/735871020708601856", "735871020708601856")</f>
        <v>0</v>
      </c>
      <c r="B922" s="2">
        <v>42516.6886226852</v>
      </c>
      <c r="C922">
        <v>17</v>
      </c>
      <c r="D922">
        <v>15</v>
      </c>
      <c r="E922" t="s">
        <v>925</v>
      </c>
    </row>
    <row r="923" spans="1:5">
      <c r="A923">
        <f>HYPERLINK("http://www.twitter.com/NYCParks/status/735869962066235392", "735869962066235392")</f>
        <v>0</v>
      </c>
      <c r="B923" s="2">
        <v>42516.6857060185</v>
      </c>
      <c r="C923">
        <v>0</v>
      </c>
      <c r="D923">
        <v>0</v>
      </c>
      <c r="E923" t="s">
        <v>926</v>
      </c>
    </row>
    <row r="924" spans="1:5">
      <c r="A924">
        <f>HYPERLINK("http://www.twitter.com/NYCParks/status/735848831728902145", "735848831728902145")</f>
        <v>0</v>
      </c>
      <c r="B924" s="2">
        <v>42516.6273958333</v>
      </c>
      <c r="C924">
        <v>26</v>
      </c>
      <c r="D924">
        <v>26</v>
      </c>
      <c r="E924" t="s">
        <v>927</v>
      </c>
    </row>
    <row r="925" spans="1:5">
      <c r="A925">
        <f>HYPERLINK("http://www.twitter.com/NYCParks/status/735832376983617537", "735832376983617537")</f>
        <v>0</v>
      </c>
      <c r="B925" s="2">
        <v>42516.5819907407</v>
      </c>
      <c r="C925">
        <v>0</v>
      </c>
      <c r="D925">
        <v>0</v>
      </c>
      <c r="E925" t="s">
        <v>928</v>
      </c>
    </row>
    <row r="926" spans="1:5">
      <c r="A926">
        <f>HYPERLINK("http://www.twitter.com/NYCParks/status/735591368718966784", "735591368718966784")</f>
        <v>0</v>
      </c>
      <c r="B926" s="2">
        <v>42515.9169328704</v>
      </c>
      <c r="C926">
        <v>21</v>
      </c>
      <c r="D926">
        <v>18</v>
      </c>
      <c r="E926" t="s">
        <v>929</v>
      </c>
    </row>
    <row r="927" spans="1:5">
      <c r="A927">
        <f>HYPERLINK("http://www.twitter.com/NYCParks/status/735576362212315138", "735576362212315138")</f>
        <v>0</v>
      </c>
      <c r="B927" s="2">
        <v>42515.8755208333</v>
      </c>
      <c r="C927">
        <v>14</v>
      </c>
      <c r="D927">
        <v>13</v>
      </c>
      <c r="E927" t="s">
        <v>930</v>
      </c>
    </row>
    <row r="928" spans="1:5">
      <c r="A928">
        <f>HYPERLINK("http://www.twitter.com/NYCParks/status/735553647510233088", "735553647510233088")</f>
        <v>0</v>
      </c>
      <c r="B928" s="2">
        <v>42515.8128472222</v>
      </c>
      <c r="C928">
        <v>19</v>
      </c>
      <c r="D928">
        <v>11</v>
      </c>
      <c r="E928" t="s">
        <v>931</v>
      </c>
    </row>
    <row r="929" spans="1:5">
      <c r="A929">
        <f>HYPERLINK("http://www.twitter.com/NYCParks/status/735548756507136001", "735548756507136001")</f>
        <v>0</v>
      </c>
      <c r="B929" s="2">
        <v>42515.7993518518</v>
      </c>
      <c r="C929">
        <v>1</v>
      </c>
      <c r="D929">
        <v>0</v>
      </c>
      <c r="E929" t="s">
        <v>932</v>
      </c>
    </row>
    <row r="930" spans="1:5">
      <c r="A930">
        <f>HYPERLINK("http://www.twitter.com/NYCParks/status/735538531460845568", "735538531460845568")</f>
        <v>0</v>
      </c>
      <c r="B930" s="2">
        <v>42515.7711342593</v>
      </c>
      <c r="C930">
        <v>21</v>
      </c>
      <c r="D930">
        <v>18</v>
      </c>
      <c r="E930" t="s">
        <v>933</v>
      </c>
    </row>
    <row r="931" spans="1:5">
      <c r="A931">
        <f>HYPERLINK("http://www.twitter.com/NYCParks/status/735528241457422336", "735528241457422336")</f>
        <v>0</v>
      </c>
      <c r="B931" s="2">
        <v>42515.7427314815</v>
      </c>
      <c r="C931">
        <v>1</v>
      </c>
      <c r="D931">
        <v>1</v>
      </c>
      <c r="E931" t="s">
        <v>934</v>
      </c>
    </row>
    <row r="932" spans="1:5">
      <c r="A932">
        <f>HYPERLINK("http://www.twitter.com/NYCParks/status/735523440015355905", "735523440015355905")</f>
        <v>0</v>
      </c>
      <c r="B932" s="2">
        <v>42515.7294907407</v>
      </c>
      <c r="C932">
        <v>13</v>
      </c>
      <c r="D932">
        <v>3</v>
      </c>
      <c r="E932" t="s">
        <v>935</v>
      </c>
    </row>
    <row r="933" spans="1:5">
      <c r="A933">
        <f>HYPERLINK("http://www.twitter.com/NYCParks/status/735516213040795648", "735516213040795648")</f>
        <v>0</v>
      </c>
      <c r="B933" s="2">
        <v>42515.7095486111</v>
      </c>
      <c r="C933">
        <v>0</v>
      </c>
      <c r="D933">
        <v>0</v>
      </c>
      <c r="E933" t="s">
        <v>936</v>
      </c>
    </row>
    <row r="934" spans="1:5">
      <c r="A934">
        <f>HYPERLINK("http://www.twitter.com/NYCParks/status/735512958625849344", "735512958625849344")</f>
        <v>0</v>
      </c>
      <c r="B934" s="2">
        <v>42515.7005671296</v>
      </c>
      <c r="C934">
        <v>0</v>
      </c>
      <c r="D934">
        <v>0</v>
      </c>
      <c r="E934" t="s">
        <v>937</v>
      </c>
    </row>
    <row r="935" spans="1:5">
      <c r="A935">
        <f>HYPERLINK("http://www.twitter.com/NYCParks/status/735505766065524738", "735505766065524738")</f>
        <v>0</v>
      </c>
      <c r="B935" s="2">
        <v>42515.6807175926</v>
      </c>
      <c r="C935">
        <v>37</v>
      </c>
      <c r="D935">
        <v>10</v>
      </c>
      <c r="E935" t="s">
        <v>938</v>
      </c>
    </row>
    <row r="936" spans="1:5">
      <c r="A936">
        <f>HYPERLINK("http://www.twitter.com/NYCParks/status/735496947889491968", "735496947889491968")</f>
        <v>0</v>
      </c>
      <c r="B936" s="2">
        <v>42515.6563773148</v>
      </c>
      <c r="C936">
        <v>24</v>
      </c>
      <c r="D936">
        <v>8</v>
      </c>
      <c r="E936" t="s">
        <v>939</v>
      </c>
    </row>
    <row r="937" spans="1:5">
      <c r="A937">
        <f>HYPERLINK("http://www.twitter.com/NYCParks/status/735488609764159488", "735488609764159488")</f>
        <v>0</v>
      </c>
      <c r="B937" s="2">
        <v>42515.6333680556</v>
      </c>
      <c r="C937">
        <v>0</v>
      </c>
      <c r="D937">
        <v>0</v>
      </c>
      <c r="E937" t="s">
        <v>940</v>
      </c>
    </row>
    <row r="938" spans="1:5">
      <c r="A938">
        <f>HYPERLINK("http://www.twitter.com/NYCParks/status/735229252040314880", "735229252040314880")</f>
        <v>0</v>
      </c>
      <c r="B938" s="2">
        <v>42514.9176851852</v>
      </c>
      <c r="C938">
        <v>36</v>
      </c>
      <c r="D938">
        <v>25</v>
      </c>
      <c r="E938" t="s">
        <v>941</v>
      </c>
    </row>
    <row r="939" spans="1:5">
      <c r="A939">
        <f>HYPERLINK("http://www.twitter.com/NYCParks/status/735215334655942656", "735215334655942656")</f>
        <v>0</v>
      </c>
      <c r="B939" s="2">
        <v>42514.8792824074</v>
      </c>
      <c r="C939">
        <v>52</v>
      </c>
      <c r="D939">
        <v>22</v>
      </c>
      <c r="E939" t="s">
        <v>942</v>
      </c>
    </row>
    <row r="940" spans="1:5">
      <c r="A940">
        <f>HYPERLINK("http://www.twitter.com/NYCParks/status/735190676002988032", "735190676002988032")</f>
        <v>0</v>
      </c>
      <c r="B940" s="2">
        <v>42514.8112268519</v>
      </c>
      <c r="C940">
        <v>7</v>
      </c>
      <c r="D940">
        <v>2</v>
      </c>
      <c r="E940" t="s">
        <v>943</v>
      </c>
    </row>
    <row r="941" spans="1:5">
      <c r="A941">
        <f>HYPERLINK("http://www.twitter.com/NYCParks/status/735190214096879616", "735190214096879616")</f>
        <v>0</v>
      </c>
      <c r="B941" s="2">
        <v>42514.8099537037</v>
      </c>
      <c r="C941">
        <v>2</v>
      </c>
      <c r="D941">
        <v>2</v>
      </c>
      <c r="E941" t="s">
        <v>944</v>
      </c>
    </row>
    <row r="942" spans="1:5">
      <c r="A942">
        <f>HYPERLINK("http://www.twitter.com/NYCParks/status/735189954440114176", "735189954440114176")</f>
        <v>0</v>
      </c>
      <c r="B942" s="2">
        <v>42514.8092361111</v>
      </c>
      <c r="C942">
        <v>10</v>
      </c>
      <c r="D942">
        <v>6</v>
      </c>
      <c r="E942" t="s">
        <v>945</v>
      </c>
    </row>
    <row r="943" spans="1:5">
      <c r="A943">
        <f>HYPERLINK("http://www.twitter.com/NYCParks/status/735189664051699712", "735189664051699712")</f>
        <v>0</v>
      </c>
      <c r="B943" s="2">
        <v>42514.8084375</v>
      </c>
      <c r="C943">
        <v>3</v>
      </c>
      <c r="D943">
        <v>0</v>
      </c>
      <c r="E943" t="s">
        <v>946</v>
      </c>
    </row>
    <row r="944" spans="1:5">
      <c r="A944">
        <f>HYPERLINK("http://www.twitter.com/NYCParks/status/735189487660236800", "735189487660236800")</f>
        <v>0</v>
      </c>
      <c r="B944" s="2">
        <v>42514.8079513889</v>
      </c>
      <c r="C944">
        <v>21</v>
      </c>
      <c r="D944">
        <v>9</v>
      </c>
      <c r="E944" t="s">
        <v>947</v>
      </c>
    </row>
    <row r="945" spans="1:5">
      <c r="A945">
        <f>HYPERLINK("http://www.twitter.com/NYCParks/status/735185878604218368", "735185878604218368")</f>
        <v>0</v>
      </c>
      <c r="B945" s="2">
        <v>42514.7979976852</v>
      </c>
      <c r="C945">
        <v>0</v>
      </c>
      <c r="D945">
        <v>18</v>
      </c>
      <c r="E945" t="s">
        <v>948</v>
      </c>
    </row>
    <row r="946" spans="1:5">
      <c r="A946">
        <f>HYPERLINK("http://www.twitter.com/NYCParks/status/735161925647118336", "735161925647118336")</f>
        <v>0</v>
      </c>
      <c r="B946" s="2">
        <v>42514.7318981482</v>
      </c>
      <c r="C946">
        <v>18</v>
      </c>
      <c r="D946">
        <v>3</v>
      </c>
      <c r="E946" t="s">
        <v>949</v>
      </c>
    </row>
    <row r="947" spans="1:5">
      <c r="A947">
        <f>HYPERLINK("http://www.twitter.com/NYCParks/status/735142113223053312", "735142113223053312")</f>
        <v>0</v>
      </c>
      <c r="B947" s="2">
        <v>42514.6772222222</v>
      </c>
      <c r="C947">
        <v>13</v>
      </c>
      <c r="D947">
        <v>10</v>
      </c>
      <c r="E947" t="s">
        <v>950</v>
      </c>
    </row>
    <row r="948" spans="1:5">
      <c r="A948">
        <f>HYPERLINK("http://www.twitter.com/NYCParks/status/735114776733491200", "735114776733491200")</f>
        <v>0</v>
      </c>
      <c r="B948" s="2">
        <v>42514.6017939815</v>
      </c>
      <c r="C948">
        <v>0</v>
      </c>
      <c r="D948">
        <v>24</v>
      </c>
      <c r="E948" t="s">
        <v>951</v>
      </c>
    </row>
    <row r="949" spans="1:5">
      <c r="A949">
        <f>HYPERLINK("http://www.twitter.com/NYCParks/status/735110313666842624", "735110313666842624")</f>
        <v>0</v>
      </c>
      <c r="B949" s="2">
        <v>42514.5894791667</v>
      </c>
      <c r="C949">
        <v>0</v>
      </c>
      <c r="D949">
        <v>0</v>
      </c>
      <c r="E949" t="s">
        <v>952</v>
      </c>
    </row>
    <row r="950" spans="1:5">
      <c r="A950">
        <f>HYPERLINK("http://www.twitter.com/NYCParks/status/735100559359873024", "735100559359873024")</f>
        <v>0</v>
      </c>
      <c r="B950" s="2">
        <v>42514.5625578704</v>
      </c>
      <c r="C950">
        <v>75</v>
      </c>
      <c r="D950">
        <v>59</v>
      </c>
      <c r="E950" t="s">
        <v>953</v>
      </c>
    </row>
    <row r="951" spans="1:5">
      <c r="A951">
        <f>HYPERLINK("http://www.twitter.com/NYCParks/status/734841126843256832", "734841126843256832")</f>
        <v>0</v>
      </c>
      <c r="B951" s="2">
        <v>42513.8466550926</v>
      </c>
      <c r="C951">
        <v>26</v>
      </c>
      <c r="D951">
        <v>25</v>
      </c>
      <c r="E951" t="s">
        <v>954</v>
      </c>
    </row>
    <row r="952" spans="1:5">
      <c r="A952">
        <f>HYPERLINK("http://www.twitter.com/NYCParks/status/734826326880837633", "734826326880837633")</f>
        <v>0</v>
      </c>
      <c r="B952" s="2">
        <v>42513.8058217593</v>
      </c>
      <c r="C952">
        <v>37</v>
      </c>
      <c r="D952">
        <v>20</v>
      </c>
      <c r="E952" t="s">
        <v>955</v>
      </c>
    </row>
    <row r="953" spans="1:5">
      <c r="A953">
        <f>HYPERLINK("http://www.twitter.com/NYCParks/status/734811741587148801", "734811741587148801")</f>
        <v>0</v>
      </c>
      <c r="B953" s="2">
        <v>42513.7655671296</v>
      </c>
      <c r="C953">
        <v>0</v>
      </c>
      <c r="D953">
        <v>0</v>
      </c>
      <c r="E953" t="s">
        <v>956</v>
      </c>
    </row>
    <row r="954" spans="1:5">
      <c r="A954">
        <f>HYPERLINK("http://www.twitter.com/NYCParks/status/734809991622885376", "734809991622885376")</f>
        <v>0</v>
      </c>
      <c r="B954" s="2">
        <v>42513.7607407407</v>
      </c>
      <c r="C954">
        <v>36</v>
      </c>
      <c r="D954">
        <v>10</v>
      </c>
      <c r="E954" t="s">
        <v>957</v>
      </c>
    </row>
    <row r="955" spans="1:5">
      <c r="A955">
        <f>HYPERLINK("http://www.twitter.com/NYCParks/status/734808936558264320", "734808936558264320")</f>
        <v>0</v>
      </c>
      <c r="B955" s="2">
        <v>42513.7578356481</v>
      </c>
      <c r="C955">
        <v>0</v>
      </c>
      <c r="D955">
        <v>0</v>
      </c>
      <c r="E955" t="s">
        <v>958</v>
      </c>
    </row>
    <row r="956" spans="1:5">
      <c r="A956">
        <f>HYPERLINK("http://www.twitter.com/NYCParks/status/734808162071642116", "734808162071642116")</f>
        <v>0</v>
      </c>
      <c r="B956" s="2">
        <v>42513.7556944444</v>
      </c>
      <c r="C956">
        <v>0</v>
      </c>
      <c r="D956">
        <v>0</v>
      </c>
      <c r="E956" t="s">
        <v>959</v>
      </c>
    </row>
    <row r="957" spans="1:5">
      <c r="A957">
        <f>HYPERLINK("http://www.twitter.com/NYCParks/status/734793629697515521", "734793629697515521")</f>
        <v>0</v>
      </c>
      <c r="B957" s="2">
        <v>42513.7155902778</v>
      </c>
      <c r="C957">
        <v>23</v>
      </c>
      <c r="D957">
        <v>9</v>
      </c>
      <c r="E957" t="s">
        <v>960</v>
      </c>
    </row>
    <row r="958" spans="1:5">
      <c r="A958">
        <f>HYPERLINK("http://www.twitter.com/NYCParks/status/734792807957794820", "734792807957794820")</f>
        <v>0</v>
      </c>
      <c r="B958" s="2">
        <v>42513.7133217593</v>
      </c>
      <c r="C958">
        <v>2</v>
      </c>
      <c r="D958">
        <v>1</v>
      </c>
      <c r="E958" t="s">
        <v>961</v>
      </c>
    </row>
    <row r="959" spans="1:5">
      <c r="A959">
        <f>HYPERLINK("http://www.twitter.com/NYCParks/status/734761259221028864", "734761259221028864")</f>
        <v>0</v>
      </c>
      <c r="B959" s="2">
        <v>42513.6262731481</v>
      </c>
      <c r="C959">
        <v>24</v>
      </c>
      <c r="D959">
        <v>9</v>
      </c>
      <c r="E959" t="s">
        <v>962</v>
      </c>
    </row>
    <row r="960" spans="1:5">
      <c r="A960">
        <f>HYPERLINK("http://www.twitter.com/NYCParks/status/734537264995422208", "734537264995422208")</f>
        <v>0</v>
      </c>
      <c r="B960" s="2">
        <v>42513.0081597222</v>
      </c>
      <c r="C960">
        <v>28</v>
      </c>
      <c r="D960">
        <v>6</v>
      </c>
      <c r="E960" t="s">
        <v>963</v>
      </c>
    </row>
    <row r="961" spans="1:5">
      <c r="A961">
        <f>HYPERLINK("http://www.twitter.com/NYCParks/status/734532990630518784", "734532990630518784")</f>
        <v>0</v>
      </c>
      <c r="B961" s="2">
        <v>42512.9963657407</v>
      </c>
      <c r="C961">
        <v>44</v>
      </c>
      <c r="D961">
        <v>12</v>
      </c>
      <c r="E961" t="s">
        <v>964</v>
      </c>
    </row>
    <row r="962" spans="1:5">
      <c r="A962">
        <f>HYPERLINK("http://www.twitter.com/NYCParks/status/733736482763116544", "733736482763116544")</f>
        <v>0</v>
      </c>
      <c r="B962" s="2">
        <v>42510.7984259259</v>
      </c>
      <c r="C962">
        <v>69</v>
      </c>
      <c r="D962">
        <v>20</v>
      </c>
      <c r="E962" t="s">
        <v>965</v>
      </c>
    </row>
    <row r="963" spans="1:5">
      <c r="A963">
        <f>HYPERLINK("http://www.twitter.com/NYCParks/status/733706470777323520", "733706470777323520")</f>
        <v>0</v>
      </c>
      <c r="B963" s="2">
        <v>42510.7156018519</v>
      </c>
      <c r="C963">
        <v>30</v>
      </c>
      <c r="D963">
        <v>10</v>
      </c>
      <c r="E963" t="s">
        <v>966</v>
      </c>
    </row>
    <row r="964" spans="1:5">
      <c r="A964">
        <f>HYPERLINK("http://www.twitter.com/NYCParks/status/733700294962470912", "733700294962470912")</f>
        <v>0</v>
      </c>
      <c r="B964" s="2">
        <v>42510.6985648148</v>
      </c>
      <c r="C964">
        <v>2</v>
      </c>
      <c r="D964">
        <v>1</v>
      </c>
      <c r="E964" t="s">
        <v>967</v>
      </c>
    </row>
    <row r="965" spans="1:5">
      <c r="A965">
        <f>HYPERLINK("http://www.twitter.com/NYCParks/status/733693857657933824", "733693857657933824")</f>
        <v>0</v>
      </c>
      <c r="B965" s="2">
        <v>42510.6807986111</v>
      </c>
      <c r="C965">
        <v>0</v>
      </c>
      <c r="D965">
        <v>0</v>
      </c>
      <c r="E965" t="s">
        <v>968</v>
      </c>
    </row>
    <row r="966" spans="1:5">
      <c r="A966">
        <f>HYPERLINK("http://www.twitter.com/NYCParks/status/733691142131290112", "733691142131290112")</f>
        <v>0</v>
      </c>
      <c r="B966" s="2">
        <v>42510.6733101852</v>
      </c>
      <c r="C966">
        <v>46</v>
      </c>
      <c r="D966">
        <v>24</v>
      </c>
      <c r="E966" t="s">
        <v>969</v>
      </c>
    </row>
    <row r="967" spans="1:5">
      <c r="A967">
        <f>HYPERLINK("http://www.twitter.com/NYCParks/status/733674030046285825", "733674030046285825")</f>
        <v>0</v>
      </c>
      <c r="B967" s="2">
        <v>42510.626087963</v>
      </c>
      <c r="C967">
        <v>23</v>
      </c>
      <c r="D967">
        <v>8</v>
      </c>
      <c r="E967" t="s">
        <v>970</v>
      </c>
    </row>
    <row r="968" spans="1:5">
      <c r="A968">
        <f>HYPERLINK("http://www.twitter.com/NYCParks/status/733378377218953216", "733378377218953216")</f>
        <v>0</v>
      </c>
      <c r="B968" s="2">
        <v>42509.8102430556</v>
      </c>
      <c r="C968">
        <v>24</v>
      </c>
      <c r="D968">
        <v>10</v>
      </c>
      <c r="E968" t="s">
        <v>971</v>
      </c>
    </row>
    <row r="969" spans="1:5">
      <c r="A969">
        <f>HYPERLINK("http://www.twitter.com/NYCParks/status/733361787660308481", "733361787660308481")</f>
        <v>0</v>
      </c>
      <c r="B969" s="2">
        <v>42509.7644675926</v>
      </c>
      <c r="C969">
        <v>0</v>
      </c>
      <c r="D969">
        <v>0</v>
      </c>
      <c r="E969" t="s">
        <v>972</v>
      </c>
    </row>
    <row r="970" spans="1:5">
      <c r="A970">
        <f>HYPERLINK("http://www.twitter.com/NYCParks/status/733361634958249985", "733361634958249985")</f>
        <v>0</v>
      </c>
      <c r="B970" s="2">
        <v>42509.7640393519</v>
      </c>
      <c r="C970">
        <v>16</v>
      </c>
      <c r="D970">
        <v>6</v>
      </c>
      <c r="E970" t="s">
        <v>973</v>
      </c>
    </row>
    <row r="971" spans="1:5">
      <c r="A971">
        <f>HYPERLINK("http://www.twitter.com/NYCParks/status/733345282944040961", "733345282944040961")</f>
        <v>0</v>
      </c>
      <c r="B971" s="2">
        <v>42509.7189236111</v>
      </c>
      <c r="C971">
        <v>9</v>
      </c>
      <c r="D971">
        <v>2</v>
      </c>
      <c r="E971" t="s">
        <v>974</v>
      </c>
    </row>
    <row r="972" spans="1:5">
      <c r="A972">
        <f>HYPERLINK("http://www.twitter.com/NYCParks/status/733330182627594240", "733330182627594240")</f>
        <v>0</v>
      </c>
      <c r="B972" s="2">
        <v>42509.6772453704</v>
      </c>
      <c r="C972">
        <v>14</v>
      </c>
      <c r="D972">
        <v>8</v>
      </c>
      <c r="E972" t="s">
        <v>975</v>
      </c>
    </row>
    <row r="973" spans="1:5">
      <c r="A973">
        <f>HYPERLINK("http://www.twitter.com/NYCParks/status/733311838704832513", "733311838704832513")</f>
        <v>0</v>
      </c>
      <c r="B973" s="2">
        <v>42509.6266319444</v>
      </c>
      <c r="C973">
        <v>57</v>
      </c>
      <c r="D973">
        <v>35</v>
      </c>
      <c r="E973" t="s">
        <v>976</v>
      </c>
    </row>
    <row r="974" spans="1:5">
      <c r="A974">
        <f>HYPERLINK("http://www.twitter.com/NYCParks/status/733030701252104192", "733030701252104192")</f>
        <v>0</v>
      </c>
      <c r="B974" s="2">
        <v>42508.8508333333</v>
      </c>
      <c r="C974">
        <v>16</v>
      </c>
      <c r="D974">
        <v>4</v>
      </c>
      <c r="E974" t="s">
        <v>977</v>
      </c>
    </row>
    <row r="975" spans="1:5">
      <c r="A975">
        <f>HYPERLINK("http://www.twitter.com/NYCParks/status/733014346826158085", "733014346826158085")</f>
        <v>0</v>
      </c>
      <c r="B975" s="2">
        <v>42508.8057060185</v>
      </c>
      <c r="C975">
        <v>67</v>
      </c>
      <c r="D975">
        <v>23</v>
      </c>
      <c r="E975" t="s">
        <v>978</v>
      </c>
    </row>
    <row r="976" spans="1:5">
      <c r="A976">
        <f>HYPERLINK("http://www.twitter.com/NYCParks/status/732997999257870337", "732997999257870337")</f>
        <v>0</v>
      </c>
      <c r="B976" s="2">
        <v>42508.7606018518</v>
      </c>
      <c r="C976">
        <v>21</v>
      </c>
      <c r="D976">
        <v>10</v>
      </c>
      <c r="E976" t="s">
        <v>979</v>
      </c>
    </row>
    <row r="977" spans="1:5">
      <c r="A977">
        <f>HYPERLINK("http://www.twitter.com/NYCParks/status/732985271168471040", "732985271168471040")</f>
        <v>0</v>
      </c>
      <c r="B977" s="2">
        <v>42508.725474537</v>
      </c>
      <c r="C977">
        <v>109</v>
      </c>
      <c r="D977">
        <v>42</v>
      </c>
      <c r="E977" t="s">
        <v>980</v>
      </c>
    </row>
    <row r="978" spans="1:5">
      <c r="A978">
        <f>HYPERLINK("http://www.twitter.com/NYCParks/status/732968305045176320", "732968305045176320")</f>
        <v>0</v>
      </c>
      <c r="B978" s="2">
        <v>42508.6786574074</v>
      </c>
      <c r="C978">
        <v>17</v>
      </c>
      <c r="D978">
        <v>4</v>
      </c>
      <c r="E978" t="s">
        <v>981</v>
      </c>
    </row>
    <row r="979" spans="1:5">
      <c r="A979">
        <f>HYPERLINK("http://www.twitter.com/NYCParks/status/732949083128750080", "732949083128750080")</f>
        <v>0</v>
      </c>
      <c r="B979" s="2">
        <v>42508.6256134259</v>
      </c>
      <c r="C979">
        <v>0</v>
      </c>
      <c r="D979">
        <v>14</v>
      </c>
      <c r="E979" t="s">
        <v>982</v>
      </c>
    </row>
    <row r="980" spans="1:5">
      <c r="A980">
        <f>HYPERLINK("http://www.twitter.com/NYCParks/status/732942838107938816", "732942838107938816")</f>
        <v>0</v>
      </c>
      <c r="B980" s="2">
        <v>42508.6083796296</v>
      </c>
      <c r="C980">
        <v>0</v>
      </c>
      <c r="D980">
        <v>0</v>
      </c>
      <c r="E980" t="s">
        <v>983</v>
      </c>
    </row>
    <row r="981" spans="1:5">
      <c r="A981">
        <f>HYPERLINK("http://www.twitter.com/NYCParks/status/732663623038996484", "732663623038996484")</f>
        <v>0</v>
      </c>
      <c r="B981" s="2">
        <v>42507.8378935185</v>
      </c>
      <c r="C981">
        <v>20</v>
      </c>
      <c r="D981">
        <v>14</v>
      </c>
      <c r="E981" t="s">
        <v>984</v>
      </c>
    </row>
    <row r="982" spans="1:5">
      <c r="A982">
        <f>HYPERLINK("http://www.twitter.com/NYCParks/status/732645665818415108", "732645665818415108")</f>
        <v>0</v>
      </c>
      <c r="B982" s="2">
        <v>42507.7883449074</v>
      </c>
      <c r="C982">
        <v>47</v>
      </c>
      <c r="D982">
        <v>24</v>
      </c>
      <c r="E982" t="s">
        <v>985</v>
      </c>
    </row>
    <row r="983" spans="1:5">
      <c r="A983">
        <f>HYPERLINK("http://www.twitter.com/NYCParks/status/732629290949484544", "732629290949484544")</f>
        <v>0</v>
      </c>
      <c r="B983" s="2">
        <v>42507.7431597222</v>
      </c>
      <c r="C983">
        <v>19</v>
      </c>
      <c r="D983">
        <v>8</v>
      </c>
      <c r="E983" t="s">
        <v>986</v>
      </c>
    </row>
    <row r="984" spans="1:5">
      <c r="A984">
        <f>HYPERLINK("http://www.twitter.com/NYCParks/status/732612095733288960", "732612095733288960")</f>
        <v>0</v>
      </c>
      <c r="B984" s="2">
        <v>42507.6957060185</v>
      </c>
      <c r="C984">
        <v>0</v>
      </c>
      <c r="D984">
        <v>2</v>
      </c>
      <c r="E984" t="s">
        <v>987</v>
      </c>
    </row>
    <row r="985" spans="1:5">
      <c r="A985">
        <f>HYPERLINK("http://www.twitter.com/NYCParks/status/732604478168387584", "732604478168387584")</f>
        <v>0</v>
      </c>
      <c r="B985" s="2">
        <v>42507.6746875</v>
      </c>
      <c r="C985">
        <v>0</v>
      </c>
      <c r="D985">
        <v>0</v>
      </c>
      <c r="E985" t="s">
        <v>988</v>
      </c>
    </row>
    <row r="986" spans="1:5">
      <c r="A986">
        <f>HYPERLINK("http://www.twitter.com/NYCParks/status/732588984216485888", "732588984216485888")</f>
        <v>0</v>
      </c>
      <c r="B986" s="2">
        <v>42507.6319328704</v>
      </c>
      <c r="C986">
        <v>0</v>
      </c>
      <c r="D986">
        <v>44</v>
      </c>
      <c r="E986" t="s">
        <v>989</v>
      </c>
    </row>
    <row r="987" spans="1:5">
      <c r="A987">
        <f>HYPERLINK("http://www.twitter.com/NYCParks/status/732268515995074561", "732268515995074561")</f>
        <v>0</v>
      </c>
      <c r="B987" s="2">
        <v>42506.7476041667</v>
      </c>
      <c r="C987">
        <v>0</v>
      </c>
      <c r="D987">
        <v>0</v>
      </c>
      <c r="E987" t="s">
        <v>990</v>
      </c>
    </row>
    <row r="988" spans="1:5">
      <c r="A988">
        <f>HYPERLINK("http://www.twitter.com/NYCParks/status/732256917473636353", "732256917473636353")</f>
        <v>0</v>
      </c>
      <c r="B988" s="2">
        <v>42506.7156018519</v>
      </c>
      <c r="C988">
        <v>39</v>
      </c>
      <c r="D988">
        <v>17</v>
      </c>
      <c r="E988" t="s">
        <v>991</v>
      </c>
    </row>
    <row r="989" spans="1:5">
      <c r="A989">
        <f>HYPERLINK("http://www.twitter.com/NYCParks/status/732240585470423041", "732240585470423041")</f>
        <v>0</v>
      </c>
      <c r="B989" s="2">
        <v>42506.6705324074</v>
      </c>
      <c r="C989">
        <v>19</v>
      </c>
      <c r="D989">
        <v>14</v>
      </c>
      <c r="E989" t="s">
        <v>992</v>
      </c>
    </row>
    <row r="990" spans="1:5">
      <c r="A990">
        <f>HYPERLINK("http://www.twitter.com/NYCParks/status/732224565145944064", "732224565145944064")</f>
        <v>0</v>
      </c>
      <c r="B990" s="2">
        <v>42506.6263310185</v>
      </c>
      <c r="C990">
        <v>22</v>
      </c>
      <c r="D990">
        <v>13</v>
      </c>
      <c r="E990" t="s">
        <v>993</v>
      </c>
    </row>
    <row r="991" spans="1:5">
      <c r="A991">
        <f>HYPERLINK("http://www.twitter.com/NYCParks/status/731558433346998274", "731558433346998274")</f>
        <v>0</v>
      </c>
      <c r="B991" s="2">
        <v>42504.7881481481</v>
      </c>
      <c r="C991">
        <v>30</v>
      </c>
      <c r="D991">
        <v>5</v>
      </c>
      <c r="E991" t="s">
        <v>994</v>
      </c>
    </row>
    <row r="992" spans="1:5">
      <c r="A992">
        <f>HYPERLINK("http://www.twitter.com/NYCParks/status/731547037339156480", "731547037339156480")</f>
        <v>0</v>
      </c>
      <c r="B992" s="2">
        <v>42504.7567013889</v>
      </c>
      <c r="C992">
        <v>15</v>
      </c>
      <c r="D992">
        <v>10</v>
      </c>
      <c r="E992" t="s">
        <v>995</v>
      </c>
    </row>
    <row r="993" spans="1:5">
      <c r="A993">
        <f>HYPERLINK("http://www.twitter.com/NYCParks/status/731202398216175616", "731202398216175616")</f>
        <v>0</v>
      </c>
      <c r="B993" s="2">
        <v>42503.8056828704</v>
      </c>
      <c r="C993">
        <v>90</v>
      </c>
      <c r="D993">
        <v>28</v>
      </c>
      <c r="E993" t="s">
        <v>996</v>
      </c>
    </row>
    <row r="994" spans="1:5">
      <c r="A994">
        <f>HYPERLINK("http://www.twitter.com/NYCParks/status/731187300617601024", "731187300617601024")</f>
        <v>0</v>
      </c>
      <c r="B994" s="2">
        <v>42503.7640162037</v>
      </c>
      <c r="C994">
        <v>17</v>
      </c>
      <c r="D994">
        <v>7</v>
      </c>
      <c r="E994" t="s">
        <v>997</v>
      </c>
    </row>
    <row r="995" spans="1:5">
      <c r="A995">
        <f>HYPERLINK("http://www.twitter.com/NYCParks/status/731170947844218880", "731170947844218880")</f>
        <v>0</v>
      </c>
      <c r="B995" s="2">
        <v>42503.718900463</v>
      </c>
      <c r="C995">
        <v>50</v>
      </c>
      <c r="D995">
        <v>23</v>
      </c>
      <c r="E995" t="s">
        <v>998</v>
      </c>
    </row>
    <row r="996" spans="1:5">
      <c r="A996">
        <f>HYPERLINK("http://www.twitter.com/NYCParks/status/731155861993865218", "731155861993865218")</f>
        <v>0</v>
      </c>
      <c r="B996" s="2">
        <v>42503.6772685185</v>
      </c>
      <c r="C996">
        <v>6</v>
      </c>
      <c r="D996">
        <v>1</v>
      </c>
      <c r="E996" t="s">
        <v>999</v>
      </c>
    </row>
    <row r="997" spans="1:5">
      <c r="A997">
        <f>HYPERLINK("http://www.twitter.com/NYCParks/status/731138824902955008", "731138824902955008")</f>
        <v>0</v>
      </c>
      <c r="B997" s="2">
        <v>42503.6302546296</v>
      </c>
      <c r="C997">
        <v>22</v>
      </c>
      <c r="D997">
        <v>11</v>
      </c>
      <c r="E997" t="s">
        <v>1000</v>
      </c>
    </row>
    <row r="998" spans="1:5">
      <c r="A998">
        <f>HYPERLINK("http://www.twitter.com/NYCParks/status/731135098993709057", "731135098993709057")</f>
        <v>0</v>
      </c>
      <c r="B998" s="2">
        <v>42503.6199768518</v>
      </c>
      <c r="C998">
        <v>0</v>
      </c>
      <c r="D998">
        <v>0</v>
      </c>
      <c r="E998" t="s">
        <v>1001</v>
      </c>
    </row>
    <row r="999" spans="1:5">
      <c r="A999">
        <f>HYPERLINK("http://www.twitter.com/NYCParks/status/730823673440043008", "730823673440043008")</f>
        <v>0</v>
      </c>
      <c r="B999" s="2">
        <v>42502.7606018518</v>
      </c>
      <c r="C999">
        <v>33</v>
      </c>
      <c r="D999">
        <v>15</v>
      </c>
      <c r="E999" t="s">
        <v>1002</v>
      </c>
    </row>
    <row r="1000" spans="1:5">
      <c r="A1000">
        <f>HYPERLINK("http://www.twitter.com/NYCParks/status/730807312110235648", "730807312110235648")</f>
        <v>0</v>
      </c>
      <c r="B1000" s="2">
        <v>42502.7154513889</v>
      </c>
      <c r="C1000">
        <v>9</v>
      </c>
      <c r="D1000">
        <v>2</v>
      </c>
      <c r="E1000" t="s">
        <v>1003</v>
      </c>
    </row>
    <row r="1001" spans="1:5">
      <c r="A1001">
        <f>HYPERLINK("http://www.twitter.com/NYCParks/status/730790963988287488", "730790963988287488")</f>
        <v>0</v>
      </c>
      <c r="B1001" s="2">
        <v>42502.6703356481</v>
      </c>
      <c r="C1001">
        <v>31</v>
      </c>
      <c r="D1001">
        <v>6</v>
      </c>
      <c r="E1001" t="s">
        <v>1004</v>
      </c>
    </row>
    <row r="1002" spans="1:5">
      <c r="A1002">
        <f>HYPERLINK("http://www.twitter.com/NYCParks/status/730777413832081408", "730777413832081408")</f>
        <v>0</v>
      </c>
      <c r="B1002" s="2">
        <v>42502.6329513889</v>
      </c>
      <c r="C1002">
        <v>0</v>
      </c>
      <c r="D1002">
        <v>8</v>
      </c>
      <c r="E1002" t="s">
        <v>1005</v>
      </c>
    </row>
    <row r="1003" spans="1:5">
      <c r="A1003">
        <f>HYPERLINK("http://www.twitter.com/NYCParks/status/730763774290956288", "730763774290956288")</f>
        <v>0</v>
      </c>
      <c r="B1003" s="2">
        <v>42502.5953125</v>
      </c>
      <c r="C1003">
        <v>0</v>
      </c>
      <c r="D1003">
        <v>0</v>
      </c>
      <c r="E1003" t="s">
        <v>1006</v>
      </c>
    </row>
    <row r="1004" spans="1:5">
      <c r="A1004">
        <f>HYPERLINK("http://www.twitter.com/NYCParks/status/730500028876345344", "730500028876345344")</f>
        <v>0</v>
      </c>
      <c r="B1004" s="2">
        <v>42501.8675115741</v>
      </c>
      <c r="C1004">
        <v>36</v>
      </c>
      <c r="D1004">
        <v>13</v>
      </c>
      <c r="E1004" t="s">
        <v>1007</v>
      </c>
    </row>
    <row r="1005" spans="1:5">
      <c r="A1005">
        <f>HYPERLINK("http://www.twitter.com/NYCParks/status/730485175700860928", "730485175700860928")</f>
        <v>0</v>
      </c>
      <c r="B1005" s="2">
        <v>42501.8265277778</v>
      </c>
      <c r="C1005">
        <v>2</v>
      </c>
      <c r="D1005">
        <v>1</v>
      </c>
      <c r="E1005" t="s">
        <v>1008</v>
      </c>
    </row>
    <row r="1006" spans="1:5">
      <c r="A1006">
        <f>HYPERLINK("http://www.twitter.com/NYCParks/status/730470088101535748", "730470088101535748")</f>
        <v>0</v>
      </c>
      <c r="B1006" s="2">
        <v>42501.7848958333</v>
      </c>
      <c r="C1006">
        <v>10</v>
      </c>
      <c r="D1006">
        <v>4</v>
      </c>
      <c r="E1006" t="s">
        <v>1009</v>
      </c>
    </row>
    <row r="1007" spans="1:5">
      <c r="A1007">
        <f>HYPERLINK("http://www.twitter.com/NYCParks/status/730456696724828161", "730456696724828161")</f>
        <v>0</v>
      </c>
      <c r="B1007" s="2">
        <v>42501.7479398148</v>
      </c>
      <c r="C1007">
        <v>20</v>
      </c>
      <c r="D1007">
        <v>10</v>
      </c>
      <c r="E1007" t="s">
        <v>1010</v>
      </c>
    </row>
    <row r="1008" spans="1:5">
      <c r="A1008">
        <f>HYPERLINK("http://www.twitter.com/NYCParks/status/730439863074426880", "730439863074426880")</f>
        <v>0</v>
      </c>
      <c r="B1008" s="2">
        <v>42501.7014814815</v>
      </c>
      <c r="C1008">
        <v>14</v>
      </c>
      <c r="D1008">
        <v>4</v>
      </c>
      <c r="E1008" t="s">
        <v>1011</v>
      </c>
    </row>
    <row r="1009" spans="1:5">
      <c r="A1009">
        <f>HYPERLINK("http://www.twitter.com/NYCParks/status/730419942370201600", "730419942370201600")</f>
        <v>0</v>
      </c>
      <c r="B1009" s="2">
        <v>42501.6465162037</v>
      </c>
      <c r="C1009">
        <v>33</v>
      </c>
      <c r="D1009">
        <v>15</v>
      </c>
      <c r="E1009" t="s">
        <v>1012</v>
      </c>
    </row>
    <row r="1010" spans="1:5">
      <c r="A1010">
        <f>HYPERLINK("http://www.twitter.com/NYCParks/status/730410744404185088", "730410744404185088")</f>
        <v>0</v>
      </c>
      <c r="B1010" s="2">
        <v>42501.6211342593</v>
      </c>
      <c r="C1010">
        <v>0</v>
      </c>
      <c r="D1010">
        <v>0</v>
      </c>
      <c r="E1010" t="s">
        <v>1013</v>
      </c>
    </row>
    <row r="1011" spans="1:5">
      <c r="A1011">
        <f>HYPERLINK("http://www.twitter.com/NYCParks/status/730115248552849409", "730115248552849409")</f>
        <v>0</v>
      </c>
      <c r="B1011" s="2">
        <v>42500.8057175926</v>
      </c>
      <c r="C1011">
        <v>34</v>
      </c>
      <c r="D1011">
        <v>13</v>
      </c>
      <c r="E1011" t="s">
        <v>1014</v>
      </c>
    </row>
    <row r="1012" spans="1:5">
      <c r="A1012">
        <f>HYPERLINK("http://www.twitter.com/NYCParks/status/730098946333347840", "730098946333347840")</f>
        <v>0</v>
      </c>
      <c r="B1012" s="2">
        <v>42500.7607407407</v>
      </c>
      <c r="C1012">
        <v>18</v>
      </c>
      <c r="D1012">
        <v>18</v>
      </c>
      <c r="E1012" t="s">
        <v>1015</v>
      </c>
    </row>
    <row r="1013" spans="1:5">
      <c r="A1013">
        <f>HYPERLINK("http://www.twitter.com/NYCParks/status/730082399523115008", "730082399523115008")</f>
        <v>0</v>
      </c>
      <c r="B1013" s="2">
        <v>42500.7150694444</v>
      </c>
      <c r="C1013">
        <v>0</v>
      </c>
      <c r="D1013">
        <v>4</v>
      </c>
      <c r="E1013" t="s">
        <v>1016</v>
      </c>
    </row>
    <row r="1014" spans="1:5">
      <c r="A1014">
        <f>HYPERLINK("http://www.twitter.com/NYCParks/status/730066178048200704", "730066178048200704")</f>
        <v>0</v>
      </c>
      <c r="B1014" s="2">
        <v>42500.6703125</v>
      </c>
      <c r="C1014">
        <v>94</v>
      </c>
      <c r="D1014">
        <v>33</v>
      </c>
      <c r="E1014" t="s">
        <v>1017</v>
      </c>
    </row>
    <row r="1015" spans="1:5">
      <c r="A1015">
        <f>HYPERLINK("http://www.twitter.com/NYCParks/status/730050363445919744", "730050363445919744")</f>
        <v>0</v>
      </c>
      <c r="B1015" s="2">
        <v>42500.6266666667</v>
      </c>
      <c r="C1015">
        <v>26</v>
      </c>
      <c r="D1015">
        <v>14</v>
      </c>
      <c r="E1015" t="s">
        <v>1018</v>
      </c>
    </row>
    <row r="1016" spans="1:5">
      <c r="A1016">
        <f>HYPERLINK("http://www.twitter.com/NYCParks/status/729787530460205056", "729787530460205056")</f>
        <v>0</v>
      </c>
      <c r="B1016" s="2">
        <v>42499.9013888889</v>
      </c>
      <c r="C1016">
        <v>12</v>
      </c>
      <c r="D1016">
        <v>2</v>
      </c>
      <c r="E1016" t="s">
        <v>1019</v>
      </c>
    </row>
    <row r="1017" spans="1:5">
      <c r="A1017">
        <f>HYPERLINK("http://www.twitter.com/NYCParks/status/729770519764045826", "729770519764045826")</f>
        <v>0</v>
      </c>
      <c r="B1017" s="2">
        <v>42499.8544560185</v>
      </c>
      <c r="C1017">
        <v>15</v>
      </c>
      <c r="D1017">
        <v>10</v>
      </c>
      <c r="E1017" t="s">
        <v>1020</v>
      </c>
    </row>
    <row r="1018" spans="1:5">
      <c r="A1018">
        <f>HYPERLINK("http://www.twitter.com/NYCParks/status/729754143989059585", "729754143989059585")</f>
        <v>0</v>
      </c>
      <c r="B1018" s="2">
        <v>42499.8092592593</v>
      </c>
      <c r="C1018">
        <v>38</v>
      </c>
      <c r="D1018">
        <v>11</v>
      </c>
      <c r="E1018" t="s">
        <v>1021</v>
      </c>
    </row>
    <row r="1019" spans="1:5">
      <c r="A1019">
        <f>HYPERLINK("http://www.twitter.com/NYCParks/status/729737365804224512", "729737365804224512")</f>
        <v>0</v>
      </c>
      <c r="B1019" s="2">
        <v>42499.762962963</v>
      </c>
      <c r="C1019">
        <v>0</v>
      </c>
      <c r="D1019">
        <v>5</v>
      </c>
      <c r="E1019" t="s">
        <v>1022</v>
      </c>
    </row>
    <row r="1020" spans="1:5">
      <c r="A1020">
        <f>HYPERLINK("http://www.twitter.com/NYCParks/status/729732754074652673", "729732754074652673")</f>
        <v>0</v>
      </c>
      <c r="B1020" s="2">
        <v>42499.7502430556</v>
      </c>
      <c r="C1020">
        <v>1</v>
      </c>
      <c r="D1020">
        <v>0</v>
      </c>
      <c r="E1020" t="s">
        <v>1023</v>
      </c>
    </row>
    <row r="1021" spans="1:5">
      <c r="A1021">
        <f>HYPERLINK("http://www.twitter.com/NYCParks/status/729729424703299584", "729729424703299584")</f>
        <v>0</v>
      </c>
      <c r="B1021" s="2">
        <v>42499.7410532407</v>
      </c>
      <c r="C1021">
        <v>0</v>
      </c>
      <c r="D1021">
        <v>0</v>
      </c>
      <c r="E1021" t="s">
        <v>1024</v>
      </c>
    </row>
    <row r="1022" spans="1:5">
      <c r="A1022">
        <f>HYPERLINK("http://www.twitter.com/NYCParks/status/729728421551607808", "729728421551607808")</f>
        <v>0</v>
      </c>
      <c r="B1022" s="2">
        <v>42499.738287037</v>
      </c>
      <c r="C1022">
        <v>1</v>
      </c>
      <c r="D1022">
        <v>0</v>
      </c>
      <c r="E1022" t="s">
        <v>1025</v>
      </c>
    </row>
    <row r="1023" spans="1:5">
      <c r="A1023">
        <f>HYPERLINK("http://www.twitter.com/NYCParks/status/729721395945574401", "729721395945574401")</f>
        <v>0</v>
      </c>
      <c r="B1023" s="2">
        <v>42499.718900463</v>
      </c>
      <c r="C1023">
        <v>42</v>
      </c>
      <c r="D1023">
        <v>24</v>
      </c>
      <c r="E1023" t="s">
        <v>1026</v>
      </c>
    </row>
    <row r="1024" spans="1:5">
      <c r="A1024">
        <f>HYPERLINK("http://www.twitter.com/NYCParks/status/729701250225295360", "729701250225295360")</f>
        <v>0</v>
      </c>
      <c r="B1024" s="2">
        <v>42499.6632986111</v>
      </c>
      <c r="C1024">
        <v>22</v>
      </c>
      <c r="D1024">
        <v>7</v>
      </c>
      <c r="E1024" t="s">
        <v>1027</v>
      </c>
    </row>
    <row r="1025" spans="1:5">
      <c r="A1025">
        <f>HYPERLINK("http://www.twitter.com/NYCParks/status/729685206530195456", "729685206530195456")</f>
        <v>0</v>
      </c>
      <c r="B1025" s="2">
        <v>42499.6190277778</v>
      </c>
      <c r="C1025">
        <v>0</v>
      </c>
      <c r="D1025">
        <v>65</v>
      </c>
      <c r="E1025" t="s">
        <v>1028</v>
      </c>
    </row>
    <row r="1026" spans="1:5">
      <c r="A1026">
        <f>HYPERLINK("http://www.twitter.com/NYCParks/status/729680977723797504", "729680977723797504")</f>
        <v>0</v>
      </c>
      <c r="B1026" s="2">
        <v>42499.6073611111</v>
      </c>
      <c r="C1026">
        <v>1</v>
      </c>
      <c r="D1026">
        <v>1</v>
      </c>
      <c r="E1026" t="s">
        <v>1029</v>
      </c>
    </row>
    <row r="1027" spans="1:5">
      <c r="A1027">
        <f>HYPERLINK("http://www.twitter.com/NYCParks/status/728665723564920833", "728665723564920833")</f>
        <v>0</v>
      </c>
      <c r="B1027" s="2">
        <v>42496.8057986111</v>
      </c>
      <c r="C1027">
        <v>36</v>
      </c>
      <c r="D1027">
        <v>15</v>
      </c>
      <c r="E1027" t="s">
        <v>1030</v>
      </c>
    </row>
    <row r="1028" spans="1:5">
      <c r="A1028">
        <f>HYPERLINK("http://www.twitter.com/NYCParks/status/728649395999277056", "728649395999277056")</f>
        <v>0</v>
      </c>
      <c r="B1028" s="2">
        <v>42496.7607407407</v>
      </c>
      <c r="C1028">
        <v>79</v>
      </c>
      <c r="D1028">
        <v>25</v>
      </c>
      <c r="E1028" t="s">
        <v>1031</v>
      </c>
    </row>
    <row r="1029" spans="1:5">
      <c r="A1029">
        <f>HYPERLINK("http://www.twitter.com/NYCParks/status/728633011835670528", "728633011835670528")</f>
        <v>0</v>
      </c>
      <c r="B1029" s="2">
        <v>42496.7155324074</v>
      </c>
      <c r="C1029">
        <v>7</v>
      </c>
      <c r="D1029">
        <v>4</v>
      </c>
      <c r="E1029" t="s">
        <v>1032</v>
      </c>
    </row>
    <row r="1030" spans="1:5">
      <c r="A1030">
        <f>HYPERLINK("http://www.twitter.com/NYCParks/status/728616679291404288", "728616679291404288")</f>
        <v>0</v>
      </c>
      <c r="B1030" s="2">
        <v>42496.670462963</v>
      </c>
      <c r="C1030">
        <v>17</v>
      </c>
      <c r="D1030">
        <v>8</v>
      </c>
      <c r="E1030" t="s">
        <v>1033</v>
      </c>
    </row>
    <row r="1031" spans="1:5">
      <c r="A1031">
        <f>HYPERLINK("http://www.twitter.com/NYCParks/status/728600591178567681", "728600591178567681")</f>
        <v>0</v>
      </c>
      <c r="B1031" s="2">
        <v>42496.6260648148</v>
      </c>
      <c r="C1031">
        <v>20</v>
      </c>
      <c r="D1031">
        <v>6</v>
      </c>
      <c r="E1031" t="s">
        <v>1034</v>
      </c>
    </row>
    <row r="1032" spans="1:5">
      <c r="A1032">
        <f>HYPERLINK("http://www.twitter.com/NYCParks/status/728325691591303169", "728325691591303169")</f>
        <v>0</v>
      </c>
      <c r="B1032" s="2">
        <v>42495.8674884259</v>
      </c>
      <c r="C1032">
        <v>50</v>
      </c>
      <c r="D1032">
        <v>16</v>
      </c>
      <c r="E1032" t="s">
        <v>1035</v>
      </c>
    </row>
    <row r="1033" spans="1:5">
      <c r="A1033">
        <f>HYPERLINK("http://www.twitter.com/NYCParks/status/728307073029689344", "728307073029689344")</f>
        <v>0</v>
      </c>
      <c r="B1033" s="2">
        <v>42495.8161111111</v>
      </c>
      <c r="C1033">
        <v>18</v>
      </c>
      <c r="D1033">
        <v>3</v>
      </c>
      <c r="E1033" t="s">
        <v>1036</v>
      </c>
    </row>
    <row r="1034" spans="1:5">
      <c r="A1034">
        <f>HYPERLINK("http://www.twitter.com/NYCParks/status/728290855488983040", "728290855488983040")</f>
        <v>0</v>
      </c>
      <c r="B1034" s="2">
        <v>42495.7713541667</v>
      </c>
      <c r="C1034">
        <v>11</v>
      </c>
      <c r="D1034">
        <v>3</v>
      </c>
      <c r="E1034" t="s">
        <v>1037</v>
      </c>
    </row>
    <row r="1035" spans="1:5">
      <c r="A1035">
        <f>HYPERLINK("http://www.twitter.com/NYCParks/status/728274356510568448", "728274356510568448")</f>
        <v>0</v>
      </c>
      <c r="B1035" s="2">
        <v>42495.7258217593</v>
      </c>
      <c r="C1035">
        <v>19</v>
      </c>
      <c r="D1035">
        <v>8</v>
      </c>
      <c r="E1035" t="s">
        <v>1038</v>
      </c>
    </row>
    <row r="1036" spans="1:5">
      <c r="A1036">
        <f>HYPERLINK("http://www.twitter.com/NYCParks/status/728267676582334464", "728267676582334464")</f>
        <v>0</v>
      </c>
      <c r="B1036" s="2">
        <v>42495.7073958333</v>
      </c>
      <c r="C1036">
        <v>0</v>
      </c>
      <c r="D1036">
        <v>0</v>
      </c>
      <c r="E1036" t="s">
        <v>1039</v>
      </c>
    </row>
    <row r="1037" spans="1:5">
      <c r="A1037">
        <f>HYPERLINK("http://www.twitter.com/NYCParks/status/728257417050460160", "728257417050460160")</f>
        <v>0</v>
      </c>
      <c r="B1037" s="2">
        <v>42495.6790856481</v>
      </c>
      <c r="C1037">
        <v>0</v>
      </c>
      <c r="D1037">
        <v>49</v>
      </c>
      <c r="E1037" t="s">
        <v>1040</v>
      </c>
    </row>
    <row r="1038" spans="1:5">
      <c r="A1038">
        <f>HYPERLINK("http://www.twitter.com/NYCParks/status/728241649739042816", "728241649739042816")</f>
        <v>0</v>
      </c>
      <c r="B1038" s="2">
        <v>42495.6355787037</v>
      </c>
      <c r="C1038">
        <v>14</v>
      </c>
      <c r="D1038">
        <v>15</v>
      </c>
      <c r="E1038" t="s">
        <v>1041</v>
      </c>
    </row>
    <row r="1039" spans="1:5">
      <c r="A1039">
        <f>HYPERLINK("http://www.twitter.com/NYCParks/status/728224605383499782", "728224605383499782")</f>
        <v>0</v>
      </c>
      <c r="B1039" s="2">
        <v>42495.5885416667</v>
      </c>
      <c r="C1039">
        <v>0</v>
      </c>
      <c r="D1039">
        <v>6</v>
      </c>
      <c r="E1039" t="s">
        <v>1042</v>
      </c>
    </row>
    <row r="1040" spans="1:5">
      <c r="A1040">
        <f>HYPERLINK("http://www.twitter.com/NYCParks/status/727959679058493440", "727959679058493440")</f>
        <v>0</v>
      </c>
      <c r="B1040" s="2">
        <v>42494.8574768519</v>
      </c>
      <c r="C1040">
        <v>0</v>
      </c>
      <c r="D1040">
        <v>0</v>
      </c>
      <c r="E1040" t="s">
        <v>1043</v>
      </c>
    </row>
    <row r="1041" spans="1:5">
      <c r="A1041">
        <f>HYPERLINK("http://www.twitter.com/NYCParks/status/727949987951300608", "727949987951300608")</f>
        <v>0</v>
      </c>
      <c r="B1041" s="2">
        <v>42494.8307407407</v>
      </c>
      <c r="C1041">
        <v>31</v>
      </c>
      <c r="D1041">
        <v>10</v>
      </c>
      <c r="E1041" t="s">
        <v>1044</v>
      </c>
    </row>
    <row r="1042" spans="1:5">
      <c r="A1042">
        <f>HYPERLINK("http://www.twitter.com/NYCParks/status/727930241264521216", "727930241264521216")</f>
        <v>0</v>
      </c>
      <c r="B1042" s="2">
        <v>42494.77625</v>
      </c>
      <c r="C1042">
        <v>142</v>
      </c>
      <c r="D1042">
        <v>69</v>
      </c>
      <c r="E1042" t="s">
        <v>1045</v>
      </c>
    </row>
    <row r="1043" spans="1:5">
      <c r="A1043">
        <f>HYPERLINK("http://www.twitter.com/NYCParks/status/727897762210156549", "727897762210156549")</f>
        <v>0</v>
      </c>
      <c r="B1043" s="2">
        <v>42494.6866203704</v>
      </c>
      <c r="C1043">
        <v>0</v>
      </c>
      <c r="D1043">
        <v>27</v>
      </c>
      <c r="E1043" t="s">
        <v>1046</v>
      </c>
    </row>
    <row r="1044" spans="1:5">
      <c r="A1044">
        <f>HYPERLINK("http://www.twitter.com/NYCParks/status/727880336030437376", "727880336030437376")</f>
        <v>0</v>
      </c>
      <c r="B1044" s="2">
        <v>42494.6385416667</v>
      </c>
      <c r="C1044">
        <v>22</v>
      </c>
      <c r="D1044">
        <v>13</v>
      </c>
      <c r="E1044" t="s">
        <v>1047</v>
      </c>
    </row>
    <row r="1045" spans="1:5">
      <c r="A1045">
        <f>HYPERLINK("http://www.twitter.com/NYCParks/status/727861111949791233", "727861111949791233")</f>
        <v>0</v>
      </c>
      <c r="B1045" s="2">
        <v>42494.5854861111</v>
      </c>
      <c r="C1045">
        <v>1</v>
      </c>
      <c r="D1045">
        <v>0</v>
      </c>
      <c r="E1045" t="s">
        <v>1048</v>
      </c>
    </row>
    <row r="1046" spans="1:5">
      <c r="A1046">
        <f>HYPERLINK("http://www.twitter.com/NYCParks/status/727603972891131905", "727603972891131905")</f>
        <v>0</v>
      </c>
      <c r="B1046" s="2">
        <v>42493.8759259259</v>
      </c>
      <c r="C1046">
        <v>86</v>
      </c>
      <c r="D1046">
        <v>14</v>
      </c>
      <c r="E1046" t="s">
        <v>1049</v>
      </c>
    </row>
    <row r="1047" spans="1:5">
      <c r="A1047">
        <f>HYPERLINK("http://www.twitter.com/NYCParks/status/727582767928778752", "727582767928778752")</f>
        <v>0</v>
      </c>
      <c r="B1047" s="2">
        <v>42493.8174074074</v>
      </c>
      <c r="C1047">
        <v>0</v>
      </c>
      <c r="D1047">
        <v>22</v>
      </c>
      <c r="E1047" t="s">
        <v>1050</v>
      </c>
    </row>
    <row r="1048" spans="1:5">
      <c r="A1048">
        <f>HYPERLINK("http://www.twitter.com/NYCParks/status/727567555347501058", "727567555347501058")</f>
        <v>0</v>
      </c>
      <c r="B1048" s="2">
        <v>42493.7754282407</v>
      </c>
      <c r="C1048">
        <v>15</v>
      </c>
      <c r="D1048">
        <v>10</v>
      </c>
      <c r="E1048" t="s">
        <v>1051</v>
      </c>
    </row>
    <row r="1049" spans="1:5">
      <c r="A1049">
        <f>HYPERLINK("http://www.twitter.com/NYCParks/status/727548608048979968", "727548608048979968")</f>
        <v>0</v>
      </c>
      <c r="B1049" s="2">
        <v>42493.7231481482</v>
      </c>
      <c r="C1049">
        <v>29</v>
      </c>
      <c r="D1049">
        <v>9</v>
      </c>
      <c r="E1049" t="s">
        <v>1052</v>
      </c>
    </row>
    <row r="1050" spans="1:5">
      <c r="A1050">
        <f>HYPERLINK("http://www.twitter.com/NYCParks/status/727532294064463873", "727532294064463873")</f>
        <v>0</v>
      </c>
      <c r="B1050" s="2">
        <v>42493.678125</v>
      </c>
      <c r="C1050">
        <v>0</v>
      </c>
      <c r="D1050">
        <v>9</v>
      </c>
      <c r="E1050" t="s">
        <v>1053</v>
      </c>
    </row>
    <row r="1051" spans="1:5">
      <c r="A1051">
        <f>HYPERLINK("http://www.twitter.com/NYCParks/status/727517317953929217", "727517317953929217")</f>
        <v>0</v>
      </c>
      <c r="B1051" s="2">
        <v>42493.6367939815</v>
      </c>
      <c r="C1051">
        <v>23</v>
      </c>
      <c r="D1051">
        <v>9</v>
      </c>
      <c r="E1051" t="s">
        <v>1054</v>
      </c>
    </row>
    <row r="1052" spans="1:5">
      <c r="A1052">
        <f>HYPERLINK("http://www.twitter.com/NYCParks/status/727221074056892417", "727221074056892417")</f>
        <v>0</v>
      </c>
      <c r="B1052" s="2">
        <v>42492.8193171296</v>
      </c>
      <c r="C1052">
        <v>0</v>
      </c>
      <c r="D1052">
        <v>7</v>
      </c>
      <c r="E1052" t="s">
        <v>1055</v>
      </c>
    </row>
    <row r="1053" spans="1:5">
      <c r="A1053">
        <f>HYPERLINK("http://www.twitter.com/NYCParks/status/727206242217762816", "727206242217762816")</f>
        <v>0</v>
      </c>
      <c r="B1053" s="2">
        <v>42492.7783912037</v>
      </c>
      <c r="C1053">
        <v>30</v>
      </c>
      <c r="D1053">
        <v>10</v>
      </c>
      <c r="E1053" t="s">
        <v>1056</v>
      </c>
    </row>
    <row r="1054" spans="1:5">
      <c r="A1054">
        <f>HYPERLINK("http://www.twitter.com/NYCParks/status/727188471874510848", "727188471874510848")</f>
        <v>0</v>
      </c>
      <c r="B1054" s="2">
        <v>42492.7293518518</v>
      </c>
      <c r="C1054">
        <v>20</v>
      </c>
      <c r="D1054">
        <v>13</v>
      </c>
      <c r="E1054" t="s">
        <v>1057</v>
      </c>
    </row>
    <row r="1055" spans="1:5">
      <c r="A1055">
        <f>HYPERLINK("http://www.twitter.com/NYCParks/status/727170389344980992", "727170389344980992")</f>
        <v>0</v>
      </c>
      <c r="B1055" s="2">
        <v>42492.6794560185</v>
      </c>
      <c r="C1055">
        <v>16</v>
      </c>
      <c r="D1055">
        <v>6</v>
      </c>
      <c r="E1055" t="s">
        <v>1058</v>
      </c>
    </row>
    <row r="1056" spans="1:5">
      <c r="A1056">
        <f>HYPERLINK("http://www.twitter.com/NYCParks/status/727136536974753792", "727136536974753792")</f>
        <v>0</v>
      </c>
      <c r="B1056" s="2">
        <v>42492.5860416667</v>
      </c>
      <c r="C1056">
        <v>24</v>
      </c>
      <c r="D1056">
        <v>13</v>
      </c>
      <c r="E1056" t="s">
        <v>1059</v>
      </c>
    </row>
    <row r="1057" spans="1:5">
      <c r="A1057">
        <f>HYPERLINK("http://www.twitter.com/NYCParks/status/726166300406480896", "726166300406480896")</f>
        <v>0</v>
      </c>
      <c r="B1057" s="2">
        <v>42489.9087037037</v>
      </c>
      <c r="C1057">
        <v>12</v>
      </c>
      <c r="D1057">
        <v>2</v>
      </c>
      <c r="E1057" t="s">
        <v>1060</v>
      </c>
    </row>
    <row r="1058" spans="1:5">
      <c r="A1058">
        <f>HYPERLINK("http://www.twitter.com/NYCParks/status/726146662058627072", "726146662058627072")</f>
        <v>0</v>
      </c>
      <c r="B1058" s="2">
        <v>42489.8545138889</v>
      </c>
      <c r="C1058">
        <v>16</v>
      </c>
      <c r="D1058">
        <v>8</v>
      </c>
      <c r="E1058" t="s">
        <v>1061</v>
      </c>
    </row>
    <row r="1059" spans="1:5">
      <c r="A1059">
        <f>HYPERLINK("http://www.twitter.com/NYCParks/status/726132317807333376", "726132317807333376")</f>
        <v>0</v>
      </c>
      <c r="B1059" s="2">
        <v>42489.8149305556</v>
      </c>
      <c r="C1059">
        <v>28</v>
      </c>
      <c r="D1059">
        <v>16</v>
      </c>
      <c r="E1059" t="s">
        <v>1062</v>
      </c>
    </row>
    <row r="1060" spans="1:5">
      <c r="A1060">
        <f>HYPERLINK("http://www.twitter.com/NYCParks/status/726112628792262656", "726112628792262656")</f>
        <v>0</v>
      </c>
      <c r="B1060" s="2">
        <v>42489.7605902778</v>
      </c>
      <c r="C1060">
        <v>15</v>
      </c>
      <c r="D1060">
        <v>6</v>
      </c>
      <c r="E1060" t="s">
        <v>1063</v>
      </c>
    </row>
    <row r="1061" spans="1:5">
      <c r="A1061">
        <f>HYPERLINK("http://www.twitter.com/NYCParks/status/726101344461967360", "726101344461967360")</f>
        <v>0</v>
      </c>
      <c r="B1061" s="2">
        <v>42489.7294560185</v>
      </c>
      <c r="C1061">
        <v>19</v>
      </c>
      <c r="D1061">
        <v>12</v>
      </c>
      <c r="E1061" t="s">
        <v>1064</v>
      </c>
    </row>
    <row r="1062" spans="1:5">
      <c r="A1062">
        <f>HYPERLINK("http://www.twitter.com/NYCParks/status/726089991454085120", "726089991454085120")</f>
        <v>0</v>
      </c>
      <c r="B1062" s="2">
        <v>42489.698125</v>
      </c>
      <c r="C1062">
        <v>42</v>
      </c>
      <c r="D1062">
        <v>28</v>
      </c>
      <c r="E1062" t="s">
        <v>1065</v>
      </c>
    </row>
    <row r="1063" spans="1:5">
      <c r="A1063">
        <f>HYPERLINK("http://www.twitter.com/NYCParks/status/726078743685545985", "726078743685545985")</f>
        <v>0</v>
      </c>
      <c r="B1063" s="2">
        <v>42489.6670949074</v>
      </c>
      <c r="C1063">
        <v>25</v>
      </c>
      <c r="D1063">
        <v>13</v>
      </c>
      <c r="E1063" t="s">
        <v>1066</v>
      </c>
    </row>
    <row r="1064" spans="1:5">
      <c r="A1064">
        <f>HYPERLINK("http://www.twitter.com/NYCParks/status/726067331097579520", "726067331097579520")</f>
        <v>0</v>
      </c>
      <c r="B1064" s="2">
        <v>42489.6356018518</v>
      </c>
      <c r="C1064">
        <v>44</v>
      </c>
      <c r="D1064">
        <v>17</v>
      </c>
      <c r="E1064" t="s">
        <v>1067</v>
      </c>
    </row>
    <row r="1065" spans="1:5">
      <c r="A1065">
        <f>HYPERLINK("http://www.twitter.com/NYCParks/status/726051751007256577", "726051751007256577")</f>
        <v>0</v>
      </c>
      <c r="B1065" s="2">
        <v>42489.5926041667</v>
      </c>
      <c r="C1065">
        <v>17</v>
      </c>
      <c r="D1065">
        <v>11</v>
      </c>
      <c r="E1065" t="s">
        <v>1068</v>
      </c>
    </row>
    <row r="1066" spans="1:5">
      <c r="A1066">
        <f>HYPERLINK("http://www.twitter.com/NYCParks/status/726044681092620288", "726044681092620288")</f>
        <v>0</v>
      </c>
      <c r="B1066" s="2">
        <v>42489.5730902778</v>
      </c>
      <c r="C1066">
        <v>12</v>
      </c>
      <c r="D1066">
        <v>6</v>
      </c>
      <c r="E1066" t="s">
        <v>1069</v>
      </c>
    </row>
    <row r="1067" spans="1:5">
      <c r="A1067">
        <f>HYPERLINK("http://www.twitter.com/NYCParks/status/725782326018453506", "725782326018453506")</f>
        <v>0</v>
      </c>
      <c r="B1067" s="2">
        <v>42488.8491319444</v>
      </c>
      <c r="C1067">
        <v>46</v>
      </c>
      <c r="D1067">
        <v>32</v>
      </c>
      <c r="E1067" t="s">
        <v>1070</v>
      </c>
    </row>
    <row r="1068" spans="1:5">
      <c r="A1068">
        <f>HYPERLINK("http://www.twitter.com/NYCParks/status/725766601895776256", "725766601895776256")</f>
        <v>0</v>
      </c>
      <c r="B1068" s="2">
        <v>42488.8057407407</v>
      </c>
      <c r="C1068">
        <v>32</v>
      </c>
      <c r="D1068">
        <v>9</v>
      </c>
      <c r="E1068" t="s">
        <v>1071</v>
      </c>
    </row>
    <row r="1069" spans="1:5">
      <c r="A1069">
        <f>HYPERLINK("http://www.twitter.com/NYCParks/status/725749732417622016", "725749732417622016")</f>
        <v>0</v>
      </c>
      <c r="B1069" s="2">
        <v>42488.7591898148</v>
      </c>
      <c r="C1069">
        <v>0</v>
      </c>
      <c r="D1069">
        <v>0</v>
      </c>
      <c r="E1069" t="s">
        <v>1072</v>
      </c>
    </row>
    <row r="1070" spans="1:5">
      <c r="A1070">
        <f>HYPERLINK("http://www.twitter.com/NYCParks/status/725738540773023744", "725738540773023744")</f>
        <v>0</v>
      </c>
      <c r="B1070" s="2">
        <v>42488.7283101852</v>
      </c>
      <c r="C1070">
        <v>2</v>
      </c>
      <c r="D1070">
        <v>0</v>
      </c>
      <c r="E1070" t="s">
        <v>1073</v>
      </c>
    </row>
    <row r="1071" spans="1:5">
      <c r="A1071">
        <f>HYPERLINK("http://www.twitter.com/NYCParks/status/725733874186260480", "725733874186260480")</f>
        <v>0</v>
      </c>
      <c r="B1071" s="2">
        <v>42488.7154282407</v>
      </c>
      <c r="C1071">
        <v>29</v>
      </c>
      <c r="D1071">
        <v>17</v>
      </c>
      <c r="E1071" t="s">
        <v>1074</v>
      </c>
    </row>
    <row r="1072" spans="1:5">
      <c r="A1072">
        <f>HYPERLINK("http://www.twitter.com/NYCParks/status/725717524529172480", "725717524529172480")</f>
        <v>0</v>
      </c>
      <c r="B1072" s="2">
        <v>42488.6703125</v>
      </c>
      <c r="C1072">
        <v>23</v>
      </c>
      <c r="D1072">
        <v>5</v>
      </c>
      <c r="E1072" t="s">
        <v>1075</v>
      </c>
    </row>
    <row r="1073" spans="1:5">
      <c r="A1073">
        <f>HYPERLINK("http://www.twitter.com/NYCParks/status/725699881214562304", "725699881214562304")</f>
        <v>0</v>
      </c>
      <c r="B1073" s="2">
        <v>42488.6216319444</v>
      </c>
      <c r="C1073">
        <v>51</v>
      </c>
      <c r="D1073">
        <v>35</v>
      </c>
      <c r="E1073" t="s">
        <v>1076</v>
      </c>
    </row>
    <row r="1074" spans="1:5">
      <c r="A1074">
        <f>HYPERLINK("http://www.twitter.com/NYCParks/status/725436671806849024", "725436671806849024")</f>
        <v>0</v>
      </c>
      <c r="B1074" s="2">
        <v>42487.8953125</v>
      </c>
      <c r="C1074">
        <v>1</v>
      </c>
      <c r="D1074">
        <v>1</v>
      </c>
      <c r="E1074" t="s">
        <v>1077</v>
      </c>
    </row>
    <row r="1075" spans="1:5">
      <c r="A1075">
        <f>HYPERLINK("http://www.twitter.com/NYCParks/status/725436466046898178", "725436466046898178")</f>
        <v>0</v>
      </c>
      <c r="B1075" s="2">
        <v>42487.8947453704</v>
      </c>
      <c r="C1075">
        <v>1</v>
      </c>
      <c r="D1075">
        <v>0</v>
      </c>
      <c r="E1075" t="s">
        <v>1078</v>
      </c>
    </row>
    <row r="1076" spans="1:5">
      <c r="A1076">
        <f>HYPERLINK("http://www.twitter.com/NYCParks/status/725418302307225600", "725418302307225600")</f>
        <v>0</v>
      </c>
      <c r="B1076" s="2">
        <v>42487.8446180556</v>
      </c>
      <c r="C1076">
        <v>31</v>
      </c>
      <c r="D1076">
        <v>15</v>
      </c>
      <c r="E1076" t="s">
        <v>1079</v>
      </c>
    </row>
    <row r="1077" spans="1:5">
      <c r="A1077">
        <f>HYPERLINK("http://www.twitter.com/NYCParks/status/725417729851854853", "725417729851854853")</f>
        <v>0</v>
      </c>
      <c r="B1077" s="2">
        <v>42487.8430439815</v>
      </c>
      <c r="C1077">
        <v>0</v>
      </c>
      <c r="D1077">
        <v>0</v>
      </c>
      <c r="E1077" t="s">
        <v>1080</v>
      </c>
    </row>
    <row r="1078" spans="1:5">
      <c r="A1078">
        <f>HYPERLINK("http://www.twitter.com/NYCParks/status/725401712467529728", "725401712467529728")</f>
        <v>0</v>
      </c>
      <c r="B1078" s="2">
        <v>42487.7988425926</v>
      </c>
      <c r="C1078">
        <v>22</v>
      </c>
      <c r="D1078">
        <v>25</v>
      </c>
      <c r="E1078" t="s">
        <v>1081</v>
      </c>
    </row>
    <row r="1079" spans="1:5">
      <c r="A1079">
        <f>HYPERLINK("http://www.twitter.com/NYCParks/status/725385322327072768", "725385322327072768")</f>
        <v>0</v>
      </c>
      <c r="B1079" s="2">
        <v>42487.7536111111</v>
      </c>
      <c r="C1079">
        <v>11</v>
      </c>
      <c r="D1079">
        <v>3</v>
      </c>
      <c r="E1079" t="s">
        <v>1082</v>
      </c>
    </row>
    <row r="1080" spans="1:5">
      <c r="A1080">
        <f>HYPERLINK("http://www.twitter.com/NYCParks/status/725369063711629313", "725369063711629313")</f>
        <v>0</v>
      </c>
      <c r="B1080" s="2">
        <v>42487.70875</v>
      </c>
      <c r="C1080">
        <v>31</v>
      </c>
      <c r="D1080">
        <v>13</v>
      </c>
      <c r="E1080" t="s">
        <v>1083</v>
      </c>
    </row>
    <row r="1081" spans="1:5">
      <c r="A1081">
        <f>HYPERLINK("http://www.twitter.com/NYCParks/status/725349917053575170", "725349917053575170")</f>
        <v>0</v>
      </c>
      <c r="B1081" s="2">
        <v>42487.6559143519</v>
      </c>
      <c r="C1081">
        <v>15</v>
      </c>
      <c r="D1081">
        <v>4</v>
      </c>
      <c r="E1081" t="s">
        <v>1084</v>
      </c>
    </row>
    <row r="1082" spans="1:5">
      <c r="A1082">
        <f>HYPERLINK("http://www.twitter.com/NYCParks/status/725347792194015232", "725347792194015232")</f>
        <v>0</v>
      </c>
      <c r="B1082" s="2">
        <v>42487.6500462963</v>
      </c>
      <c r="C1082">
        <v>16</v>
      </c>
      <c r="D1082">
        <v>11</v>
      </c>
      <c r="E1082" t="s">
        <v>1085</v>
      </c>
    </row>
    <row r="1083" spans="1:5">
      <c r="A1083">
        <f>HYPERLINK("http://www.twitter.com/NYCParks/status/725340190752038912", "725340190752038912")</f>
        <v>0</v>
      </c>
      <c r="B1083" s="2">
        <v>42487.6290740741</v>
      </c>
      <c r="C1083">
        <v>3</v>
      </c>
      <c r="D1083">
        <v>1</v>
      </c>
      <c r="E1083" t="s">
        <v>1086</v>
      </c>
    </row>
    <row r="1084" spans="1:5">
      <c r="A1084">
        <f>HYPERLINK("http://www.twitter.com/NYCParks/status/725048999330365440", "725048999330365440")</f>
        <v>0</v>
      </c>
      <c r="B1084" s="2">
        <v>42486.8255324074</v>
      </c>
      <c r="C1084">
        <v>24</v>
      </c>
      <c r="D1084">
        <v>12</v>
      </c>
      <c r="E1084" t="s">
        <v>1087</v>
      </c>
    </row>
    <row r="1085" spans="1:5">
      <c r="A1085">
        <f>HYPERLINK("http://www.twitter.com/NYCParks/status/725026442921304064", "725026442921304064")</f>
        <v>0</v>
      </c>
      <c r="B1085" s="2">
        <v>42486.763287037</v>
      </c>
      <c r="C1085">
        <v>15</v>
      </c>
      <c r="D1085">
        <v>12</v>
      </c>
      <c r="E1085" t="s">
        <v>1088</v>
      </c>
    </row>
    <row r="1086" spans="1:5">
      <c r="A1086">
        <f>HYPERLINK("http://www.twitter.com/NYCParks/status/725008480038453251", "725008480038453251")</f>
        <v>0</v>
      </c>
      <c r="B1086" s="2">
        <v>42486.7137268518</v>
      </c>
      <c r="C1086">
        <v>9</v>
      </c>
      <c r="D1086">
        <v>6</v>
      </c>
      <c r="E1086" t="s">
        <v>1089</v>
      </c>
    </row>
    <row r="1087" spans="1:5">
      <c r="A1087">
        <f>HYPERLINK("http://www.twitter.com/NYCParks/status/725008398509576195", "725008398509576195")</f>
        <v>0</v>
      </c>
      <c r="B1087" s="2">
        <v>42486.7134953704</v>
      </c>
      <c r="C1087">
        <v>115</v>
      </c>
      <c r="D1087">
        <v>35</v>
      </c>
      <c r="E1087" t="s">
        <v>1090</v>
      </c>
    </row>
    <row r="1088" spans="1:5">
      <c r="A1088">
        <f>HYPERLINK("http://www.twitter.com/NYCParks/status/724992805622452224", "724992805622452224")</f>
        <v>0</v>
      </c>
      <c r="B1088" s="2">
        <v>42486.670474537</v>
      </c>
      <c r="C1088">
        <v>0</v>
      </c>
      <c r="D1088">
        <v>36</v>
      </c>
      <c r="E1088" t="s">
        <v>1091</v>
      </c>
    </row>
    <row r="1089" spans="1:5">
      <c r="A1089">
        <f>HYPERLINK("http://www.twitter.com/NYCParks/status/724682056496717824", "724682056496717824")</f>
        <v>0</v>
      </c>
      <c r="B1089" s="2">
        <v>42485.812962963</v>
      </c>
      <c r="C1089">
        <v>18</v>
      </c>
      <c r="D1089">
        <v>12</v>
      </c>
      <c r="E1089" t="s">
        <v>1092</v>
      </c>
    </row>
    <row r="1090" spans="1:5">
      <c r="A1090">
        <f>HYPERLINK("http://www.twitter.com/NYCParks/status/724666949272252416", "724666949272252416")</f>
        <v>0</v>
      </c>
      <c r="B1090" s="2">
        <v>42485.7712847222</v>
      </c>
      <c r="C1090">
        <v>20</v>
      </c>
      <c r="D1090">
        <v>9</v>
      </c>
      <c r="E1090" t="s">
        <v>1093</v>
      </c>
    </row>
    <row r="1091" spans="1:5">
      <c r="A1091">
        <f>HYPERLINK("http://www.twitter.com/NYCParks/status/724663842010177539", "724663842010177539")</f>
        <v>0</v>
      </c>
      <c r="B1091" s="2">
        <v>42485.7627083333</v>
      </c>
      <c r="C1091">
        <v>0</v>
      </c>
      <c r="D1091">
        <v>1</v>
      </c>
      <c r="E1091" t="s">
        <v>1094</v>
      </c>
    </row>
    <row r="1092" spans="1:5">
      <c r="A1092">
        <f>HYPERLINK("http://www.twitter.com/NYCParks/status/724651831528427520", "724651831528427520")</f>
        <v>0</v>
      </c>
      <c r="B1092" s="2">
        <v>42485.7295601852</v>
      </c>
      <c r="C1092">
        <v>44</v>
      </c>
      <c r="D1092">
        <v>21</v>
      </c>
      <c r="E1092" t="s">
        <v>1095</v>
      </c>
    </row>
    <row r="1093" spans="1:5">
      <c r="A1093">
        <f>HYPERLINK("http://www.twitter.com/NYCParks/status/724638345012371456", "724638345012371456")</f>
        <v>0</v>
      </c>
      <c r="B1093" s="2">
        <v>42485.692349537</v>
      </c>
      <c r="C1093">
        <v>31</v>
      </c>
      <c r="D1093">
        <v>16</v>
      </c>
      <c r="E1093" t="s">
        <v>1096</v>
      </c>
    </row>
    <row r="1094" spans="1:5">
      <c r="A1094">
        <f>HYPERLINK("http://www.twitter.com/NYCParks/status/724621151058681861", "724621151058681861")</f>
        <v>0</v>
      </c>
      <c r="B1094" s="2">
        <v>42485.6448958333</v>
      </c>
      <c r="C1094">
        <v>20</v>
      </c>
      <c r="D1094">
        <v>10</v>
      </c>
      <c r="E1094" t="s">
        <v>1097</v>
      </c>
    </row>
    <row r="1095" spans="1:5">
      <c r="A1095">
        <f>HYPERLINK("http://www.twitter.com/NYCParks/status/724600781882724352", "724600781882724352")</f>
        <v>0</v>
      </c>
      <c r="B1095" s="2">
        <v>42485.5886921296</v>
      </c>
      <c r="C1095">
        <v>1</v>
      </c>
      <c r="D1095">
        <v>0</v>
      </c>
      <c r="E1095" t="s">
        <v>1098</v>
      </c>
    </row>
    <row r="1096" spans="1:5">
      <c r="A1096">
        <f>HYPERLINK("http://www.twitter.com/NYCParks/status/723892376075268096", "723892376075268096")</f>
        <v>0</v>
      </c>
      <c r="B1096" s="2">
        <v>42483.6338657407</v>
      </c>
      <c r="C1096">
        <v>12</v>
      </c>
      <c r="D1096">
        <v>7</v>
      </c>
      <c r="E1096" t="s">
        <v>1099</v>
      </c>
    </row>
    <row r="1097" spans="1:5">
      <c r="A1097">
        <f>HYPERLINK("http://www.twitter.com/NYCParks/status/723889690449960960", "723889690449960960")</f>
        <v>0</v>
      </c>
      <c r="B1097" s="2">
        <v>42483.6264583333</v>
      </c>
      <c r="C1097">
        <v>0</v>
      </c>
      <c r="D1097">
        <v>150</v>
      </c>
      <c r="E1097" t="s">
        <v>1100</v>
      </c>
    </row>
    <row r="1098" spans="1:5">
      <c r="A1098">
        <f>HYPERLINK("http://www.twitter.com/NYCParks/status/723598744156016640", "723598744156016640")</f>
        <v>0</v>
      </c>
      <c r="B1098" s="2">
        <v>42482.823599537</v>
      </c>
      <c r="C1098">
        <v>0</v>
      </c>
      <c r="D1098">
        <v>22</v>
      </c>
      <c r="E1098" t="s">
        <v>1101</v>
      </c>
    </row>
    <row r="1099" spans="1:5">
      <c r="A1099">
        <f>HYPERLINK("http://www.twitter.com/NYCParks/status/723583505746280448", "723583505746280448")</f>
        <v>0</v>
      </c>
      <c r="B1099" s="2">
        <v>42482.7815393519</v>
      </c>
      <c r="C1099">
        <v>20</v>
      </c>
      <c r="D1099">
        <v>11</v>
      </c>
      <c r="E1099" t="s">
        <v>1102</v>
      </c>
    </row>
    <row r="1100" spans="1:5">
      <c r="A1100">
        <f>HYPERLINK("http://www.twitter.com/NYCParks/status/723567138389282816", "723567138389282816")</f>
        <v>0</v>
      </c>
      <c r="B1100" s="2">
        <v>42482.7363773148</v>
      </c>
      <c r="C1100">
        <v>28</v>
      </c>
      <c r="D1100">
        <v>6</v>
      </c>
      <c r="E1100" t="s">
        <v>1103</v>
      </c>
    </row>
    <row r="1101" spans="1:5">
      <c r="A1101">
        <f>HYPERLINK("http://www.twitter.com/NYCParks/status/723550763675451392", "723550763675451392")</f>
        <v>0</v>
      </c>
      <c r="B1101" s="2">
        <v>42482.6911921296</v>
      </c>
      <c r="C1101">
        <v>23</v>
      </c>
      <c r="D1101">
        <v>13</v>
      </c>
      <c r="E1101" t="s">
        <v>1104</v>
      </c>
    </row>
    <row r="1102" spans="1:5">
      <c r="A1102">
        <f>HYPERLINK("http://www.twitter.com/NYCParks/status/723534562949771265", "723534562949771265")</f>
        <v>0</v>
      </c>
      <c r="B1102" s="2">
        <v>42482.6464930556</v>
      </c>
      <c r="C1102">
        <v>28</v>
      </c>
      <c r="D1102">
        <v>19</v>
      </c>
      <c r="E1102" t="s">
        <v>1105</v>
      </c>
    </row>
    <row r="1103" spans="1:5">
      <c r="A1103">
        <f>HYPERLINK("http://www.twitter.com/NYCParks/status/723523334407892992", "723523334407892992")</f>
        <v>0</v>
      </c>
      <c r="B1103" s="2">
        <v>42482.6154976852</v>
      </c>
      <c r="C1103">
        <v>7</v>
      </c>
      <c r="D1103">
        <v>1</v>
      </c>
      <c r="E1103" t="s">
        <v>1106</v>
      </c>
    </row>
    <row r="1104" spans="1:5">
      <c r="A1104">
        <f>HYPERLINK("http://www.twitter.com/NYCParks/status/723519261562511360", "723519261562511360")</f>
        <v>0</v>
      </c>
      <c r="B1104" s="2">
        <v>42482.6042592593</v>
      </c>
      <c r="C1104">
        <v>16</v>
      </c>
      <c r="D1104">
        <v>8</v>
      </c>
      <c r="E1104" t="s">
        <v>1107</v>
      </c>
    </row>
    <row r="1105" spans="1:5">
      <c r="A1105">
        <f>HYPERLINK("http://www.twitter.com/NYCParks/status/723503802624688130", "723503802624688130")</f>
        <v>0</v>
      </c>
      <c r="B1105" s="2">
        <v>42482.5616087963</v>
      </c>
      <c r="C1105">
        <v>27</v>
      </c>
      <c r="D1105">
        <v>17</v>
      </c>
      <c r="E1105" t="s">
        <v>1108</v>
      </c>
    </row>
    <row r="1106" spans="1:5">
      <c r="A1106">
        <f>HYPERLINK("http://www.twitter.com/NYCParks/status/723232322422759426", "723232322422759426")</f>
        <v>0</v>
      </c>
      <c r="B1106" s="2">
        <v>42481.8124652778</v>
      </c>
      <c r="C1106">
        <v>10</v>
      </c>
      <c r="D1106">
        <v>2</v>
      </c>
      <c r="E1106" t="s">
        <v>1109</v>
      </c>
    </row>
    <row r="1107" spans="1:5">
      <c r="A1107">
        <f>HYPERLINK("http://www.twitter.com/NYCParks/status/723211532788707328", "723211532788707328")</f>
        <v>0</v>
      </c>
      <c r="B1107" s="2">
        <v>42481.7550925926</v>
      </c>
      <c r="C1107">
        <v>91</v>
      </c>
      <c r="D1107">
        <v>31</v>
      </c>
      <c r="E1107" t="s">
        <v>1110</v>
      </c>
    </row>
    <row r="1108" spans="1:5">
      <c r="A1108">
        <f>HYPERLINK("http://www.twitter.com/NYCParks/status/723188391697879041", "723188391697879041")</f>
        <v>0</v>
      </c>
      <c r="B1108" s="2">
        <v>42481.6912384259</v>
      </c>
      <c r="C1108">
        <v>124</v>
      </c>
      <c r="D1108">
        <v>65</v>
      </c>
      <c r="E1108" t="s">
        <v>1111</v>
      </c>
    </row>
    <row r="1109" spans="1:5">
      <c r="A1109">
        <f>HYPERLINK("http://www.twitter.com/NYCParks/status/723174471549345792", "723174471549345792")</f>
        <v>0</v>
      </c>
      <c r="B1109" s="2">
        <v>42481.6528240741</v>
      </c>
      <c r="C1109">
        <v>0</v>
      </c>
      <c r="D1109">
        <v>0</v>
      </c>
      <c r="E1109" t="s">
        <v>1112</v>
      </c>
    </row>
    <row r="1110" spans="1:5">
      <c r="A1110">
        <f>HYPERLINK("http://www.twitter.com/NYCParks/status/723172628618305540", "723172628618305540")</f>
        <v>0</v>
      </c>
      <c r="B1110" s="2">
        <v>42481.6477430556</v>
      </c>
      <c r="C1110">
        <v>18</v>
      </c>
      <c r="D1110">
        <v>9</v>
      </c>
      <c r="E1110" t="s">
        <v>1113</v>
      </c>
    </row>
    <row r="1111" spans="1:5">
      <c r="A1111">
        <f>HYPERLINK("http://www.twitter.com/NYCParks/status/722885229103308801", "722885229103308801")</f>
        <v>0</v>
      </c>
      <c r="B1111" s="2">
        <v>42480.8546643518</v>
      </c>
      <c r="C1111">
        <v>60</v>
      </c>
      <c r="D1111">
        <v>27</v>
      </c>
      <c r="E1111" t="s">
        <v>1114</v>
      </c>
    </row>
    <row r="1112" spans="1:5">
      <c r="A1112">
        <f>HYPERLINK("http://www.twitter.com/NYCParks/status/722867507929985024", "722867507929985024")</f>
        <v>0</v>
      </c>
      <c r="B1112" s="2">
        <v>42480.8057638889</v>
      </c>
      <c r="C1112">
        <v>17</v>
      </c>
      <c r="D1112">
        <v>6</v>
      </c>
      <c r="E1112" t="s">
        <v>1115</v>
      </c>
    </row>
    <row r="1113" spans="1:5">
      <c r="A1113">
        <f>HYPERLINK("http://www.twitter.com/NYCParks/status/722854915526238211", "722854915526238211")</f>
        <v>0</v>
      </c>
      <c r="B1113" s="2">
        <v>42480.7710185185</v>
      </c>
      <c r="C1113">
        <v>44</v>
      </c>
      <c r="D1113">
        <v>30</v>
      </c>
      <c r="E1113" t="s">
        <v>1116</v>
      </c>
    </row>
    <row r="1114" spans="1:5">
      <c r="A1114">
        <f>HYPERLINK("http://www.twitter.com/NYCParks/status/722834789267607552", "722834789267607552")</f>
        <v>0</v>
      </c>
      <c r="B1114" s="2">
        <v>42480.7154861111</v>
      </c>
      <c r="C1114">
        <v>52</v>
      </c>
      <c r="D1114">
        <v>36</v>
      </c>
      <c r="E1114" t="s">
        <v>1117</v>
      </c>
    </row>
    <row r="1115" spans="1:5">
      <c r="A1115">
        <f>HYPERLINK("http://www.twitter.com/NYCParks/status/722818422548078594", "722818422548078594")</f>
        <v>0</v>
      </c>
      <c r="B1115" s="2">
        <v>42480.6703125</v>
      </c>
      <c r="C1115">
        <v>39</v>
      </c>
      <c r="D1115">
        <v>18</v>
      </c>
      <c r="E1115" t="s">
        <v>1118</v>
      </c>
    </row>
    <row r="1116" spans="1:5">
      <c r="A1116">
        <f>HYPERLINK("http://www.twitter.com/NYCParks/status/722804057639755777", "722804057639755777")</f>
        <v>0</v>
      </c>
      <c r="B1116" s="2">
        <v>42480.6306828704</v>
      </c>
      <c r="C1116">
        <v>0</v>
      </c>
      <c r="D1116">
        <v>53</v>
      </c>
      <c r="E1116" t="s">
        <v>1119</v>
      </c>
    </row>
    <row r="1117" spans="1:5">
      <c r="A1117">
        <f>HYPERLINK("http://www.twitter.com/NYCParks/status/722801991227813888", "722801991227813888")</f>
        <v>0</v>
      </c>
      <c r="B1117" s="2">
        <v>42480.6249768519</v>
      </c>
      <c r="C1117">
        <v>1</v>
      </c>
      <c r="D1117">
        <v>0</v>
      </c>
      <c r="E1117" t="s">
        <v>1120</v>
      </c>
    </row>
    <row r="1118" spans="1:5">
      <c r="A1118">
        <f>HYPERLINK("http://www.twitter.com/NYCParks/status/722801837078740993", "722801837078740993")</f>
        <v>0</v>
      </c>
      <c r="B1118" s="2">
        <v>42480.6245486111</v>
      </c>
      <c r="C1118">
        <v>1</v>
      </c>
      <c r="D1118">
        <v>0</v>
      </c>
      <c r="E1118" t="s">
        <v>1121</v>
      </c>
    </row>
    <row r="1119" spans="1:5">
      <c r="A1119">
        <f>HYPERLINK("http://www.twitter.com/NYCParks/status/722519274024210433", "722519274024210433")</f>
        <v>0</v>
      </c>
      <c r="B1119" s="2">
        <v>42479.8448263889</v>
      </c>
      <c r="C1119">
        <v>0</v>
      </c>
      <c r="D1119">
        <v>0</v>
      </c>
      <c r="E1119" t="s">
        <v>1122</v>
      </c>
    </row>
    <row r="1120" spans="1:5">
      <c r="A1120">
        <f>HYPERLINK("http://www.twitter.com/NYCParks/status/722505104277049346", "722505104277049346")</f>
        <v>0</v>
      </c>
      <c r="B1120" s="2">
        <v>42479.8057291667</v>
      </c>
      <c r="C1120">
        <v>17</v>
      </c>
      <c r="D1120">
        <v>7</v>
      </c>
      <c r="E1120" t="s">
        <v>1123</v>
      </c>
    </row>
    <row r="1121" spans="1:5">
      <c r="A1121">
        <f>HYPERLINK("http://www.twitter.com/NYCParks/status/722488745468039168", "722488745468039168")</f>
        <v>0</v>
      </c>
      <c r="B1121" s="2">
        <v>42479.7605787037</v>
      </c>
      <c r="C1121">
        <v>17</v>
      </c>
      <c r="D1121">
        <v>8</v>
      </c>
      <c r="E1121" t="s">
        <v>1124</v>
      </c>
    </row>
    <row r="1122" spans="1:5">
      <c r="A1122">
        <f>HYPERLINK("http://www.twitter.com/NYCParks/status/722472380120068097", "722472380120068097")</f>
        <v>0</v>
      </c>
      <c r="B1122" s="2">
        <v>42479.7154166667</v>
      </c>
      <c r="C1122">
        <v>25</v>
      </c>
      <c r="D1122">
        <v>14</v>
      </c>
      <c r="E1122" t="s">
        <v>1125</v>
      </c>
    </row>
    <row r="1123" spans="1:5">
      <c r="A1123">
        <f>HYPERLINK("http://www.twitter.com/NYCParks/status/722453672916054017", "722453672916054017")</f>
        <v>0</v>
      </c>
      <c r="B1123" s="2">
        <v>42479.6637962963</v>
      </c>
      <c r="C1123">
        <v>56</v>
      </c>
      <c r="D1123">
        <v>15</v>
      </c>
      <c r="E1123" t="s">
        <v>1126</v>
      </c>
    </row>
    <row r="1124" spans="1:5">
      <c r="A1124">
        <f>HYPERLINK("http://www.twitter.com/NYCParks/status/722434870098665472", "722434870098665472")</f>
        <v>0</v>
      </c>
      <c r="B1124" s="2">
        <v>42479.6119097222</v>
      </c>
      <c r="C1124">
        <v>5</v>
      </c>
      <c r="D1124">
        <v>1</v>
      </c>
      <c r="E1124" t="s">
        <v>1127</v>
      </c>
    </row>
    <row r="1125" spans="1:5">
      <c r="A1125">
        <f>HYPERLINK("http://www.twitter.com/NYCParks/status/722433414591311872", "722433414591311872")</f>
        <v>0</v>
      </c>
      <c r="B1125" s="2">
        <v>42479.6078935185</v>
      </c>
      <c r="C1125">
        <v>7</v>
      </c>
      <c r="D1125">
        <v>1</v>
      </c>
      <c r="E1125" t="s">
        <v>1128</v>
      </c>
    </row>
    <row r="1126" spans="1:5">
      <c r="A1126">
        <f>HYPERLINK("http://www.twitter.com/NYCParks/status/722430569859182592", "722430569859182592")</f>
        <v>0</v>
      </c>
      <c r="B1126" s="2">
        <v>42479.6000462963</v>
      </c>
      <c r="C1126">
        <v>2</v>
      </c>
      <c r="D1126">
        <v>0</v>
      </c>
      <c r="E1126" t="s">
        <v>1129</v>
      </c>
    </row>
    <row r="1127" spans="1:5">
      <c r="A1127">
        <f>HYPERLINK("http://www.twitter.com/NYCParks/status/722430287087538176", "722430287087538176")</f>
        <v>0</v>
      </c>
      <c r="B1127" s="2">
        <v>42479.5992708333</v>
      </c>
      <c r="C1127">
        <v>0</v>
      </c>
      <c r="D1127">
        <v>0</v>
      </c>
      <c r="E1127" t="s">
        <v>1130</v>
      </c>
    </row>
    <row r="1128" spans="1:5">
      <c r="A1128">
        <f>HYPERLINK("http://www.twitter.com/NYCParks/status/722427495363059714", "722427495363059714")</f>
        <v>0</v>
      </c>
      <c r="B1128" s="2">
        <v>42479.5915625</v>
      </c>
      <c r="C1128">
        <v>16</v>
      </c>
      <c r="D1128">
        <v>4</v>
      </c>
      <c r="E1128" t="s">
        <v>1131</v>
      </c>
    </row>
    <row r="1129" spans="1:5">
      <c r="A1129">
        <f>HYPERLINK("http://www.twitter.com/NYCParks/status/722149015975026689", "722149015975026689")</f>
        <v>0</v>
      </c>
      <c r="B1129" s="2">
        <v>42478.8231018518</v>
      </c>
      <c r="C1129">
        <v>21</v>
      </c>
      <c r="D1129">
        <v>7</v>
      </c>
      <c r="E1129" t="s">
        <v>1132</v>
      </c>
    </row>
    <row r="1130" spans="1:5">
      <c r="A1130">
        <f>HYPERLINK("http://www.twitter.com/NYCParks/status/722134961478873089", "722134961478873089")</f>
        <v>0</v>
      </c>
      <c r="B1130" s="2">
        <v>42478.7843287037</v>
      </c>
      <c r="C1130">
        <v>24</v>
      </c>
      <c r="D1130">
        <v>11</v>
      </c>
      <c r="E1130" t="s">
        <v>1133</v>
      </c>
    </row>
    <row r="1131" spans="1:5">
      <c r="A1131">
        <f>HYPERLINK("http://www.twitter.com/NYCParks/status/722116266736099328", "722116266736099328")</f>
        <v>0</v>
      </c>
      <c r="B1131" s="2">
        <v>42478.7327314815</v>
      </c>
      <c r="C1131">
        <v>22</v>
      </c>
      <c r="D1131">
        <v>6</v>
      </c>
      <c r="E1131" t="s">
        <v>1134</v>
      </c>
    </row>
    <row r="1132" spans="1:5">
      <c r="A1132">
        <f>HYPERLINK("http://www.twitter.com/NYCParks/status/722114844707696641", "722114844707696641")</f>
        <v>0</v>
      </c>
      <c r="B1132" s="2">
        <v>42478.7288078704</v>
      </c>
      <c r="C1132">
        <v>1</v>
      </c>
      <c r="D1132">
        <v>0</v>
      </c>
      <c r="E1132" t="s">
        <v>1135</v>
      </c>
    </row>
    <row r="1133" spans="1:5">
      <c r="A1133">
        <f>HYPERLINK("http://www.twitter.com/NYCParks/status/722099941896753152", "722099941896753152")</f>
        <v>0</v>
      </c>
      <c r="B1133" s="2">
        <v>42478.6876851852</v>
      </c>
      <c r="C1133">
        <v>35</v>
      </c>
      <c r="D1133">
        <v>27</v>
      </c>
      <c r="E1133" t="s">
        <v>1136</v>
      </c>
    </row>
    <row r="1134" spans="1:5">
      <c r="A1134">
        <f>HYPERLINK("http://www.twitter.com/NYCParks/status/722085043091456001", "722085043091456001")</f>
        <v>0</v>
      </c>
      <c r="B1134" s="2">
        <v>42478.6465740741</v>
      </c>
      <c r="C1134">
        <v>0</v>
      </c>
      <c r="D1134">
        <v>6</v>
      </c>
      <c r="E1134" t="s">
        <v>1137</v>
      </c>
    </row>
    <row r="1135" spans="1:5">
      <c r="A1135">
        <f>HYPERLINK("http://www.twitter.com/NYCParks/status/722078084715966464", "722078084715966464")</f>
        <v>0</v>
      </c>
      <c r="B1135" s="2">
        <v>42478.6273726852</v>
      </c>
      <c r="C1135">
        <v>0</v>
      </c>
      <c r="D1135">
        <v>0</v>
      </c>
      <c r="E1135" t="s">
        <v>1138</v>
      </c>
    </row>
    <row r="1136" spans="1:5">
      <c r="A1136">
        <f>HYPERLINK("http://www.twitter.com/NYCParks/status/722066874402521088", "722066874402521088")</f>
        <v>0</v>
      </c>
      <c r="B1136" s="2">
        <v>42478.5964351852</v>
      </c>
      <c r="C1136">
        <v>11</v>
      </c>
      <c r="D1136">
        <v>5</v>
      </c>
      <c r="E1136" t="s">
        <v>1139</v>
      </c>
    </row>
    <row r="1137" spans="1:5">
      <c r="A1137">
        <f>HYPERLINK("http://www.twitter.com/NYCParks/status/722056723993923585", "722056723993923585")</f>
        <v>0</v>
      </c>
      <c r="B1137" s="2">
        <v>42478.5684259259</v>
      </c>
      <c r="C1137">
        <v>47</v>
      </c>
      <c r="D1137">
        <v>13</v>
      </c>
      <c r="E1137" t="s">
        <v>1140</v>
      </c>
    </row>
    <row r="1138" spans="1:5">
      <c r="A1138">
        <f>HYPERLINK("http://www.twitter.com/NYCParks/status/721849268336779264", "721849268336779264")</f>
        <v>0</v>
      </c>
      <c r="B1138" s="2">
        <v>42477.9959606481</v>
      </c>
      <c r="C1138">
        <v>12</v>
      </c>
      <c r="D1138">
        <v>7</v>
      </c>
      <c r="E1138" t="s">
        <v>1141</v>
      </c>
    </row>
    <row r="1139" spans="1:5">
      <c r="A1139">
        <f>HYPERLINK("http://www.twitter.com/NYCParks/status/721838466921795584", "721838466921795584")</f>
        <v>0</v>
      </c>
      <c r="B1139" s="2">
        <v>42477.9661574074</v>
      </c>
      <c r="C1139">
        <v>46</v>
      </c>
      <c r="D1139">
        <v>16</v>
      </c>
      <c r="E1139" t="s">
        <v>1142</v>
      </c>
    </row>
    <row r="1140" spans="1:5">
      <c r="A1140">
        <f>HYPERLINK("http://www.twitter.com/NYCParks/status/721361022645374976", "721361022645374976")</f>
        <v>0</v>
      </c>
      <c r="B1140" s="2">
        <v>42476.6486574074</v>
      </c>
      <c r="C1140">
        <v>8</v>
      </c>
      <c r="D1140">
        <v>2</v>
      </c>
      <c r="E1140" t="s">
        <v>1143</v>
      </c>
    </row>
    <row r="1141" spans="1:5">
      <c r="A1141">
        <f>HYPERLINK("http://www.twitter.com/NYCParks/status/721358888919019520", "721358888919019520")</f>
        <v>0</v>
      </c>
      <c r="B1141" s="2">
        <v>42476.6427662037</v>
      </c>
      <c r="C1141">
        <v>9</v>
      </c>
      <c r="D1141">
        <v>3</v>
      </c>
      <c r="E1141" t="s">
        <v>1144</v>
      </c>
    </row>
    <row r="1142" spans="1:5">
      <c r="A1142">
        <f>HYPERLINK("http://www.twitter.com/NYCParks/status/721343590769823744", "721343590769823744")</f>
        <v>0</v>
      </c>
      <c r="B1142" s="2">
        <v>42476.6005555556</v>
      </c>
      <c r="C1142">
        <v>18</v>
      </c>
      <c r="D1142">
        <v>11</v>
      </c>
      <c r="E1142" t="s">
        <v>1145</v>
      </c>
    </row>
    <row r="1143" spans="1:5">
      <c r="A1143">
        <f>HYPERLINK("http://www.twitter.com/NYCParks/status/721089758064222208", "721089758064222208")</f>
        <v>0</v>
      </c>
      <c r="B1143" s="2">
        <v>42475.9001157407</v>
      </c>
      <c r="C1143">
        <v>91</v>
      </c>
      <c r="D1143">
        <v>53</v>
      </c>
      <c r="E1143" t="s">
        <v>1146</v>
      </c>
    </row>
    <row r="1144" spans="1:5">
      <c r="A1144">
        <f>HYPERLINK("http://www.twitter.com/NYCParks/status/721050711530844160", "721050711530844160")</f>
        <v>0</v>
      </c>
      <c r="B1144" s="2">
        <v>42475.7923611111</v>
      </c>
      <c r="C1144">
        <v>9</v>
      </c>
      <c r="D1144">
        <v>4</v>
      </c>
      <c r="E1144" t="s">
        <v>1147</v>
      </c>
    </row>
    <row r="1145" spans="1:5">
      <c r="A1145">
        <f>HYPERLINK("http://www.twitter.com/NYCParks/status/721035583871696897", "721035583871696897")</f>
        <v>0</v>
      </c>
      <c r="B1145" s="2">
        <v>42475.750625</v>
      </c>
      <c r="C1145">
        <v>93</v>
      </c>
      <c r="D1145">
        <v>41</v>
      </c>
      <c r="E1145" t="s">
        <v>1148</v>
      </c>
    </row>
    <row r="1146" spans="1:5">
      <c r="A1146">
        <f>HYPERLINK("http://www.twitter.com/NYCParks/status/721020483026755588", "721020483026755588")</f>
        <v>0</v>
      </c>
      <c r="B1146" s="2">
        <v>42475.7089467593</v>
      </c>
      <c r="C1146">
        <v>22</v>
      </c>
      <c r="D1146">
        <v>15</v>
      </c>
      <c r="E1146" t="s">
        <v>1149</v>
      </c>
    </row>
    <row r="1147" spans="1:5">
      <c r="A1147">
        <f>HYPERLINK("http://www.twitter.com/NYCParks/status/721005575027474432", "721005575027474432")</f>
        <v>0</v>
      </c>
      <c r="B1147" s="2">
        <v>42475.6678125</v>
      </c>
      <c r="C1147">
        <v>0</v>
      </c>
      <c r="D1147">
        <v>2</v>
      </c>
      <c r="E1147" t="s">
        <v>1150</v>
      </c>
    </row>
    <row r="1148" spans="1:5">
      <c r="A1148">
        <f>HYPERLINK("http://www.twitter.com/NYCParks/status/720990201225601030", "720990201225601030")</f>
        <v>0</v>
      </c>
      <c r="B1148" s="2">
        <v>42475.6253819444</v>
      </c>
      <c r="C1148">
        <v>20</v>
      </c>
      <c r="D1148">
        <v>12</v>
      </c>
      <c r="E1148" t="s">
        <v>1151</v>
      </c>
    </row>
    <row r="1149" spans="1:5">
      <c r="A1149">
        <f>HYPERLINK("http://www.twitter.com/NYCParks/status/720676879884230657", "720676879884230657")</f>
        <v>0</v>
      </c>
      <c r="B1149" s="2">
        <v>42474.760787037</v>
      </c>
      <c r="C1149">
        <v>17</v>
      </c>
      <c r="D1149">
        <v>7</v>
      </c>
      <c r="E1149" t="s">
        <v>1152</v>
      </c>
    </row>
    <row r="1150" spans="1:5">
      <c r="A1150">
        <f>HYPERLINK("http://www.twitter.com/NYCParks/status/720665673958035456", "720665673958035456")</f>
        <v>0</v>
      </c>
      <c r="B1150" s="2">
        <v>42474.7298611111</v>
      </c>
      <c r="C1150">
        <v>0</v>
      </c>
      <c r="D1150">
        <v>0</v>
      </c>
      <c r="E1150" t="s">
        <v>1153</v>
      </c>
    </row>
    <row r="1151" spans="1:5">
      <c r="A1151">
        <f>HYPERLINK("http://www.twitter.com/NYCParks/status/720660513814917124", "720660513814917124")</f>
        <v>0</v>
      </c>
      <c r="B1151" s="2">
        <v>42474.715625</v>
      </c>
      <c r="C1151">
        <v>8</v>
      </c>
      <c r="D1151">
        <v>6</v>
      </c>
      <c r="E1151" t="s">
        <v>1154</v>
      </c>
    </row>
    <row r="1152" spans="1:5">
      <c r="A1152">
        <f>HYPERLINK("http://www.twitter.com/NYCParks/status/720644175562190848", "720644175562190848")</f>
        <v>0</v>
      </c>
      <c r="B1152" s="2">
        <v>42474.6705439815</v>
      </c>
      <c r="C1152">
        <v>50</v>
      </c>
      <c r="D1152">
        <v>17</v>
      </c>
      <c r="E1152" t="s">
        <v>1155</v>
      </c>
    </row>
    <row r="1153" spans="1:5">
      <c r="A1153">
        <f>HYPERLINK("http://www.twitter.com/NYCParks/status/720628066523987970", "720628066523987970")</f>
        <v>0</v>
      </c>
      <c r="B1153" s="2">
        <v>42474.626087963</v>
      </c>
      <c r="C1153">
        <v>28</v>
      </c>
      <c r="D1153">
        <v>10</v>
      </c>
      <c r="E1153" t="s">
        <v>1156</v>
      </c>
    </row>
    <row r="1154" spans="1:5">
      <c r="A1154">
        <f>HYPERLINK("http://www.twitter.com/NYCParks/status/720330800743452673", "720330800743452673")</f>
        <v>0</v>
      </c>
      <c r="B1154" s="2">
        <v>42473.805787037</v>
      </c>
      <c r="C1154">
        <v>8</v>
      </c>
      <c r="D1154">
        <v>6</v>
      </c>
      <c r="E1154" t="s">
        <v>1157</v>
      </c>
    </row>
    <row r="1155" spans="1:5">
      <c r="A1155">
        <f>HYPERLINK("http://www.twitter.com/NYCParks/status/720314432992256000", "720314432992256000")</f>
        <v>0</v>
      </c>
      <c r="B1155" s="2">
        <v>42473.760625</v>
      </c>
      <c r="C1155">
        <v>27</v>
      </c>
      <c r="D1155">
        <v>13</v>
      </c>
      <c r="E1155" t="s">
        <v>1158</v>
      </c>
    </row>
    <row r="1156" spans="1:5">
      <c r="A1156">
        <f>HYPERLINK("http://www.twitter.com/NYCParks/status/720298072916541440", "720298072916541440")</f>
        <v>0</v>
      </c>
      <c r="B1156" s="2">
        <v>42473.715474537</v>
      </c>
      <c r="C1156">
        <v>115</v>
      </c>
      <c r="D1156">
        <v>45</v>
      </c>
      <c r="E1156" t="s">
        <v>1159</v>
      </c>
    </row>
    <row r="1157" spans="1:5">
      <c r="A1157">
        <f>HYPERLINK("http://www.twitter.com/NYCParks/status/720284883419926528", "720284883419926528")</f>
        <v>0</v>
      </c>
      <c r="B1157" s="2">
        <v>42473.6790856481</v>
      </c>
      <c r="C1157">
        <v>0</v>
      </c>
      <c r="D1157">
        <v>0</v>
      </c>
      <c r="E1157" t="s">
        <v>1160</v>
      </c>
    </row>
    <row r="1158" spans="1:5">
      <c r="A1158">
        <f>HYPERLINK("http://www.twitter.com/NYCParks/status/720284785940148225", "720284785940148225")</f>
        <v>0</v>
      </c>
      <c r="B1158" s="2">
        <v>42473.6788078704</v>
      </c>
      <c r="C1158">
        <v>0</v>
      </c>
      <c r="D1158">
        <v>0</v>
      </c>
      <c r="E1158" t="s">
        <v>1161</v>
      </c>
    </row>
    <row r="1159" spans="1:5">
      <c r="A1159">
        <f>HYPERLINK("http://www.twitter.com/NYCParks/status/720279951371403265", "720279951371403265")</f>
        <v>0</v>
      </c>
      <c r="B1159" s="2">
        <v>42473.665474537</v>
      </c>
      <c r="C1159">
        <v>0</v>
      </c>
      <c r="D1159">
        <v>12</v>
      </c>
      <c r="E1159" t="s">
        <v>1162</v>
      </c>
    </row>
    <row r="1160" spans="1:5">
      <c r="A1160">
        <f>HYPERLINK("http://www.twitter.com/NYCParks/status/720265413695815680", "720265413695815680")</f>
        <v>0</v>
      </c>
      <c r="B1160" s="2">
        <v>42473.6253587963</v>
      </c>
      <c r="C1160">
        <v>14</v>
      </c>
      <c r="D1160">
        <v>8</v>
      </c>
      <c r="E1160" t="s">
        <v>1163</v>
      </c>
    </row>
    <row r="1161" spans="1:5">
      <c r="A1161">
        <f>HYPERLINK("http://www.twitter.com/NYCParks/status/720254408085217280", "720254408085217280")</f>
        <v>0</v>
      </c>
      <c r="B1161" s="2">
        <v>42473.5949884259</v>
      </c>
      <c r="C1161">
        <v>1</v>
      </c>
      <c r="D1161">
        <v>0</v>
      </c>
      <c r="E1161" t="s">
        <v>1164</v>
      </c>
    </row>
    <row r="1162" spans="1:5">
      <c r="A1162">
        <f>HYPERLINK("http://www.twitter.com/NYCParks/status/719968407832129536", "719968407832129536")</f>
        <v>0</v>
      </c>
      <c r="B1162" s="2">
        <v>42472.805775463</v>
      </c>
      <c r="C1162">
        <v>30</v>
      </c>
      <c r="D1162">
        <v>23</v>
      </c>
      <c r="E1162" t="s">
        <v>1165</v>
      </c>
    </row>
    <row r="1163" spans="1:5">
      <c r="A1163">
        <f>HYPERLINK("http://www.twitter.com/NYCParks/status/719952053829779457", "719952053829779457")</f>
        <v>0</v>
      </c>
      <c r="B1163" s="2">
        <v>42472.7606481481</v>
      </c>
      <c r="C1163">
        <v>9</v>
      </c>
      <c r="D1163">
        <v>3</v>
      </c>
      <c r="E1163" t="s">
        <v>1166</v>
      </c>
    </row>
    <row r="1164" spans="1:5">
      <c r="A1164">
        <f>HYPERLINK("http://www.twitter.com/NYCParks/status/719935673109712897", "719935673109712897")</f>
        <v>0</v>
      </c>
      <c r="B1164" s="2">
        <v>42472.7154398148</v>
      </c>
      <c r="C1164">
        <v>7</v>
      </c>
      <c r="D1164">
        <v>2</v>
      </c>
      <c r="E1164" t="s">
        <v>1167</v>
      </c>
    </row>
    <row r="1165" spans="1:5">
      <c r="A1165">
        <f>HYPERLINK("http://www.twitter.com/NYCParks/status/719919316209123328", "719919316209123328")</f>
        <v>0</v>
      </c>
      <c r="B1165" s="2">
        <v>42472.6703125</v>
      </c>
      <c r="C1165">
        <v>37</v>
      </c>
      <c r="D1165">
        <v>12</v>
      </c>
      <c r="E1165" t="s">
        <v>1168</v>
      </c>
    </row>
    <row r="1166" spans="1:5">
      <c r="A1166">
        <f>HYPERLINK("http://www.twitter.com/NYCParks/status/719903479825870848", "719903479825870848")</f>
        <v>0</v>
      </c>
      <c r="B1166" s="2">
        <v>42472.6266087963</v>
      </c>
      <c r="C1166">
        <v>0</v>
      </c>
      <c r="D1166">
        <v>44</v>
      </c>
      <c r="E1166" t="s">
        <v>1169</v>
      </c>
    </row>
    <row r="1167" spans="1:5">
      <c r="A1167">
        <f>HYPERLINK("http://www.twitter.com/NYCParks/status/719631179104788481", "719631179104788481")</f>
        <v>0</v>
      </c>
      <c r="B1167" s="2">
        <v>42471.8751967593</v>
      </c>
      <c r="C1167">
        <v>24</v>
      </c>
      <c r="D1167">
        <v>12</v>
      </c>
      <c r="E1167" t="s">
        <v>1170</v>
      </c>
    </row>
    <row r="1168" spans="1:5">
      <c r="A1168">
        <f>HYPERLINK("http://www.twitter.com/NYCParks/status/719601187234955264", "719601187234955264")</f>
        <v>0</v>
      </c>
      <c r="B1168" s="2">
        <v>42471.7924421296</v>
      </c>
      <c r="C1168">
        <v>14</v>
      </c>
      <c r="D1168">
        <v>4</v>
      </c>
      <c r="E1168" t="s">
        <v>1171</v>
      </c>
    </row>
    <row r="1169" spans="1:5">
      <c r="A1169">
        <f>HYPERLINK("http://www.twitter.com/NYCParks/status/719588063777792001", "719588063777792001")</f>
        <v>0</v>
      </c>
      <c r="B1169" s="2">
        <v>42471.7562268519</v>
      </c>
      <c r="C1169">
        <v>5</v>
      </c>
      <c r="D1169">
        <v>1</v>
      </c>
      <c r="E1169" t="s">
        <v>1172</v>
      </c>
    </row>
    <row r="1170" spans="1:5">
      <c r="A1170">
        <f>HYPERLINK("http://www.twitter.com/NYCParks/status/719585765412442112", "719585765412442112")</f>
        <v>0</v>
      </c>
      <c r="B1170" s="2">
        <v>42471.7498842593</v>
      </c>
      <c r="C1170">
        <v>0</v>
      </c>
      <c r="D1170">
        <v>0</v>
      </c>
      <c r="E1170" t="s">
        <v>1173</v>
      </c>
    </row>
    <row r="1171" spans="1:5">
      <c r="A1171">
        <f>HYPERLINK("http://www.twitter.com/NYCParks/status/719585694088306689", "719585694088306689")</f>
        <v>0</v>
      </c>
      <c r="B1171" s="2">
        <v>42471.7496875</v>
      </c>
      <c r="C1171">
        <v>6</v>
      </c>
      <c r="D1171">
        <v>2</v>
      </c>
      <c r="E1171" t="s">
        <v>1174</v>
      </c>
    </row>
    <row r="1172" spans="1:5">
      <c r="A1172">
        <f>HYPERLINK("http://www.twitter.com/NYCParks/status/719576096551923713", "719576096551923713")</f>
        <v>0</v>
      </c>
      <c r="B1172" s="2">
        <v>42471.7232060185</v>
      </c>
      <c r="C1172">
        <v>19</v>
      </c>
      <c r="D1172">
        <v>11</v>
      </c>
      <c r="E1172" t="s">
        <v>1175</v>
      </c>
    </row>
    <row r="1173" spans="1:5">
      <c r="A1173">
        <f>HYPERLINK("http://www.twitter.com/NYCParks/status/719564453927391232", "719564453927391232")</f>
        <v>0</v>
      </c>
      <c r="B1173" s="2">
        <v>42471.6910763889</v>
      </c>
      <c r="C1173">
        <v>45</v>
      </c>
      <c r="D1173">
        <v>27</v>
      </c>
      <c r="E1173" t="s">
        <v>1176</v>
      </c>
    </row>
    <row r="1174" spans="1:5">
      <c r="A1174">
        <f>HYPERLINK("http://www.twitter.com/NYCParks/status/719559560453824512", "719559560453824512")</f>
        <v>0</v>
      </c>
      <c r="B1174" s="2">
        <v>42471.6775694444</v>
      </c>
      <c r="C1174">
        <v>1</v>
      </c>
      <c r="D1174">
        <v>0</v>
      </c>
      <c r="E1174" t="s">
        <v>1177</v>
      </c>
    </row>
    <row r="1175" spans="1:5">
      <c r="A1175">
        <f>HYPERLINK("http://www.twitter.com/NYCParks/status/719541804224352256", "719541804224352256")</f>
        <v>0</v>
      </c>
      <c r="B1175" s="2">
        <v>42471.6285763889</v>
      </c>
      <c r="C1175">
        <v>36</v>
      </c>
      <c r="D1175">
        <v>14</v>
      </c>
      <c r="E1175" t="s">
        <v>1178</v>
      </c>
    </row>
    <row r="1176" spans="1:5">
      <c r="A1176">
        <f>HYPERLINK("http://www.twitter.com/NYCParks/status/719529813011251201", "719529813011251201")</f>
        <v>0</v>
      </c>
      <c r="B1176" s="2">
        <v>42471.5954861111</v>
      </c>
      <c r="C1176">
        <v>0</v>
      </c>
      <c r="D1176">
        <v>0</v>
      </c>
      <c r="E1176" t="s">
        <v>1179</v>
      </c>
    </row>
    <row r="1177" spans="1:5">
      <c r="A1177">
        <f>HYPERLINK("http://www.twitter.com/NYCParks/status/719311911792353280", "719311911792353280")</f>
        <v>0</v>
      </c>
      <c r="B1177" s="2">
        <v>42470.9941898148</v>
      </c>
      <c r="C1177">
        <v>16</v>
      </c>
      <c r="D1177">
        <v>4</v>
      </c>
      <c r="E1177" t="s">
        <v>1180</v>
      </c>
    </row>
    <row r="1178" spans="1:5">
      <c r="A1178">
        <f>HYPERLINK("http://www.twitter.com/NYCParks/status/719307937160802304", "719307937160802304")</f>
        <v>0</v>
      </c>
      <c r="B1178" s="2">
        <v>42470.9832175926</v>
      </c>
      <c r="C1178">
        <v>4</v>
      </c>
      <c r="D1178">
        <v>2</v>
      </c>
      <c r="E1178" t="s">
        <v>1181</v>
      </c>
    </row>
    <row r="1179" spans="1:5">
      <c r="A1179">
        <f>HYPERLINK("http://www.twitter.com/NYCParks/status/719305909936197632", "719305909936197632")</f>
        <v>0</v>
      </c>
      <c r="B1179" s="2">
        <v>42470.9776273148</v>
      </c>
      <c r="C1179">
        <v>14</v>
      </c>
      <c r="D1179">
        <v>3</v>
      </c>
      <c r="E1179" t="s">
        <v>1182</v>
      </c>
    </row>
    <row r="1180" spans="1:5">
      <c r="A1180">
        <f>HYPERLINK("http://www.twitter.com/NYCParks/status/719298650996936704", "719298650996936704")</f>
        <v>0</v>
      </c>
      <c r="B1180" s="2">
        <v>42470.9575925926</v>
      </c>
      <c r="C1180">
        <v>16</v>
      </c>
      <c r="D1180">
        <v>5</v>
      </c>
      <c r="E1180" t="s">
        <v>1183</v>
      </c>
    </row>
    <row r="1181" spans="1:5">
      <c r="A1181">
        <f>HYPERLINK("http://www.twitter.com/NYCParks/status/718535190881124352", "718535190881124352")</f>
        <v>0</v>
      </c>
      <c r="B1181" s="2">
        <v>42468.8508449074</v>
      </c>
      <c r="C1181">
        <v>26</v>
      </c>
      <c r="D1181">
        <v>12</v>
      </c>
      <c r="E1181" t="s">
        <v>1184</v>
      </c>
    </row>
    <row r="1182" spans="1:5">
      <c r="A1182">
        <f>HYPERLINK("http://www.twitter.com/NYCParks/status/718518854205468672", "718518854205468672")</f>
        <v>0</v>
      </c>
      <c r="B1182" s="2">
        <v>42468.8057638889</v>
      </c>
      <c r="C1182">
        <v>230</v>
      </c>
      <c r="D1182">
        <v>124</v>
      </c>
      <c r="E1182" t="s">
        <v>1185</v>
      </c>
    </row>
    <row r="1183" spans="1:5">
      <c r="A1183">
        <f>HYPERLINK("http://www.twitter.com/NYCParks/status/718502509724217345", "718502509724217345")</f>
        <v>0</v>
      </c>
      <c r="B1183" s="2">
        <v>42468.7606712963</v>
      </c>
      <c r="C1183">
        <v>15</v>
      </c>
      <c r="D1183">
        <v>2</v>
      </c>
      <c r="E1183" t="s">
        <v>1186</v>
      </c>
    </row>
    <row r="1184" spans="1:5">
      <c r="A1184">
        <f>HYPERLINK("http://www.twitter.com/NYCParks/status/718486135144595456", "718486135144595456")</f>
        <v>0</v>
      </c>
      <c r="B1184" s="2">
        <v>42468.7154861111</v>
      </c>
      <c r="C1184">
        <v>62</v>
      </c>
      <c r="D1184">
        <v>14</v>
      </c>
      <c r="E1184" t="s">
        <v>1187</v>
      </c>
    </row>
    <row r="1185" spans="1:5">
      <c r="A1185">
        <f>HYPERLINK("http://www.twitter.com/NYCParks/status/718468728090976256", "718468728090976256")</f>
        <v>0</v>
      </c>
      <c r="B1185" s="2">
        <v>42468.6674421296</v>
      </c>
      <c r="C1185">
        <v>32</v>
      </c>
      <c r="D1185">
        <v>10</v>
      </c>
      <c r="E1185" t="s">
        <v>1188</v>
      </c>
    </row>
    <row r="1186" spans="1:5">
      <c r="A1186">
        <f>HYPERLINK("http://www.twitter.com/NYCParks/status/718453503602139136", "718453503602139136")</f>
        <v>0</v>
      </c>
      <c r="B1186" s="2">
        <v>42468.6254398148</v>
      </c>
      <c r="C1186">
        <v>19</v>
      </c>
      <c r="D1186">
        <v>14</v>
      </c>
      <c r="E1186" t="s">
        <v>1189</v>
      </c>
    </row>
    <row r="1187" spans="1:5">
      <c r="A1187">
        <f>HYPERLINK("http://www.twitter.com/NYCParks/status/718205782026817536", "718205782026817536")</f>
        <v>0</v>
      </c>
      <c r="B1187" s="2">
        <v>42467.9418518519</v>
      </c>
      <c r="C1187">
        <v>0</v>
      </c>
      <c r="D1187">
        <v>0</v>
      </c>
      <c r="E1187" t="s">
        <v>1190</v>
      </c>
    </row>
    <row r="1188" spans="1:5">
      <c r="A1188">
        <f>HYPERLINK("http://www.twitter.com/NYCParks/status/718155237371080704", "718155237371080704")</f>
        <v>0</v>
      </c>
      <c r="B1188" s="2">
        <v>42467.8023726852</v>
      </c>
      <c r="C1188">
        <v>22</v>
      </c>
      <c r="D1188">
        <v>11</v>
      </c>
      <c r="E1188" t="s">
        <v>1191</v>
      </c>
    </row>
    <row r="1189" spans="1:5">
      <c r="A1189">
        <f>HYPERLINK("http://www.twitter.com/NYCParks/status/718140105752449024", "718140105752449024")</f>
        <v>0</v>
      </c>
      <c r="B1189" s="2">
        <v>42467.760625</v>
      </c>
      <c r="C1189">
        <v>28</v>
      </c>
      <c r="D1189">
        <v>15</v>
      </c>
      <c r="E1189" t="s">
        <v>1192</v>
      </c>
    </row>
    <row r="1190" spans="1:5">
      <c r="A1190">
        <f>HYPERLINK("http://www.twitter.com/NYCParks/status/718124985462689793", "718124985462689793")</f>
        <v>0</v>
      </c>
      <c r="B1190" s="2">
        <v>42467.718900463</v>
      </c>
      <c r="C1190">
        <v>21</v>
      </c>
      <c r="D1190">
        <v>7</v>
      </c>
      <c r="E1190" t="s">
        <v>1193</v>
      </c>
    </row>
    <row r="1191" spans="1:5">
      <c r="A1191">
        <f>HYPERLINK("http://www.twitter.com/NYCParks/status/718109877177073664", "718109877177073664")</f>
        <v>0</v>
      </c>
      <c r="B1191" s="2">
        <v>42467.6772106482</v>
      </c>
      <c r="C1191">
        <v>30</v>
      </c>
      <c r="D1191">
        <v>18</v>
      </c>
      <c r="E1191" t="s">
        <v>1194</v>
      </c>
    </row>
    <row r="1192" spans="1:5">
      <c r="A1192">
        <f>HYPERLINK("http://www.twitter.com/NYCParks/status/718095000853159939", "718095000853159939")</f>
        <v>0</v>
      </c>
      <c r="B1192" s="2">
        <v>42467.6361574074</v>
      </c>
      <c r="C1192">
        <v>0</v>
      </c>
      <c r="D1192">
        <v>7</v>
      </c>
      <c r="E1192" t="s">
        <v>1195</v>
      </c>
    </row>
    <row r="1193" spans="1:5">
      <c r="A1193">
        <f>HYPERLINK("http://www.twitter.com/NYCParks/status/717804356528181248", "717804356528181248")</f>
        <v>0</v>
      </c>
      <c r="B1193" s="2">
        <v>42466.8341319444</v>
      </c>
      <c r="C1193">
        <v>12</v>
      </c>
      <c r="D1193">
        <v>8</v>
      </c>
      <c r="E1193" t="s">
        <v>1196</v>
      </c>
    </row>
    <row r="1194" spans="1:5">
      <c r="A1194">
        <f>HYPERLINK("http://www.twitter.com/NYCParks/status/717789278139510784", "717789278139510784")</f>
        <v>0</v>
      </c>
      <c r="B1194" s="2">
        <v>42466.7925231481</v>
      </c>
      <c r="C1194">
        <v>35</v>
      </c>
      <c r="D1194">
        <v>25</v>
      </c>
      <c r="E1194" t="s">
        <v>1197</v>
      </c>
    </row>
    <row r="1195" spans="1:5">
      <c r="A1195">
        <f>HYPERLINK("http://www.twitter.com/NYCParks/status/717774140233621505", "717774140233621505")</f>
        <v>0</v>
      </c>
      <c r="B1195" s="2">
        <v>42466.7507523148</v>
      </c>
      <c r="C1195">
        <v>13</v>
      </c>
      <c r="D1195">
        <v>4</v>
      </c>
      <c r="E1195" t="s">
        <v>1198</v>
      </c>
    </row>
    <row r="1196" spans="1:5">
      <c r="A1196">
        <f>HYPERLINK("http://www.twitter.com/NYCParks/status/717761367713910784", "717761367713910784")</f>
        <v>0</v>
      </c>
      <c r="B1196" s="2">
        <v>42466.7155092593</v>
      </c>
      <c r="C1196">
        <v>10</v>
      </c>
      <c r="D1196">
        <v>5</v>
      </c>
      <c r="E1196" t="s">
        <v>1199</v>
      </c>
    </row>
    <row r="1197" spans="1:5">
      <c r="A1197">
        <f>HYPERLINK("http://www.twitter.com/NYCParks/status/717743889277460480", "717743889277460480")</f>
        <v>0</v>
      </c>
      <c r="B1197" s="2">
        <v>42466.6672685185</v>
      </c>
      <c r="C1197">
        <v>104</v>
      </c>
      <c r="D1197">
        <v>48</v>
      </c>
      <c r="E1197" t="s">
        <v>1200</v>
      </c>
    </row>
    <row r="1198" spans="1:5">
      <c r="A1198">
        <f>HYPERLINK("http://www.twitter.com/NYCParks/status/717728768027136000", "717728768027136000")</f>
        <v>0</v>
      </c>
      <c r="B1198" s="2">
        <v>42466.6255439815</v>
      </c>
      <c r="C1198">
        <v>26</v>
      </c>
      <c r="D1198">
        <v>6</v>
      </c>
      <c r="E1198" t="s">
        <v>1201</v>
      </c>
    </row>
    <row r="1199" spans="1:5">
      <c r="A1199">
        <f>HYPERLINK("http://www.twitter.com/NYCParks/status/717718704029581313", "717718704029581313")</f>
        <v>0</v>
      </c>
      <c r="B1199" s="2">
        <v>42466.5977777778</v>
      </c>
      <c r="C1199">
        <v>0</v>
      </c>
      <c r="D1199">
        <v>0</v>
      </c>
      <c r="E1199" t="s">
        <v>1202</v>
      </c>
    </row>
    <row r="1200" spans="1:5">
      <c r="A1200">
        <f>HYPERLINK("http://www.twitter.com/NYCParks/status/717714538641166336", "717714538641166336")</f>
        <v>0</v>
      </c>
      <c r="B1200" s="2">
        <v>42466.5862847222</v>
      </c>
      <c r="C1200">
        <v>6</v>
      </c>
      <c r="D1200">
        <v>2</v>
      </c>
      <c r="E1200" t="s">
        <v>1203</v>
      </c>
    </row>
    <row r="1201" spans="1:5">
      <c r="A1201">
        <f>HYPERLINK("http://www.twitter.com/NYCParks/status/717697409816608768", "717697409816608768")</f>
        <v>0</v>
      </c>
      <c r="B1201" s="2">
        <v>42466.5390162037</v>
      </c>
      <c r="C1201">
        <v>40</v>
      </c>
      <c r="D1201">
        <v>10</v>
      </c>
      <c r="E1201" t="s">
        <v>1204</v>
      </c>
    </row>
    <row r="1202" spans="1:5">
      <c r="A1202">
        <f>HYPERLINK("http://www.twitter.com/NYCParks/status/717419120652890112", "717419120652890112")</f>
        <v>0</v>
      </c>
      <c r="B1202" s="2">
        <v>42465.771087963</v>
      </c>
      <c r="C1202">
        <v>17</v>
      </c>
      <c r="D1202">
        <v>7</v>
      </c>
      <c r="E1202" t="s">
        <v>1205</v>
      </c>
    </row>
    <row r="1203" spans="1:5">
      <c r="A1203">
        <f>HYPERLINK("http://www.twitter.com/NYCParks/status/717405136348385281", "717405136348385281")</f>
        <v>0</v>
      </c>
      <c r="B1203" s="2">
        <v>42465.7324884259</v>
      </c>
      <c r="C1203">
        <v>24</v>
      </c>
      <c r="D1203">
        <v>13</v>
      </c>
      <c r="E1203" t="s">
        <v>1206</v>
      </c>
    </row>
    <row r="1204" spans="1:5">
      <c r="A1204">
        <f>HYPERLINK("http://www.twitter.com/NYCParks/status/717386353533718528", "717386353533718528")</f>
        <v>0</v>
      </c>
      <c r="B1204" s="2">
        <v>42465.6806597222</v>
      </c>
      <c r="C1204">
        <v>27</v>
      </c>
      <c r="D1204">
        <v>12</v>
      </c>
      <c r="E1204" t="s">
        <v>1207</v>
      </c>
    </row>
    <row r="1205" spans="1:5">
      <c r="A1205">
        <f>HYPERLINK("http://www.twitter.com/NYCParks/status/717371448143294464", "717371448143294464")</f>
        <v>0</v>
      </c>
      <c r="B1205" s="2">
        <v>42465.639537037</v>
      </c>
      <c r="C1205">
        <v>0</v>
      </c>
      <c r="D1205">
        <v>20</v>
      </c>
      <c r="E1205" t="s">
        <v>1208</v>
      </c>
    </row>
    <row r="1206" spans="1:5">
      <c r="A1206">
        <f>HYPERLINK("http://www.twitter.com/NYCParks/status/717354736521986048", "717354736521986048")</f>
        <v>0</v>
      </c>
      <c r="B1206" s="2">
        <v>42465.5934143519</v>
      </c>
      <c r="C1206">
        <v>18</v>
      </c>
      <c r="D1206">
        <v>3</v>
      </c>
      <c r="E1206" t="s">
        <v>1209</v>
      </c>
    </row>
    <row r="1207" spans="1:5">
      <c r="A1207">
        <f>HYPERLINK("http://www.twitter.com/NYCParks/status/717353969182449666", "717353969182449666")</f>
        <v>0</v>
      </c>
      <c r="B1207" s="2">
        <v>42465.5912962963</v>
      </c>
      <c r="C1207">
        <v>13</v>
      </c>
      <c r="D1207">
        <v>5</v>
      </c>
      <c r="E1207" t="s">
        <v>1210</v>
      </c>
    </row>
    <row r="1208" spans="1:5">
      <c r="A1208">
        <f>HYPERLINK("http://www.twitter.com/NYCParks/status/717323727348883457", "717323727348883457")</f>
        <v>0</v>
      </c>
      <c r="B1208" s="2">
        <v>42465.5078472222</v>
      </c>
      <c r="C1208">
        <v>13</v>
      </c>
      <c r="D1208">
        <v>4</v>
      </c>
      <c r="E1208" t="s">
        <v>1211</v>
      </c>
    </row>
    <row r="1209" spans="1:5">
      <c r="A1209">
        <f>HYPERLINK("http://www.twitter.com/NYCParks/status/717069349463396352", "717069349463396352")</f>
        <v>0</v>
      </c>
      <c r="B1209" s="2">
        <v>42464.8059027778</v>
      </c>
      <c r="C1209">
        <v>17</v>
      </c>
      <c r="D1209">
        <v>4</v>
      </c>
      <c r="E1209" t="s">
        <v>1212</v>
      </c>
    </row>
    <row r="1210" spans="1:5">
      <c r="A1210">
        <f>HYPERLINK("http://www.twitter.com/NYCParks/status/717054204758646788", "717054204758646788")</f>
        <v>0</v>
      </c>
      <c r="B1210" s="2">
        <v>42464.7641087963</v>
      </c>
      <c r="C1210">
        <v>34</v>
      </c>
      <c r="D1210">
        <v>23</v>
      </c>
      <c r="E1210" t="s">
        <v>1213</v>
      </c>
    </row>
    <row r="1211" spans="1:5">
      <c r="A1211">
        <f>HYPERLINK("http://www.twitter.com/NYCParks/status/717037849447702529", "717037849447702529")</f>
        <v>0</v>
      </c>
      <c r="B1211" s="2">
        <v>42464.7189699074</v>
      </c>
      <c r="C1211">
        <v>7</v>
      </c>
      <c r="D1211">
        <v>4</v>
      </c>
      <c r="E1211" t="s">
        <v>1214</v>
      </c>
    </row>
    <row r="1212" spans="1:5">
      <c r="A1212">
        <f>HYPERLINK("http://www.twitter.com/NYCParks/status/717020236415963136", "717020236415963136")</f>
        <v>0</v>
      </c>
      <c r="B1212" s="2">
        <v>42464.6703703704</v>
      </c>
      <c r="C1212">
        <v>20</v>
      </c>
      <c r="D1212">
        <v>15</v>
      </c>
      <c r="E1212" t="s">
        <v>1215</v>
      </c>
    </row>
    <row r="1213" spans="1:5">
      <c r="A1213">
        <f>HYPERLINK("http://www.twitter.com/NYCParks/status/717005629706149888", "717005629706149888")</f>
        <v>0</v>
      </c>
      <c r="B1213" s="2">
        <v>42464.6300694444</v>
      </c>
      <c r="C1213">
        <v>0</v>
      </c>
      <c r="D1213">
        <v>17</v>
      </c>
      <c r="E1213" t="s">
        <v>1216</v>
      </c>
    </row>
    <row r="1214" spans="1:5">
      <c r="A1214">
        <f>HYPERLINK("http://www.twitter.com/NYCParks/status/716010055225712644", "716010055225712644")</f>
        <v>0</v>
      </c>
      <c r="B1214" s="2">
        <v>42461.8828009259</v>
      </c>
      <c r="C1214">
        <v>108</v>
      </c>
      <c r="D1214">
        <v>43</v>
      </c>
      <c r="E1214" t="s">
        <v>1217</v>
      </c>
    </row>
    <row r="1215" spans="1:5">
      <c r="A1215">
        <f>HYPERLINK("http://www.twitter.com/NYCParks/status/715969625478021122", "715969625478021122")</f>
        <v>0</v>
      </c>
      <c r="B1215" s="2">
        <v>42461.7712384259</v>
      </c>
      <c r="C1215">
        <v>42</v>
      </c>
      <c r="D1215">
        <v>25</v>
      </c>
      <c r="E1215" t="s">
        <v>1218</v>
      </c>
    </row>
    <row r="1216" spans="1:5">
      <c r="A1216">
        <f>HYPERLINK("http://www.twitter.com/NYCParks/status/715954531629195265", "715954531629195265")</f>
        <v>0</v>
      </c>
      <c r="B1216" s="2">
        <v>42461.7295833333</v>
      </c>
      <c r="C1216">
        <v>21</v>
      </c>
      <c r="D1216">
        <v>14</v>
      </c>
      <c r="E1216" t="s">
        <v>1219</v>
      </c>
    </row>
    <row r="1217" spans="1:5">
      <c r="A1217">
        <f>HYPERLINK("http://www.twitter.com/NYCParks/status/715939388446867458", "715939388446867458")</f>
        <v>0</v>
      </c>
      <c r="B1217" s="2">
        <v>42461.6878009259</v>
      </c>
      <c r="C1217">
        <v>47</v>
      </c>
      <c r="D1217">
        <v>41</v>
      </c>
      <c r="E1217" t="s">
        <v>1220</v>
      </c>
    </row>
    <row r="1218" spans="1:5">
      <c r="A1218">
        <f>HYPERLINK("http://www.twitter.com/NYCParks/status/715925044036243456", "715925044036243456")</f>
        <v>0</v>
      </c>
      <c r="B1218" s="2">
        <v>42461.6482175926</v>
      </c>
      <c r="C1218">
        <v>5</v>
      </c>
      <c r="D1218">
        <v>3</v>
      </c>
      <c r="E1218" t="s">
        <v>1221</v>
      </c>
    </row>
    <row r="1219" spans="1:5">
      <c r="A1219">
        <f>HYPERLINK("http://www.twitter.com/NYCParks/status/715924262087966721", "715924262087966721")</f>
        <v>0</v>
      </c>
      <c r="B1219" s="2">
        <v>42461.6460532407</v>
      </c>
      <c r="C1219">
        <v>1</v>
      </c>
      <c r="D1219">
        <v>0</v>
      </c>
      <c r="E1219" t="s">
        <v>1222</v>
      </c>
    </row>
    <row r="1220" spans="1:5">
      <c r="A1220">
        <f>HYPERLINK("http://www.twitter.com/NYCParks/status/715871678887231488", "715871678887231488")</f>
        <v>0</v>
      </c>
      <c r="B1220" s="2">
        <v>42461.5009606481</v>
      </c>
      <c r="C1220">
        <v>88</v>
      </c>
      <c r="D1220">
        <v>56</v>
      </c>
      <c r="E1220" t="s">
        <v>1223</v>
      </c>
    </row>
    <row r="1221" spans="1:5">
      <c r="A1221">
        <f>HYPERLINK("http://www.twitter.com/NYCParks/status/715630206766211072", "715630206766211072")</f>
        <v>0</v>
      </c>
      <c r="B1221" s="2">
        <v>42460.8346180556</v>
      </c>
      <c r="C1221">
        <v>25</v>
      </c>
      <c r="D1221">
        <v>17</v>
      </c>
      <c r="E1221" t="s">
        <v>1224</v>
      </c>
    </row>
    <row r="1222" spans="1:5">
      <c r="A1222">
        <f>HYPERLINK("http://www.twitter.com/NYCParks/status/715621149351260160", "715621149351260160")</f>
        <v>0</v>
      </c>
      <c r="B1222" s="2">
        <v>42460.8096296296</v>
      </c>
      <c r="C1222">
        <v>4</v>
      </c>
      <c r="D1222">
        <v>2</v>
      </c>
      <c r="E1222" t="s">
        <v>1225</v>
      </c>
    </row>
    <row r="1223" spans="1:5">
      <c r="A1223">
        <f>HYPERLINK("http://www.twitter.com/NYCParks/status/715619030355337216", "715619030355337216")</f>
        <v>0</v>
      </c>
      <c r="B1223" s="2">
        <v>42460.8037847222</v>
      </c>
      <c r="C1223">
        <v>13</v>
      </c>
      <c r="D1223">
        <v>6</v>
      </c>
      <c r="E1223" t="s">
        <v>1226</v>
      </c>
    </row>
    <row r="1224" spans="1:5">
      <c r="A1224">
        <f>HYPERLINK("http://www.twitter.com/NYCParks/status/715615272468672512", "715615272468672512")</f>
        <v>0</v>
      </c>
      <c r="B1224" s="2">
        <v>42460.7934143519</v>
      </c>
      <c r="C1224">
        <v>14</v>
      </c>
      <c r="D1224">
        <v>2</v>
      </c>
      <c r="E1224" t="s">
        <v>1227</v>
      </c>
    </row>
    <row r="1225" spans="1:5">
      <c r="A1225">
        <f>HYPERLINK("http://www.twitter.com/NYCParks/status/715603448805371904", "715603448805371904")</f>
        <v>0</v>
      </c>
      <c r="B1225" s="2">
        <v>42460.760787037</v>
      </c>
      <c r="C1225">
        <v>19</v>
      </c>
      <c r="D1225">
        <v>15</v>
      </c>
      <c r="E1225" t="s">
        <v>1228</v>
      </c>
    </row>
    <row r="1226" spans="1:5">
      <c r="A1226">
        <f>HYPERLINK("http://www.twitter.com/NYCParks/status/715588355287818241", "715588355287818241")</f>
        <v>0</v>
      </c>
      <c r="B1226" s="2">
        <v>42460.7191319444</v>
      </c>
      <c r="C1226">
        <v>33</v>
      </c>
      <c r="D1226">
        <v>16</v>
      </c>
      <c r="E1226" t="s">
        <v>1229</v>
      </c>
    </row>
    <row r="1227" spans="1:5">
      <c r="A1227">
        <f>HYPERLINK("http://www.twitter.com/NYCParks/status/715570747306090496", "715570747306090496")</f>
        <v>0</v>
      </c>
      <c r="B1227" s="2">
        <v>42460.6705439815</v>
      </c>
      <c r="C1227">
        <v>107</v>
      </c>
      <c r="D1227">
        <v>44</v>
      </c>
      <c r="E1227" t="s">
        <v>1230</v>
      </c>
    </row>
    <row r="1228" spans="1:5">
      <c r="A1228">
        <f>HYPERLINK("http://www.twitter.com/NYCParks/status/715554708505694212", "715554708505694212")</f>
        <v>0</v>
      </c>
      <c r="B1228" s="2">
        <v>42460.6262847222</v>
      </c>
      <c r="C1228">
        <v>23</v>
      </c>
      <c r="D1228">
        <v>5</v>
      </c>
      <c r="E1228" t="s">
        <v>1231</v>
      </c>
    </row>
    <row r="1229" spans="1:5">
      <c r="A1229">
        <f>HYPERLINK("http://www.twitter.com/NYCParks/status/715270581072109568", "715270581072109568")</f>
        <v>0</v>
      </c>
      <c r="B1229" s="2">
        <v>42459.8422453704</v>
      </c>
      <c r="C1229">
        <v>3</v>
      </c>
      <c r="D1229">
        <v>2</v>
      </c>
      <c r="E1229" t="s">
        <v>1232</v>
      </c>
    </row>
    <row r="1230" spans="1:5">
      <c r="A1230">
        <f>HYPERLINK("http://www.twitter.com/NYCParks/status/715267991965970433", "715267991965970433")</f>
        <v>0</v>
      </c>
      <c r="B1230" s="2">
        <v>42459.8350925926</v>
      </c>
      <c r="C1230">
        <v>6</v>
      </c>
      <c r="D1230">
        <v>2</v>
      </c>
      <c r="E1230" t="s">
        <v>1233</v>
      </c>
    </row>
    <row r="1231" spans="1:5">
      <c r="A1231">
        <f>HYPERLINK("http://www.twitter.com/NYCParks/status/715252500945838080", "715252500945838080")</f>
        <v>0</v>
      </c>
      <c r="B1231" s="2">
        <v>42459.792349537</v>
      </c>
      <c r="C1231">
        <v>5</v>
      </c>
      <c r="D1231">
        <v>4</v>
      </c>
      <c r="E1231" t="s">
        <v>1234</v>
      </c>
    </row>
    <row r="1232" spans="1:5">
      <c r="A1232">
        <f>HYPERLINK("http://www.twitter.com/NYCParks/status/715237377065791488", "715237377065791488")</f>
        <v>0</v>
      </c>
      <c r="B1232" s="2">
        <v>42459.7506134259</v>
      </c>
      <c r="C1232">
        <v>54</v>
      </c>
      <c r="D1232">
        <v>24</v>
      </c>
      <c r="E1232" t="s">
        <v>1235</v>
      </c>
    </row>
    <row r="1233" spans="1:5">
      <c r="A1233">
        <f>HYPERLINK("http://www.twitter.com/NYCParks/status/715222248785846272", "715222248785846272")</f>
        <v>0</v>
      </c>
      <c r="B1233" s="2">
        <v>42459.7088657407</v>
      </c>
      <c r="C1233">
        <v>11</v>
      </c>
      <c r="D1233">
        <v>6</v>
      </c>
      <c r="E1233" t="s">
        <v>1236</v>
      </c>
    </row>
    <row r="1234" spans="1:5">
      <c r="A1234">
        <f>HYPERLINK("http://www.twitter.com/NYCParks/status/715207083348463616", "715207083348463616")</f>
        <v>0</v>
      </c>
      <c r="B1234" s="2">
        <v>42459.667025463</v>
      </c>
      <c r="C1234">
        <v>45</v>
      </c>
      <c r="D1234">
        <v>26</v>
      </c>
      <c r="E1234" t="s">
        <v>1237</v>
      </c>
    </row>
    <row r="1235" spans="1:5">
      <c r="A1235">
        <f>HYPERLINK("http://www.twitter.com/NYCParks/status/715193094531063812", "715193094531063812")</f>
        <v>0</v>
      </c>
      <c r="B1235" s="2">
        <v>42459.6284259259</v>
      </c>
      <c r="C1235">
        <v>0</v>
      </c>
      <c r="D1235">
        <v>23</v>
      </c>
      <c r="E1235" t="s">
        <v>1238</v>
      </c>
    </row>
    <row r="1236" spans="1:5">
      <c r="A1236">
        <f>HYPERLINK("http://www.twitter.com/NYCParks/status/714908258641821696", "714908258641821696")</f>
        <v>0</v>
      </c>
      <c r="B1236" s="2">
        <v>42458.8424189815</v>
      </c>
      <c r="C1236">
        <v>0</v>
      </c>
      <c r="D1236">
        <v>38</v>
      </c>
      <c r="E1236" t="s">
        <v>1239</v>
      </c>
    </row>
    <row r="1237" spans="1:5">
      <c r="A1237">
        <f>HYPERLINK("http://www.twitter.com/NYCParks/status/714894987775836160", "714894987775836160")</f>
        <v>0</v>
      </c>
      <c r="B1237" s="2">
        <v>42458.8057986111</v>
      </c>
      <c r="C1237">
        <v>114</v>
      </c>
      <c r="D1237">
        <v>51</v>
      </c>
      <c r="E1237" t="s">
        <v>1240</v>
      </c>
    </row>
    <row r="1238" spans="1:5">
      <c r="A1238">
        <f>HYPERLINK("http://www.twitter.com/NYCParks/status/714887622846492672", "714887622846492672")</f>
        <v>0</v>
      </c>
      <c r="B1238" s="2">
        <v>42458.785474537</v>
      </c>
      <c r="C1238">
        <v>1</v>
      </c>
      <c r="D1238">
        <v>0</v>
      </c>
      <c r="E1238" t="s">
        <v>1241</v>
      </c>
    </row>
    <row r="1239" spans="1:5">
      <c r="A1239">
        <f>HYPERLINK("http://www.twitter.com/NYCParks/status/714879870539599872", "714879870539599872")</f>
        <v>0</v>
      </c>
      <c r="B1239" s="2">
        <v>42458.7640856481</v>
      </c>
      <c r="C1239">
        <v>22</v>
      </c>
      <c r="D1239">
        <v>9</v>
      </c>
      <c r="E1239" t="s">
        <v>1242</v>
      </c>
    </row>
    <row r="1240" spans="1:5">
      <c r="A1240">
        <f>HYPERLINK("http://www.twitter.com/NYCParks/status/714863510413512704", "714863510413512704")</f>
        <v>0</v>
      </c>
      <c r="B1240" s="2">
        <v>42458.7189467593</v>
      </c>
      <c r="C1240">
        <v>32</v>
      </c>
      <c r="D1240">
        <v>26</v>
      </c>
      <c r="E1240" t="s">
        <v>1243</v>
      </c>
    </row>
    <row r="1241" spans="1:5">
      <c r="A1241">
        <f>HYPERLINK("http://www.twitter.com/NYCParks/status/714848417961402368", "714848417961402368")</f>
        <v>0</v>
      </c>
      <c r="B1241" s="2">
        <v>42458.6772916667</v>
      </c>
      <c r="C1241">
        <v>27</v>
      </c>
      <c r="D1241">
        <v>11</v>
      </c>
      <c r="E1241" t="s">
        <v>1244</v>
      </c>
    </row>
    <row r="1242" spans="1:5">
      <c r="A1242">
        <f>HYPERLINK("http://www.twitter.com/NYCParks/status/714830552608727040", "714830552608727040")</f>
        <v>0</v>
      </c>
      <c r="B1242" s="2">
        <v>42458.6279976852</v>
      </c>
      <c r="C1242">
        <v>0</v>
      </c>
      <c r="D1242">
        <v>15</v>
      </c>
      <c r="E1242" t="s">
        <v>1245</v>
      </c>
    </row>
    <row r="1243" spans="1:5">
      <c r="A1243">
        <f>HYPERLINK("http://www.twitter.com/NYCParks/status/714532236037660673", "714532236037660673")</f>
        <v>0</v>
      </c>
      <c r="B1243" s="2">
        <v>42457.8048032407</v>
      </c>
      <c r="C1243">
        <v>24</v>
      </c>
      <c r="D1243">
        <v>10</v>
      </c>
      <c r="E1243" t="s">
        <v>1246</v>
      </c>
    </row>
    <row r="1244" spans="1:5">
      <c r="A1244">
        <f>HYPERLINK("http://www.twitter.com/NYCParks/status/714518148838518784", "714518148838518784")</f>
        <v>0</v>
      </c>
      <c r="B1244" s="2">
        <v>42457.7659259259</v>
      </c>
      <c r="C1244">
        <v>57</v>
      </c>
      <c r="D1244">
        <v>37</v>
      </c>
      <c r="E1244" t="s">
        <v>1247</v>
      </c>
    </row>
    <row r="1245" spans="1:5">
      <c r="A1245">
        <f>HYPERLINK("http://www.twitter.com/NYCParks/status/714499924029804545", "714499924029804545")</f>
        <v>0</v>
      </c>
      <c r="B1245" s="2">
        <v>42457.7156365741</v>
      </c>
      <c r="C1245">
        <v>21</v>
      </c>
      <c r="D1245">
        <v>14</v>
      </c>
      <c r="E1245" t="s">
        <v>1248</v>
      </c>
    </row>
    <row r="1246" spans="1:5">
      <c r="A1246">
        <f>HYPERLINK("http://www.twitter.com/NYCParks/status/714483602847899649", "714483602847899649")</f>
        <v>0</v>
      </c>
      <c r="B1246" s="2">
        <v>42457.6706018519</v>
      </c>
      <c r="C1246">
        <v>18</v>
      </c>
      <c r="D1246">
        <v>4</v>
      </c>
      <c r="E1246" t="s">
        <v>1249</v>
      </c>
    </row>
    <row r="1247" spans="1:5">
      <c r="A1247">
        <f>HYPERLINK("http://www.twitter.com/NYCParks/status/714467595160842240", "714467595160842240")</f>
        <v>0</v>
      </c>
      <c r="B1247" s="2">
        <v>42457.6264236111</v>
      </c>
      <c r="C1247">
        <v>10</v>
      </c>
      <c r="D1247">
        <v>12</v>
      </c>
      <c r="E1247" t="s">
        <v>1250</v>
      </c>
    </row>
    <row r="1248" spans="1:5">
      <c r="A1248">
        <f>HYPERLINK("http://www.twitter.com/NYCParks/status/713444204035366917", "713444204035366917")</f>
        <v>0</v>
      </c>
      <c r="B1248" s="2">
        <v>42454.8024074074</v>
      </c>
      <c r="C1248">
        <v>0</v>
      </c>
      <c r="D1248">
        <v>16</v>
      </c>
      <c r="E1248" t="s">
        <v>1251</v>
      </c>
    </row>
    <row r="1249" spans="1:5">
      <c r="A1249">
        <f>HYPERLINK("http://www.twitter.com/NYCParks/status/713429069942095872", "713429069942095872")</f>
        <v>0</v>
      </c>
      <c r="B1249" s="2">
        <v>42454.7606365741</v>
      </c>
      <c r="C1249">
        <v>15</v>
      </c>
      <c r="D1249">
        <v>11</v>
      </c>
      <c r="E1249" t="s">
        <v>1252</v>
      </c>
    </row>
    <row r="1250" spans="1:5">
      <c r="A1250">
        <f>HYPERLINK("http://www.twitter.com/NYCParks/status/713426407213412352", "713426407213412352")</f>
        <v>0</v>
      </c>
      <c r="B1250" s="2">
        <v>42454.753287037</v>
      </c>
      <c r="C1250">
        <v>2</v>
      </c>
      <c r="D1250">
        <v>0</v>
      </c>
      <c r="E1250" t="s">
        <v>1253</v>
      </c>
    </row>
    <row r="1251" spans="1:5">
      <c r="A1251">
        <f>HYPERLINK("http://www.twitter.com/NYCParks/status/713412700689276929", "713412700689276929")</f>
        <v>0</v>
      </c>
      <c r="B1251" s="2">
        <v>42454.715474537</v>
      </c>
      <c r="C1251">
        <v>30</v>
      </c>
      <c r="D1251">
        <v>17</v>
      </c>
      <c r="E1251" t="s">
        <v>1254</v>
      </c>
    </row>
    <row r="1252" spans="1:5">
      <c r="A1252">
        <f>HYPERLINK("http://www.twitter.com/NYCParks/status/713396335614029824", "713396335614029824")</f>
        <v>0</v>
      </c>
      <c r="B1252" s="2">
        <v>42454.6703125</v>
      </c>
      <c r="C1252">
        <v>16</v>
      </c>
      <c r="D1252">
        <v>16</v>
      </c>
      <c r="E1252" t="s">
        <v>1255</v>
      </c>
    </row>
    <row r="1253" spans="1:5">
      <c r="A1253">
        <f>HYPERLINK("http://www.twitter.com/NYCParks/status/713380053925699585", "713380053925699585")</f>
        <v>0</v>
      </c>
      <c r="B1253" s="2">
        <v>42454.6253819444</v>
      </c>
      <c r="C1253">
        <v>32</v>
      </c>
      <c r="D1253">
        <v>14</v>
      </c>
      <c r="E1253" t="s">
        <v>1256</v>
      </c>
    </row>
    <row r="1254" spans="1:5">
      <c r="A1254">
        <f>HYPERLINK("http://www.twitter.com/NYCParks/status/713107543367790594", "713107543367790594")</f>
        <v>0</v>
      </c>
      <c r="B1254" s="2">
        <v>42453.8733912037</v>
      </c>
      <c r="C1254">
        <v>0</v>
      </c>
      <c r="D1254">
        <v>11</v>
      </c>
      <c r="E1254" t="s">
        <v>1257</v>
      </c>
    </row>
    <row r="1255" spans="1:5">
      <c r="A1255">
        <f>HYPERLINK("http://www.twitter.com/NYCParks/status/713093214102798341", "713093214102798341")</f>
        <v>0</v>
      </c>
      <c r="B1255" s="2">
        <v>42453.8338541667</v>
      </c>
      <c r="C1255">
        <v>2</v>
      </c>
      <c r="D1255">
        <v>0</v>
      </c>
      <c r="E1255" t="s">
        <v>1258</v>
      </c>
    </row>
    <row r="1256" spans="1:5">
      <c r="A1256">
        <f>HYPERLINK("http://www.twitter.com/NYCParks/status/713083704487329792", "713083704487329792")</f>
        <v>0</v>
      </c>
      <c r="B1256" s="2">
        <v>42453.8076157407</v>
      </c>
      <c r="C1256">
        <v>3</v>
      </c>
      <c r="D1256">
        <v>5</v>
      </c>
      <c r="E1256" t="s">
        <v>1259</v>
      </c>
    </row>
    <row r="1257" spans="1:5">
      <c r="A1257">
        <f>HYPERLINK("http://www.twitter.com/NYCParks/status/713080129958895617", "713080129958895617")</f>
        <v>0</v>
      </c>
      <c r="B1257" s="2">
        <v>42453.7977546296</v>
      </c>
      <c r="C1257">
        <v>9</v>
      </c>
      <c r="D1257">
        <v>7</v>
      </c>
      <c r="E1257" t="s">
        <v>1260</v>
      </c>
    </row>
    <row r="1258" spans="1:5">
      <c r="A1258">
        <f>HYPERLINK("http://www.twitter.com/NYCParks/status/713071038012198912", "713071038012198912")</f>
        <v>0</v>
      </c>
      <c r="B1258" s="2">
        <v>42453.772662037</v>
      </c>
      <c r="C1258">
        <v>18</v>
      </c>
      <c r="D1258">
        <v>3</v>
      </c>
      <c r="E1258" t="s">
        <v>1261</v>
      </c>
    </row>
    <row r="1259" spans="1:5">
      <c r="A1259">
        <f>HYPERLINK("http://www.twitter.com/NYCParks/status/713055346210828289", "713055346210828289")</f>
        <v>0</v>
      </c>
      <c r="B1259" s="2">
        <v>42453.7293634259</v>
      </c>
      <c r="C1259">
        <v>7</v>
      </c>
      <c r="D1259">
        <v>4</v>
      </c>
      <c r="E1259" t="s">
        <v>1262</v>
      </c>
    </row>
    <row r="1260" spans="1:5">
      <c r="A1260">
        <f>HYPERLINK("http://www.twitter.com/NYCParks/status/713037649288818688", "713037649288818688")</f>
        <v>0</v>
      </c>
      <c r="B1260" s="2">
        <v>42453.6805208333</v>
      </c>
      <c r="C1260">
        <v>44</v>
      </c>
      <c r="D1260">
        <v>25</v>
      </c>
      <c r="E1260" t="s">
        <v>1263</v>
      </c>
    </row>
    <row r="1261" spans="1:5">
      <c r="A1261">
        <f>HYPERLINK("http://www.twitter.com/NYCParks/status/713015988854370305", "713015988854370305")</f>
        <v>0</v>
      </c>
      <c r="B1261" s="2">
        <v>42453.6207523148</v>
      </c>
      <c r="C1261">
        <v>0</v>
      </c>
      <c r="D1261">
        <v>11</v>
      </c>
      <c r="E1261" t="s">
        <v>1264</v>
      </c>
    </row>
    <row r="1262" spans="1:5">
      <c r="A1262">
        <f>HYPERLINK("http://www.twitter.com/NYCParks/status/712726690481496064", "712726690481496064")</f>
        <v>0</v>
      </c>
      <c r="B1262" s="2">
        <v>42452.8224421296</v>
      </c>
      <c r="C1262">
        <v>27</v>
      </c>
      <c r="D1262">
        <v>13</v>
      </c>
      <c r="E1262" t="s">
        <v>1265</v>
      </c>
    </row>
    <row r="1263" spans="1:5">
      <c r="A1263">
        <f>HYPERLINK("http://www.twitter.com/NYCParks/status/712708496068907012", "712708496068907012")</f>
        <v>0</v>
      </c>
      <c r="B1263" s="2">
        <v>42452.7722337963</v>
      </c>
      <c r="C1263">
        <v>28</v>
      </c>
      <c r="D1263">
        <v>6</v>
      </c>
      <c r="E1263" t="s">
        <v>1266</v>
      </c>
    </row>
    <row r="1264" spans="1:5">
      <c r="A1264">
        <f>HYPERLINK("http://www.twitter.com/NYCParks/status/712691677954187264", "712691677954187264")</f>
        <v>0</v>
      </c>
      <c r="B1264" s="2">
        <v>42452.7258217593</v>
      </c>
      <c r="C1264">
        <v>12</v>
      </c>
      <c r="D1264">
        <v>16</v>
      </c>
      <c r="E1264" t="s">
        <v>1267</v>
      </c>
    </row>
    <row r="1265" spans="1:5">
      <c r="A1265">
        <f>HYPERLINK("http://www.twitter.com/NYCParks/status/712675340389318657", "712675340389318657")</f>
        <v>0</v>
      </c>
      <c r="B1265" s="2">
        <v>42452.6807407407</v>
      </c>
      <c r="C1265">
        <v>31</v>
      </c>
      <c r="D1265">
        <v>13</v>
      </c>
      <c r="E1265" t="s">
        <v>1268</v>
      </c>
    </row>
    <row r="1266" spans="1:5">
      <c r="A1266">
        <f>HYPERLINK("http://www.twitter.com/NYCParks/status/712660222859481088", "712660222859481088")</f>
        <v>0</v>
      </c>
      <c r="B1266" s="2">
        <v>42452.6390277778</v>
      </c>
      <c r="C1266">
        <v>58</v>
      </c>
      <c r="D1266">
        <v>39</v>
      </c>
      <c r="E1266" t="s">
        <v>1269</v>
      </c>
    </row>
    <row r="1267" spans="1:5">
      <c r="A1267">
        <f>HYPERLINK("http://www.twitter.com/NYCParks/status/712358256061095942", "712358256061095942")</f>
        <v>0</v>
      </c>
      <c r="B1267" s="2">
        <v>42451.8057523148</v>
      </c>
      <c r="C1267">
        <v>50</v>
      </c>
      <c r="D1267">
        <v>31</v>
      </c>
      <c r="E1267" t="s">
        <v>1270</v>
      </c>
    </row>
    <row r="1268" spans="1:5">
      <c r="A1268">
        <f>HYPERLINK("http://www.twitter.com/NYCParks/status/712353054046208001", "712353054046208001")</f>
        <v>0</v>
      </c>
      <c r="B1268" s="2">
        <v>42451.791400463</v>
      </c>
      <c r="C1268">
        <v>1</v>
      </c>
      <c r="D1268">
        <v>0</v>
      </c>
      <c r="E1268" t="s">
        <v>1271</v>
      </c>
    </row>
    <row r="1269" spans="1:5">
      <c r="A1269">
        <f>HYPERLINK("http://www.twitter.com/NYCParks/status/712341906731171840", "712341906731171840")</f>
        <v>0</v>
      </c>
      <c r="B1269" s="2">
        <v>42451.7606365741</v>
      </c>
      <c r="C1269">
        <v>10</v>
      </c>
      <c r="D1269">
        <v>8</v>
      </c>
      <c r="E1269" t="s">
        <v>1272</v>
      </c>
    </row>
    <row r="1270" spans="1:5">
      <c r="A1270">
        <f>HYPERLINK("http://www.twitter.com/NYCParks/status/712325547704066049", "712325547704066049")</f>
        <v>0</v>
      </c>
      <c r="B1270" s="2">
        <v>42451.7154976852</v>
      </c>
      <c r="C1270">
        <v>14</v>
      </c>
      <c r="D1270">
        <v>5</v>
      </c>
      <c r="E1270" t="s">
        <v>1273</v>
      </c>
    </row>
    <row r="1271" spans="1:5">
      <c r="A1271">
        <f>HYPERLINK("http://www.twitter.com/NYCParks/status/712322763227336705", "712322763227336705")</f>
        <v>0</v>
      </c>
      <c r="B1271" s="2">
        <v>42451.7078125</v>
      </c>
      <c r="C1271">
        <v>0</v>
      </c>
      <c r="D1271">
        <v>0</v>
      </c>
      <c r="E1271" t="s">
        <v>1274</v>
      </c>
    </row>
    <row r="1272" spans="1:5">
      <c r="A1272">
        <f>HYPERLINK("http://www.twitter.com/NYCParks/status/712322613335425024", "712322613335425024")</f>
        <v>0</v>
      </c>
      <c r="B1272" s="2">
        <v>42451.7073958333</v>
      </c>
      <c r="C1272">
        <v>0</v>
      </c>
      <c r="D1272">
        <v>0</v>
      </c>
      <c r="E1272" t="s">
        <v>1275</v>
      </c>
    </row>
    <row r="1273" spans="1:5">
      <c r="A1273">
        <f>HYPERLINK("http://www.twitter.com/NYCParks/status/712309181194362881", "712309181194362881")</f>
        <v>0</v>
      </c>
      <c r="B1273" s="2">
        <v>42451.6703356481</v>
      </c>
      <c r="C1273">
        <v>14</v>
      </c>
      <c r="D1273">
        <v>4</v>
      </c>
      <c r="E1273" t="s">
        <v>1276</v>
      </c>
    </row>
    <row r="1274" spans="1:5">
      <c r="A1274">
        <f>HYPERLINK("http://www.twitter.com/NYCParks/status/712292706022768641", "712292706022768641")</f>
        <v>0</v>
      </c>
      <c r="B1274" s="2">
        <v>42451.6248726852</v>
      </c>
      <c r="C1274">
        <v>0</v>
      </c>
      <c r="D1274">
        <v>22</v>
      </c>
      <c r="E1274" t="s">
        <v>1277</v>
      </c>
    </row>
    <row r="1275" spans="1:5">
      <c r="A1275">
        <f>HYPERLINK("http://www.twitter.com/NYCParks/status/712021595313840129", "712021595313840129")</f>
        <v>0</v>
      </c>
      <c r="B1275" s="2">
        <v>42450.8767476852</v>
      </c>
      <c r="C1275">
        <v>49</v>
      </c>
      <c r="D1275">
        <v>27</v>
      </c>
      <c r="E1275" t="s">
        <v>1278</v>
      </c>
    </row>
    <row r="1276" spans="1:5">
      <c r="A1276">
        <f>HYPERLINK("http://www.twitter.com/NYCParks/status/711998435646377984", "711998435646377984")</f>
        <v>0</v>
      </c>
      <c r="B1276" s="2">
        <v>42450.8128472222</v>
      </c>
      <c r="C1276">
        <v>13</v>
      </c>
      <c r="D1276">
        <v>4</v>
      </c>
      <c r="E1276" t="s">
        <v>1279</v>
      </c>
    </row>
    <row r="1277" spans="1:5">
      <c r="A1277">
        <f>HYPERLINK("http://www.twitter.com/NYCParks/status/711983341713620992", "711983341713620992")</f>
        <v>0</v>
      </c>
      <c r="B1277" s="2">
        <v>42450.7711921296</v>
      </c>
      <c r="C1277">
        <v>39</v>
      </c>
      <c r="D1277">
        <v>21</v>
      </c>
      <c r="E1277" t="s">
        <v>1280</v>
      </c>
    </row>
    <row r="1278" spans="1:5">
      <c r="A1278">
        <f>HYPERLINK("http://www.twitter.com/NYCParks/status/711968222900305920", "711968222900305920")</f>
        <v>0</v>
      </c>
      <c r="B1278" s="2">
        <v>42450.7294675926</v>
      </c>
      <c r="C1278">
        <v>96</v>
      </c>
      <c r="D1278">
        <v>46</v>
      </c>
      <c r="E1278" t="s">
        <v>1281</v>
      </c>
    </row>
    <row r="1279" spans="1:5">
      <c r="A1279">
        <f>HYPERLINK("http://www.twitter.com/NYCParks/status/711953092682620930", "711953092682620930")</f>
        <v>0</v>
      </c>
      <c r="B1279" s="2">
        <v>42450.6877199074</v>
      </c>
      <c r="C1279">
        <v>38</v>
      </c>
      <c r="D1279">
        <v>16</v>
      </c>
      <c r="E1279" t="s">
        <v>1282</v>
      </c>
    </row>
    <row r="1280" spans="1:5">
      <c r="A1280">
        <f>HYPERLINK("http://www.twitter.com/NYCParks/status/711931434727043072", "711931434727043072")</f>
        <v>0</v>
      </c>
      <c r="B1280" s="2">
        <v>42450.6279513889</v>
      </c>
      <c r="C1280">
        <v>0</v>
      </c>
      <c r="D1280">
        <v>68</v>
      </c>
      <c r="E1280" t="s">
        <v>1283</v>
      </c>
    </row>
    <row r="1281" spans="1:5">
      <c r="A1281">
        <f>HYPERLINK("http://www.twitter.com/NYCParks/status/710941551095123969", "710941551095123969")</f>
        <v>0</v>
      </c>
      <c r="B1281" s="2">
        <v>42447.896400463</v>
      </c>
      <c r="C1281">
        <v>13</v>
      </c>
      <c r="D1281">
        <v>7</v>
      </c>
      <c r="E1281" t="s">
        <v>1284</v>
      </c>
    </row>
    <row r="1282" spans="1:5">
      <c r="A1282">
        <f>HYPERLINK("http://www.twitter.com/NYCParks/status/710922525392429060", "710922525392429060")</f>
        <v>0</v>
      </c>
      <c r="B1282" s="2">
        <v>42447.843900463</v>
      </c>
      <c r="C1282">
        <v>0</v>
      </c>
      <c r="D1282">
        <v>14</v>
      </c>
      <c r="E1282" t="s">
        <v>1285</v>
      </c>
    </row>
    <row r="1283" spans="1:5">
      <c r="A1283">
        <f>HYPERLINK("http://www.twitter.com/NYCParks/status/710907491522060289", "710907491522060289")</f>
        <v>0</v>
      </c>
      <c r="B1283" s="2">
        <v>42447.8024074074</v>
      </c>
      <c r="C1283">
        <v>0</v>
      </c>
      <c r="D1283">
        <v>9</v>
      </c>
      <c r="E1283" t="s">
        <v>1286</v>
      </c>
    </row>
    <row r="1284" spans="1:5">
      <c r="A1284">
        <f>HYPERLINK("http://www.twitter.com/NYCParks/status/710892361702883328", "710892361702883328")</f>
        <v>0</v>
      </c>
      <c r="B1284" s="2">
        <v>42447.7606597222</v>
      </c>
      <c r="C1284">
        <v>29</v>
      </c>
      <c r="D1284">
        <v>14</v>
      </c>
      <c r="E1284" t="s">
        <v>1287</v>
      </c>
    </row>
    <row r="1285" spans="1:5">
      <c r="A1285">
        <f>HYPERLINK("http://www.twitter.com/NYCParks/status/710875994534625280", "710875994534625280")</f>
        <v>0</v>
      </c>
      <c r="B1285" s="2">
        <v>42447.7154976852</v>
      </c>
      <c r="C1285">
        <v>14</v>
      </c>
      <c r="D1285">
        <v>19</v>
      </c>
      <c r="E1285" t="s">
        <v>1288</v>
      </c>
    </row>
    <row r="1286" spans="1:5">
      <c r="A1286">
        <f>HYPERLINK("http://www.twitter.com/NYCParks/status/710859700938645504", "710859700938645504")</f>
        <v>0</v>
      </c>
      <c r="B1286" s="2">
        <v>42447.6705324074</v>
      </c>
      <c r="C1286">
        <v>8</v>
      </c>
      <c r="D1286">
        <v>6</v>
      </c>
      <c r="E1286" t="s">
        <v>1289</v>
      </c>
    </row>
    <row r="1287" spans="1:5">
      <c r="A1287">
        <f>HYPERLINK("http://www.twitter.com/NYCParks/status/710843367329034240", "710843367329034240")</f>
        <v>0</v>
      </c>
      <c r="B1287" s="2">
        <v>42447.625462963</v>
      </c>
      <c r="C1287">
        <v>22</v>
      </c>
      <c r="D1287">
        <v>9</v>
      </c>
      <c r="E1287" t="s">
        <v>1290</v>
      </c>
    </row>
    <row r="1288" spans="1:5">
      <c r="A1288">
        <f>HYPERLINK("http://www.twitter.com/NYCParks/status/710556532774141952", "710556532774141952")</f>
        <v>0</v>
      </c>
      <c r="B1288" s="2">
        <v>42446.8339467593</v>
      </c>
      <c r="C1288">
        <v>13</v>
      </c>
      <c r="D1288">
        <v>8</v>
      </c>
      <c r="E1288" t="s">
        <v>1291</v>
      </c>
    </row>
    <row r="1289" spans="1:5">
      <c r="A1289">
        <f>HYPERLINK("http://www.twitter.com/NYCParks/status/710539529216794625", "710539529216794625")</f>
        <v>0</v>
      </c>
      <c r="B1289" s="2">
        <v>42446.787025463</v>
      </c>
      <c r="C1289">
        <v>5</v>
      </c>
      <c r="D1289">
        <v>2</v>
      </c>
      <c r="E1289" t="s">
        <v>1292</v>
      </c>
    </row>
    <row r="1290" spans="1:5">
      <c r="A1290">
        <f>HYPERLINK("http://www.twitter.com/NYCParks/status/710537409579106304", "710537409579106304")</f>
        <v>0</v>
      </c>
      <c r="B1290" s="2">
        <v>42446.7811805556</v>
      </c>
      <c r="C1290">
        <v>18</v>
      </c>
      <c r="D1290">
        <v>5</v>
      </c>
      <c r="E1290" t="s">
        <v>1293</v>
      </c>
    </row>
    <row r="1291" spans="1:5">
      <c r="A1291">
        <f>HYPERLINK("http://www.twitter.com/NYCParks/status/710526379448770560", "710526379448770560")</f>
        <v>0</v>
      </c>
      <c r="B1291" s="2">
        <v>42446.7507407407</v>
      </c>
      <c r="C1291">
        <v>70</v>
      </c>
      <c r="D1291">
        <v>41</v>
      </c>
      <c r="E1291" t="s">
        <v>1294</v>
      </c>
    </row>
    <row r="1292" spans="1:5">
      <c r="A1292">
        <f>HYPERLINK("http://www.twitter.com/NYCParks/status/710511270110355456", "710511270110355456")</f>
        <v>0</v>
      </c>
      <c r="B1292" s="2">
        <v>42446.7090509259</v>
      </c>
      <c r="C1292">
        <v>91</v>
      </c>
      <c r="D1292">
        <v>39</v>
      </c>
      <c r="E1292" t="s">
        <v>1295</v>
      </c>
    </row>
    <row r="1293" spans="1:5">
      <c r="A1293">
        <f>HYPERLINK("http://www.twitter.com/NYCParks/status/710496100659163137", "710496100659163137")</f>
        <v>0</v>
      </c>
      <c r="B1293" s="2">
        <v>42446.6671875</v>
      </c>
      <c r="C1293">
        <v>18</v>
      </c>
      <c r="D1293">
        <v>10</v>
      </c>
      <c r="E1293" t="s">
        <v>1296</v>
      </c>
    </row>
    <row r="1294" spans="1:5">
      <c r="A1294">
        <f>HYPERLINK("http://www.twitter.com/NYCParks/status/710480984244940800", "710480984244940800")</f>
        <v>0</v>
      </c>
      <c r="B1294" s="2">
        <v>42446.625474537</v>
      </c>
      <c r="C1294">
        <v>23</v>
      </c>
      <c r="D1294">
        <v>22</v>
      </c>
      <c r="E1294" t="s">
        <v>1297</v>
      </c>
    </row>
    <row r="1295" spans="1:5">
      <c r="A1295">
        <f>HYPERLINK("http://www.twitter.com/NYCParks/status/710460553429385220", "710460553429385220")</f>
        <v>0</v>
      </c>
      <c r="B1295" s="2">
        <v>42446.5690972222</v>
      </c>
      <c r="C1295">
        <v>0</v>
      </c>
      <c r="D1295">
        <v>12</v>
      </c>
      <c r="E1295" t="s">
        <v>1298</v>
      </c>
    </row>
    <row r="1296" spans="1:5">
      <c r="A1296">
        <f>HYPERLINK("http://www.twitter.com/NYCParks/status/710183921410039808", "710183921410039808")</f>
        <v>0</v>
      </c>
      <c r="B1296" s="2">
        <v>42445.8057407407</v>
      </c>
      <c r="C1296">
        <v>32</v>
      </c>
      <c r="D1296">
        <v>21</v>
      </c>
      <c r="E1296" t="s">
        <v>1299</v>
      </c>
    </row>
    <row r="1297" spans="1:5">
      <c r="A1297">
        <f>HYPERLINK("http://www.twitter.com/NYCParks/status/710167552530448384", "710167552530448384")</f>
        <v>0</v>
      </c>
      <c r="B1297" s="2">
        <v>42445.7605671296</v>
      </c>
      <c r="C1297">
        <v>52</v>
      </c>
      <c r="D1297">
        <v>13</v>
      </c>
      <c r="E1297" t="s">
        <v>1300</v>
      </c>
    </row>
    <row r="1298" spans="1:5">
      <c r="A1298">
        <f>HYPERLINK("http://www.twitter.com/NYCParks/status/710151269294460928", "710151269294460928")</f>
        <v>0</v>
      </c>
      <c r="B1298" s="2">
        <v>42445.7156365741</v>
      </c>
      <c r="C1298">
        <v>23</v>
      </c>
      <c r="D1298">
        <v>4</v>
      </c>
      <c r="E1298" t="s">
        <v>1301</v>
      </c>
    </row>
    <row r="1299" spans="1:5">
      <c r="A1299">
        <f>HYPERLINK("http://www.twitter.com/NYCParks/status/710137637819052032", "710137637819052032")</f>
        <v>0</v>
      </c>
      <c r="B1299" s="2">
        <v>42445.6780208333</v>
      </c>
      <c r="C1299">
        <v>0</v>
      </c>
      <c r="D1299">
        <v>8</v>
      </c>
      <c r="E1299" t="s">
        <v>1302</v>
      </c>
    </row>
    <row r="1300" spans="1:5">
      <c r="A1300">
        <f>HYPERLINK("http://www.twitter.com/NYCParks/status/710122670503940096", "710122670503940096")</f>
        <v>0</v>
      </c>
      <c r="B1300" s="2">
        <v>42445.636712963</v>
      </c>
      <c r="C1300">
        <v>3</v>
      </c>
      <c r="D1300">
        <v>4</v>
      </c>
      <c r="E1300" t="s">
        <v>1303</v>
      </c>
    </row>
    <row r="1301" spans="1:5">
      <c r="A1301">
        <f>HYPERLINK("http://www.twitter.com/NYCParks/status/710118628457365504", "710118628457365504")</f>
        <v>0</v>
      </c>
      <c r="B1301" s="2">
        <v>42445.6255671296</v>
      </c>
      <c r="C1301">
        <v>17</v>
      </c>
      <c r="D1301">
        <v>11</v>
      </c>
      <c r="E1301" t="s">
        <v>1304</v>
      </c>
    </row>
    <row r="1302" spans="1:5">
      <c r="A1302">
        <f>HYPERLINK("http://www.twitter.com/NYCParks/status/710114882910363648", "710114882910363648")</f>
        <v>0</v>
      </c>
      <c r="B1302" s="2">
        <v>42445.6152314815</v>
      </c>
      <c r="C1302">
        <v>25</v>
      </c>
      <c r="D1302">
        <v>5</v>
      </c>
      <c r="E1302" t="s">
        <v>1305</v>
      </c>
    </row>
    <row r="1303" spans="1:5">
      <c r="A1303">
        <f>HYPERLINK("http://www.twitter.com/NYCParks/status/709821600867205121", "709821600867205121")</f>
        <v>0</v>
      </c>
      <c r="B1303" s="2">
        <v>42444.8059259259</v>
      </c>
      <c r="C1303">
        <v>22</v>
      </c>
      <c r="D1303">
        <v>11</v>
      </c>
      <c r="E1303" t="s">
        <v>1306</v>
      </c>
    </row>
    <row r="1304" spans="1:5">
      <c r="A1304">
        <f>HYPERLINK("http://www.twitter.com/NYCParks/status/709805240552284161", "709805240552284161")</f>
        <v>0</v>
      </c>
      <c r="B1304" s="2">
        <v>42444.760775463</v>
      </c>
      <c r="C1304">
        <v>30</v>
      </c>
      <c r="D1304">
        <v>19</v>
      </c>
      <c r="E1304" t="s">
        <v>1307</v>
      </c>
    </row>
    <row r="1305" spans="1:5">
      <c r="A1305">
        <f>HYPERLINK("http://www.twitter.com/NYCParks/status/709788892065566720", "709788892065566720")</f>
        <v>0</v>
      </c>
      <c r="B1305" s="2">
        <v>42444.7156597222</v>
      </c>
      <c r="C1305">
        <v>15</v>
      </c>
      <c r="D1305">
        <v>5</v>
      </c>
      <c r="E1305" t="s">
        <v>1308</v>
      </c>
    </row>
    <row r="1306" spans="1:5">
      <c r="A1306">
        <f>HYPERLINK("http://www.twitter.com/NYCParks/status/709766230131998720", "709766230131998720")</f>
        <v>0</v>
      </c>
      <c r="B1306" s="2">
        <v>42444.653125</v>
      </c>
      <c r="C1306">
        <v>66</v>
      </c>
      <c r="D1306">
        <v>23</v>
      </c>
      <c r="E1306" t="s">
        <v>1309</v>
      </c>
    </row>
    <row r="1307" spans="1:5">
      <c r="A1307">
        <f>HYPERLINK("http://www.twitter.com/NYCParks/status/709748730933723136", "709748730933723136")</f>
        <v>0</v>
      </c>
      <c r="B1307" s="2">
        <v>42444.604837963</v>
      </c>
      <c r="C1307">
        <v>11</v>
      </c>
      <c r="D1307">
        <v>13</v>
      </c>
      <c r="E1307" t="s">
        <v>1310</v>
      </c>
    </row>
    <row r="1308" spans="1:5">
      <c r="A1308">
        <f>HYPERLINK("http://www.twitter.com/NYCParks/status/709506069534543872", "709506069534543872")</f>
        <v>0</v>
      </c>
      <c r="B1308" s="2">
        <v>42443.9352199074</v>
      </c>
      <c r="C1308">
        <v>0</v>
      </c>
      <c r="D1308">
        <v>0</v>
      </c>
      <c r="E1308" t="s">
        <v>1311</v>
      </c>
    </row>
    <row r="1309" spans="1:5">
      <c r="A1309">
        <f>HYPERLINK("http://www.twitter.com/NYCParks/status/709465717058486273", "709465717058486273")</f>
        <v>0</v>
      </c>
      <c r="B1309" s="2">
        <v>42443.8238657407</v>
      </c>
      <c r="C1309">
        <v>103</v>
      </c>
      <c r="D1309">
        <v>46</v>
      </c>
      <c r="E1309" t="s">
        <v>1312</v>
      </c>
    </row>
    <row r="1310" spans="1:5">
      <c r="A1310">
        <f>HYPERLINK("http://www.twitter.com/NYCParks/status/709450350256848896", "709450350256848896")</f>
        <v>0</v>
      </c>
      <c r="B1310" s="2">
        <v>42443.7814699074</v>
      </c>
      <c r="C1310">
        <v>19</v>
      </c>
      <c r="D1310">
        <v>9</v>
      </c>
      <c r="E1310" t="s">
        <v>1313</v>
      </c>
    </row>
    <row r="1311" spans="1:5">
      <c r="A1311">
        <f>HYPERLINK("http://www.twitter.com/NYCParks/status/709431525620711424", "709431525620711424")</f>
        <v>0</v>
      </c>
      <c r="B1311" s="2">
        <v>42443.7295138889</v>
      </c>
      <c r="C1311">
        <v>23</v>
      </c>
      <c r="D1311">
        <v>13</v>
      </c>
      <c r="E1311" t="s">
        <v>1314</v>
      </c>
    </row>
    <row r="1312" spans="1:5">
      <c r="A1312">
        <f>HYPERLINK("http://www.twitter.com/NYCParks/status/709415090232147969", "709415090232147969")</f>
        <v>0</v>
      </c>
      <c r="B1312" s="2">
        <v>42443.6841666667</v>
      </c>
      <c r="C1312">
        <v>20</v>
      </c>
      <c r="D1312">
        <v>9</v>
      </c>
      <c r="E1312" t="s">
        <v>1315</v>
      </c>
    </row>
    <row r="1313" spans="1:5">
      <c r="A1313">
        <f>HYPERLINK("http://www.twitter.com/NYCParks/status/709399618304483328", "709399618304483328")</f>
        <v>0</v>
      </c>
      <c r="B1313" s="2">
        <v>42443.6414699074</v>
      </c>
      <c r="C1313">
        <v>0</v>
      </c>
      <c r="D1313">
        <v>13</v>
      </c>
      <c r="E1313" t="s">
        <v>1316</v>
      </c>
    </row>
    <row r="1314" spans="1:5">
      <c r="A1314">
        <f>HYPERLINK("http://www.twitter.com/NYCParks/status/708434380486737920", "708434380486737920")</f>
        <v>0</v>
      </c>
      <c r="B1314" s="2">
        <v>42440.9779282407</v>
      </c>
      <c r="C1314">
        <v>25</v>
      </c>
      <c r="D1314">
        <v>14</v>
      </c>
      <c r="E1314" t="s">
        <v>1317</v>
      </c>
    </row>
    <row r="1315" spans="1:5">
      <c r="A1315">
        <f>HYPERLINK("http://www.twitter.com/NYCParks/status/708383301812264960", "708383301812264960")</f>
        <v>0</v>
      </c>
      <c r="B1315" s="2">
        <v>42440.8369675926</v>
      </c>
      <c r="C1315">
        <v>10</v>
      </c>
      <c r="D1315">
        <v>4</v>
      </c>
      <c r="E1315" t="s">
        <v>1318</v>
      </c>
    </row>
    <row r="1316" spans="1:5">
      <c r="A1316">
        <f>HYPERLINK("http://www.twitter.com/NYCParks/status/708369445794746368", "708369445794746368")</f>
        <v>0</v>
      </c>
      <c r="B1316" s="2">
        <v>42440.7987384259</v>
      </c>
      <c r="C1316">
        <v>13</v>
      </c>
      <c r="D1316">
        <v>9</v>
      </c>
      <c r="E1316" t="s">
        <v>1319</v>
      </c>
    </row>
    <row r="1317" spans="1:5">
      <c r="A1317">
        <f>HYPERLINK("http://www.twitter.com/NYCParks/status/708360621356683264", "708360621356683264")</f>
        <v>0</v>
      </c>
      <c r="B1317" s="2">
        <v>42440.7743865741</v>
      </c>
      <c r="C1317">
        <v>21</v>
      </c>
      <c r="D1317">
        <v>19</v>
      </c>
      <c r="E1317" t="s">
        <v>1320</v>
      </c>
    </row>
    <row r="1318" spans="1:5">
      <c r="A1318">
        <f>HYPERLINK("http://www.twitter.com/NYCParks/status/708351584103702528", "708351584103702528")</f>
        <v>0</v>
      </c>
      <c r="B1318" s="2">
        <v>42440.7494444444</v>
      </c>
      <c r="C1318">
        <v>16</v>
      </c>
      <c r="D1318">
        <v>12</v>
      </c>
      <c r="E1318" t="s">
        <v>1321</v>
      </c>
    </row>
    <row r="1319" spans="1:5">
      <c r="A1319">
        <f>HYPERLINK("http://www.twitter.com/NYCParks/status/708331086716256256", "708331086716256256")</f>
        <v>0</v>
      </c>
      <c r="B1319" s="2">
        <v>42440.6928819444</v>
      </c>
      <c r="C1319">
        <v>3</v>
      </c>
      <c r="D1319">
        <v>1</v>
      </c>
      <c r="E1319" t="s">
        <v>1322</v>
      </c>
    </row>
    <row r="1320" spans="1:5">
      <c r="A1320">
        <f>HYPERLINK("http://www.twitter.com/NYCParks/status/708330634998054915", "708330634998054915")</f>
        <v>0</v>
      </c>
      <c r="B1320" s="2">
        <v>42440.6916435185</v>
      </c>
      <c r="C1320">
        <v>0</v>
      </c>
      <c r="D1320">
        <v>0</v>
      </c>
      <c r="E1320" t="s">
        <v>1323</v>
      </c>
    </row>
    <row r="1321" spans="1:5">
      <c r="A1321">
        <f>HYPERLINK("http://www.twitter.com/NYCParks/status/708330250594340864", "708330250594340864")</f>
        <v>0</v>
      </c>
      <c r="B1321" s="2">
        <v>42440.6905787037</v>
      </c>
      <c r="C1321">
        <v>9</v>
      </c>
      <c r="D1321">
        <v>6</v>
      </c>
      <c r="E1321" t="s">
        <v>1324</v>
      </c>
    </row>
    <row r="1322" spans="1:5">
      <c r="A1322">
        <f>HYPERLINK("http://www.twitter.com/NYCParks/status/708028958864965632", "708028958864965632")</f>
        <v>0</v>
      </c>
      <c r="B1322" s="2">
        <v>42439.8591666667</v>
      </c>
      <c r="C1322">
        <v>10</v>
      </c>
      <c r="D1322">
        <v>7</v>
      </c>
      <c r="E1322" t="s">
        <v>1325</v>
      </c>
    </row>
    <row r="1323" spans="1:5">
      <c r="A1323">
        <f>HYPERLINK("http://www.twitter.com/NYCParks/status/708011795923992577", "708011795923992577")</f>
        <v>0</v>
      </c>
      <c r="B1323" s="2">
        <v>42439.8118171296</v>
      </c>
      <c r="C1323">
        <v>24</v>
      </c>
      <c r="D1323">
        <v>13</v>
      </c>
      <c r="E1323" t="s">
        <v>1326</v>
      </c>
    </row>
    <row r="1324" spans="1:5">
      <c r="A1324">
        <f>HYPERLINK("http://www.twitter.com/NYCParks/status/707997210613583872", "707997210613583872")</f>
        <v>0</v>
      </c>
      <c r="B1324" s="2">
        <v>42439.7715625</v>
      </c>
      <c r="C1324">
        <v>7</v>
      </c>
      <c r="D1324">
        <v>4</v>
      </c>
      <c r="E1324" t="s">
        <v>1327</v>
      </c>
    </row>
    <row r="1325" spans="1:5">
      <c r="A1325">
        <f>HYPERLINK("http://www.twitter.com/NYCParks/status/707955611275829253", "707955611275829253")</f>
        <v>0</v>
      </c>
      <c r="B1325" s="2">
        <v>42439.6567708333</v>
      </c>
      <c r="C1325">
        <v>38</v>
      </c>
      <c r="D1325">
        <v>16</v>
      </c>
      <c r="E1325" t="s">
        <v>1328</v>
      </c>
    </row>
    <row r="1326" spans="1:5">
      <c r="A1326">
        <f>HYPERLINK("http://www.twitter.com/NYCParks/status/707940432894943232", "707940432894943232")</f>
        <v>0</v>
      </c>
      <c r="B1326" s="2">
        <v>42439.6148842593</v>
      </c>
      <c r="C1326">
        <v>30</v>
      </c>
      <c r="D1326">
        <v>9</v>
      </c>
      <c r="E1326" t="s">
        <v>1329</v>
      </c>
    </row>
    <row r="1327" spans="1:5">
      <c r="A1327">
        <f>HYPERLINK("http://www.twitter.com/NYCParks/status/707670500466679809", "707670500466679809")</f>
        <v>0</v>
      </c>
      <c r="B1327" s="2">
        <v>42438.8700115741</v>
      </c>
      <c r="C1327">
        <v>45</v>
      </c>
      <c r="D1327">
        <v>11</v>
      </c>
      <c r="E1327" t="s">
        <v>1330</v>
      </c>
    </row>
    <row r="1328" spans="1:5">
      <c r="A1328">
        <f>HYPERLINK("http://www.twitter.com/NYCParks/status/707662419078868992", "707662419078868992")</f>
        <v>0</v>
      </c>
      <c r="B1328" s="2">
        <v>42438.8477199074</v>
      </c>
      <c r="C1328">
        <v>1</v>
      </c>
      <c r="D1328">
        <v>0</v>
      </c>
      <c r="E1328" t="s">
        <v>1331</v>
      </c>
    </row>
    <row r="1329" spans="1:5">
      <c r="A1329">
        <f>HYPERLINK("http://www.twitter.com/NYCParks/status/707662101486182401", "707662101486182401")</f>
        <v>0</v>
      </c>
      <c r="B1329" s="2">
        <v>42438.8468402778</v>
      </c>
      <c r="C1329">
        <v>1</v>
      </c>
      <c r="D1329">
        <v>0</v>
      </c>
      <c r="E1329" t="s">
        <v>1332</v>
      </c>
    </row>
    <row r="1330" spans="1:5">
      <c r="A1330">
        <f>HYPERLINK("http://www.twitter.com/NYCParks/status/707661189359210497", "707661189359210497")</f>
        <v>0</v>
      </c>
      <c r="B1330" s="2">
        <v>42438.8443171296</v>
      </c>
      <c r="C1330">
        <v>24</v>
      </c>
      <c r="D1330">
        <v>8</v>
      </c>
      <c r="E1330" t="s">
        <v>1333</v>
      </c>
    </row>
    <row r="1331" spans="1:5">
      <c r="A1331">
        <f>HYPERLINK("http://www.twitter.com/NYCParks/status/707645233803169793", "707645233803169793")</f>
        <v>0</v>
      </c>
      <c r="B1331" s="2">
        <v>42438.8002893518</v>
      </c>
      <c r="C1331">
        <v>0</v>
      </c>
      <c r="D1331">
        <v>15</v>
      </c>
      <c r="E1331" t="s">
        <v>1334</v>
      </c>
    </row>
    <row r="1332" spans="1:5">
      <c r="A1332">
        <f>HYPERLINK("http://www.twitter.com/NYCParks/status/707643917156614144", "707643917156614144")</f>
        <v>0</v>
      </c>
      <c r="B1332" s="2">
        <v>42438.7966550926</v>
      </c>
      <c r="C1332">
        <v>0</v>
      </c>
      <c r="D1332">
        <v>0</v>
      </c>
      <c r="E1332" t="s">
        <v>1335</v>
      </c>
    </row>
    <row r="1333" spans="1:5">
      <c r="A1333">
        <f>HYPERLINK("http://www.twitter.com/NYCParks/status/707638311632896002", "707638311632896002")</f>
        <v>0</v>
      </c>
      <c r="B1333" s="2">
        <v>42438.7811921296</v>
      </c>
      <c r="C1333">
        <v>35</v>
      </c>
      <c r="D1333">
        <v>11</v>
      </c>
      <c r="E1333" t="s">
        <v>1336</v>
      </c>
    </row>
    <row r="1334" spans="1:5">
      <c r="A1334">
        <f>HYPERLINK("http://www.twitter.com/NYCParks/status/707625735679303680", "707625735679303680")</f>
        <v>0</v>
      </c>
      <c r="B1334" s="2">
        <v>42438.7464930556</v>
      </c>
      <c r="C1334">
        <v>7</v>
      </c>
      <c r="D1334">
        <v>4</v>
      </c>
      <c r="E1334" t="s">
        <v>1337</v>
      </c>
    </row>
    <row r="1335" spans="1:5">
      <c r="A1335">
        <f>HYPERLINK("http://www.twitter.com/NYCParks/status/707614148251820032", "707614148251820032")</f>
        <v>0</v>
      </c>
      <c r="B1335" s="2">
        <v>42438.7145138889</v>
      </c>
      <c r="C1335">
        <v>13</v>
      </c>
      <c r="D1335">
        <v>12</v>
      </c>
      <c r="E1335" t="s">
        <v>1338</v>
      </c>
    </row>
    <row r="1336" spans="1:5">
      <c r="A1336">
        <f>HYPERLINK("http://www.twitter.com/NYCParks/status/707310663643824129", "707310663643824129")</f>
        <v>0</v>
      </c>
      <c r="B1336" s="2">
        <v>42437.8770601852</v>
      </c>
      <c r="C1336">
        <v>12</v>
      </c>
      <c r="D1336">
        <v>4</v>
      </c>
      <c r="E1336" t="s">
        <v>1339</v>
      </c>
    </row>
    <row r="1337" spans="1:5">
      <c r="A1337">
        <f>HYPERLINK("http://www.twitter.com/NYCParks/status/707296133329100801", "707296133329100801")</f>
        <v>0</v>
      </c>
      <c r="B1337" s="2">
        <v>42437.8369560185</v>
      </c>
      <c r="C1337">
        <v>17</v>
      </c>
      <c r="D1337">
        <v>6</v>
      </c>
      <c r="E1337" t="s">
        <v>1340</v>
      </c>
    </row>
    <row r="1338" spans="1:5">
      <c r="A1338">
        <f>HYPERLINK("http://www.twitter.com/NYCParks/status/707282267513745408", "707282267513745408")</f>
        <v>0</v>
      </c>
      <c r="B1338" s="2">
        <v>42437.7986921296</v>
      </c>
      <c r="C1338">
        <v>17</v>
      </c>
      <c r="D1338">
        <v>9</v>
      </c>
      <c r="E1338" t="s">
        <v>1341</v>
      </c>
    </row>
    <row r="1339" spans="1:5">
      <c r="A1339">
        <f>HYPERLINK("http://www.twitter.com/NYCParks/status/707259645790969856", "707259645790969856")</f>
        <v>0</v>
      </c>
      <c r="B1339" s="2">
        <v>42437.7362731481</v>
      </c>
      <c r="C1339">
        <v>11</v>
      </c>
      <c r="D1339">
        <v>17</v>
      </c>
      <c r="E1339" t="s">
        <v>1342</v>
      </c>
    </row>
    <row r="1340" spans="1:5">
      <c r="A1340">
        <f>HYPERLINK("http://www.twitter.com/NYCParks/status/707249673774489600", "707249673774489600")</f>
        <v>0</v>
      </c>
      <c r="B1340" s="2">
        <v>42437.70875</v>
      </c>
      <c r="C1340">
        <v>28</v>
      </c>
      <c r="D1340">
        <v>11</v>
      </c>
      <c r="E1340" t="s">
        <v>1343</v>
      </c>
    </row>
    <row r="1341" spans="1:5">
      <c r="A1341">
        <f>HYPERLINK("http://www.twitter.com/NYCParks/status/707240856080793601", "707240856080793601")</f>
        <v>0</v>
      </c>
      <c r="B1341" s="2">
        <v>42437.6844212963</v>
      </c>
      <c r="C1341">
        <v>45</v>
      </c>
      <c r="D1341">
        <v>31</v>
      </c>
      <c r="E1341" t="s">
        <v>1344</v>
      </c>
    </row>
    <row r="1342" spans="1:5">
      <c r="A1342">
        <f>HYPERLINK("http://www.twitter.com/NYCParks/status/706963622392627205", "706963622392627205")</f>
        <v>0</v>
      </c>
      <c r="B1342" s="2">
        <v>42436.9193981482</v>
      </c>
      <c r="C1342">
        <v>1</v>
      </c>
      <c r="D1342">
        <v>0</v>
      </c>
      <c r="E1342" t="s">
        <v>1345</v>
      </c>
    </row>
    <row r="1343" spans="1:5">
      <c r="A1343">
        <f>HYPERLINK("http://www.twitter.com/NYCParks/status/706954478361157632", "706954478361157632")</f>
        <v>0</v>
      </c>
      <c r="B1343" s="2">
        <v>42436.8941666667</v>
      </c>
      <c r="C1343">
        <v>0</v>
      </c>
      <c r="D1343">
        <v>0</v>
      </c>
      <c r="E1343" t="s">
        <v>1346</v>
      </c>
    </row>
    <row r="1344" spans="1:5">
      <c r="A1344">
        <f>HYPERLINK("http://www.twitter.com/NYCParks/status/706951527450198016", "706951527450198016")</f>
        <v>0</v>
      </c>
      <c r="B1344" s="2">
        <v>42436.8860300926</v>
      </c>
      <c r="C1344">
        <v>34</v>
      </c>
      <c r="D1344">
        <v>27</v>
      </c>
      <c r="E1344" t="s">
        <v>1347</v>
      </c>
    </row>
    <row r="1345" spans="1:5">
      <c r="A1345">
        <f>HYPERLINK("http://www.twitter.com/NYCParks/status/706927241314304001", "706927241314304001")</f>
        <v>0</v>
      </c>
      <c r="B1345" s="2">
        <v>42436.8190162037</v>
      </c>
      <c r="C1345">
        <v>27</v>
      </c>
      <c r="D1345">
        <v>19</v>
      </c>
      <c r="E1345" t="s">
        <v>1348</v>
      </c>
    </row>
    <row r="1346" spans="1:5">
      <c r="A1346">
        <f>HYPERLINK("http://www.twitter.com/NYCParks/status/706915452686098433", "706915452686098433")</f>
        <v>0</v>
      </c>
      <c r="B1346" s="2">
        <v>42436.7864814815</v>
      </c>
      <c r="C1346">
        <v>14</v>
      </c>
      <c r="D1346">
        <v>5</v>
      </c>
      <c r="E1346" t="s">
        <v>1349</v>
      </c>
    </row>
    <row r="1347" spans="1:5">
      <c r="A1347">
        <f>HYPERLINK("http://www.twitter.com/NYCParks/status/706902316264398848", "706902316264398848")</f>
        <v>0</v>
      </c>
      <c r="B1347" s="2">
        <v>42436.7502314815</v>
      </c>
      <c r="C1347">
        <v>15</v>
      </c>
      <c r="D1347">
        <v>6</v>
      </c>
      <c r="E1347" t="s">
        <v>1350</v>
      </c>
    </row>
    <row r="1348" spans="1:5">
      <c r="A1348">
        <f>HYPERLINK("http://www.twitter.com/NYCParks/status/706866980830183426", "706866980830183426")</f>
        <v>0</v>
      </c>
      <c r="B1348" s="2">
        <v>42436.6527199074</v>
      </c>
      <c r="C1348">
        <v>0</v>
      </c>
      <c r="D1348">
        <v>0</v>
      </c>
      <c r="E1348" t="s">
        <v>1351</v>
      </c>
    </row>
    <row r="1349" spans="1:5">
      <c r="A1349">
        <f>HYPERLINK("http://www.twitter.com/NYCParks/status/706866530299076608", "706866530299076608")</f>
        <v>0</v>
      </c>
      <c r="B1349" s="2">
        <v>42436.6514814815</v>
      </c>
      <c r="C1349">
        <v>2</v>
      </c>
      <c r="D1349">
        <v>6</v>
      </c>
      <c r="E1349" t="s">
        <v>1352</v>
      </c>
    </row>
    <row r="1350" spans="1:5">
      <c r="A1350">
        <f>HYPERLINK("http://www.twitter.com/NYCParks/status/706615462877077504", "706615462877077504")</f>
        <v>0</v>
      </c>
      <c r="B1350" s="2">
        <v>42435.9586689815</v>
      </c>
      <c r="C1350">
        <v>3</v>
      </c>
      <c r="D1350">
        <v>1</v>
      </c>
      <c r="E1350" t="s">
        <v>1353</v>
      </c>
    </row>
    <row r="1351" spans="1:5">
      <c r="A1351">
        <f>HYPERLINK("http://www.twitter.com/NYCParks/status/706612105064144896", "706612105064144896")</f>
        <v>0</v>
      </c>
      <c r="B1351" s="2">
        <v>42435.9493981482</v>
      </c>
      <c r="C1351">
        <v>17</v>
      </c>
      <c r="D1351">
        <v>4</v>
      </c>
      <c r="E1351" t="s">
        <v>1354</v>
      </c>
    </row>
    <row r="1352" spans="1:5">
      <c r="A1352">
        <f>HYPERLINK("http://www.twitter.com/NYCParks/status/705834101392220160", "705834101392220160")</f>
        <v>0</v>
      </c>
      <c r="B1352" s="2">
        <v>42433.8025231482</v>
      </c>
      <c r="C1352">
        <v>25</v>
      </c>
      <c r="D1352">
        <v>9</v>
      </c>
      <c r="E1352" t="s">
        <v>1355</v>
      </c>
    </row>
    <row r="1353" spans="1:5">
      <c r="A1353">
        <f>HYPERLINK("http://www.twitter.com/NYCParks/status/705817747448569856", "705817747448569856")</f>
        <v>0</v>
      </c>
      <c r="B1353" s="2">
        <v>42433.7573958333</v>
      </c>
      <c r="C1353">
        <v>52</v>
      </c>
      <c r="D1353">
        <v>60</v>
      </c>
      <c r="E1353" t="s">
        <v>1356</v>
      </c>
    </row>
    <row r="1354" spans="1:5">
      <c r="A1354">
        <f>HYPERLINK("http://www.twitter.com/NYCParks/status/705801487365087232", "705801487365087232")</f>
        <v>0</v>
      </c>
      <c r="B1354" s="2">
        <v>42433.7125231481</v>
      </c>
      <c r="C1354">
        <v>6</v>
      </c>
      <c r="D1354">
        <v>7</v>
      </c>
      <c r="E1354" t="s">
        <v>1357</v>
      </c>
    </row>
    <row r="1355" spans="1:5">
      <c r="A1355">
        <f>HYPERLINK("http://www.twitter.com/NYCParks/status/705785502918680577", "705785502918680577")</f>
        <v>0</v>
      </c>
      <c r="B1355" s="2">
        <v>42433.6684143519</v>
      </c>
      <c r="C1355">
        <v>36</v>
      </c>
      <c r="D1355">
        <v>16</v>
      </c>
      <c r="E1355" t="s">
        <v>1358</v>
      </c>
    </row>
    <row r="1356" spans="1:5">
      <c r="A1356">
        <f>HYPERLINK("http://www.twitter.com/NYCParks/status/705768664193228800", "705768664193228800")</f>
        <v>0</v>
      </c>
      <c r="B1356" s="2">
        <v>42433.6219444444</v>
      </c>
      <c r="C1356">
        <v>0</v>
      </c>
      <c r="D1356">
        <v>10</v>
      </c>
      <c r="E1356" t="s">
        <v>1359</v>
      </c>
    </row>
    <row r="1357" spans="1:5">
      <c r="A1357">
        <f>HYPERLINK("http://www.twitter.com/NYCParks/status/705517422044946434", "705517422044946434")</f>
        <v>0</v>
      </c>
      <c r="B1357" s="2">
        <v>42432.9286458333</v>
      </c>
      <c r="C1357">
        <v>379</v>
      </c>
      <c r="D1357">
        <v>120</v>
      </c>
      <c r="E1357" t="s">
        <v>1360</v>
      </c>
    </row>
    <row r="1358" spans="1:5">
      <c r="A1358">
        <f>HYPERLINK("http://www.twitter.com/NYCParks/status/705515887181357057", "705515887181357057")</f>
        <v>0</v>
      </c>
      <c r="B1358" s="2">
        <v>42432.9244212963</v>
      </c>
      <c r="C1358">
        <v>0</v>
      </c>
      <c r="D1358">
        <v>0</v>
      </c>
      <c r="E1358" t="s">
        <v>1361</v>
      </c>
    </row>
    <row r="1359" spans="1:5">
      <c r="A1359">
        <f>HYPERLINK("http://www.twitter.com/NYCParks/status/705498295653830658", "705498295653830658")</f>
        <v>0</v>
      </c>
      <c r="B1359" s="2">
        <v>42432.8758680556</v>
      </c>
      <c r="C1359">
        <v>13</v>
      </c>
      <c r="D1359">
        <v>4</v>
      </c>
      <c r="E1359" t="s">
        <v>1362</v>
      </c>
    </row>
    <row r="1360" spans="1:5">
      <c r="A1360">
        <f>HYPERLINK("http://www.twitter.com/NYCParks/status/705483219597205505", "705483219597205505")</f>
        <v>0</v>
      </c>
      <c r="B1360" s="2">
        <v>42432.8342708333</v>
      </c>
      <c r="C1360">
        <v>11</v>
      </c>
      <c r="D1360">
        <v>7</v>
      </c>
      <c r="E1360" t="s">
        <v>1363</v>
      </c>
    </row>
    <row r="1361" spans="1:5">
      <c r="A1361">
        <f>HYPERLINK("http://www.twitter.com/NYCParks/status/705470808903315460", "705470808903315460")</f>
        <v>0</v>
      </c>
      <c r="B1361" s="2">
        <v>42432.8000231481</v>
      </c>
      <c r="C1361">
        <v>7</v>
      </c>
      <c r="D1361">
        <v>1</v>
      </c>
      <c r="E1361" t="s">
        <v>1364</v>
      </c>
    </row>
    <row r="1362" spans="1:5">
      <c r="A1362">
        <f>HYPERLINK("http://www.twitter.com/NYCParks/status/705470640145489922", "705470640145489922")</f>
        <v>0</v>
      </c>
      <c r="B1362" s="2">
        <v>42432.7995601852</v>
      </c>
      <c r="C1362">
        <v>6</v>
      </c>
      <c r="D1362">
        <v>1</v>
      </c>
      <c r="E1362" t="s">
        <v>1365</v>
      </c>
    </row>
    <row r="1363" spans="1:5">
      <c r="A1363">
        <f>HYPERLINK("http://www.twitter.com/NYCParks/status/705470554095153152", "705470554095153152")</f>
        <v>0</v>
      </c>
      <c r="B1363" s="2">
        <v>42432.7993171296</v>
      </c>
      <c r="C1363">
        <v>10</v>
      </c>
      <c r="D1363">
        <v>3</v>
      </c>
      <c r="E1363" t="s">
        <v>1366</v>
      </c>
    </row>
    <row r="1364" spans="1:5">
      <c r="A1364">
        <f>HYPERLINK("http://www.twitter.com/NYCParks/status/705456528833318916", "705456528833318916")</f>
        <v>0</v>
      </c>
      <c r="B1364" s="2">
        <v>42432.7606134259</v>
      </c>
      <c r="C1364">
        <v>6</v>
      </c>
      <c r="D1364">
        <v>7</v>
      </c>
      <c r="E1364" t="s">
        <v>1367</v>
      </c>
    </row>
    <row r="1365" spans="1:5">
      <c r="A1365">
        <f>HYPERLINK("http://www.twitter.com/NYCParks/status/705442589445586944", "705442589445586944")</f>
        <v>0</v>
      </c>
      <c r="B1365" s="2">
        <v>42432.7221527778</v>
      </c>
      <c r="C1365">
        <v>14</v>
      </c>
      <c r="D1365">
        <v>8</v>
      </c>
      <c r="E1365" t="s">
        <v>1368</v>
      </c>
    </row>
    <row r="1366" spans="1:5">
      <c r="A1366">
        <f>HYPERLINK("http://www.twitter.com/NYCParks/status/705422588047204354", "705422588047204354")</f>
        <v>0</v>
      </c>
      <c r="B1366" s="2">
        <v>42432.6669560185</v>
      </c>
      <c r="C1366">
        <v>12</v>
      </c>
      <c r="D1366">
        <v>11</v>
      </c>
      <c r="E1366" t="s">
        <v>1369</v>
      </c>
    </row>
    <row r="1367" spans="1:5">
      <c r="A1367">
        <f>HYPERLINK("http://www.twitter.com/NYCParks/status/705151324770451456", "705151324770451456")</f>
        <v>0</v>
      </c>
      <c r="B1367" s="2">
        <v>42431.9184143519</v>
      </c>
      <c r="C1367">
        <v>5</v>
      </c>
      <c r="D1367">
        <v>8</v>
      </c>
      <c r="E1367" t="s">
        <v>1370</v>
      </c>
    </row>
    <row r="1368" spans="1:5">
      <c r="A1368">
        <f>HYPERLINK("http://www.twitter.com/NYCParks/status/705130822865723392", "705130822865723392")</f>
        <v>0</v>
      </c>
      <c r="B1368" s="2">
        <v>42431.8618402778</v>
      </c>
      <c r="C1368">
        <v>51</v>
      </c>
      <c r="D1368">
        <v>30</v>
      </c>
      <c r="E1368" t="s">
        <v>1371</v>
      </c>
    </row>
    <row r="1369" spans="1:5">
      <c r="A1369">
        <f>HYPERLINK("http://www.twitter.com/NYCParks/status/705110553736388613", "705110553736388613")</f>
        <v>0</v>
      </c>
      <c r="B1369" s="2">
        <v>42431.8059027778</v>
      </c>
      <c r="C1369">
        <v>8</v>
      </c>
      <c r="D1369">
        <v>4</v>
      </c>
      <c r="E1369" t="s">
        <v>1372</v>
      </c>
    </row>
    <row r="1370" spans="1:5">
      <c r="A1370">
        <f>HYPERLINK("http://www.twitter.com/NYCParks/status/705094269518872576", "705094269518872576")</f>
        <v>0</v>
      </c>
      <c r="B1370" s="2">
        <v>42431.7609722222</v>
      </c>
      <c r="C1370">
        <v>2</v>
      </c>
      <c r="D1370">
        <v>0</v>
      </c>
      <c r="E1370" t="s">
        <v>1373</v>
      </c>
    </row>
    <row r="1371" spans="1:5">
      <c r="A1371">
        <f>HYPERLINK("http://www.twitter.com/NYCParks/status/705094159426842624", "705094159426842624")</f>
        <v>0</v>
      </c>
      <c r="B1371" s="2">
        <v>42431.7606712963</v>
      </c>
      <c r="C1371">
        <v>23</v>
      </c>
      <c r="D1371">
        <v>9</v>
      </c>
      <c r="E1371" t="s">
        <v>1374</v>
      </c>
    </row>
    <row r="1372" spans="1:5">
      <c r="A1372">
        <f>HYPERLINK("http://www.twitter.com/NYCParks/status/705094021195145216", "705094021195145216")</f>
        <v>0</v>
      </c>
      <c r="B1372" s="2">
        <v>42431.7602893518</v>
      </c>
      <c r="C1372">
        <v>1</v>
      </c>
      <c r="D1372">
        <v>0</v>
      </c>
      <c r="E1372" t="s">
        <v>1375</v>
      </c>
    </row>
    <row r="1373" spans="1:5">
      <c r="A1373">
        <f>HYPERLINK("http://www.twitter.com/NYCParks/status/705077800638746624", "705077800638746624")</f>
        <v>0</v>
      </c>
      <c r="B1373" s="2">
        <v>42431.7155324074</v>
      </c>
      <c r="C1373">
        <v>5</v>
      </c>
      <c r="D1373">
        <v>4</v>
      </c>
      <c r="E1373" t="s">
        <v>1376</v>
      </c>
    </row>
    <row r="1374" spans="1:5">
      <c r="A1374">
        <f>HYPERLINK("http://www.twitter.com/NYCParks/status/705061400901754882", "705061400901754882")</f>
        <v>0</v>
      </c>
      <c r="B1374" s="2">
        <v>42431.6702777778</v>
      </c>
      <c r="C1374">
        <v>16</v>
      </c>
      <c r="D1374">
        <v>5</v>
      </c>
      <c r="E1374" t="s">
        <v>1377</v>
      </c>
    </row>
    <row r="1375" spans="1:5">
      <c r="A1375">
        <f>HYPERLINK("http://www.twitter.com/NYCParks/status/704763221186650112", "704763221186650112")</f>
        <v>0</v>
      </c>
      <c r="B1375" s="2">
        <v>42430.8474537037</v>
      </c>
      <c r="C1375">
        <v>40</v>
      </c>
      <c r="D1375">
        <v>21</v>
      </c>
      <c r="E1375" t="s">
        <v>1378</v>
      </c>
    </row>
    <row r="1376" spans="1:5">
      <c r="A1376">
        <f>HYPERLINK("http://www.twitter.com/NYCParks/status/704746888105476096", "704746888105476096")</f>
        <v>0</v>
      </c>
      <c r="B1376" s="2">
        <v>42430.8023842593</v>
      </c>
      <c r="C1376">
        <v>8</v>
      </c>
      <c r="D1376">
        <v>5</v>
      </c>
      <c r="E1376" t="s">
        <v>1379</v>
      </c>
    </row>
    <row r="1377" spans="1:5">
      <c r="A1377">
        <f>HYPERLINK("http://www.twitter.com/NYCParks/status/704730508551393280", "704730508551393280")</f>
        <v>0</v>
      </c>
      <c r="B1377" s="2">
        <v>42430.7571875</v>
      </c>
      <c r="C1377">
        <v>26</v>
      </c>
      <c r="D1377">
        <v>23</v>
      </c>
      <c r="E1377" t="s">
        <v>1380</v>
      </c>
    </row>
    <row r="1378" spans="1:5">
      <c r="A1378">
        <f>HYPERLINK("http://www.twitter.com/NYCParks/status/704712939325038594", "704712939325038594")</f>
        <v>0</v>
      </c>
      <c r="B1378" s="2">
        <v>42430.7087037037</v>
      </c>
      <c r="C1378">
        <v>0</v>
      </c>
      <c r="D1378">
        <v>13</v>
      </c>
      <c r="E1378" t="s">
        <v>1381</v>
      </c>
    </row>
    <row r="1379" spans="1:5">
      <c r="A1379">
        <f>HYPERLINK("http://www.twitter.com/NYCParks/status/704697851989921798", "704697851989921798")</f>
        <v>0</v>
      </c>
      <c r="B1379" s="2">
        <v>42430.6670717593</v>
      </c>
      <c r="C1379">
        <v>7</v>
      </c>
      <c r="D1379">
        <v>16</v>
      </c>
      <c r="E1379" t="s">
        <v>1382</v>
      </c>
    </row>
    <row r="1380" spans="1:5">
      <c r="A1380">
        <f>HYPERLINK("http://www.twitter.com/NYCParks/status/704411104575881219", "704411104575881219")</f>
        <v>0</v>
      </c>
      <c r="B1380" s="2">
        <v>42429.8757986111</v>
      </c>
      <c r="C1380">
        <v>29</v>
      </c>
      <c r="D1380">
        <v>11</v>
      </c>
      <c r="E1380" t="s">
        <v>1383</v>
      </c>
    </row>
    <row r="1381" spans="1:5">
      <c r="A1381">
        <f>HYPERLINK("http://www.twitter.com/NYCParks/status/704396038065545216", "704396038065545216")</f>
        <v>0</v>
      </c>
      <c r="B1381" s="2">
        <v>42429.834224537</v>
      </c>
      <c r="C1381">
        <v>31</v>
      </c>
      <c r="D1381">
        <v>21</v>
      </c>
      <c r="E1381" t="s">
        <v>1384</v>
      </c>
    </row>
    <row r="1382" spans="1:5">
      <c r="A1382">
        <f>HYPERLINK("http://www.twitter.com/NYCParks/status/704380886633070592", "704380886633070592")</f>
        <v>0</v>
      </c>
      <c r="B1382" s="2">
        <v>42429.7924074074</v>
      </c>
      <c r="C1382">
        <v>12</v>
      </c>
      <c r="D1382">
        <v>2</v>
      </c>
      <c r="E1382" t="s">
        <v>1385</v>
      </c>
    </row>
    <row r="1383" spans="1:5">
      <c r="A1383">
        <f>HYPERLINK("http://www.twitter.com/NYCParks/status/704365748655951872", "704365748655951872")</f>
        <v>0</v>
      </c>
      <c r="B1383" s="2">
        <v>42429.7506365741</v>
      </c>
      <c r="C1383">
        <v>19</v>
      </c>
      <c r="D1383">
        <v>15</v>
      </c>
      <c r="E1383" t="s">
        <v>1386</v>
      </c>
    </row>
    <row r="1384" spans="1:5">
      <c r="A1384">
        <f>HYPERLINK("http://www.twitter.com/NYCParks/status/704355681378418688", "704355681378418688")</f>
        <v>0</v>
      </c>
      <c r="B1384" s="2">
        <v>42429.7228587963</v>
      </c>
      <c r="C1384">
        <v>4</v>
      </c>
      <c r="D1384">
        <v>2</v>
      </c>
      <c r="E1384" t="s">
        <v>1387</v>
      </c>
    </row>
    <row r="1385" spans="1:5">
      <c r="A1385">
        <f>HYPERLINK("http://www.twitter.com/NYCParks/status/704350547676155905", "704350547676155905")</f>
        <v>0</v>
      </c>
      <c r="B1385" s="2">
        <v>42429.7086921296</v>
      </c>
      <c r="C1385">
        <v>3</v>
      </c>
      <c r="D1385">
        <v>3</v>
      </c>
      <c r="E1385" t="s">
        <v>1388</v>
      </c>
    </row>
    <row r="1386" spans="1:5">
      <c r="A1386">
        <f>HYPERLINK("http://www.twitter.com/NYCParks/status/704334890196713473", "704334890196713473")</f>
        <v>0</v>
      </c>
      <c r="B1386" s="2">
        <v>42429.6654861111</v>
      </c>
      <c r="C1386">
        <v>51</v>
      </c>
      <c r="D1386">
        <v>18</v>
      </c>
      <c r="E1386" t="s">
        <v>1389</v>
      </c>
    </row>
    <row r="1387" spans="1:5">
      <c r="A1387">
        <f>HYPERLINK("http://www.twitter.com/NYCParks/status/704074754412691456", "704074754412691456")</f>
        <v>0</v>
      </c>
      <c r="B1387" s="2">
        <v>42428.947650463</v>
      </c>
      <c r="C1387">
        <v>6</v>
      </c>
      <c r="D1387">
        <v>4</v>
      </c>
      <c r="E1387" t="s">
        <v>1390</v>
      </c>
    </row>
    <row r="1388" spans="1:5">
      <c r="A1388">
        <f>HYPERLINK("http://www.twitter.com/NYCParks/status/704071740184510465", "704071740184510465")</f>
        <v>0</v>
      </c>
      <c r="B1388" s="2">
        <v>42428.9393287037</v>
      </c>
      <c r="C1388">
        <v>12</v>
      </c>
      <c r="D1388">
        <v>7</v>
      </c>
      <c r="E1388" t="s">
        <v>1391</v>
      </c>
    </row>
    <row r="1389" spans="1:5">
      <c r="A1389">
        <f>HYPERLINK("http://www.twitter.com/NYCParks/status/703313685129854977", "703313685129854977")</f>
        <v>0</v>
      </c>
      <c r="B1389" s="2">
        <v>42426.8475</v>
      </c>
      <c r="C1389">
        <v>7</v>
      </c>
      <c r="D1389">
        <v>0</v>
      </c>
      <c r="E1389" t="s">
        <v>1392</v>
      </c>
    </row>
    <row r="1390" spans="1:5">
      <c r="A1390">
        <f>HYPERLINK("http://www.twitter.com/NYCParks/status/703297323930148864", "703297323930148864")</f>
        <v>0</v>
      </c>
      <c r="B1390" s="2">
        <v>42426.802349537</v>
      </c>
      <c r="C1390">
        <v>75</v>
      </c>
      <c r="D1390">
        <v>37</v>
      </c>
      <c r="E1390" t="s">
        <v>1393</v>
      </c>
    </row>
    <row r="1391" spans="1:5">
      <c r="A1391">
        <f>HYPERLINK("http://www.twitter.com/NYCParks/status/703280953096019968", "703280953096019968")</f>
        <v>0</v>
      </c>
      <c r="B1391" s="2">
        <v>42426.7571759259</v>
      </c>
      <c r="C1391">
        <v>22</v>
      </c>
      <c r="D1391">
        <v>14</v>
      </c>
      <c r="E1391" t="s">
        <v>1394</v>
      </c>
    </row>
    <row r="1392" spans="1:5">
      <c r="A1392">
        <f>HYPERLINK("http://www.twitter.com/NYCParks/status/703264630697816065", "703264630697816065")</f>
        <v>0</v>
      </c>
      <c r="B1392" s="2">
        <v>42426.7121296296</v>
      </c>
      <c r="C1392">
        <v>14</v>
      </c>
      <c r="D1392">
        <v>18</v>
      </c>
      <c r="E1392" t="s">
        <v>1395</v>
      </c>
    </row>
    <row r="1393" spans="1:5">
      <c r="A1393">
        <f>HYPERLINK("http://www.twitter.com/NYCParks/status/703250314560937986", "703250314560937986")</f>
        <v>0</v>
      </c>
      <c r="B1393" s="2">
        <v>42426.6726273148</v>
      </c>
      <c r="C1393">
        <v>0</v>
      </c>
      <c r="D1393">
        <v>42</v>
      </c>
      <c r="E1393" t="s">
        <v>1396</v>
      </c>
    </row>
    <row r="1394" spans="1:5">
      <c r="A1394">
        <f>HYPERLINK("http://www.twitter.com/NYCParks/status/702953874924150785", "702953874924150785")</f>
        <v>0</v>
      </c>
      <c r="B1394" s="2">
        <v>42425.8546064815</v>
      </c>
      <c r="C1394">
        <v>39</v>
      </c>
      <c r="D1394">
        <v>22</v>
      </c>
      <c r="E1394" t="s">
        <v>1397</v>
      </c>
    </row>
    <row r="1395" spans="1:5">
      <c r="A1395">
        <f>HYPERLINK("http://www.twitter.com/NYCParks/status/702938854676938752", "702938854676938752")</f>
        <v>0</v>
      </c>
      <c r="B1395" s="2">
        <v>42425.8131597222</v>
      </c>
      <c r="C1395">
        <v>25</v>
      </c>
      <c r="D1395">
        <v>15</v>
      </c>
      <c r="E1395" t="s">
        <v>1398</v>
      </c>
    </row>
    <row r="1396" spans="1:5">
      <c r="A1396">
        <f>HYPERLINK("http://www.twitter.com/NYCParks/status/702923648211013633", "702923648211013633")</f>
        <v>0</v>
      </c>
      <c r="B1396" s="2">
        <v>42425.7712037037</v>
      </c>
      <c r="C1396">
        <v>11</v>
      </c>
      <c r="D1396">
        <v>7</v>
      </c>
      <c r="E1396" t="s">
        <v>1399</v>
      </c>
    </row>
    <row r="1397" spans="1:5">
      <c r="A1397">
        <f>HYPERLINK("http://www.twitter.com/NYCParks/status/702910981069008896", "702910981069008896")</f>
        <v>0</v>
      </c>
      <c r="B1397" s="2">
        <v>42425.7362384259</v>
      </c>
      <c r="C1397">
        <v>14</v>
      </c>
      <c r="D1397">
        <v>4</v>
      </c>
      <c r="E1397" t="s">
        <v>1400</v>
      </c>
    </row>
    <row r="1398" spans="1:5">
      <c r="A1398">
        <f>HYPERLINK("http://www.twitter.com/NYCParks/status/702891267718561794", "702891267718561794")</f>
        <v>0</v>
      </c>
      <c r="B1398" s="2">
        <v>42425.6818402778</v>
      </c>
      <c r="C1398">
        <v>16</v>
      </c>
      <c r="D1398">
        <v>6</v>
      </c>
      <c r="E1398" t="s">
        <v>1401</v>
      </c>
    </row>
    <row r="1399" spans="1:5">
      <c r="A1399">
        <f>HYPERLINK("http://www.twitter.com/NYCParks/status/702599155949182976", "702599155949182976")</f>
        <v>0</v>
      </c>
      <c r="B1399" s="2">
        <v>42424.875775463</v>
      </c>
      <c r="C1399">
        <v>13</v>
      </c>
      <c r="D1399">
        <v>10</v>
      </c>
      <c r="E1399" t="s">
        <v>1402</v>
      </c>
    </row>
    <row r="1400" spans="1:5">
      <c r="A1400">
        <f>HYPERLINK("http://www.twitter.com/NYCParks/status/702584078210605056", "702584078210605056")</f>
        <v>0</v>
      </c>
      <c r="B1400" s="2">
        <v>42424.8341666667</v>
      </c>
      <c r="C1400">
        <v>7</v>
      </c>
      <c r="D1400">
        <v>1</v>
      </c>
      <c r="E1400" t="s">
        <v>1403</v>
      </c>
    </row>
    <row r="1401" spans="1:5">
      <c r="A1401">
        <f>HYPERLINK("http://www.twitter.com/NYCParks/status/702568954577985536", "702568954577985536")</f>
        <v>0</v>
      </c>
      <c r="B1401" s="2">
        <v>42424.7924305556</v>
      </c>
      <c r="C1401">
        <v>13</v>
      </c>
      <c r="D1401">
        <v>5</v>
      </c>
      <c r="E1401" t="s">
        <v>1404</v>
      </c>
    </row>
    <row r="1402" spans="1:5">
      <c r="A1402">
        <f>HYPERLINK("http://www.twitter.com/NYCParks/status/702558389071650817", "702558389071650817")</f>
        <v>0</v>
      </c>
      <c r="B1402" s="2">
        <v>42424.763275463</v>
      </c>
      <c r="C1402">
        <v>1</v>
      </c>
      <c r="D1402">
        <v>1</v>
      </c>
      <c r="E1402" t="s">
        <v>1405</v>
      </c>
    </row>
    <row r="1403" spans="1:5">
      <c r="A1403">
        <f>HYPERLINK("http://www.twitter.com/NYCParks/status/702558274038710273", "702558274038710273")</f>
        <v>0</v>
      </c>
      <c r="B1403" s="2">
        <v>42424.762962963</v>
      </c>
      <c r="C1403">
        <v>0</v>
      </c>
      <c r="D1403">
        <v>1</v>
      </c>
      <c r="E1403" t="s">
        <v>1406</v>
      </c>
    </row>
    <row r="1404" spans="1:5">
      <c r="A1404">
        <f>HYPERLINK("http://www.twitter.com/NYCParks/status/702553782824124417", "702553782824124417")</f>
        <v>0</v>
      </c>
      <c r="B1404" s="2">
        <v>42424.7505671296</v>
      </c>
      <c r="C1404">
        <v>8</v>
      </c>
      <c r="D1404">
        <v>5</v>
      </c>
      <c r="E1404" t="s">
        <v>1407</v>
      </c>
    </row>
    <row r="1405" spans="1:5">
      <c r="A1405">
        <f>HYPERLINK("http://www.twitter.com/NYCParks/status/702538678573395968", "702538678573395968")</f>
        <v>0</v>
      </c>
      <c r="B1405" s="2">
        <v>42424.7088888889</v>
      </c>
      <c r="C1405">
        <v>19</v>
      </c>
      <c r="D1405">
        <v>13</v>
      </c>
      <c r="E1405" t="s">
        <v>1408</v>
      </c>
    </row>
    <row r="1406" spans="1:5">
      <c r="A1406">
        <f>HYPERLINK("http://www.twitter.com/NYCParks/status/702523107496599552", "702523107496599552")</f>
        <v>0</v>
      </c>
      <c r="B1406" s="2">
        <v>42424.6659143519</v>
      </c>
      <c r="C1406">
        <v>0</v>
      </c>
      <c r="D1406">
        <v>53</v>
      </c>
      <c r="E1406" t="s">
        <v>1409</v>
      </c>
    </row>
    <row r="1407" spans="1:5">
      <c r="A1407">
        <f>HYPERLINK("http://www.twitter.com/NYCParks/status/702226502444781568", "702226502444781568")</f>
        <v>0</v>
      </c>
      <c r="B1407" s="2">
        <v>42423.8474421296</v>
      </c>
      <c r="C1407">
        <v>14</v>
      </c>
      <c r="D1407">
        <v>10</v>
      </c>
      <c r="E1407" t="s">
        <v>1410</v>
      </c>
    </row>
    <row r="1408" spans="1:5">
      <c r="A1408">
        <f>HYPERLINK("http://www.twitter.com/NYCParks/status/702210175873191937", "702210175873191937")</f>
        <v>0</v>
      </c>
      <c r="B1408" s="2">
        <v>42423.8023958333</v>
      </c>
      <c r="C1408">
        <v>12</v>
      </c>
      <c r="D1408">
        <v>6</v>
      </c>
      <c r="E1408" t="s">
        <v>1411</v>
      </c>
    </row>
    <row r="1409" spans="1:5">
      <c r="A1409">
        <f>HYPERLINK("http://www.twitter.com/NYCParks/status/702193803973804032", "702193803973804032")</f>
        <v>0</v>
      </c>
      <c r="B1409" s="2">
        <v>42423.7572106481</v>
      </c>
      <c r="C1409">
        <v>16</v>
      </c>
      <c r="D1409">
        <v>0</v>
      </c>
      <c r="E1409" t="s">
        <v>1412</v>
      </c>
    </row>
    <row r="1410" spans="1:5">
      <c r="A1410">
        <f>HYPERLINK("http://www.twitter.com/NYCParks/status/702177575976771584", "702177575976771584")</f>
        <v>0</v>
      </c>
      <c r="B1410" s="2">
        <v>42423.7124305556</v>
      </c>
      <c r="C1410">
        <v>20</v>
      </c>
      <c r="D1410">
        <v>22</v>
      </c>
      <c r="E1410" t="s">
        <v>1413</v>
      </c>
    </row>
    <row r="1411" spans="1:5">
      <c r="A1411">
        <f>HYPERLINK("http://www.twitter.com/NYCParks/status/702162169236946944", "702162169236946944")</f>
        <v>0</v>
      </c>
      <c r="B1411" s="2">
        <v>42423.6699189815</v>
      </c>
      <c r="C1411">
        <v>0</v>
      </c>
      <c r="D1411">
        <v>13</v>
      </c>
      <c r="E1411" t="s">
        <v>1414</v>
      </c>
    </row>
    <row r="1412" spans="1:5">
      <c r="A1412">
        <f>HYPERLINK("http://www.twitter.com/NYCParks/status/701870601363963910", "701870601363963910")</f>
        <v>0</v>
      </c>
      <c r="B1412" s="2">
        <v>42422.8653472222</v>
      </c>
      <c r="C1412">
        <v>14</v>
      </c>
      <c r="D1412">
        <v>7</v>
      </c>
      <c r="E1412" t="s">
        <v>1415</v>
      </c>
    </row>
    <row r="1413" spans="1:5">
      <c r="A1413">
        <f>HYPERLINK("http://www.twitter.com/NYCParks/status/701847777731604480", "701847777731604480")</f>
        <v>0</v>
      </c>
      <c r="B1413" s="2">
        <v>42422.8023611111</v>
      </c>
      <c r="C1413">
        <v>14</v>
      </c>
      <c r="D1413">
        <v>4</v>
      </c>
      <c r="E1413" t="s">
        <v>1416</v>
      </c>
    </row>
    <row r="1414" spans="1:5">
      <c r="A1414">
        <f>HYPERLINK("http://www.twitter.com/NYCParks/status/701831411901267968", "701831411901267968")</f>
        <v>0</v>
      </c>
      <c r="B1414" s="2">
        <v>42422.7571990741</v>
      </c>
      <c r="C1414">
        <v>11</v>
      </c>
      <c r="D1414">
        <v>10</v>
      </c>
      <c r="E1414" t="s">
        <v>1417</v>
      </c>
    </row>
    <row r="1415" spans="1:5">
      <c r="A1415">
        <f>HYPERLINK("http://www.twitter.com/NYCParks/status/701819815254745090", "701819815254745090")</f>
        <v>0</v>
      </c>
      <c r="B1415" s="2">
        <v>42422.7251967593</v>
      </c>
      <c r="C1415">
        <v>0</v>
      </c>
      <c r="D1415">
        <v>0</v>
      </c>
      <c r="E1415" t="s">
        <v>1418</v>
      </c>
    </row>
    <row r="1416" spans="1:5">
      <c r="A1416">
        <f>HYPERLINK("http://www.twitter.com/NYCParks/status/701815030858313728", "701815030858313728")</f>
        <v>0</v>
      </c>
      <c r="B1416" s="2">
        <v>42422.7120023148</v>
      </c>
      <c r="C1416">
        <v>18</v>
      </c>
      <c r="D1416">
        <v>12</v>
      </c>
      <c r="E1416" t="s">
        <v>1419</v>
      </c>
    </row>
    <row r="1417" spans="1:5">
      <c r="A1417">
        <f>HYPERLINK("http://www.twitter.com/NYCParks/status/701800506721771520", "701800506721771520")</f>
        <v>0</v>
      </c>
      <c r="B1417" s="2">
        <v>42422.6719212963</v>
      </c>
      <c r="C1417">
        <v>0</v>
      </c>
      <c r="D1417">
        <v>13</v>
      </c>
      <c r="E1417" t="s">
        <v>1420</v>
      </c>
    </row>
    <row r="1418" spans="1:5">
      <c r="A1418">
        <f>HYPERLINK("http://www.twitter.com/NYCParks/status/700808235364671488", "700808235364671488")</f>
        <v>0</v>
      </c>
      <c r="B1418" s="2">
        <v>42419.9337731482</v>
      </c>
      <c r="C1418">
        <v>10</v>
      </c>
      <c r="D1418">
        <v>7</v>
      </c>
      <c r="E1418" t="s">
        <v>1421</v>
      </c>
    </row>
    <row r="1419" spans="1:5">
      <c r="A1419">
        <f>HYPERLINK("http://www.twitter.com/NYCParks/status/700776982984978433", "700776982984978433")</f>
        <v>0</v>
      </c>
      <c r="B1419" s="2">
        <v>42419.8475347222</v>
      </c>
      <c r="C1419">
        <v>26</v>
      </c>
      <c r="D1419">
        <v>5</v>
      </c>
      <c r="E1419" t="s">
        <v>1422</v>
      </c>
    </row>
    <row r="1420" spans="1:5">
      <c r="A1420">
        <f>HYPERLINK("http://www.twitter.com/NYCParks/status/700760620354895872", "700760620354895872")</f>
        <v>0</v>
      </c>
      <c r="B1420" s="2">
        <v>42419.8023842593</v>
      </c>
      <c r="C1420">
        <v>15</v>
      </c>
      <c r="D1420">
        <v>7</v>
      </c>
      <c r="E1420" t="s">
        <v>1423</v>
      </c>
    </row>
    <row r="1421" spans="1:5">
      <c r="A1421">
        <f>HYPERLINK("http://www.twitter.com/NYCParks/status/700744250284240896", "700744250284240896")</f>
        <v>0</v>
      </c>
      <c r="B1421" s="2">
        <v>42419.7572106481</v>
      </c>
      <c r="C1421">
        <v>7</v>
      </c>
      <c r="D1421">
        <v>3</v>
      </c>
      <c r="E1421" t="s">
        <v>1424</v>
      </c>
    </row>
    <row r="1422" spans="1:5">
      <c r="A1422">
        <f>HYPERLINK("http://www.twitter.com/NYCParks/status/700729170268180486", "700729170268180486")</f>
        <v>0</v>
      </c>
      <c r="B1422" s="2">
        <v>42419.7155902778</v>
      </c>
      <c r="C1422">
        <v>15</v>
      </c>
      <c r="D1422">
        <v>4</v>
      </c>
      <c r="E1422" t="s">
        <v>1425</v>
      </c>
    </row>
    <row r="1423" spans="1:5">
      <c r="A1423">
        <f>HYPERLINK("http://www.twitter.com/NYCParks/status/700711606364274692", "700711606364274692")</f>
        <v>0</v>
      </c>
      <c r="B1423" s="2">
        <v>42419.6671296296</v>
      </c>
      <c r="C1423">
        <v>25</v>
      </c>
      <c r="D1423">
        <v>14</v>
      </c>
      <c r="E1423" t="s">
        <v>1426</v>
      </c>
    </row>
    <row r="1424" spans="1:5">
      <c r="A1424">
        <f>HYPERLINK("http://www.twitter.com/NYCParks/status/700429040419807232", "700429040419807232")</f>
        <v>0</v>
      </c>
      <c r="B1424" s="2">
        <v>42418.8873958333</v>
      </c>
      <c r="C1424">
        <v>17</v>
      </c>
      <c r="D1424">
        <v>10</v>
      </c>
      <c r="E1424" t="s">
        <v>1427</v>
      </c>
    </row>
    <row r="1425" spans="1:5">
      <c r="A1425">
        <f>HYPERLINK("http://www.twitter.com/NYCParks/status/700398199417237504", "700398199417237504")</f>
        <v>0</v>
      </c>
      <c r="B1425" s="2">
        <v>42418.8022916667</v>
      </c>
      <c r="C1425">
        <v>4</v>
      </c>
      <c r="D1425">
        <v>1</v>
      </c>
      <c r="E1425" t="s">
        <v>1428</v>
      </c>
    </row>
    <row r="1426" spans="1:5">
      <c r="A1426">
        <f>HYPERLINK("http://www.twitter.com/NYCParks/status/700383656053862400", "700383656053862400")</f>
        <v>0</v>
      </c>
      <c r="B1426" s="2">
        <v>42418.7621527778</v>
      </c>
      <c r="C1426">
        <v>16</v>
      </c>
      <c r="D1426">
        <v>12</v>
      </c>
      <c r="E1426" t="s">
        <v>1429</v>
      </c>
    </row>
    <row r="1427" spans="1:5">
      <c r="A1427">
        <f>HYPERLINK("http://www.twitter.com/NYCParks/status/700374311245377537", "700374311245377537")</f>
        <v>0</v>
      </c>
      <c r="B1427" s="2">
        <v>42418.7363657407</v>
      </c>
      <c r="C1427">
        <v>5</v>
      </c>
      <c r="D1427">
        <v>1</v>
      </c>
      <c r="E1427" t="s">
        <v>1430</v>
      </c>
    </row>
    <row r="1428" spans="1:5">
      <c r="A1428">
        <f>HYPERLINK("http://www.twitter.com/NYCParks/status/700374249358430208", "700374249358430208")</f>
        <v>0</v>
      </c>
      <c r="B1428" s="2">
        <v>42418.7362037037</v>
      </c>
      <c r="C1428">
        <v>5</v>
      </c>
      <c r="D1428">
        <v>1</v>
      </c>
      <c r="E1428" t="s">
        <v>1431</v>
      </c>
    </row>
    <row r="1429" spans="1:5">
      <c r="A1429">
        <f>HYPERLINK("http://www.twitter.com/NYCParks/status/700374184510283776", "700374184510283776")</f>
        <v>0</v>
      </c>
      <c r="B1429" s="2">
        <v>42418.7360185185</v>
      </c>
      <c r="C1429">
        <v>8</v>
      </c>
      <c r="D1429">
        <v>1</v>
      </c>
      <c r="E1429" t="s">
        <v>1432</v>
      </c>
    </row>
    <row r="1430" spans="1:5">
      <c r="A1430">
        <f>HYPERLINK("http://www.twitter.com/NYCParks/status/700365774708469760", "700365774708469760")</f>
        <v>0</v>
      </c>
      <c r="B1430" s="2">
        <v>42418.7128125</v>
      </c>
      <c r="C1430">
        <v>0</v>
      </c>
      <c r="D1430">
        <v>11</v>
      </c>
      <c r="E1430" t="s">
        <v>1433</v>
      </c>
    </row>
    <row r="1431" spans="1:5">
      <c r="A1431">
        <f>HYPERLINK("http://www.twitter.com/NYCParks/status/700350885201866752", "700350885201866752")</f>
        <v>0</v>
      </c>
      <c r="B1431" s="2">
        <v>42418.671724537</v>
      </c>
      <c r="C1431">
        <v>12</v>
      </c>
      <c r="D1431">
        <v>7</v>
      </c>
      <c r="E1431" t="s">
        <v>1434</v>
      </c>
    </row>
    <row r="1432" spans="1:5">
      <c r="A1432">
        <f>HYPERLINK("http://www.twitter.com/NYCParks/status/700082071872606209", "700082071872606209")</f>
        <v>0</v>
      </c>
      <c r="B1432" s="2">
        <v>42417.9299421296</v>
      </c>
      <c r="C1432">
        <v>48</v>
      </c>
      <c r="D1432">
        <v>24</v>
      </c>
      <c r="E1432" t="s">
        <v>1435</v>
      </c>
    </row>
    <row r="1433" spans="1:5">
      <c r="A1433">
        <f>HYPERLINK("http://www.twitter.com/NYCParks/status/700066482332549121", "700066482332549121")</f>
        <v>0</v>
      </c>
      <c r="B1433" s="2">
        <v>42417.8869212963</v>
      </c>
      <c r="C1433">
        <v>13</v>
      </c>
      <c r="D1433">
        <v>3</v>
      </c>
      <c r="E1433" t="s">
        <v>1436</v>
      </c>
    </row>
    <row r="1434" spans="1:5">
      <c r="A1434">
        <f>HYPERLINK("http://www.twitter.com/NYCParks/status/700064088987209729", "700064088987209729")</f>
        <v>0</v>
      </c>
      <c r="B1434" s="2">
        <v>42417.8803240741</v>
      </c>
      <c r="C1434">
        <v>1</v>
      </c>
      <c r="D1434">
        <v>1</v>
      </c>
      <c r="E1434" t="s">
        <v>1437</v>
      </c>
    </row>
    <row r="1435" spans="1:5">
      <c r="A1435">
        <f>HYPERLINK("http://www.twitter.com/NYCParks/status/700064019261038592", "700064019261038592")</f>
        <v>0</v>
      </c>
      <c r="B1435" s="2">
        <v>42417.8801273148</v>
      </c>
      <c r="C1435">
        <v>0</v>
      </c>
      <c r="D1435">
        <v>1</v>
      </c>
      <c r="E1435" t="s">
        <v>1438</v>
      </c>
    </row>
    <row r="1436" spans="1:5">
      <c r="A1436">
        <f>HYPERLINK("http://www.twitter.com/NYCParks/status/700063939854536706", "700063939854536706")</f>
        <v>0</v>
      </c>
      <c r="B1436" s="2">
        <v>42417.8799074074</v>
      </c>
      <c r="C1436">
        <v>0</v>
      </c>
      <c r="D1436">
        <v>1</v>
      </c>
      <c r="E1436" t="s">
        <v>1439</v>
      </c>
    </row>
    <row r="1437" spans="1:5">
      <c r="A1437">
        <f>HYPERLINK("http://www.twitter.com/NYCParks/status/700029478169354240", "700029478169354240")</f>
        <v>0</v>
      </c>
      <c r="B1437" s="2">
        <v>42417.7848148148</v>
      </c>
      <c r="C1437">
        <v>0</v>
      </c>
      <c r="D1437">
        <v>24</v>
      </c>
      <c r="E1437" t="s">
        <v>1440</v>
      </c>
    </row>
    <row r="1438" spans="1:5">
      <c r="A1438">
        <f>HYPERLINK("http://www.twitter.com/NYCParks/status/700014031785041920", "700014031785041920")</f>
        <v>0</v>
      </c>
      <c r="B1438" s="2">
        <v>42417.7421875</v>
      </c>
      <c r="C1438">
        <v>17</v>
      </c>
      <c r="D1438">
        <v>9</v>
      </c>
      <c r="E1438" t="s">
        <v>1441</v>
      </c>
    </row>
    <row r="1439" spans="1:5">
      <c r="A1439">
        <f>HYPERLINK("http://www.twitter.com/NYCParks/status/700008838695677952", "700008838695677952")</f>
        <v>0</v>
      </c>
      <c r="B1439" s="2">
        <v>42417.7278587963</v>
      </c>
      <c r="C1439">
        <v>0</v>
      </c>
      <c r="D1439">
        <v>0</v>
      </c>
      <c r="E1439" t="s">
        <v>1442</v>
      </c>
    </row>
    <row r="1440" spans="1:5">
      <c r="A1440">
        <f>HYPERLINK("http://www.twitter.com/NYCParks/status/699996778838560768", "699996778838560768")</f>
        <v>0</v>
      </c>
      <c r="B1440" s="2">
        <v>42417.6945833333</v>
      </c>
      <c r="C1440">
        <v>17</v>
      </c>
      <c r="D1440">
        <v>16</v>
      </c>
      <c r="E1440" t="s">
        <v>1443</v>
      </c>
    </row>
    <row r="1441" spans="1:5">
      <c r="A1441">
        <f>HYPERLINK("http://www.twitter.com/NYCParks/status/699982169771544576", "699982169771544576")</f>
        <v>0</v>
      </c>
      <c r="B1441" s="2">
        <v>42417.6542592593</v>
      </c>
      <c r="C1441">
        <v>0</v>
      </c>
      <c r="D1441">
        <v>16</v>
      </c>
      <c r="E1441" t="s">
        <v>1444</v>
      </c>
    </row>
    <row r="1442" spans="1:5">
      <c r="A1442">
        <f>HYPERLINK("http://www.twitter.com/NYCParks/status/699711213647851521", "699711213647851521")</f>
        <v>0</v>
      </c>
      <c r="B1442" s="2">
        <v>42416.9065625</v>
      </c>
      <c r="C1442">
        <v>30</v>
      </c>
      <c r="D1442">
        <v>32</v>
      </c>
      <c r="E1442" t="s">
        <v>1445</v>
      </c>
    </row>
    <row r="1443" spans="1:5">
      <c r="A1443">
        <f>HYPERLINK("http://www.twitter.com/NYCParks/status/699706561372020736", "699706561372020736")</f>
        <v>0</v>
      </c>
      <c r="B1443" s="2">
        <v>42416.8937268518</v>
      </c>
      <c r="C1443">
        <v>0</v>
      </c>
      <c r="D1443">
        <v>10</v>
      </c>
      <c r="E1443" t="s">
        <v>1446</v>
      </c>
    </row>
    <row r="1444" spans="1:5">
      <c r="A1444">
        <f>HYPERLINK("http://www.twitter.com/NYCParks/status/699687301572599808", "699687301572599808")</f>
        <v>0</v>
      </c>
      <c r="B1444" s="2">
        <v>42416.8405787037</v>
      </c>
      <c r="C1444">
        <v>8</v>
      </c>
      <c r="D1444">
        <v>7</v>
      </c>
      <c r="E1444" t="s">
        <v>1447</v>
      </c>
    </row>
    <row r="1445" spans="1:5">
      <c r="A1445">
        <f>HYPERLINK("http://www.twitter.com/NYCParks/status/699660819253043201", "699660819253043201")</f>
        <v>0</v>
      </c>
      <c r="B1445" s="2">
        <v>42416.7675115741</v>
      </c>
      <c r="C1445">
        <v>6</v>
      </c>
      <c r="D1445">
        <v>6</v>
      </c>
      <c r="E1445" t="s">
        <v>1448</v>
      </c>
    </row>
    <row r="1446" spans="1:5">
      <c r="A1446">
        <f>HYPERLINK("http://www.twitter.com/NYCParks/status/699644474142674945", "699644474142674945")</f>
        <v>0</v>
      </c>
      <c r="B1446" s="2">
        <v>42416.7224074074</v>
      </c>
      <c r="C1446">
        <v>6</v>
      </c>
      <c r="D1446">
        <v>2</v>
      </c>
      <c r="E1446" t="s">
        <v>1449</v>
      </c>
    </row>
    <row r="1447" spans="1:5">
      <c r="A1447">
        <f>HYPERLINK("http://www.twitter.com/NYCParks/status/699629721714364416", "699629721714364416")</f>
        <v>0</v>
      </c>
      <c r="B1447" s="2">
        <v>42416.6816898148</v>
      </c>
      <c r="C1447">
        <v>8</v>
      </c>
      <c r="D1447">
        <v>5</v>
      </c>
      <c r="E1447" t="s">
        <v>1450</v>
      </c>
    </row>
    <row r="1448" spans="1:5">
      <c r="A1448">
        <f>HYPERLINK("http://www.twitter.com/NYCParks/status/699425242037555200", "699425242037555200")</f>
        <v>0</v>
      </c>
      <c r="B1448" s="2">
        <v>42416.1174421296</v>
      </c>
      <c r="C1448">
        <v>30</v>
      </c>
      <c r="D1448">
        <v>15</v>
      </c>
      <c r="E1448" t="s">
        <v>1451</v>
      </c>
    </row>
    <row r="1449" spans="1:5">
      <c r="A1449">
        <f>HYPERLINK("http://www.twitter.com/NYCParks/status/699317307026317313", "699317307026317313")</f>
        <v>0</v>
      </c>
      <c r="B1449" s="2">
        <v>42415.8195949074</v>
      </c>
      <c r="C1449">
        <v>10</v>
      </c>
      <c r="D1449">
        <v>8</v>
      </c>
      <c r="E1449" t="s">
        <v>1452</v>
      </c>
    </row>
    <row r="1450" spans="1:5">
      <c r="A1450">
        <f>HYPERLINK("http://www.twitter.com/NYCParks/status/699313878975569921", "699313878975569921")</f>
        <v>0</v>
      </c>
      <c r="B1450" s="2">
        <v>42415.8101388889</v>
      </c>
      <c r="C1450">
        <v>19</v>
      </c>
      <c r="D1450">
        <v>10</v>
      </c>
      <c r="E1450" t="s">
        <v>1453</v>
      </c>
    </row>
    <row r="1451" spans="1:5">
      <c r="A1451">
        <f>HYPERLINK("http://www.twitter.com/NYCParks/status/698972989245751296", "698972989245751296")</f>
        <v>0</v>
      </c>
      <c r="B1451" s="2">
        <v>42414.8694560185</v>
      </c>
      <c r="C1451">
        <v>6</v>
      </c>
      <c r="D1451">
        <v>5</v>
      </c>
      <c r="E1451" t="s">
        <v>1454</v>
      </c>
    </row>
    <row r="1452" spans="1:5">
      <c r="A1452">
        <f>HYPERLINK("http://www.twitter.com/NYCParks/status/698971446375280640", "698971446375280640")</f>
        <v>0</v>
      </c>
      <c r="B1452" s="2">
        <v>42414.8651967593</v>
      </c>
      <c r="C1452">
        <v>6</v>
      </c>
      <c r="D1452">
        <v>4</v>
      </c>
      <c r="E1452" t="s">
        <v>1455</v>
      </c>
    </row>
    <row r="1453" spans="1:5">
      <c r="A1453">
        <f>HYPERLINK("http://www.twitter.com/NYCParks/status/698285806423838720", "698285806423838720")</f>
        <v>0</v>
      </c>
      <c r="B1453" s="2">
        <v>42412.9731944444</v>
      </c>
      <c r="C1453">
        <v>1</v>
      </c>
      <c r="D1453">
        <v>0</v>
      </c>
      <c r="E1453" t="s">
        <v>1456</v>
      </c>
    </row>
    <row r="1454" spans="1:5">
      <c r="A1454">
        <f>HYPERLINK("http://www.twitter.com/NYCParks/status/698250394280005633", "698250394280005633")</f>
        <v>0</v>
      </c>
      <c r="B1454" s="2">
        <v>42412.875474537</v>
      </c>
      <c r="C1454">
        <v>24</v>
      </c>
      <c r="D1454">
        <v>14</v>
      </c>
      <c r="E1454" t="s">
        <v>1457</v>
      </c>
    </row>
    <row r="1455" spans="1:5">
      <c r="A1455">
        <f>HYPERLINK("http://www.twitter.com/NYCParks/status/698245103513702403", "698245103513702403")</f>
        <v>0</v>
      </c>
      <c r="B1455" s="2">
        <v>42412.8608796296</v>
      </c>
      <c r="C1455">
        <v>5</v>
      </c>
      <c r="D1455">
        <v>7</v>
      </c>
      <c r="E1455" t="s">
        <v>1458</v>
      </c>
    </row>
    <row r="1456" spans="1:5">
      <c r="A1456">
        <f>HYPERLINK("http://www.twitter.com/NYCParks/status/698227676977491968", "698227676977491968")</f>
        <v>0</v>
      </c>
      <c r="B1456" s="2">
        <v>42412.8127893519</v>
      </c>
      <c r="C1456">
        <v>26</v>
      </c>
      <c r="D1456">
        <v>15</v>
      </c>
      <c r="E1456" t="s">
        <v>1459</v>
      </c>
    </row>
    <row r="1457" spans="1:5">
      <c r="A1457">
        <f>HYPERLINK("http://www.twitter.com/NYCParks/status/698211321653891072", "698211321653891072")</f>
        <v>0</v>
      </c>
      <c r="B1457" s="2">
        <v>42412.767650463</v>
      </c>
      <c r="C1457">
        <v>15</v>
      </c>
      <c r="D1457">
        <v>10</v>
      </c>
      <c r="E1457" t="s">
        <v>1460</v>
      </c>
    </row>
    <row r="1458" spans="1:5">
      <c r="A1458">
        <f>HYPERLINK("http://www.twitter.com/NYCParks/status/698194306218201093", "698194306218201093")</f>
        <v>0</v>
      </c>
      <c r="B1458" s="2">
        <v>42412.7207060185</v>
      </c>
      <c r="C1458">
        <v>22</v>
      </c>
      <c r="D1458">
        <v>19</v>
      </c>
      <c r="E1458" t="s">
        <v>1461</v>
      </c>
    </row>
    <row r="1459" spans="1:5">
      <c r="A1459">
        <f>HYPERLINK("http://www.twitter.com/NYCParks/status/697882889506127873", "697882889506127873")</f>
        <v>0</v>
      </c>
      <c r="B1459" s="2">
        <v>42411.8613541667</v>
      </c>
      <c r="C1459">
        <v>13</v>
      </c>
      <c r="D1459">
        <v>5</v>
      </c>
      <c r="E1459" t="s">
        <v>1462</v>
      </c>
    </row>
    <row r="1460" spans="1:5">
      <c r="A1460">
        <f>HYPERLINK("http://www.twitter.com/NYCParks/status/697865259814621185", "697865259814621185")</f>
        <v>0</v>
      </c>
      <c r="B1460" s="2">
        <v>42411.8127083333</v>
      </c>
      <c r="C1460">
        <v>6</v>
      </c>
      <c r="D1460">
        <v>3</v>
      </c>
      <c r="E1460" t="s">
        <v>1463</v>
      </c>
    </row>
    <row r="1461" spans="1:5">
      <c r="A1461">
        <f>HYPERLINK("http://www.twitter.com/NYCParks/status/697856181595979776", "697856181595979776")</f>
        <v>0</v>
      </c>
      <c r="B1461" s="2">
        <v>42411.787650463</v>
      </c>
      <c r="C1461">
        <v>0</v>
      </c>
      <c r="D1461">
        <v>0</v>
      </c>
      <c r="E1461" t="s">
        <v>1464</v>
      </c>
    </row>
    <row r="1462" spans="1:5">
      <c r="A1462">
        <f>HYPERLINK("http://www.twitter.com/NYCParks/status/697847849808228352", "697847849808228352")</f>
        <v>0</v>
      </c>
      <c r="B1462" s="2">
        <v>42411.7646643519</v>
      </c>
      <c r="C1462">
        <v>7</v>
      </c>
      <c r="D1462">
        <v>1</v>
      </c>
      <c r="E1462" t="s">
        <v>1465</v>
      </c>
    </row>
    <row r="1463" spans="1:5">
      <c r="A1463">
        <f>HYPERLINK("http://www.twitter.com/NYCParks/status/697845148303155200", "697845148303155200")</f>
        <v>0</v>
      </c>
      <c r="B1463" s="2">
        <v>42411.7572106481</v>
      </c>
      <c r="C1463">
        <v>64</v>
      </c>
      <c r="D1463">
        <v>52</v>
      </c>
      <c r="E1463" t="s">
        <v>1466</v>
      </c>
    </row>
    <row r="1464" spans="1:5">
      <c r="A1464">
        <f>HYPERLINK("http://www.twitter.com/NYCParks/status/697828771295064064", "697828771295064064")</f>
        <v>0</v>
      </c>
      <c r="B1464" s="2">
        <v>42411.7120138889</v>
      </c>
      <c r="C1464">
        <v>43</v>
      </c>
      <c r="D1464">
        <v>39</v>
      </c>
      <c r="E1464" t="s">
        <v>1467</v>
      </c>
    </row>
    <row r="1465" spans="1:5">
      <c r="A1465">
        <f>HYPERLINK("http://www.twitter.com/NYCParks/status/697813340249329665", "697813340249329665")</f>
        <v>0</v>
      </c>
      <c r="B1465" s="2">
        <v>42411.6694328704</v>
      </c>
      <c r="C1465">
        <v>29</v>
      </c>
      <c r="D1465">
        <v>23</v>
      </c>
      <c r="E1465" t="s">
        <v>1468</v>
      </c>
    </row>
    <row r="1466" spans="1:5">
      <c r="A1466">
        <f>HYPERLINK("http://www.twitter.com/NYCParks/status/697541515292315649", "697541515292315649")</f>
        <v>0</v>
      </c>
      <c r="B1466" s="2">
        <v>42410.9193402778</v>
      </c>
      <c r="C1466">
        <v>15</v>
      </c>
      <c r="D1466">
        <v>7</v>
      </c>
      <c r="E1466" t="s">
        <v>1469</v>
      </c>
    </row>
    <row r="1467" spans="1:5">
      <c r="A1467">
        <f>HYPERLINK("http://www.twitter.com/NYCParks/status/697509692298391552", "697509692298391552")</f>
        <v>0</v>
      </c>
      <c r="B1467" s="2">
        <v>42410.8315277778</v>
      </c>
      <c r="C1467">
        <v>5</v>
      </c>
      <c r="D1467">
        <v>3</v>
      </c>
      <c r="E1467" t="s">
        <v>1470</v>
      </c>
    </row>
    <row r="1468" spans="1:5">
      <c r="A1468">
        <f>HYPERLINK("http://www.twitter.com/NYCParks/status/697491341450862592", "697491341450862592")</f>
        <v>0</v>
      </c>
      <c r="B1468" s="2">
        <v>42410.7808912037</v>
      </c>
      <c r="C1468">
        <v>23</v>
      </c>
      <c r="D1468">
        <v>9</v>
      </c>
      <c r="E1468" t="s">
        <v>1471</v>
      </c>
    </row>
    <row r="1469" spans="1:5">
      <c r="A1469">
        <f>HYPERLINK("http://www.twitter.com/NYCParks/status/697478727211548672", "697478727211548672")</f>
        <v>0</v>
      </c>
      <c r="B1469" s="2">
        <v>42410.7460763889</v>
      </c>
      <c r="C1469">
        <v>24</v>
      </c>
      <c r="D1469">
        <v>24</v>
      </c>
      <c r="E1469" t="s">
        <v>1472</v>
      </c>
    </row>
    <row r="1470" spans="1:5">
      <c r="A1470">
        <f>HYPERLINK("http://www.twitter.com/NYCParks/status/697454230953684993", "697454230953684993")</f>
        <v>0</v>
      </c>
      <c r="B1470" s="2">
        <v>42410.6784837963</v>
      </c>
      <c r="C1470">
        <v>11</v>
      </c>
      <c r="D1470">
        <v>8</v>
      </c>
      <c r="E1470" t="s">
        <v>1473</v>
      </c>
    </row>
    <row r="1471" spans="1:5">
      <c r="A1471">
        <f>HYPERLINK("http://www.twitter.com/NYCParks/status/697447274528505857", "697447274528505857")</f>
        <v>0</v>
      </c>
      <c r="B1471" s="2">
        <v>42410.6592824074</v>
      </c>
      <c r="C1471">
        <v>5</v>
      </c>
      <c r="D1471">
        <v>8</v>
      </c>
      <c r="E1471" t="s">
        <v>1474</v>
      </c>
    </row>
    <row r="1472" spans="1:5">
      <c r="A1472">
        <f>HYPERLINK("http://www.twitter.com/NYCParks/status/697150473422422017", "697150473422422017")</f>
        <v>0</v>
      </c>
      <c r="B1472" s="2">
        <v>42409.8402662037</v>
      </c>
      <c r="C1472">
        <v>11</v>
      </c>
      <c r="D1472">
        <v>9</v>
      </c>
      <c r="E1472" t="s">
        <v>1475</v>
      </c>
    </row>
    <row r="1473" spans="1:5">
      <c r="A1473">
        <f>HYPERLINK("http://www.twitter.com/NYCParks/status/697127891386175489", "697127891386175489")</f>
        <v>0</v>
      </c>
      <c r="B1473" s="2">
        <v>42409.7779513889</v>
      </c>
      <c r="C1473">
        <v>9</v>
      </c>
      <c r="D1473">
        <v>7</v>
      </c>
      <c r="E1473" t="s">
        <v>1476</v>
      </c>
    </row>
    <row r="1474" spans="1:5">
      <c r="A1474">
        <f>HYPERLINK("http://www.twitter.com/NYCParks/status/697112493219512320", "697112493219512320")</f>
        <v>0</v>
      </c>
      <c r="B1474" s="2">
        <v>42409.735462963</v>
      </c>
      <c r="C1474">
        <v>6</v>
      </c>
      <c r="D1474">
        <v>2</v>
      </c>
      <c r="E1474" t="s">
        <v>1477</v>
      </c>
    </row>
    <row r="1475" spans="1:5">
      <c r="A1475">
        <f>HYPERLINK("http://www.twitter.com/NYCParks/status/697111179966160896", "697111179966160896")</f>
        <v>0</v>
      </c>
      <c r="B1475" s="2">
        <v>42409.7318402778</v>
      </c>
      <c r="C1475">
        <v>15</v>
      </c>
      <c r="D1475">
        <v>12</v>
      </c>
      <c r="E1475" t="s">
        <v>1478</v>
      </c>
    </row>
    <row r="1476" spans="1:5">
      <c r="A1476">
        <f>HYPERLINK("http://www.twitter.com/NYCParks/status/697105821545721856", "697105821545721856")</f>
        <v>0</v>
      </c>
      <c r="B1476" s="2">
        <v>42409.7170601852</v>
      </c>
      <c r="C1476">
        <v>0</v>
      </c>
      <c r="D1476">
        <v>22</v>
      </c>
      <c r="E1476" t="s">
        <v>1479</v>
      </c>
    </row>
    <row r="1477" spans="1:5">
      <c r="A1477">
        <f>HYPERLINK("http://www.twitter.com/NYCParks/status/697089232385482753", "697089232385482753")</f>
        <v>0</v>
      </c>
      <c r="B1477" s="2">
        <v>42409.6712731481</v>
      </c>
      <c r="C1477">
        <v>40</v>
      </c>
      <c r="D1477">
        <v>22</v>
      </c>
      <c r="E1477" t="s">
        <v>1480</v>
      </c>
    </row>
    <row r="1478" spans="1:5">
      <c r="A1478">
        <f>HYPERLINK("http://www.twitter.com/NYCParks/status/696790733337063424", "696790733337063424")</f>
        <v>0</v>
      </c>
      <c r="B1478" s="2">
        <v>42408.8475810185</v>
      </c>
      <c r="C1478">
        <v>9</v>
      </c>
      <c r="D1478">
        <v>6</v>
      </c>
      <c r="E1478" t="s">
        <v>1481</v>
      </c>
    </row>
    <row r="1479" spans="1:5">
      <c r="A1479">
        <f>HYPERLINK("http://www.twitter.com/NYCParks/status/696771987012743168", "696771987012743168")</f>
        <v>0</v>
      </c>
      <c r="B1479" s="2">
        <v>42408.7958449074</v>
      </c>
      <c r="C1479">
        <v>3</v>
      </c>
      <c r="D1479">
        <v>1</v>
      </c>
      <c r="E1479" t="s">
        <v>1482</v>
      </c>
    </row>
    <row r="1480" spans="1:5">
      <c r="A1480">
        <f>HYPERLINK("http://www.twitter.com/NYCParks/status/696768122607570945", "696768122607570945")</f>
        <v>0</v>
      </c>
      <c r="B1480" s="2">
        <v>42408.7851851852</v>
      </c>
      <c r="C1480">
        <v>9</v>
      </c>
      <c r="D1480">
        <v>7</v>
      </c>
      <c r="E1480" t="s">
        <v>1483</v>
      </c>
    </row>
    <row r="1481" spans="1:5">
      <c r="A1481">
        <f>HYPERLINK("http://www.twitter.com/NYCParks/status/696757987977854976", "696757987977854976")</f>
        <v>0</v>
      </c>
      <c r="B1481" s="2">
        <v>42408.7572222222</v>
      </c>
      <c r="C1481">
        <v>18</v>
      </c>
      <c r="D1481">
        <v>14</v>
      </c>
      <c r="E1481" t="s">
        <v>1484</v>
      </c>
    </row>
    <row r="1482" spans="1:5">
      <c r="A1482">
        <f>HYPERLINK("http://www.twitter.com/NYCParks/status/696741630091653122", "696741630091653122")</f>
        <v>0</v>
      </c>
      <c r="B1482" s="2">
        <v>42408.7120833333</v>
      </c>
      <c r="C1482">
        <v>13</v>
      </c>
      <c r="D1482">
        <v>8</v>
      </c>
      <c r="E1482" t="s">
        <v>1485</v>
      </c>
    </row>
    <row r="1483" spans="1:5">
      <c r="A1483">
        <f>HYPERLINK("http://www.twitter.com/NYCParks/status/696725352614404097", "696725352614404097")</f>
        <v>0</v>
      </c>
      <c r="B1483" s="2">
        <v>42408.6671643518</v>
      </c>
      <c r="C1483">
        <v>19</v>
      </c>
      <c r="D1483">
        <v>12</v>
      </c>
      <c r="E1483" t="s">
        <v>1486</v>
      </c>
    </row>
    <row r="1484" spans="1:5">
      <c r="A1484">
        <f>HYPERLINK("http://www.twitter.com/NYCParks/status/696458907871539201", "696458907871539201")</f>
        <v>0</v>
      </c>
      <c r="B1484" s="2">
        <v>42407.9319097222</v>
      </c>
      <c r="C1484">
        <v>14</v>
      </c>
      <c r="D1484">
        <v>16</v>
      </c>
      <c r="E1484" t="s">
        <v>1487</v>
      </c>
    </row>
    <row r="1485" spans="1:5">
      <c r="A1485">
        <f>HYPERLINK("http://www.twitter.com/NYCParks/status/696456311156973573", "696456311156973573")</f>
        <v>0</v>
      </c>
      <c r="B1485" s="2">
        <v>42407.9247453704</v>
      </c>
      <c r="C1485">
        <v>30</v>
      </c>
      <c r="D1485">
        <v>6</v>
      </c>
      <c r="E1485" t="s">
        <v>1488</v>
      </c>
    </row>
    <row r="1486" spans="1:5">
      <c r="A1486">
        <f>HYPERLINK("http://www.twitter.com/NYCParks/status/695348659634868224", "695348659634868224")</f>
        <v>0</v>
      </c>
      <c r="B1486" s="2">
        <v>42404.8682175926</v>
      </c>
      <c r="C1486">
        <v>0</v>
      </c>
      <c r="D1486">
        <v>111</v>
      </c>
      <c r="E1486" t="s">
        <v>1489</v>
      </c>
    </row>
    <row r="1487" spans="1:5">
      <c r="A1487">
        <f>HYPERLINK("http://www.twitter.com/NYCParks/status/695333706945445889", "695333706945445889")</f>
        <v>0</v>
      </c>
      <c r="B1487" s="2">
        <v>42404.8269560185</v>
      </c>
      <c r="C1487">
        <v>0</v>
      </c>
      <c r="D1487">
        <v>1</v>
      </c>
      <c r="E1487" t="s">
        <v>1490</v>
      </c>
    </row>
    <row r="1488" spans="1:5">
      <c r="A1488">
        <f>HYPERLINK("http://www.twitter.com/NYCParks/status/695326012259844096", "695326012259844096")</f>
        <v>0</v>
      </c>
      <c r="B1488" s="2">
        <v>42404.8057175926</v>
      </c>
      <c r="C1488">
        <v>23</v>
      </c>
      <c r="D1488">
        <v>11</v>
      </c>
      <c r="E1488" t="s">
        <v>1491</v>
      </c>
    </row>
    <row r="1489" spans="1:5">
      <c r="A1489">
        <f>HYPERLINK("http://www.twitter.com/NYCParks/status/695309720756830208", "695309720756830208")</f>
        <v>0</v>
      </c>
      <c r="B1489" s="2">
        <v>42404.7607638889</v>
      </c>
      <c r="C1489">
        <v>16</v>
      </c>
      <c r="D1489">
        <v>13</v>
      </c>
      <c r="E1489" t="s">
        <v>1492</v>
      </c>
    </row>
    <row r="1490" spans="1:5">
      <c r="A1490">
        <f>HYPERLINK("http://www.twitter.com/NYCParks/status/695295725194735616", "695295725194735616")</f>
        <v>0</v>
      </c>
      <c r="B1490" s="2">
        <v>42404.7221412037</v>
      </c>
      <c r="C1490">
        <v>0</v>
      </c>
      <c r="D1490">
        <v>0</v>
      </c>
      <c r="E1490" t="s">
        <v>1493</v>
      </c>
    </row>
    <row r="1491" spans="1:5">
      <c r="A1491">
        <f>HYPERLINK("http://www.twitter.com/NYCParks/status/695294592523091969", "695294592523091969")</f>
        <v>0</v>
      </c>
      <c r="B1491" s="2">
        <v>42404.7190162037</v>
      </c>
      <c r="C1491">
        <v>22</v>
      </c>
      <c r="D1491">
        <v>14</v>
      </c>
      <c r="E1491" t="s">
        <v>1494</v>
      </c>
    </row>
    <row r="1492" spans="1:5">
      <c r="A1492">
        <f>HYPERLINK("http://www.twitter.com/NYCParks/status/695292936620236800", "695292936620236800")</f>
        <v>0</v>
      </c>
      <c r="B1492" s="2">
        <v>42404.7144444444</v>
      </c>
      <c r="C1492">
        <v>2</v>
      </c>
      <c r="D1492">
        <v>0</v>
      </c>
      <c r="E1492" t="s">
        <v>1495</v>
      </c>
    </row>
    <row r="1493" spans="1:5">
      <c r="A1493">
        <f>HYPERLINK("http://www.twitter.com/NYCParks/status/695275816352104448", "695275816352104448")</f>
        <v>0</v>
      </c>
      <c r="B1493" s="2">
        <v>42404.6671990741</v>
      </c>
      <c r="C1493">
        <v>3</v>
      </c>
      <c r="D1493">
        <v>1</v>
      </c>
      <c r="E1493" t="s">
        <v>1496</v>
      </c>
    </row>
    <row r="1494" spans="1:5">
      <c r="A1494">
        <f>HYPERLINK("http://www.twitter.com/NYCParks/status/694980206860361730", "694980206860361730")</f>
        <v>0</v>
      </c>
      <c r="B1494" s="2">
        <v>42403.8514814815</v>
      </c>
      <c r="C1494">
        <v>42</v>
      </c>
      <c r="D1494">
        <v>23</v>
      </c>
      <c r="E1494" t="s">
        <v>1497</v>
      </c>
    </row>
    <row r="1495" spans="1:5">
      <c r="A1495">
        <f>HYPERLINK("http://www.twitter.com/NYCParks/status/694963263226953731", "694963263226953731")</f>
        <v>0</v>
      </c>
      <c r="B1495" s="2">
        <v>42403.8047222222</v>
      </c>
      <c r="C1495">
        <v>14</v>
      </c>
      <c r="D1495">
        <v>6</v>
      </c>
      <c r="E1495" t="s">
        <v>1498</v>
      </c>
    </row>
    <row r="1496" spans="1:5">
      <c r="A1496">
        <f>HYPERLINK("http://www.twitter.com/NYCParks/status/694952028074856448", "694952028074856448")</f>
        <v>0</v>
      </c>
      <c r="B1496" s="2">
        <v>42403.7737152778</v>
      </c>
      <c r="C1496">
        <v>14</v>
      </c>
      <c r="D1496">
        <v>2</v>
      </c>
      <c r="E1496" t="s">
        <v>1499</v>
      </c>
    </row>
    <row r="1497" spans="1:5">
      <c r="A1497">
        <f>HYPERLINK("http://www.twitter.com/NYCParks/status/694925640772907008", "694925640772907008")</f>
        <v>0</v>
      </c>
      <c r="B1497" s="2">
        <v>42403.7009027778</v>
      </c>
      <c r="C1497">
        <v>12</v>
      </c>
      <c r="D1497">
        <v>7</v>
      </c>
      <c r="E1497" t="s">
        <v>1500</v>
      </c>
    </row>
    <row r="1498" spans="1:5">
      <c r="A1498">
        <f>HYPERLINK("http://www.twitter.com/NYCParks/status/694913742568570880", "694913742568570880")</f>
        <v>0</v>
      </c>
      <c r="B1498" s="2">
        <v>42403.6680671296</v>
      </c>
      <c r="C1498">
        <v>1</v>
      </c>
      <c r="D1498">
        <v>0</v>
      </c>
      <c r="E1498" t="s">
        <v>1501</v>
      </c>
    </row>
    <row r="1499" spans="1:5">
      <c r="A1499">
        <f>HYPERLINK("http://www.twitter.com/NYCParks/status/694626691096907777", "694626691096907777")</f>
        <v>0</v>
      </c>
      <c r="B1499" s="2">
        <v>42402.8759606481</v>
      </c>
      <c r="C1499">
        <v>31</v>
      </c>
      <c r="D1499">
        <v>10</v>
      </c>
      <c r="E1499" t="s">
        <v>1502</v>
      </c>
    </row>
    <row r="1500" spans="1:5">
      <c r="A1500">
        <f>HYPERLINK("http://www.twitter.com/NYCParks/status/694615066562449409", "694615066562449409")</f>
        <v>0</v>
      </c>
      <c r="B1500" s="2">
        <v>42402.8438773148</v>
      </c>
      <c r="C1500">
        <v>21</v>
      </c>
      <c r="D1500">
        <v>10</v>
      </c>
      <c r="E1500" t="s">
        <v>1503</v>
      </c>
    </row>
    <row r="1501" spans="1:5">
      <c r="A1501">
        <f>HYPERLINK("http://www.twitter.com/NYCParks/status/694605027881697280", "694605027881697280")</f>
        <v>0</v>
      </c>
      <c r="B1501" s="2">
        <v>42402.8161805556</v>
      </c>
      <c r="C1501">
        <v>22</v>
      </c>
      <c r="D1501">
        <v>14</v>
      </c>
      <c r="E1501" t="s">
        <v>1504</v>
      </c>
    </row>
    <row r="1502" spans="1:5">
      <c r="A1502">
        <f>HYPERLINK("http://www.twitter.com/NYCParks/status/694589080483565568", "694589080483565568")</f>
        <v>0</v>
      </c>
      <c r="B1502" s="2">
        <v>42402.7721759259</v>
      </c>
      <c r="C1502">
        <v>5</v>
      </c>
      <c r="D1502">
        <v>4</v>
      </c>
      <c r="E1502" t="s">
        <v>1505</v>
      </c>
    </row>
    <row r="1503" spans="1:5">
      <c r="A1503">
        <f>HYPERLINK("http://www.twitter.com/NYCParks/status/694587678617137152", "694587678617137152")</f>
        <v>0</v>
      </c>
      <c r="B1503" s="2">
        <v>42402.7683101852</v>
      </c>
      <c r="C1503">
        <v>5</v>
      </c>
      <c r="D1503">
        <v>6</v>
      </c>
      <c r="E1503" t="s">
        <v>1506</v>
      </c>
    </row>
    <row r="1504" spans="1:5">
      <c r="A1504">
        <f>HYPERLINK("http://www.twitter.com/NYCParks/status/694581878167310336", "694581878167310336")</f>
        <v>0</v>
      </c>
      <c r="B1504" s="2">
        <v>42402.7523032407</v>
      </c>
      <c r="C1504">
        <v>0</v>
      </c>
      <c r="D1504">
        <v>11</v>
      </c>
      <c r="E1504" t="s">
        <v>1507</v>
      </c>
    </row>
    <row r="1505" spans="1:5">
      <c r="A1505">
        <f>HYPERLINK("http://www.twitter.com/NYCParks/status/694568547838758912", "694568547838758912")</f>
        <v>0</v>
      </c>
      <c r="B1505" s="2">
        <v>42402.7155092593</v>
      </c>
      <c r="C1505">
        <v>31</v>
      </c>
      <c r="D1505">
        <v>17</v>
      </c>
      <c r="E1505" t="s">
        <v>1508</v>
      </c>
    </row>
    <row r="1506" spans="1:5">
      <c r="A1506">
        <f>HYPERLINK("http://www.twitter.com/NYCParks/status/694554987112841216", "694554987112841216")</f>
        <v>0</v>
      </c>
      <c r="B1506" s="2">
        <v>42402.6780902778</v>
      </c>
      <c r="C1506">
        <v>36</v>
      </c>
      <c r="D1506">
        <v>32</v>
      </c>
      <c r="E1506" t="s">
        <v>1509</v>
      </c>
    </row>
    <row r="1507" spans="1:5">
      <c r="A1507">
        <f>HYPERLINK("http://www.twitter.com/NYCParks/status/694257734745755648", "694257734745755648")</f>
        <v>0</v>
      </c>
      <c r="B1507" s="2">
        <v>42401.8578356481</v>
      </c>
      <c r="C1507">
        <v>18</v>
      </c>
      <c r="D1507">
        <v>20</v>
      </c>
      <c r="E1507" t="s">
        <v>1510</v>
      </c>
    </row>
    <row r="1508" spans="1:5">
      <c r="A1508">
        <f>HYPERLINK("http://www.twitter.com/NYCParks/status/694241452428279808", "694241452428279808")</f>
        <v>0</v>
      </c>
      <c r="B1508" s="2">
        <v>42401.8129050926</v>
      </c>
      <c r="C1508">
        <v>13</v>
      </c>
      <c r="D1508">
        <v>2</v>
      </c>
      <c r="E1508" t="s">
        <v>1511</v>
      </c>
    </row>
    <row r="1509" spans="1:5">
      <c r="A1509">
        <f>HYPERLINK("http://www.twitter.com/NYCParks/status/694225020097302529", "694225020097302529")</f>
        <v>0</v>
      </c>
      <c r="B1509" s="2">
        <v>42401.7675578704</v>
      </c>
      <c r="C1509">
        <v>20</v>
      </c>
      <c r="D1509">
        <v>15</v>
      </c>
      <c r="E1509" t="s">
        <v>1512</v>
      </c>
    </row>
    <row r="1510" spans="1:5">
      <c r="A1510">
        <f>HYPERLINK("http://www.twitter.com/NYCParks/status/694208661636386816", "694208661636386816")</f>
        <v>0</v>
      </c>
      <c r="B1510" s="2">
        <v>42401.7224189815</v>
      </c>
      <c r="C1510">
        <v>43</v>
      </c>
      <c r="D1510">
        <v>35</v>
      </c>
      <c r="E1510" t="s">
        <v>1513</v>
      </c>
    </row>
    <row r="1511" spans="1:5">
      <c r="A1511">
        <f>HYPERLINK("http://www.twitter.com/NYCParks/status/694192284871573508", "694192284871573508")</f>
        <v>0</v>
      </c>
      <c r="B1511" s="2">
        <v>42401.6772222222</v>
      </c>
      <c r="C1511">
        <v>37</v>
      </c>
      <c r="D1511">
        <v>19</v>
      </c>
      <c r="E1511" t="s">
        <v>1514</v>
      </c>
    </row>
    <row r="1512" spans="1:5">
      <c r="A1512">
        <f>HYPERLINK("http://www.twitter.com/NYCParks/status/693176905571237889", "693176905571237889")</f>
        <v>0</v>
      </c>
      <c r="B1512" s="2">
        <v>42398.8753125</v>
      </c>
      <c r="C1512">
        <v>65</v>
      </c>
      <c r="D1512">
        <v>43</v>
      </c>
      <c r="E1512" t="s">
        <v>1515</v>
      </c>
    </row>
    <row r="1513" spans="1:5">
      <c r="A1513">
        <f>HYPERLINK("http://www.twitter.com/NYCParks/status/693165567134601217", "693165567134601217")</f>
        <v>0</v>
      </c>
      <c r="B1513" s="2">
        <v>42398.8440277778</v>
      </c>
      <c r="C1513">
        <v>28</v>
      </c>
      <c r="D1513">
        <v>15</v>
      </c>
      <c r="E1513" t="s">
        <v>1516</v>
      </c>
    </row>
    <row r="1514" spans="1:5">
      <c r="A1514">
        <f>HYPERLINK("http://www.twitter.com/NYCParks/status/693134111075143680", "693134111075143680")</f>
        <v>0</v>
      </c>
      <c r="B1514" s="2">
        <v>42398.7572222222</v>
      </c>
      <c r="C1514">
        <v>9</v>
      </c>
      <c r="D1514">
        <v>8</v>
      </c>
      <c r="E1514" t="s">
        <v>1517</v>
      </c>
    </row>
    <row r="1515" spans="1:5">
      <c r="A1515">
        <f>HYPERLINK("http://www.twitter.com/NYCParks/status/693117772482637824", "693117772482637824")</f>
        <v>0</v>
      </c>
      <c r="B1515" s="2">
        <v>42398.7121412037</v>
      </c>
      <c r="C1515">
        <v>24</v>
      </c>
      <c r="D1515">
        <v>6</v>
      </c>
      <c r="E1515" t="s">
        <v>1518</v>
      </c>
    </row>
    <row r="1516" spans="1:5">
      <c r="A1516">
        <f>HYPERLINK("http://www.twitter.com/NYCParks/status/693101467658485760", "693101467658485760")</f>
        <v>0</v>
      </c>
      <c r="B1516" s="2">
        <v>42398.6671412037</v>
      </c>
      <c r="C1516">
        <v>24</v>
      </c>
      <c r="D1516">
        <v>17</v>
      </c>
      <c r="E1516" t="s">
        <v>1519</v>
      </c>
    </row>
    <row r="1517" spans="1:5">
      <c r="A1517">
        <f>HYPERLINK("http://www.twitter.com/NYCParks/status/692817105406840833", "692817105406840833")</f>
        <v>0</v>
      </c>
      <c r="B1517" s="2">
        <v>42397.8824537037</v>
      </c>
      <c r="C1517">
        <v>1</v>
      </c>
      <c r="D1517">
        <v>0</v>
      </c>
      <c r="E1517" t="s">
        <v>1520</v>
      </c>
    </row>
    <row r="1518" spans="1:5">
      <c r="A1518">
        <f>HYPERLINK("http://www.twitter.com/NYCParks/status/692816720080273408", "692816720080273408")</f>
        <v>0</v>
      </c>
      <c r="B1518" s="2">
        <v>42397.8813888889</v>
      </c>
      <c r="C1518">
        <v>20</v>
      </c>
      <c r="D1518">
        <v>20</v>
      </c>
      <c r="E1518" t="s">
        <v>1521</v>
      </c>
    </row>
    <row r="1519" spans="1:5">
      <c r="A1519">
        <f>HYPERLINK("http://www.twitter.com/NYCParks/status/692796882444222465", "692796882444222465")</f>
        <v>0</v>
      </c>
      <c r="B1519" s="2">
        <v>42397.8266435185</v>
      </c>
      <c r="C1519">
        <v>21</v>
      </c>
      <c r="D1519">
        <v>16</v>
      </c>
      <c r="E1519" t="s">
        <v>1522</v>
      </c>
    </row>
    <row r="1520" spans="1:5">
      <c r="A1520">
        <f>HYPERLINK("http://www.twitter.com/NYCParks/status/692787182910709760", "692787182910709760")</f>
        <v>0</v>
      </c>
      <c r="B1520" s="2">
        <v>42397.7998842593</v>
      </c>
      <c r="C1520">
        <v>6</v>
      </c>
      <c r="D1520">
        <v>3</v>
      </c>
      <c r="E1520" t="s">
        <v>1523</v>
      </c>
    </row>
    <row r="1521" spans="1:5">
      <c r="A1521">
        <f>HYPERLINK("http://www.twitter.com/NYCParks/status/692783404014800897", "692783404014800897")</f>
        <v>0</v>
      </c>
      <c r="B1521" s="2">
        <v>42397.7894560185</v>
      </c>
      <c r="C1521">
        <v>10</v>
      </c>
      <c r="D1521">
        <v>5</v>
      </c>
      <c r="E1521" t="s">
        <v>1524</v>
      </c>
    </row>
    <row r="1522" spans="1:5">
      <c r="A1522">
        <f>HYPERLINK("http://www.twitter.com/NYCParks/status/692780533479247872", "692780533479247872")</f>
        <v>0</v>
      </c>
      <c r="B1522" s="2">
        <v>42397.7815393519</v>
      </c>
      <c r="C1522">
        <v>10</v>
      </c>
      <c r="D1522">
        <v>5</v>
      </c>
      <c r="E1522" t="s">
        <v>1525</v>
      </c>
    </row>
    <row r="1523" spans="1:5">
      <c r="A1523">
        <f>HYPERLINK("http://www.twitter.com/NYCParks/status/692762870279442433", "692762870279442433")</f>
        <v>0</v>
      </c>
      <c r="B1523" s="2">
        <v>42397.7327893519</v>
      </c>
      <c r="C1523">
        <v>7</v>
      </c>
      <c r="D1523">
        <v>8</v>
      </c>
      <c r="E1523" t="s">
        <v>1526</v>
      </c>
    </row>
    <row r="1524" spans="1:5">
      <c r="A1524">
        <f>HYPERLINK("http://www.twitter.com/NYCParks/status/692743595204448261", "692743595204448261")</f>
        <v>0</v>
      </c>
      <c r="B1524" s="2">
        <v>42397.6796064815</v>
      </c>
      <c r="C1524">
        <v>0</v>
      </c>
      <c r="D1524">
        <v>66</v>
      </c>
      <c r="E1524" t="s">
        <v>1527</v>
      </c>
    </row>
    <row r="1525" spans="1:5">
      <c r="A1525">
        <f>HYPERLINK("http://www.twitter.com/NYCParks/status/692442044179058688", "692442044179058688")</f>
        <v>0</v>
      </c>
      <c r="B1525" s="2">
        <v>42396.8474768518</v>
      </c>
      <c r="C1525">
        <v>10</v>
      </c>
      <c r="D1525">
        <v>6</v>
      </c>
      <c r="E1525" t="s">
        <v>1528</v>
      </c>
    </row>
    <row r="1526" spans="1:5">
      <c r="A1526">
        <f>HYPERLINK("http://www.twitter.com/NYCParks/status/692425675068870657", "692425675068870657")</f>
        <v>0</v>
      </c>
      <c r="B1526" s="2">
        <v>42396.8023148148</v>
      </c>
      <c r="C1526">
        <v>11</v>
      </c>
      <c r="D1526">
        <v>7</v>
      </c>
      <c r="E1526" t="s">
        <v>1529</v>
      </c>
    </row>
    <row r="1527" spans="1:5">
      <c r="A1527">
        <f>HYPERLINK("http://www.twitter.com/NYCParks/status/692417015752085509", "692417015752085509")</f>
        <v>0</v>
      </c>
      <c r="B1527" s="2">
        <v>42396.7784143519</v>
      </c>
      <c r="C1527">
        <v>1</v>
      </c>
      <c r="D1527">
        <v>1</v>
      </c>
      <c r="E1527" t="s">
        <v>1530</v>
      </c>
    </row>
    <row r="1528" spans="1:5">
      <c r="A1528">
        <f>HYPERLINK("http://www.twitter.com/NYCParks/status/692409318453448704", "692409318453448704")</f>
        <v>0</v>
      </c>
      <c r="B1528" s="2">
        <v>42396.7571759259</v>
      </c>
      <c r="C1528">
        <v>30</v>
      </c>
      <c r="D1528">
        <v>16</v>
      </c>
      <c r="E1528" t="s">
        <v>1531</v>
      </c>
    </row>
    <row r="1529" spans="1:5">
      <c r="A1529">
        <f>HYPERLINK("http://www.twitter.com/NYCParks/status/692393005651750913", "692393005651750913")</f>
        <v>0</v>
      </c>
      <c r="B1529" s="2">
        <v>42396.7121643519</v>
      </c>
      <c r="C1529">
        <v>33</v>
      </c>
      <c r="D1529">
        <v>26</v>
      </c>
      <c r="E1529" t="s">
        <v>1532</v>
      </c>
    </row>
    <row r="1530" spans="1:5">
      <c r="A1530">
        <f>HYPERLINK("http://www.twitter.com/NYCParks/status/692379079492964352", "692379079492964352")</f>
        <v>0</v>
      </c>
      <c r="B1530" s="2">
        <v>42396.6737268519</v>
      </c>
      <c r="C1530">
        <v>24</v>
      </c>
      <c r="D1530">
        <v>11</v>
      </c>
      <c r="E1530" t="s">
        <v>1533</v>
      </c>
    </row>
    <row r="1531" spans="1:5">
      <c r="A1531">
        <f>HYPERLINK("http://www.twitter.com/NYCParks/status/692123647285280768", "692123647285280768")</f>
        <v>0</v>
      </c>
      <c r="B1531" s="2">
        <v>42395.9688773148</v>
      </c>
      <c r="C1531">
        <v>0</v>
      </c>
      <c r="D1531">
        <v>0</v>
      </c>
      <c r="E1531" t="s">
        <v>1534</v>
      </c>
    </row>
    <row r="1532" spans="1:5">
      <c r="A1532">
        <f>HYPERLINK("http://www.twitter.com/NYCParks/status/692123341772230656", "692123341772230656")</f>
        <v>0</v>
      </c>
      <c r="B1532" s="2">
        <v>42395.9680324074</v>
      </c>
      <c r="C1532">
        <v>0</v>
      </c>
      <c r="D1532">
        <v>0</v>
      </c>
      <c r="E1532" t="s">
        <v>1535</v>
      </c>
    </row>
    <row r="1533" spans="1:5">
      <c r="A1533">
        <f>HYPERLINK("http://www.twitter.com/NYCParks/status/692121167130419202", "692121167130419202")</f>
        <v>0</v>
      </c>
      <c r="B1533" s="2">
        <v>42395.962025463</v>
      </c>
      <c r="C1533">
        <v>0</v>
      </c>
      <c r="D1533">
        <v>0</v>
      </c>
      <c r="E1533" t="s">
        <v>1536</v>
      </c>
    </row>
    <row r="1534" spans="1:5">
      <c r="A1534">
        <f>HYPERLINK("http://www.twitter.com/NYCParks/status/692080880182038528", "692080880182038528")</f>
        <v>0</v>
      </c>
      <c r="B1534" s="2">
        <v>42395.8508564815</v>
      </c>
      <c r="C1534">
        <v>15</v>
      </c>
      <c r="D1534">
        <v>6</v>
      </c>
      <c r="E1534" t="s">
        <v>1537</v>
      </c>
    </row>
    <row r="1535" spans="1:5">
      <c r="A1535">
        <f>HYPERLINK("http://www.twitter.com/NYCParks/status/692064568613421057", "692064568613421057")</f>
        <v>0</v>
      </c>
      <c r="B1535" s="2">
        <v>42395.8058449074</v>
      </c>
      <c r="C1535">
        <v>45</v>
      </c>
      <c r="D1535">
        <v>11</v>
      </c>
      <c r="E1535" t="s">
        <v>1538</v>
      </c>
    </row>
    <row r="1536" spans="1:5">
      <c r="A1536">
        <f>HYPERLINK("http://www.twitter.com/NYCParks/status/692049058718945284", "692049058718945284")</f>
        <v>0</v>
      </c>
      <c r="B1536" s="2">
        <v>42395.7630439815</v>
      </c>
      <c r="C1536">
        <v>25</v>
      </c>
      <c r="D1536">
        <v>21</v>
      </c>
      <c r="E1536" t="s">
        <v>1539</v>
      </c>
    </row>
    <row r="1537" spans="1:5">
      <c r="A1537">
        <f>HYPERLINK("http://www.twitter.com/NYCParks/status/692043307703234561", "692043307703234561")</f>
        <v>0</v>
      </c>
      <c r="B1537" s="2">
        <v>42395.7471759259</v>
      </c>
      <c r="C1537">
        <v>0</v>
      </c>
      <c r="D1537">
        <v>0</v>
      </c>
      <c r="E1537" t="s">
        <v>1540</v>
      </c>
    </row>
    <row r="1538" spans="1:5">
      <c r="A1538">
        <f>HYPERLINK("http://www.twitter.com/NYCParks/status/692043083270209536", "692043083270209536")</f>
        <v>0</v>
      </c>
      <c r="B1538" s="2">
        <v>42395.7465625</v>
      </c>
      <c r="C1538">
        <v>0</v>
      </c>
      <c r="D1538">
        <v>0</v>
      </c>
      <c r="E1538" t="s">
        <v>1541</v>
      </c>
    </row>
    <row r="1539" spans="1:5">
      <c r="A1539">
        <f>HYPERLINK("http://www.twitter.com/NYCParks/status/692030578405818371", "692030578405818371")</f>
        <v>0</v>
      </c>
      <c r="B1539" s="2">
        <v>42395.7120486111</v>
      </c>
      <c r="C1539">
        <v>10</v>
      </c>
      <c r="D1539">
        <v>4</v>
      </c>
      <c r="E1539" t="s">
        <v>1542</v>
      </c>
    </row>
    <row r="1540" spans="1:5">
      <c r="A1540">
        <f>HYPERLINK("http://www.twitter.com/NYCParks/status/692017043332268034", "692017043332268034")</f>
        <v>0</v>
      </c>
      <c r="B1540" s="2">
        <v>42395.6746990741</v>
      </c>
      <c r="C1540">
        <v>0</v>
      </c>
      <c r="D1540">
        <v>212</v>
      </c>
      <c r="E1540" t="s">
        <v>1543</v>
      </c>
    </row>
    <row r="1541" spans="1:5">
      <c r="A1541">
        <f>HYPERLINK("http://www.twitter.com/NYCParks/status/692015198912299008", "692015198912299008")</f>
        <v>0</v>
      </c>
      <c r="B1541" s="2">
        <v>42395.6696180556</v>
      </c>
      <c r="C1541">
        <v>0</v>
      </c>
      <c r="D1541">
        <v>0</v>
      </c>
      <c r="E1541" t="s">
        <v>1544</v>
      </c>
    </row>
    <row r="1542" spans="1:5">
      <c r="A1542">
        <f>HYPERLINK("http://www.twitter.com/NYCParks/status/692014659507986432", "692014659507986432")</f>
        <v>0</v>
      </c>
      <c r="B1542" s="2">
        <v>42395.668125</v>
      </c>
      <c r="C1542">
        <v>0</v>
      </c>
      <c r="D1542">
        <v>0</v>
      </c>
      <c r="E1542" t="s">
        <v>1545</v>
      </c>
    </row>
    <row r="1543" spans="1:5">
      <c r="A1543">
        <f>HYPERLINK("http://www.twitter.com/NYCParks/status/692011392354906112", "692011392354906112")</f>
        <v>0</v>
      </c>
      <c r="B1543" s="2">
        <v>42395.6591087963</v>
      </c>
      <c r="C1543">
        <v>0</v>
      </c>
      <c r="D1543">
        <v>0</v>
      </c>
      <c r="E1543" t="s">
        <v>1546</v>
      </c>
    </row>
    <row r="1544" spans="1:5">
      <c r="A1544">
        <f>HYPERLINK("http://www.twitter.com/NYCParks/status/692011254513340417", "692011254513340417")</f>
        <v>0</v>
      </c>
      <c r="B1544" s="2">
        <v>42395.6587268518</v>
      </c>
      <c r="C1544">
        <v>0</v>
      </c>
      <c r="D1544">
        <v>0</v>
      </c>
      <c r="E1544" t="s">
        <v>1547</v>
      </c>
    </row>
    <row r="1545" spans="1:5">
      <c r="A1545">
        <f>HYPERLINK("http://www.twitter.com/NYCParks/status/692011115077828609", "692011115077828609")</f>
        <v>0</v>
      </c>
      <c r="B1545" s="2">
        <v>42395.6583449074</v>
      </c>
      <c r="C1545">
        <v>1</v>
      </c>
      <c r="D1545">
        <v>1</v>
      </c>
      <c r="E1545" t="s">
        <v>1548</v>
      </c>
    </row>
    <row r="1546" spans="1:5">
      <c r="A1546">
        <f>HYPERLINK("http://www.twitter.com/NYCParks/status/692010988493783040", "692010988493783040")</f>
        <v>0</v>
      </c>
      <c r="B1546" s="2">
        <v>42395.6579976852</v>
      </c>
      <c r="C1546">
        <v>0</v>
      </c>
      <c r="D1546">
        <v>0</v>
      </c>
      <c r="E1546" t="s">
        <v>1549</v>
      </c>
    </row>
    <row r="1547" spans="1:5">
      <c r="A1547">
        <f>HYPERLINK("http://www.twitter.com/NYCParks/status/692010902086893568", "692010902086893568")</f>
        <v>0</v>
      </c>
      <c r="B1547" s="2">
        <v>42395.6577546296</v>
      </c>
      <c r="C1547">
        <v>0</v>
      </c>
      <c r="D1547">
        <v>0</v>
      </c>
      <c r="E1547" t="s">
        <v>1550</v>
      </c>
    </row>
    <row r="1548" spans="1:5">
      <c r="A1548">
        <f>HYPERLINK("http://www.twitter.com/NYCParks/status/692010815101206533", "692010815101206533")</f>
        <v>0</v>
      </c>
      <c r="B1548" s="2">
        <v>42395.6575115741</v>
      </c>
      <c r="C1548">
        <v>0</v>
      </c>
      <c r="D1548">
        <v>0</v>
      </c>
      <c r="E1548" t="s">
        <v>1551</v>
      </c>
    </row>
    <row r="1549" spans="1:5">
      <c r="A1549">
        <f>HYPERLINK("http://www.twitter.com/NYCParks/status/692010762626277376", "692010762626277376")</f>
        <v>0</v>
      </c>
      <c r="B1549" s="2">
        <v>42395.6573726852</v>
      </c>
      <c r="C1549">
        <v>0</v>
      </c>
      <c r="D1549">
        <v>0</v>
      </c>
      <c r="E1549" t="s">
        <v>1552</v>
      </c>
    </row>
    <row r="1550" spans="1:5">
      <c r="A1550">
        <f>HYPERLINK("http://www.twitter.com/NYCParks/status/692010468915974145", "692010468915974145")</f>
        <v>0</v>
      </c>
      <c r="B1550" s="2">
        <v>42395.6565625</v>
      </c>
      <c r="C1550">
        <v>0</v>
      </c>
      <c r="D1550">
        <v>0</v>
      </c>
      <c r="E1550" t="s">
        <v>1553</v>
      </c>
    </row>
    <row r="1551" spans="1:5">
      <c r="A1551">
        <f>HYPERLINK("http://www.twitter.com/NYCParks/status/692010332513046529", "692010332513046529")</f>
        <v>0</v>
      </c>
      <c r="B1551" s="2">
        <v>42395.6561805556</v>
      </c>
      <c r="C1551">
        <v>0</v>
      </c>
      <c r="D1551">
        <v>0</v>
      </c>
      <c r="E1551" t="s">
        <v>1554</v>
      </c>
    </row>
    <row r="1552" spans="1:5">
      <c r="A1552">
        <f>HYPERLINK("http://www.twitter.com/NYCParks/status/692009807516168192", "692009807516168192")</f>
        <v>0</v>
      </c>
      <c r="B1552" s="2">
        <v>42395.6547337963</v>
      </c>
      <c r="C1552">
        <v>0</v>
      </c>
      <c r="D1552">
        <v>0</v>
      </c>
      <c r="E1552" t="s">
        <v>1555</v>
      </c>
    </row>
    <row r="1553" spans="1:5">
      <c r="A1553">
        <f>HYPERLINK("http://www.twitter.com/NYCParks/status/692009633729396738", "692009633729396738")</f>
        <v>0</v>
      </c>
      <c r="B1553" s="2">
        <v>42395.6542592593</v>
      </c>
      <c r="C1553">
        <v>0</v>
      </c>
      <c r="D1553">
        <v>0</v>
      </c>
      <c r="E1553" t="s">
        <v>1556</v>
      </c>
    </row>
    <row r="1554" spans="1:5">
      <c r="A1554">
        <f>HYPERLINK("http://www.twitter.com/NYCParks/status/692009521175224320", "692009521175224320")</f>
        <v>0</v>
      </c>
      <c r="B1554" s="2">
        <v>42395.6539467593</v>
      </c>
      <c r="C1554">
        <v>0</v>
      </c>
      <c r="D1554">
        <v>0</v>
      </c>
      <c r="E1554" t="s">
        <v>1557</v>
      </c>
    </row>
    <row r="1555" spans="1:5">
      <c r="A1555">
        <f>HYPERLINK("http://www.twitter.com/NYCParks/status/692009325468979200", "692009325468979200")</f>
        <v>0</v>
      </c>
      <c r="B1555" s="2">
        <v>42395.6534027778</v>
      </c>
      <c r="C1555">
        <v>0</v>
      </c>
      <c r="D1555">
        <v>0</v>
      </c>
      <c r="E1555" t="s">
        <v>1558</v>
      </c>
    </row>
    <row r="1556" spans="1:5">
      <c r="A1556">
        <f>HYPERLINK("http://www.twitter.com/NYCParks/status/692009044383502336", "692009044383502336")</f>
        <v>0</v>
      </c>
      <c r="B1556" s="2">
        <v>42395.6526273148</v>
      </c>
      <c r="C1556">
        <v>1</v>
      </c>
      <c r="D1556">
        <v>0</v>
      </c>
      <c r="E1556" t="s">
        <v>1559</v>
      </c>
    </row>
    <row r="1557" spans="1:5">
      <c r="A1557">
        <f>HYPERLINK("http://www.twitter.com/NYCParks/status/691725670892883968", "691725670892883968")</f>
        <v>0</v>
      </c>
      <c r="B1557" s="2">
        <v>42394.8706712963</v>
      </c>
      <c r="C1557">
        <v>1</v>
      </c>
      <c r="D1557">
        <v>0</v>
      </c>
      <c r="E1557" t="s">
        <v>1560</v>
      </c>
    </row>
    <row r="1558" spans="1:5">
      <c r="A1558">
        <f>HYPERLINK("http://www.twitter.com/NYCParks/status/691725563522846720", "691725563522846720")</f>
        <v>0</v>
      </c>
      <c r="B1558" s="2">
        <v>42394.8703703704</v>
      </c>
      <c r="C1558">
        <v>0</v>
      </c>
      <c r="D1558">
        <v>0</v>
      </c>
      <c r="E1558" t="s">
        <v>1561</v>
      </c>
    </row>
    <row r="1559" spans="1:5">
      <c r="A1559">
        <f>HYPERLINK("http://www.twitter.com/NYCParks/status/691712313389355008", "691712313389355008")</f>
        <v>0</v>
      </c>
      <c r="B1559" s="2">
        <v>42394.8338078704</v>
      </c>
      <c r="C1559">
        <v>10</v>
      </c>
      <c r="D1559">
        <v>4</v>
      </c>
      <c r="E1559" t="s">
        <v>1562</v>
      </c>
    </row>
    <row r="1560" spans="1:5">
      <c r="A1560">
        <f>HYPERLINK("http://www.twitter.com/NYCParks/status/691695852566548481", "691695852566548481")</f>
        <v>0</v>
      </c>
      <c r="B1560" s="2">
        <v>42394.7883796296</v>
      </c>
      <c r="C1560">
        <v>9</v>
      </c>
      <c r="D1560">
        <v>7</v>
      </c>
      <c r="E1560" t="s">
        <v>1563</v>
      </c>
    </row>
    <row r="1561" spans="1:5">
      <c r="A1561">
        <f>HYPERLINK("http://www.twitter.com/NYCParks/status/691683877153275908", "691683877153275908")</f>
        <v>0</v>
      </c>
      <c r="B1561" s="2">
        <v>42394.7553356482</v>
      </c>
      <c r="C1561">
        <v>0</v>
      </c>
      <c r="D1561">
        <v>0</v>
      </c>
      <c r="E1561" t="s">
        <v>1564</v>
      </c>
    </row>
    <row r="1562" spans="1:5">
      <c r="A1562">
        <f>HYPERLINK("http://www.twitter.com/NYCParks/status/691683582302101504", "691683582302101504")</f>
        <v>0</v>
      </c>
      <c r="B1562" s="2">
        <v>42394.754525463</v>
      </c>
      <c r="C1562">
        <v>1</v>
      </c>
      <c r="D1562">
        <v>0</v>
      </c>
      <c r="E1562" t="s">
        <v>1565</v>
      </c>
    </row>
    <row r="1563" spans="1:5">
      <c r="A1563">
        <f>HYPERLINK("http://www.twitter.com/NYCParks/status/691683489960312833", "691683489960312833")</f>
        <v>0</v>
      </c>
      <c r="B1563" s="2">
        <v>42394.7542708333</v>
      </c>
      <c r="C1563">
        <v>0</v>
      </c>
      <c r="D1563">
        <v>0</v>
      </c>
      <c r="E1563" t="s">
        <v>1566</v>
      </c>
    </row>
    <row r="1564" spans="1:5">
      <c r="A1564">
        <f>HYPERLINK("http://www.twitter.com/NYCParks/status/691683118261080064", "691683118261080064")</f>
        <v>0</v>
      </c>
      <c r="B1564" s="2">
        <v>42394.7532407407</v>
      </c>
      <c r="C1564">
        <v>0</v>
      </c>
      <c r="D1564">
        <v>0</v>
      </c>
      <c r="E1564" t="s">
        <v>1567</v>
      </c>
    </row>
    <row r="1565" spans="1:5">
      <c r="A1565">
        <f>HYPERLINK("http://www.twitter.com/NYCParks/status/691682838337429504", "691682838337429504")</f>
        <v>0</v>
      </c>
      <c r="B1565" s="2">
        <v>42394.7524768518</v>
      </c>
      <c r="C1565">
        <v>0</v>
      </c>
      <c r="D1565">
        <v>0</v>
      </c>
      <c r="E1565" t="s">
        <v>1568</v>
      </c>
    </row>
    <row r="1566" spans="1:5">
      <c r="A1566">
        <f>HYPERLINK("http://www.twitter.com/NYCParks/status/691682459751223297", "691682459751223297")</f>
        <v>0</v>
      </c>
      <c r="B1566" s="2">
        <v>42394.7514236111</v>
      </c>
      <c r="C1566">
        <v>0</v>
      </c>
      <c r="D1566">
        <v>0</v>
      </c>
      <c r="E1566" t="s">
        <v>1569</v>
      </c>
    </row>
    <row r="1567" spans="1:5">
      <c r="A1567">
        <f>HYPERLINK("http://www.twitter.com/NYCParks/status/691679460366663680", "691679460366663680")</f>
        <v>0</v>
      </c>
      <c r="B1567" s="2">
        <v>42394.7431481481</v>
      </c>
      <c r="C1567">
        <v>9</v>
      </c>
      <c r="D1567">
        <v>4</v>
      </c>
      <c r="E1567" t="s">
        <v>1570</v>
      </c>
    </row>
    <row r="1568" spans="1:5">
      <c r="A1568">
        <f>HYPERLINK("http://www.twitter.com/NYCParks/status/691657529886183424", "691657529886183424")</f>
        <v>0</v>
      </c>
      <c r="B1568" s="2">
        <v>42394.6826388889</v>
      </c>
      <c r="C1568">
        <v>0</v>
      </c>
      <c r="D1568">
        <v>97</v>
      </c>
      <c r="E1568" t="s">
        <v>1571</v>
      </c>
    </row>
    <row r="1569" spans="1:5">
      <c r="A1569">
        <f>HYPERLINK("http://www.twitter.com/NYCParks/status/691642645450493952", "691642645450493952")</f>
        <v>0</v>
      </c>
      <c r="B1569" s="2">
        <v>42394.6415625</v>
      </c>
      <c r="C1569">
        <v>3</v>
      </c>
      <c r="D1569">
        <v>0</v>
      </c>
      <c r="E1569" t="s">
        <v>1572</v>
      </c>
    </row>
    <row r="1570" spans="1:5">
      <c r="A1570">
        <f>HYPERLINK("http://www.twitter.com/NYCParks/status/691640305536385024", "691640305536385024")</f>
        <v>0</v>
      </c>
      <c r="B1570" s="2">
        <v>42394.6351041667</v>
      </c>
      <c r="C1570">
        <v>7</v>
      </c>
      <c r="D1570">
        <v>3</v>
      </c>
      <c r="E1570" t="s">
        <v>1573</v>
      </c>
    </row>
    <row r="1571" spans="1:5">
      <c r="A1571">
        <f>HYPERLINK("http://www.twitter.com/NYCParks/status/691358560958160901", "691358560958160901")</f>
        <v>0</v>
      </c>
      <c r="B1571" s="2">
        <v>42393.8576388889</v>
      </c>
      <c r="C1571">
        <v>0</v>
      </c>
      <c r="D1571">
        <v>19</v>
      </c>
      <c r="E1571" t="s">
        <v>1574</v>
      </c>
    </row>
    <row r="1572" spans="1:5">
      <c r="A1572">
        <f>HYPERLINK("http://www.twitter.com/NYCParks/status/691331427984658432", "691331427984658432")</f>
        <v>0</v>
      </c>
      <c r="B1572" s="2">
        <v>42393.7827662037</v>
      </c>
      <c r="C1572">
        <v>0</v>
      </c>
      <c r="D1572">
        <v>8</v>
      </c>
      <c r="E1572" t="s">
        <v>1575</v>
      </c>
    </row>
    <row r="1573" spans="1:5">
      <c r="A1573">
        <f>HYPERLINK("http://www.twitter.com/NYCParks/status/691320062574247936", "691320062574247936")</f>
        <v>0</v>
      </c>
      <c r="B1573" s="2">
        <v>42393.751400463</v>
      </c>
      <c r="C1573">
        <v>14</v>
      </c>
      <c r="D1573">
        <v>7</v>
      </c>
      <c r="E1573" t="s">
        <v>1576</v>
      </c>
    </row>
    <row r="1574" spans="1:5">
      <c r="A1574">
        <f>HYPERLINK("http://www.twitter.com/NYCParks/status/691318133789999104", "691318133789999104")</f>
        <v>0</v>
      </c>
      <c r="B1574" s="2">
        <v>42393.7460763889</v>
      </c>
      <c r="C1574">
        <v>17</v>
      </c>
      <c r="D1574">
        <v>8</v>
      </c>
      <c r="E1574" t="s">
        <v>1577</v>
      </c>
    </row>
    <row r="1575" spans="1:5">
      <c r="A1575">
        <f>HYPERLINK("http://www.twitter.com/NYCParks/status/691316221954932736", "691316221954932736")</f>
        <v>0</v>
      </c>
      <c r="B1575" s="2">
        <v>42393.7408101852</v>
      </c>
      <c r="C1575">
        <v>2</v>
      </c>
      <c r="D1575">
        <v>0</v>
      </c>
      <c r="E1575" t="s">
        <v>1578</v>
      </c>
    </row>
    <row r="1576" spans="1:5">
      <c r="A1576">
        <f>HYPERLINK("http://www.twitter.com/NYCParks/status/691313402979950593", "691313402979950593")</f>
        <v>0</v>
      </c>
      <c r="B1576" s="2">
        <v>42393.7330208333</v>
      </c>
      <c r="C1576">
        <v>34</v>
      </c>
      <c r="D1576">
        <v>13</v>
      </c>
      <c r="E1576" t="s">
        <v>1579</v>
      </c>
    </row>
    <row r="1577" spans="1:5">
      <c r="A1577">
        <f>HYPERLINK("http://www.twitter.com/NYCParks/status/691313117108764677", "691313117108764677")</f>
        <v>0</v>
      </c>
      <c r="B1577" s="2">
        <v>42393.7322337963</v>
      </c>
      <c r="C1577">
        <v>8</v>
      </c>
      <c r="D1577">
        <v>9</v>
      </c>
      <c r="E1577" t="s">
        <v>1580</v>
      </c>
    </row>
    <row r="1578" spans="1:5">
      <c r="A1578">
        <f>HYPERLINK("http://www.twitter.com/NYCParks/status/691312519395315714", "691312519395315714")</f>
        <v>0</v>
      </c>
      <c r="B1578" s="2">
        <v>42393.7305902778</v>
      </c>
      <c r="C1578">
        <v>23</v>
      </c>
      <c r="D1578">
        <v>25</v>
      </c>
      <c r="E1578" t="s">
        <v>1581</v>
      </c>
    </row>
    <row r="1579" spans="1:5">
      <c r="A1579">
        <f>HYPERLINK("http://www.twitter.com/NYCParks/status/691242916522692608", "691242916522692608")</f>
        <v>0</v>
      </c>
      <c r="B1579" s="2">
        <v>42393.5385185185</v>
      </c>
      <c r="C1579">
        <v>0</v>
      </c>
      <c r="D1579">
        <v>213</v>
      </c>
      <c r="E1579" t="s">
        <v>1582</v>
      </c>
    </row>
    <row r="1580" spans="1:5">
      <c r="A1580">
        <f>HYPERLINK("http://www.twitter.com/NYCParks/status/691088902455689217", "691088902455689217")</f>
        <v>0</v>
      </c>
      <c r="B1580" s="2">
        <v>42393.1135185185</v>
      </c>
      <c r="C1580">
        <v>0</v>
      </c>
      <c r="D1580">
        <v>478</v>
      </c>
      <c r="E1580" t="s">
        <v>1583</v>
      </c>
    </row>
    <row r="1581" spans="1:5">
      <c r="A1581">
        <f>HYPERLINK("http://www.twitter.com/NYCParks/status/690960490755919874", "690960490755919874")</f>
        <v>0</v>
      </c>
      <c r="B1581" s="2">
        <v>42392.7591782407</v>
      </c>
      <c r="C1581">
        <v>0</v>
      </c>
      <c r="D1581">
        <v>2508</v>
      </c>
      <c r="E1581" t="s">
        <v>1584</v>
      </c>
    </row>
    <row r="1582" spans="1:5">
      <c r="A1582">
        <f>HYPERLINK("http://www.twitter.com/NYCParks/status/690948386376290304", "690948386376290304")</f>
        <v>0</v>
      </c>
      <c r="B1582" s="2">
        <v>42392.725775463</v>
      </c>
      <c r="C1582">
        <v>0</v>
      </c>
      <c r="D1582">
        <v>57</v>
      </c>
      <c r="E1582" t="s">
        <v>1585</v>
      </c>
    </row>
    <row r="1583" spans="1:5">
      <c r="A1583">
        <f>HYPERLINK("http://www.twitter.com/NYCParks/status/690613764585078785", "690613764585078785")</f>
        <v>0</v>
      </c>
      <c r="B1583" s="2">
        <v>42391.8023958333</v>
      </c>
      <c r="C1583">
        <v>8</v>
      </c>
      <c r="D1583">
        <v>6</v>
      </c>
      <c r="E1583" t="s">
        <v>1586</v>
      </c>
    </row>
    <row r="1584" spans="1:5">
      <c r="A1584">
        <f>HYPERLINK("http://www.twitter.com/NYCParks/status/690597008382541826", "690597008382541826")</f>
        <v>0</v>
      </c>
      <c r="B1584" s="2">
        <v>42391.7561574074</v>
      </c>
      <c r="C1584">
        <v>0</v>
      </c>
      <c r="D1584">
        <v>54</v>
      </c>
      <c r="E1584" t="s">
        <v>1587</v>
      </c>
    </row>
    <row r="1585" spans="1:5">
      <c r="A1585">
        <f>HYPERLINK("http://www.twitter.com/NYCParks/status/690581014826082304", "690581014826082304")</f>
        <v>0</v>
      </c>
      <c r="B1585" s="2">
        <v>42391.7120138889</v>
      </c>
      <c r="C1585">
        <v>14</v>
      </c>
      <c r="D1585">
        <v>17</v>
      </c>
      <c r="E1585" t="s">
        <v>1588</v>
      </c>
    </row>
    <row r="1586" spans="1:5">
      <c r="A1586">
        <f>HYPERLINK("http://www.twitter.com/NYCParks/status/690564899429310464", "690564899429310464")</f>
        <v>0</v>
      </c>
      <c r="B1586" s="2">
        <v>42391.6675462963</v>
      </c>
      <c r="C1586">
        <v>0</v>
      </c>
      <c r="D1586">
        <v>43</v>
      </c>
      <c r="E1586" t="s">
        <v>1589</v>
      </c>
    </row>
    <row r="1587" spans="1:5">
      <c r="A1587">
        <f>HYPERLINK("http://www.twitter.com/NYCParks/status/690288511539400704", "690288511539400704")</f>
        <v>0</v>
      </c>
      <c r="B1587" s="2">
        <v>42390.9048611111</v>
      </c>
      <c r="C1587">
        <v>167</v>
      </c>
      <c r="D1587">
        <v>125</v>
      </c>
      <c r="E1587" t="s">
        <v>1590</v>
      </c>
    </row>
    <row r="1588" spans="1:5">
      <c r="A1588">
        <f>HYPERLINK("http://www.twitter.com/NYCParks/status/690273995707539459", "690273995707539459")</f>
        <v>0</v>
      </c>
      <c r="B1588" s="2">
        <v>42390.8648032407</v>
      </c>
      <c r="C1588">
        <v>39</v>
      </c>
      <c r="D1588">
        <v>16</v>
      </c>
      <c r="E1588" t="s">
        <v>1591</v>
      </c>
    </row>
    <row r="1589" spans="1:5">
      <c r="A1589">
        <f>HYPERLINK("http://www.twitter.com/NYCParks/status/690258973346394112", "690258973346394112")</f>
        <v>0</v>
      </c>
      <c r="B1589" s="2">
        <v>42390.8233564815</v>
      </c>
      <c r="C1589">
        <v>47</v>
      </c>
      <c r="D1589">
        <v>23</v>
      </c>
      <c r="E1589" t="s">
        <v>1592</v>
      </c>
    </row>
    <row r="1590" spans="1:5">
      <c r="A1590">
        <f>HYPERLINK("http://www.twitter.com/NYCParks/status/690241242706370560", "690241242706370560")</f>
        <v>0</v>
      </c>
      <c r="B1590" s="2">
        <v>42390.7744212963</v>
      </c>
      <c r="C1590">
        <v>13</v>
      </c>
      <c r="D1590">
        <v>13</v>
      </c>
      <c r="E1590" t="s">
        <v>1593</v>
      </c>
    </row>
    <row r="1591" spans="1:5">
      <c r="A1591">
        <f>HYPERLINK("http://www.twitter.com/NYCParks/status/690224722806718464", "690224722806718464")</f>
        <v>0</v>
      </c>
      <c r="B1591" s="2">
        <v>42390.7288425926</v>
      </c>
      <c r="C1591">
        <v>4</v>
      </c>
      <c r="D1591">
        <v>8</v>
      </c>
      <c r="E1591" t="s">
        <v>1594</v>
      </c>
    </row>
    <row r="1592" spans="1:5">
      <c r="A1592">
        <f>HYPERLINK("http://www.twitter.com/NYCParks/status/690224493525123074", "690224493525123074")</f>
        <v>0</v>
      </c>
      <c r="B1592" s="2">
        <v>42390.7282060185</v>
      </c>
      <c r="C1592">
        <v>16</v>
      </c>
      <c r="D1592">
        <v>27</v>
      </c>
      <c r="E1592" t="s">
        <v>1595</v>
      </c>
    </row>
    <row r="1593" spans="1:5">
      <c r="A1593">
        <f>HYPERLINK("http://www.twitter.com/NYCParks/status/690211586431172608", "690211586431172608")</f>
        <v>0</v>
      </c>
      <c r="B1593" s="2">
        <v>42390.6925925926</v>
      </c>
      <c r="C1593">
        <v>2</v>
      </c>
      <c r="D1593">
        <v>7</v>
      </c>
      <c r="E1593" t="s">
        <v>1596</v>
      </c>
    </row>
    <row r="1594" spans="1:5">
      <c r="A1594">
        <f>HYPERLINK("http://www.twitter.com/NYCParks/status/690199133915910144", "690199133915910144")</f>
        <v>0</v>
      </c>
      <c r="B1594" s="2">
        <v>42390.6582291667</v>
      </c>
      <c r="C1594">
        <v>3</v>
      </c>
      <c r="D1594">
        <v>0</v>
      </c>
      <c r="E1594" t="s">
        <v>1597</v>
      </c>
    </row>
    <row r="1595" spans="1:5">
      <c r="A1595">
        <f>HYPERLINK("http://www.twitter.com/NYCParks/status/690195680556638209", "690195680556638209")</f>
        <v>0</v>
      </c>
      <c r="B1595" s="2">
        <v>42390.6487037037</v>
      </c>
      <c r="C1595">
        <v>7</v>
      </c>
      <c r="D1595">
        <v>1</v>
      </c>
      <c r="E1595" t="s">
        <v>1598</v>
      </c>
    </row>
    <row r="1596" spans="1:5">
      <c r="A1596">
        <f>HYPERLINK("http://www.twitter.com/NYCParks/status/690187636439408643", "690187636439408643")</f>
        <v>0</v>
      </c>
      <c r="B1596" s="2">
        <v>42390.6265046296</v>
      </c>
      <c r="C1596">
        <v>15</v>
      </c>
      <c r="D1596">
        <v>4</v>
      </c>
      <c r="E1596" t="s">
        <v>1599</v>
      </c>
    </row>
    <row r="1597" spans="1:5">
      <c r="A1597">
        <f>HYPERLINK("http://www.twitter.com/NYCParks/status/689923001278713856", "689923001278713856")</f>
        <v>0</v>
      </c>
      <c r="B1597" s="2">
        <v>42389.89625</v>
      </c>
      <c r="C1597">
        <v>41</v>
      </c>
      <c r="D1597">
        <v>17</v>
      </c>
      <c r="E1597" t="s">
        <v>1600</v>
      </c>
    </row>
    <row r="1598" spans="1:5">
      <c r="A1598">
        <f>HYPERLINK("http://www.twitter.com/NYCParks/status/689907924509007877", "689907924509007877")</f>
        <v>0</v>
      </c>
      <c r="B1598" s="2">
        <v>42389.8546412037</v>
      </c>
      <c r="C1598">
        <v>0</v>
      </c>
      <c r="D1598">
        <v>1</v>
      </c>
      <c r="E1598" t="s">
        <v>1601</v>
      </c>
    </row>
    <row r="1599" spans="1:5">
      <c r="A1599">
        <f>HYPERLINK("http://www.twitter.com/NYCParks/status/689894497187160065", "689894497187160065")</f>
        <v>0</v>
      </c>
      <c r="B1599" s="2">
        <v>42389.8175925926</v>
      </c>
      <c r="C1599">
        <v>0</v>
      </c>
      <c r="D1599">
        <v>47</v>
      </c>
      <c r="E1599" t="s">
        <v>1602</v>
      </c>
    </row>
    <row r="1600" spans="1:5">
      <c r="A1600">
        <f>HYPERLINK("http://www.twitter.com/NYCParks/status/689872618724421632", "689872618724421632")</f>
        <v>0</v>
      </c>
      <c r="B1600" s="2">
        <v>42389.7572222222</v>
      </c>
      <c r="C1600">
        <v>10</v>
      </c>
      <c r="D1600">
        <v>5</v>
      </c>
      <c r="E1600" t="s">
        <v>1603</v>
      </c>
    </row>
    <row r="1601" spans="1:5">
      <c r="A1601">
        <f>HYPERLINK("http://www.twitter.com/NYCParks/status/689856033037099008", "689856033037099008")</f>
        <v>0</v>
      </c>
      <c r="B1601" s="2">
        <v>42389.7114467593</v>
      </c>
      <c r="C1601">
        <v>31</v>
      </c>
      <c r="D1601">
        <v>13</v>
      </c>
      <c r="E1601" t="s">
        <v>1604</v>
      </c>
    </row>
    <row r="1602" spans="1:5">
      <c r="A1602">
        <f>HYPERLINK("http://www.twitter.com/NYCParks/status/689840716948869120", "689840716948869120")</f>
        <v>0</v>
      </c>
      <c r="B1602" s="2">
        <v>42389.6691898148</v>
      </c>
      <c r="C1602">
        <v>0</v>
      </c>
      <c r="D1602">
        <v>20</v>
      </c>
      <c r="E1602" t="s">
        <v>1605</v>
      </c>
    </row>
    <row r="1603" spans="1:5">
      <c r="A1603">
        <f>HYPERLINK("http://www.twitter.com/NYCParks/status/689563135351586824", "689563135351586824")</f>
        <v>0</v>
      </c>
      <c r="B1603" s="2">
        <v>42388.9032060185</v>
      </c>
      <c r="C1603">
        <v>1</v>
      </c>
      <c r="D1603">
        <v>0</v>
      </c>
      <c r="E1603" t="s">
        <v>1606</v>
      </c>
    </row>
    <row r="1604" spans="1:5">
      <c r="A1604">
        <f>HYPERLINK("http://www.twitter.com/NYCParks/status/689556125323239424", "689556125323239424")</f>
        <v>0</v>
      </c>
      <c r="B1604" s="2">
        <v>42388.8838657407</v>
      </c>
      <c r="C1604">
        <v>0</v>
      </c>
      <c r="D1604">
        <v>27</v>
      </c>
      <c r="E1604" t="s">
        <v>1607</v>
      </c>
    </row>
    <row r="1605" spans="1:5">
      <c r="A1605">
        <f>HYPERLINK("http://www.twitter.com/NYCParks/status/689541724583116800", "689541724583116800")</f>
        <v>0</v>
      </c>
      <c r="B1605" s="2">
        <v>42388.8441203704</v>
      </c>
      <c r="C1605">
        <v>8</v>
      </c>
      <c r="D1605">
        <v>6</v>
      </c>
      <c r="E1605" t="s">
        <v>1608</v>
      </c>
    </row>
    <row r="1606" spans="1:5">
      <c r="A1606">
        <f>HYPERLINK("http://www.twitter.com/NYCParks/status/689527876719370240", "689527876719370240")</f>
        <v>0</v>
      </c>
      <c r="B1606" s="2">
        <v>42388.8059143519</v>
      </c>
      <c r="C1606">
        <v>8</v>
      </c>
      <c r="D1606">
        <v>5</v>
      </c>
      <c r="E1606" t="s">
        <v>1609</v>
      </c>
    </row>
    <row r="1607" spans="1:5">
      <c r="A1607">
        <f>HYPERLINK("http://www.twitter.com/NYCParks/status/689525552512909312", "689525552512909312")</f>
        <v>0</v>
      </c>
      <c r="B1607" s="2">
        <v>42388.7995023148</v>
      </c>
      <c r="C1607">
        <v>8</v>
      </c>
      <c r="D1607">
        <v>6</v>
      </c>
      <c r="E1607" t="s">
        <v>1610</v>
      </c>
    </row>
    <row r="1608" spans="1:5">
      <c r="A1608">
        <f>HYPERLINK("http://www.twitter.com/NYCParks/status/689523697368076290", "689523697368076290")</f>
        <v>0</v>
      </c>
      <c r="B1608" s="2">
        <v>42388.794375</v>
      </c>
      <c r="C1608">
        <v>8</v>
      </c>
      <c r="D1608">
        <v>3</v>
      </c>
      <c r="E1608" t="s">
        <v>1611</v>
      </c>
    </row>
    <row r="1609" spans="1:5">
      <c r="A1609">
        <f>HYPERLINK("http://www.twitter.com/NYCParks/status/689522941139230720", "689522941139230720")</f>
        <v>0</v>
      </c>
      <c r="B1609" s="2">
        <v>42388.7922916667</v>
      </c>
      <c r="C1609">
        <v>13</v>
      </c>
      <c r="D1609">
        <v>6</v>
      </c>
      <c r="E1609" t="s">
        <v>1612</v>
      </c>
    </row>
    <row r="1610" spans="1:5">
      <c r="A1610">
        <f>HYPERLINK("http://www.twitter.com/NYCParks/status/689519057490591744", "689519057490591744")</f>
        <v>0</v>
      </c>
      <c r="B1610" s="2">
        <v>42388.7815740741</v>
      </c>
      <c r="C1610">
        <v>23</v>
      </c>
      <c r="D1610">
        <v>12</v>
      </c>
      <c r="E1610" t="s">
        <v>1613</v>
      </c>
    </row>
    <row r="1611" spans="1:5">
      <c r="A1611">
        <f>HYPERLINK("http://www.twitter.com/NYCParks/status/689510237108342784", "689510237108342784")</f>
        <v>0</v>
      </c>
      <c r="B1611" s="2">
        <v>42388.7572337963</v>
      </c>
      <c r="C1611">
        <v>22</v>
      </c>
      <c r="D1611">
        <v>22</v>
      </c>
      <c r="E1611" t="s">
        <v>1614</v>
      </c>
    </row>
    <row r="1612" spans="1:5">
      <c r="A1612">
        <f>HYPERLINK("http://www.twitter.com/NYCParks/status/689493885878345728", "689493885878345728")</f>
        <v>0</v>
      </c>
      <c r="B1612" s="2">
        <v>42388.7121180556</v>
      </c>
      <c r="C1612">
        <v>32</v>
      </c>
      <c r="D1612">
        <v>9</v>
      </c>
      <c r="E1612" t="s">
        <v>1615</v>
      </c>
    </row>
    <row r="1613" spans="1:5">
      <c r="A1613">
        <f>HYPERLINK("http://www.twitter.com/NYCParks/status/689478801521176578", "689478801521176578")</f>
        <v>0</v>
      </c>
      <c r="B1613" s="2">
        <v>42388.6704861111</v>
      </c>
      <c r="C1613">
        <v>14</v>
      </c>
      <c r="D1613">
        <v>4</v>
      </c>
      <c r="E1613" t="s">
        <v>1616</v>
      </c>
    </row>
    <row r="1614" spans="1:5">
      <c r="A1614">
        <f>HYPERLINK("http://www.twitter.com/NYCParks/status/688835818950144002", "688835818950144002")</f>
        <v>0</v>
      </c>
      <c r="B1614" s="2">
        <v>42386.8961921296</v>
      </c>
      <c r="C1614">
        <v>11</v>
      </c>
      <c r="D1614">
        <v>7</v>
      </c>
      <c r="E1614" t="s">
        <v>1617</v>
      </c>
    </row>
    <row r="1615" spans="1:5">
      <c r="A1615">
        <f>HYPERLINK("http://www.twitter.com/NYCParks/status/688833998097879041", "688833998097879041")</f>
        <v>0</v>
      </c>
      <c r="B1615" s="2">
        <v>42386.8911689815</v>
      </c>
      <c r="C1615">
        <v>39</v>
      </c>
      <c r="D1615">
        <v>8</v>
      </c>
      <c r="E1615" t="s">
        <v>1618</v>
      </c>
    </row>
    <row r="1616" spans="1:5">
      <c r="A1616">
        <f>HYPERLINK("http://www.twitter.com/NYCParks/status/688129261182439425", "688129261182439425")</f>
        <v>0</v>
      </c>
      <c r="B1616" s="2">
        <v>42384.9464699074</v>
      </c>
      <c r="C1616">
        <v>2</v>
      </c>
      <c r="D1616">
        <v>1</v>
      </c>
      <c r="E1616" t="s">
        <v>1619</v>
      </c>
    </row>
    <row r="1617" spans="1:5">
      <c r="A1617">
        <f>HYPERLINK("http://www.twitter.com/NYCParks/status/688077033579130880", "688077033579130880")</f>
        <v>0</v>
      </c>
      <c r="B1617" s="2">
        <v>42384.802349537</v>
      </c>
      <c r="C1617">
        <v>61</v>
      </c>
      <c r="D1617">
        <v>25</v>
      </c>
      <c r="E1617" t="s">
        <v>1620</v>
      </c>
    </row>
    <row r="1618" spans="1:5">
      <c r="A1618">
        <f>HYPERLINK("http://www.twitter.com/NYCParks/status/688060660496904192", "688060660496904192")</f>
        <v>0</v>
      </c>
      <c r="B1618" s="2">
        <v>42384.7571643519</v>
      </c>
      <c r="C1618">
        <v>279</v>
      </c>
      <c r="D1618">
        <v>204</v>
      </c>
      <c r="E1618" t="s">
        <v>1621</v>
      </c>
    </row>
    <row r="1619" spans="1:5">
      <c r="A1619">
        <f>HYPERLINK("http://www.twitter.com/NYCParks/status/688044332553781254", "688044332553781254")</f>
        <v>0</v>
      </c>
      <c r="B1619" s="2">
        <v>42384.7121064815</v>
      </c>
      <c r="C1619">
        <v>18</v>
      </c>
      <c r="D1619">
        <v>14</v>
      </c>
      <c r="E1619" t="s">
        <v>1622</v>
      </c>
    </row>
    <row r="1620" spans="1:5">
      <c r="A1620">
        <f>HYPERLINK("http://www.twitter.com/NYCParks/status/688028370819481600", "688028370819481600")</f>
        <v>0</v>
      </c>
      <c r="B1620" s="2">
        <v>42384.6680671296</v>
      </c>
      <c r="C1620">
        <v>9</v>
      </c>
      <c r="D1620">
        <v>3</v>
      </c>
      <c r="E1620" t="s">
        <v>1623</v>
      </c>
    </row>
    <row r="1621" spans="1:5">
      <c r="A1621">
        <f>HYPERLINK("http://www.twitter.com/NYCParks/status/687743405443674112", "687743405443674112")</f>
        <v>0</v>
      </c>
      <c r="B1621" s="2">
        <v>42383.881712963</v>
      </c>
      <c r="C1621">
        <v>1</v>
      </c>
      <c r="D1621">
        <v>0</v>
      </c>
      <c r="E1621" t="s">
        <v>1624</v>
      </c>
    </row>
    <row r="1622" spans="1:5">
      <c r="A1622">
        <f>HYPERLINK("http://www.twitter.com/NYCParks/status/687734583119446016", "687734583119446016")</f>
        <v>0</v>
      </c>
      <c r="B1622" s="2">
        <v>42383.8573611111</v>
      </c>
      <c r="C1622">
        <v>0</v>
      </c>
      <c r="D1622">
        <v>20</v>
      </c>
      <c r="E1622" t="s">
        <v>1625</v>
      </c>
    </row>
    <row r="1623" spans="1:5">
      <c r="A1623">
        <f>HYPERLINK("http://www.twitter.com/NYCParks/status/687721054270308352", "687721054270308352")</f>
        <v>0</v>
      </c>
      <c r="B1623" s="2">
        <v>42383.8200347222</v>
      </c>
      <c r="C1623">
        <v>0</v>
      </c>
      <c r="D1623">
        <v>3</v>
      </c>
      <c r="E1623" t="s">
        <v>1626</v>
      </c>
    </row>
    <row r="1624" spans="1:5">
      <c r="A1624">
        <f>HYPERLINK("http://www.twitter.com/NYCParks/status/687682001026052098", "687682001026052098")</f>
        <v>0</v>
      </c>
      <c r="B1624" s="2">
        <v>42383.7122685185</v>
      </c>
      <c r="C1624">
        <v>37</v>
      </c>
      <c r="D1624">
        <v>23</v>
      </c>
      <c r="E1624" t="s">
        <v>1627</v>
      </c>
    </row>
    <row r="1625" spans="1:5">
      <c r="A1625">
        <f>HYPERLINK("http://www.twitter.com/NYCParks/status/687665956936630273", "687665956936630273")</f>
        <v>0</v>
      </c>
      <c r="B1625" s="2">
        <v>42383.6679976852</v>
      </c>
      <c r="C1625">
        <v>11</v>
      </c>
      <c r="D1625">
        <v>4</v>
      </c>
      <c r="E1625" t="s">
        <v>1628</v>
      </c>
    </row>
    <row r="1626" spans="1:5">
      <c r="A1626">
        <f>HYPERLINK("http://www.twitter.com/NYCParks/status/687368613792215041", "687368613792215041")</f>
        <v>0</v>
      </c>
      <c r="B1626" s="2">
        <v>42382.8474768518</v>
      </c>
      <c r="C1626">
        <v>15</v>
      </c>
      <c r="D1626">
        <v>12</v>
      </c>
      <c r="E1626" t="s">
        <v>1629</v>
      </c>
    </row>
    <row r="1627" spans="1:5">
      <c r="A1627">
        <f>HYPERLINK("http://www.twitter.com/NYCParks/status/687352261970911233", "687352261970911233")</f>
        <v>0</v>
      </c>
      <c r="B1627" s="2">
        <v>42382.8023611111</v>
      </c>
      <c r="C1627">
        <v>15</v>
      </c>
      <c r="D1627">
        <v>11</v>
      </c>
      <c r="E1627" t="s">
        <v>1630</v>
      </c>
    </row>
    <row r="1628" spans="1:5">
      <c r="A1628">
        <f>HYPERLINK("http://www.twitter.com/NYCParks/status/687335907914035200", "687335907914035200")</f>
        <v>0</v>
      </c>
      <c r="B1628" s="2">
        <v>42382.7572337963</v>
      </c>
      <c r="C1628">
        <v>10</v>
      </c>
      <c r="D1628">
        <v>2</v>
      </c>
      <c r="E1628" t="s">
        <v>1631</v>
      </c>
    </row>
    <row r="1629" spans="1:5">
      <c r="A1629">
        <f>HYPERLINK("http://www.twitter.com/NYCParks/status/687319533124714499", "687319533124714499")</f>
        <v>0</v>
      </c>
      <c r="B1629" s="2">
        <v>42382.7120486111</v>
      </c>
      <c r="C1629">
        <v>9</v>
      </c>
      <c r="D1629">
        <v>5</v>
      </c>
      <c r="E1629" t="s">
        <v>1632</v>
      </c>
    </row>
    <row r="1630" spans="1:5">
      <c r="A1630">
        <f>HYPERLINK("http://www.twitter.com/NYCParks/status/687306160978968576", "687306160978968576")</f>
        <v>0</v>
      </c>
      <c r="B1630" s="2">
        <v>42382.6751388889</v>
      </c>
      <c r="C1630">
        <v>1</v>
      </c>
      <c r="D1630">
        <v>0</v>
      </c>
      <c r="E1630" t="s">
        <v>1633</v>
      </c>
    </row>
    <row r="1631" spans="1:5">
      <c r="A1631">
        <f>HYPERLINK("http://www.twitter.com/NYCParks/status/687306017756020736", "687306017756020736")</f>
        <v>0</v>
      </c>
      <c r="B1631" s="2">
        <v>42382.6747453704</v>
      </c>
      <c r="C1631">
        <v>36</v>
      </c>
      <c r="D1631">
        <v>26</v>
      </c>
      <c r="E1631" t="s">
        <v>1634</v>
      </c>
    </row>
    <row r="1632" spans="1:5">
      <c r="A1632">
        <f>HYPERLINK("http://www.twitter.com/NYCParks/status/687006230028640258", "687006230028640258")</f>
        <v>0</v>
      </c>
      <c r="B1632" s="2">
        <v>42381.8474884259</v>
      </c>
      <c r="C1632">
        <v>5</v>
      </c>
      <c r="D1632">
        <v>3</v>
      </c>
      <c r="E1632" t="s">
        <v>1635</v>
      </c>
    </row>
    <row r="1633" spans="1:5">
      <c r="A1633">
        <f>HYPERLINK("http://www.twitter.com/NYCParks/status/686989873589432324", "686989873589432324")</f>
        <v>0</v>
      </c>
      <c r="B1633" s="2">
        <v>42381.8023611111</v>
      </c>
      <c r="C1633">
        <v>6</v>
      </c>
      <c r="D1633">
        <v>8</v>
      </c>
      <c r="E1633" t="s">
        <v>1636</v>
      </c>
    </row>
    <row r="1634" spans="1:5">
      <c r="A1634">
        <f>HYPERLINK("http://www.twitter.com/NYCParks/status/686973493938917376", "686973493938917376")</f>
        <v>0</v>
      </c>
      <c r="B1634" s="2">
        <v>42381.7571527778</v>
      </c>
      <c r="C1634">
        <v>28</v>
      </c>
      <c r="D1634">
        <v>12</v>
      </c>
      <c r="E1634" t="s">
        <v>1637</v>
      </c>
    </row>
    <row r="1635" spans="1:5">
      <c r="A1635">
        <f>HYPERLINK("http://www.twitter.com/NYCParks/status/686957128616140800", "686957128616140800")</f>
        <v>0</v>
      </c>
      <c r="B1635" s="2">
        <v>42381.7120023148</v>
      </c>
      <c r="C1635">
        <v>29</v>
      </c>
      <c r="D1635">
        <v>24</v>
      </c>
      <c r="E1635" t="s">
        <v>1638</v>
      </c>
    </row>
    <row r="1636" spans="1:5">
      <c r="A1636">
        <f>HYPERLINK("http://www.twitter.com/NYCParks/status/686942020611518464", "686942020611518464")</f>
        <v>0</v>
      </c>
      <c r="B1636" s="2">
        <v>42381.6703125</v>
      </c>
      <c r="C1636">
        <v>26</v>
      </c>
      <c r="D1636">
        <v>12</v>
      </c>
      <c r="E1636" t="s">
        <v>1639</v>
      </c>
    </row>
    <row r="1637" spans="1:5">
      <c r="A1637">
        <f>HYPERLINK("http://www.twitter.com/NYCParks/status/686651395085307905", "686651395085307905")</f>
        <v>0</v>
      </c>
      <c r="B1637" s="2">
        <v>42380.8683333333</v>
      </c>
      <c r="C1637">
        <v>22</v>
      </c>
      <c r="D1637">
        <v>3</v>
      </c>
      <c r="E1637" t="s">
        <v>1640</v>
      </c>
    </row>
    <row r="1638" spans="1:5">
      <c r="A1638">
        <f>HYPERLINK("http://www.twitter.com/NYCParks/status/686640956356059136", "686640956356059136")</f>
        <v>0</v>
      </c>
      <c r="B1638" s="2">
        <v>42380.839525463</v>
      </c>
      <c r="C1638">
        <v>8</v>
      </c>
      <c r="D1638">
        <v>1</v>
      </c>
      <c r="E1638" t="s">
        <v>1641</v>
      </c>
    </row>
    <row r="1639" spans="1:5">
      <c r="A1639">
        <f>HYPERLINK("http://www.twitter.com/NYCParks/status/686637960272334848", "686637960272334848")</f>
        <v>0</v>
      </c>
      <c r="B1639" s="2">
        <v>42380.8312615741</v>
      </c>
      <c r="C1639">
        <v>7</v>
      </c>
      <c r="D1639">
        <v>4</v>
      </c>
      <c r="E1639" t="s">
        <v>1642</v>
      </c>
    </row>
    <row r="1640" spans="1:5">
      <c r="A1640">
        <f>HYPERLINK("http://www.twitter.com/NYCParks/status/686635042320297984", "686635042320297984")</f>
        <v>0</v>
      </c>
      <c r="B1640" s="2">
        <v>42380.8232060185</v>
      </c>
      <c r="C1640">
        <v>15</v>
      </c>
      <c r="D1640">
        <v>2</v>
      </c>
      <c r="E1640" t="s">
        <v>1643</v>
      </c>
    </row>
    <row r="1641" spans="1:5">
      <c r="A1641">
        <f>HYPERLINK("http://www.twitter.com/NYCParks/status/686618678159405056", "686618678159405056")</f>
        <v>0</v>
      </c>
      <c r="B1641" s="2">
        <v>42380.7780555556</v>
      </c>
      <c r="C1641">
        <v>8</v>
      </c>
      <c r="D1641">
        <v>6</v>
      </c>
      <c r="E1641" t="s">
        <v>1644</v>
      </c>
    </row>
    <row r="1642" spans="1:5">
      <c r="A1642">
        <f>HYPERLINK("http://www.twitter.com/NYCParks/status/686602273984757761", "686602273984757761")</f>
        <v>0</v>
      </c>
      <c r="B1642" s="2">
        <v>42380.7327893519</v>
      </c>
      <c r="C1642">
        <v>30</v>
      </c>
      <c r="D1642">
        <v>17</v>
      </c>
      <c r="E1642" t="s">
        <v>1645</v>
      </c>
    </row>
    <row r="1643" spans="1:5">
      <c r="A1643">
        <f>HYPERLINK("http://www.twitter.com/NYCParks/status/686588475198541826", "686588475198541826")</f>
        <v>0</v>
      </c>
      <c r="B1643" s="2">
        <v>42380.6947106481</v>
      </c>
      <c r="C1643">
        <v>2</v>
      </c>
      <c r="D1643">
        <v>6</v>
      </c>
      <c r="E1643" t="s">
        <v>1646</v>
      </c>
    </row>
    <row r="1644" spans="1:5">
      <c r="A1644">
        <f>HYPERLINK("http://www.twitter.com/NYCParks/status/686575433228390401", "686575433228390401")</f>
        <v>0</v>
      </c>
      <c r="B1644" s="2">
        <v>42380.6587152778</v>
      </c>
      <c r="C1644">
        <v>3</v>
      </c>
      <c r="D1644">
        <v>1</v>
      </c>
      <c r="E1644" t="s">
        <v>1647</v>
      </c>
    </row>
    <row r="1645" spans="1:5">
      <c r="A1645">
        <f>HYPERLINK("http://www.twitter.com/NYCParks/status/686573304916869121", "686573304916869121")</f>
        <v>0</v>
      </c>
      <c r="B1645" s="2">
        <v>42380.6528472222</v>
      </c>
      <c r="C1645">
        <v>12</v>
      </c>
      <c r="D1645">
        <v>9</v>
      </c>
      <c r="E1645" t="s">
        <v>1648</v>
      </c>
    </row>
    <row r="1646" spans="1:5">
      <c r="A1646">
        <f>HYPERLINK("http://www.twitter.com/NYCParks/status/685555389564358656", "685555389564358656")</f>
        <v>0</v>
      </c>
      <c r="B1646" s="2">
        <v>42377.8439351852</v>
      </c>
      <c r="C1646">
        <v>25</v>
      </c>
      <c r="D1646">
        <v>12</v>
      </c>
      <c r="E1646" t="s">
        <v>1649</v>
      </c>
    </row>
    <row r="1647" spans="1:5">
      <c r="A1647">
        <f>HYPERLINK("http://www.twitter.com/NYCParks/status/685539032491802624", "685539032491802624")</f>
        <v>0</v>
      </c>
      <c r="B1647" s="2">
        <v>42377.7987962963</v>
      </c>
      <c r="C1647">
        <v>9</v>
      </c>
      <c r="D1647">
        <v>4</v>
      </c>
      <c r="E1647" t="s">
        <v>1650</v>
      </c>
    </row>
    <row r="1648" spans="1:5">
      <c r="A1648">
        <f>HYPERLINK("http://www.twitter.com/NYCParks/status/685522655739514885", "685522655739514885")</f>
        <v>0</v>
      </c>
      <c r="B1648" s="2">
        <v>42377.7536111111</v>
      </c>
      <c r="C1648">
        <v>19</v>
      </c>
      <c r="D1648">
        <v>13</v>
      </c>
      <c r="E1648" t="s">
        <v>1651</v>
      </c>
    </row>
    <row r="1649" spans="1:5">
      <c r="A1649">
        <f>HYPERLINK("http://www.twitter.com/NYCParks/status/685511637848199172", "685511637848199172")</f>
        <v>0</v>
      </c>
      <c r="B1649" s="2">
        <v>42377.7232060185</v>
      </c>
      <c r="C1649">
        <v>2</v>
      </c>
      <c r="D1649">
        <v>0</v>
      </c>
      <c r="E1649" t="s">
        <v>1652</v>
      </c>
    </row>
    <row r="1650" spans="1:5">
      <c r="A1650">
        <f>HYPERLINK("http://www.twitter.com/NYCParks/status/685505811364376578", "685505811364376578")</f>
        <v>0</v>
      </c>
      <c r="B1650" s="2">
        <v>42377.7071296296</v>
      </c>
      <c r="C1650">
        <v>11</v>
      </c>
      <c r="D1650">
        <v>6</v>
      </c>
      <c r="E1650" t="s">
        <v>1653</v>
      </c>
    </row>
    <row r="1651" spans="1:5">
      <c r="A1651">
        <f>HYPERLINK("http://www.twitter.com/NYCParks/status/685490565169999872", "685490565169999872")</f>
        <v>0</v>
      </c>
      <c r="B1651" s="2">
        <v>42377.6650578704</v>
      </c>
      <c r="C1651">
        <v>35</v>
      </c>
      <c r="D1651">
        <v>31</v>
      </c>
      <c r="E1651" t="s">
        <v>1654</v>
      </c>
    </row>
    <row r="1652" spans="1:5">
      <c r="A1652">
        <f>HYPERLINK("http://www.twitter.com/NYCParks/status/685188497007853568", "685188497007853568")</f>
        <v>0</v>
      </c>
      <c r="B1652" s="2">
        <v>42376.8315046296</v>
      </c>
      <c r="C1652">
        <v>13</v>
      </c>
      <c r="D1652">
        <v>7</v>
      </c>
      <c r="E1652" t="s">
        <v>1655</v>
      </c>
    </row>
    <row r="1653" spans="1:5">
      <c r="A1653">
        <f>HYPERLINK("http://www.twitter.com/NYCParks/status/685166667052257280", "685166667052257280")</f>
        <v>0</v>
      </c>
      <c r="B1653" s="2">
        <v>42376.7712615741</v>
      </c>
      <c r="C1653">
        <v>17</v>
      </c>
      <c r="D1653">
        <v>8</v>
      </c>
      <c r="E1653" t="s">
        <v>1656</v>
      </c>
    </row>
    <row r="1654" spans="1:5">
      <c r="A1654">
        <f>HYPERLINK("http://www.twitter.com/NYCParks/status/685150204409032704", "685150204409032704")</f>
        <v>0</v>
      </c>
      <c r="B1654" s="2">
        <v>42376.7258333333</v>
      </c>
      <c r="C1654">
        <v>12</v>
      </c>
      <c r="D1654">
        <v>17</v>
      </c>
      <c r="E1654" t="s">
        <v>1657</v>
      </c>
    </row>
    <row r="1655" spans="1:5">
      <c r="A1655">
        <f>HYPERLINK("http://www.twitter.com/NYCParks/status/685137827844222976", "685137827844222976")</f>
        <v>0</v>
      </c>
      <c r="B1655" s="2">
        <v>42376.6916898148</v>
      </c>
      <c r="C1655">
        <v>6</v>
      </c>
      <c r="D1655">
        <v>5</v>
      </c>
      <c r="E1655" t="s">
        <v>1658</v>
      </c>
    </row>
    <row r="1656" spans="1:5">
      <c r="A1656">
        <f>HYPERLINK("http://www.twitter.com/NYCParks/status/685136686154694659", "685136686154694659")</f>
        <v>0</v>
      </c>
      <c r="B1656" s="2">
        <v>42376.6885300926</v>
      </c>
      <c r="C1656">
        <v>8</v>
      </c>
      <c r="D1656">
        <v>0</v>
      </c>
      <c r="E1656" t="s">
        <v>1659</v>
      </c>
    </row>
    <row r="1657" spans="1:5">
      <c r="A1657">
        <f>HYPERLINK("http://www.twitter.com/NYCParks/status/685133833021337600", "685133833021337600")</f>
        <v>0</v>
      </c>
      <c r="B1657" s="2">
        <v>42376.6806597222</v>
      </c>
      <c r="C1657">
        <v>13</v>
      </c>
      <c r="D1657">
        <v>7</v>
      </c>
      <c r="E1657" t="s">
        <v>1660</v>
      </c>
    </row>
    <row r="1658" spans="1:5">
      <c r="A1658">
        <f>HYPERLINK("http://www.twitter.com/NYCParks/status/684845710697738240", "684845710697738240")</f>
        <v>0</v>
      </c>
      <c r="B1658" s="2">
        <v>42375.8855902778</v>
      </c>
      <c r="C1658">
        <v>4</v>
      </c>
      <c r="D1658">
        <v>3</v>
      </c>
      <c r="E1658" t="s">
        <v>1661</v>
      </c>
    </row>
    <row r="1659" spans="1:5">
      <c r="A1659">
        <f>HYPERLINK("http://www.twitter.com/NYCParks/status/684829350596898823", "684829350596898823")</f>
        <v>0</v>
      </c>
      <c r="B1659" s="2">
        <v>42375.8404513889</v>
      </c>
      <c r="C1659">
        <v>16</v>
      </c>
      <c r="D1659">
        <v>7</v>
      </c>
      <c r="E1659" t="s">
        <v>1662</v>
      </c>
    </row>
    <row r="1660" spans="1:5">
      <c r="A1660">
        <f>HYPERLINK("http://www.twitter.com/NYCParks/status/684815310030004224", "684815310030004224")</f>
        <v>0</v>
      </c>
      <c r="B1660" s="2">
        <v>42375.8017013889</v>
      </c>
      <c r="C1660">
        <v>6</v>
      </c>
      <c r="D1660">
        <v>7</v>
      </c>
      <c r="E1660" t="s">
        <v>1663</v>
      </c>
    </row>
    <row r="1661" spans="1:5">
      <c r="A1661">
        <f>HYPERLINK("http://www.twitter.com/NYCParks/status/684799158394482688", "684799158394482688")</f>
        <v>0</v>
      </c>
      <c r="B1661" s="2">
        <v>42375.7571296296</v>
      </c>
      <c r="C1661">
        <v>15</v>
      </c>
      <c r="D1661">
        <v>16</v>
      </c>
      <c r="E1661" t="s">
        <v>1664</v>
      </c>
    </row>
    <row r="1662" spans="1:5">
      <c r="A1662">
        <f>HYPERLINK("http://www.twitter.com/NYCParks/status/684782796309688320", "684782796309688320")</f>
        <v>0</v>
      </c>
      <c r="B1662" s="2">
        <v>42375.7119791667</v>
      </c>
      <c r="C1662">
        <v>20</v>
      </c>
      <c r="D1662">
        <v>13</v>
      </c>
      <c r="E1662" t="s">
        <v>1665</v>
      </c>
    </row>
    <row r="1663" spans="1:5">
      <c r="A1663">
        <f>HYPERLINK("http://www.twitter.com/NYCParks/status/684766062995468288", "684766062995468288")</f>
        <v>0</v>
      </c>
      <c r="B1663" s="2">
        <v>42375.6658101852</v>
      </c>
      <c r="C1663">
        <v>20</v>
      </c>
      <c r="D1663">
        <v>10</v>
      </c>
      <c r="E1663" t="s">
        <v>1666</v>
      </c>
    </row>
    <row r="1664" spans="1:5">
      <c r="A1664">
        <f>HYPERLINK("http://www.twitter.com/NYCParks/status/684479725771853824", "684479725771853824")</f>
        <v>0</v>
      </c>
      <c r="B1664" s="2">
        <v>42374.8756712963</v>
      </c>
      <c r="C1664">
        <v>11</v>
      </c>
      <c r="D1664">
        <v>7</v>
      </c>
      <c r="E1664" t="s">
        <v>1667</v>
      </c>
    </row>
    <row r="1665" spans="1:5">
      <c r="A1665">
        <f>HYPERLINK("http://www.twitter.com/NYCParks/status/684468262244102145", "684468262244102145")</f>
        <v>0</v>
      </c>
      <c r="B1665" s="2">
        <v>42374.8440393519</v>
      </c>
      <c r="C1665">
        <v>18</v>
      </c>
      <c r="D1665">
        <v>9</v>
      </c>
      <c r="E1665" t="s">
        <v>1668</v>
      </c>
    </row>
    <row r="1666" spans="1:5">
      <c r="A1666">
        <f>HYPERLINK("http://www.twitter.com/NYCParks/status/684451880974577665", "684451880974577665")</f>
        <v>0</v>
      </c>
      <c r="B1666" s="2">
        <v>42374.7988310185</v>
      </c>
      <c r="C1666">
        <v>7</v>
      </c>
      <c r="D1666">
        <v>3</v>
      </c>
      <c r="E1666" t="s">
        <v>1669</v>
      </c>
    </row>
    <row r="1667" spans="1:5">
      <c r="A1667">
        <f>HYPERLINK("http://www.twitter.com/NYCParks/status/684435511889498114", "684435511889498114")</f>
        <v>0</v>
      </c>
      <c r="B1667" s="2">
        <v>42374.7536574074</v>
      </c>
      <c r="C1667">
        <v>11</v>
      </c>
      <c r="D1667">
        <v>14</v>
      </c>
      <c r="E1667" t="s">
        <v>1670</v>
      </c>
    </row>
    <row r="1668" spans="1:5">
      <c r="A1668">
        <f>HYPERLINK("http://www.twitter.com/NYCParks/status/684419239927791616", "684419239927791616")</f>
        <v>0</v>
      </c>
      <c r="B1668" s="2">
        <v>42374.7087615741</v>
      </c>
      <c r="C1668">
        <v>31</v>
      </c>
      <c r="D1668">
        <v>22</v>
      </c>
      <c r="E1668" t="s">
        <v>1671</v>
      </c>
    </row>
    <row r="1669" spans="1:5">
      <c r="A1669">
        <f>HYPERLINK("http://www.twitter.com/NYCParks/status/684403213232123905", "684403213232123905")</f>
        <v>0</v>
      </c>
      <c r="B1669" s="2">
        <v>42374.664537037</v>
      </c>
      <c r="C1669">
        <v>0</v>
      </c>
      <c r="D1669">
        <v>17</v>
      </c>
      <c r="E1669" t="s">
        <v>1672</v>
      </c>
    </row>
    <row r="1670" spans="1:5">
      <c r="A1670">
        <f>HYPERLINK("http://www.twitter.com/NYCParks/status/684113398787903488", "684113398787903488")</f>
        <v>0</v>
      </c>
      <c r="B1670" s="2">
        <v>42373.8648032407</v>
      </c>
      <c r="C1670">
        <v>12</v>
      </c>
      <c r="D1670">
        <v>17</v>
      </c>
      <c r="E1670" t="s">
        <v>1673</v>
      </c>
    </row>
    <row r="1671" spans="1:5">
      <c r="A1671">
        <f>HYPERLINK("http://www.twitter.com/NYCParks/status/684097033578393600", "684097033578393600")</f>
        <v>0</v>
      </c>
      <c r="B1671" s="2">
        <v>42373.8196412037</v>
      </c>
      <c r="C1671">
        <v>10</v>
      </c>
      <c r="D1671">
        <v>4</v>
      </c>
      <c r="E1671" t="s">
        <v>1674</v>
      </c>
    </row>
    <row r="1672" spans="1:5">
      <c r="A1672">
        <f>HYPERLINK("http://www.twitter.com/NYCParks/status/684080665906798592", "684080665906798592")</f>
        <v>0</v>
      </c>
      <c r="B1672" s="2">
        <v>42373.7744791667</v>
      </c>
      <c r="C1672">
        <v>11</v>
      </c>
      <c r="D1672">
        <v>3</v>
      </c>
      <c r="E1672" t="s">
        <v>1675</v>
      </c>
    </row>
    <row r="1673" spans="1:5">
      <c r="A1673">
        <f>HYPERLINK("http://www.twitter.com/NYCParks/status/684063038962581505", "684063038962581505")</f>
        <v>0</v>
      </c>
      <c r="B1673" s="2">
        <v>42373.7258333333</v>
      </c>
      <c r="C1673">
        <v>7</v>
      </c>
      <c r="D1673">
        <v>5</v>
      </c>
      <c r="E1673" t="s">
        <v>1676</v>
      </c>
    </row>
    <row r="1674" spans="1:5">
      <c r="A1674">
        <f>HYPERLINK("http://www.twitter.com/NYCParks/status/684049958421565440", "684049958421565440")</f>
        <v>0</v>
      </c>
      <c r="B1674" s="2">
        <v>42373.6897337963</v>
      </c>
      <c r="C1674">
        <v>0</v>
      </c>
      <c r="D1674">
        <v>12</v>
      </c>
      <c r="E1674" t="s">
        <v>1677</v>
      </c>
    </row>
    <row r="1675" spans="1:5">
      <c r="A1675">
        <f>HYPERLINK("http://www.twitter.com/NYCParks/status/684034065067053056", "684034065067053056")</f>
        <v>0</v>
      </c>
      <c r="B1675" s="2">
        <v>42373.6458796296</v>
      </c>
      <c r="C1675">
        <v>18</v>
      </c>
      <c r="D1675">
        <v>13</v>
      </c>
      <c r="E1675" t="s">
        <v>1678</v>
      </c>
    </row>
    <row r="1676" spans="1:5">
      <c r="A1676">
        <f>HYPERLINK("http://www.twitter.com/NYCParks/status/683767096489177088", "683767096489177088")</f>
        <v>0</v>
      </c>
      <c r="B1676" s="2">
        <v>42372.9091898148</v>
      </c>
      <c r="C1676">
        <v>11</v>
      </c>
      <c r="D1676">
        <v>2</v>
      </c>
      <c r="E1676" t="s">
        <v>1679</v>
      </c>
    </row>
    <row r="1677" spans="1:5">
      <c r="A1677">
        <f>HYPERLINK("http://www.twitter.com/NYCParks/status/683765534098370563", "683765534098370563")</f>
        <v>0</v>
      </c>
      <c r="B1677" s="2">
        <v>42372.9048726852</v>
      </c>
      <c r="C1677">
        <v>8</v>
      </c>
      <c r="D1677">
        <v>0</v>
      </c>
      <c r="E1677" t="s">
        <v>1680</v>
      </c>
    </row>
    <row r="1678" spans="1:5">
      <c r="A1678">
        <f>HYPERLINK("http://www.twitter.com/NYCParks/status/682684114198224905", "682684114198224905")</f>
        <v>0</v>
      </c>
      <c r="B1678" s="2">
        <v>42369.9207291667</v>
      </c>
      <c r="C1678">
        <v>27</v>
      </c>
      <c r="D1678">
        <v>9</v>
      </c>
      <c r="E1678" t="s">
        <v>1681</v>
      </c>
    </row>
    <row r="1679" spans="1:5">
      <c r="A1679">
        <f>HYPERLINK("http://www.twitter.com/NYCParks/status/682667737848614912", "682667737848614912")</f>
        <v>0</v>
      </c>
      <c r="B1679" s="2">
        <v>42369.8755324074</v>
      </c>
      <c r="C1679">
        <v>15</v>
      </c>
      <c r="D1679">
        <v>3</v>
      </c>
      <c r="E1679" t="s">
        <v>1682</v>
      </c>
    </row>
    <row r="1680" spans="1:5">
      <c r="A1680">
        <f>HYPERLINK("http://www.twitter.com/NYCParks/status/682652678225301504", "682652678225301504")</f>
        <v>0</v>
      </c>
      <c r="B1680" s="2">
        <v>42369.8339814815</v>
      </c>
      <c r="C1680">
        <v>10</v>
      </c>
      <c r="D1680">
        <v>7</v>
      </c>
      <c r="E1680" t="s">
        <v>1683</v>
      </c>
    </row>
    <row r="1681" spans="1:5">
      <c r="A1681">
        <f>HYPERLINK("http://www.twitter.com/NYCParks/status/682638659309408257", "682638659309408257")</f>
        <v>0</v>
      </c>
      <c r="B1681" s="2">
        <v>42369.7952893519</v>
      </c>
      <c r="C1681">
        <v>18</v>
      </c>
      <c r="D1681">
        <v>10</v>
      </c>
      <c r="E1681" t="s">
        <v>1684</v>
      </c>
    </row>
    <row r="1682" spans="1:5">
      <c r="A1682">
        <f>HYPERLINK("http://www.twitter.com/NYCParks/status/682621045501722625", "682621045501722625")</f>
        <v>0</v>
      </c>
      <c r="B1682" s="2">
        <v>42369.7466898148</v>
      </c>
      <c r="C1682">
        <v>31</v>
      </c>
      <c r="D1682">
        <v>21</v>
      </c>
      <c r="E1682" t="s">
        <v>1685</v>
      </c>
    </row>
    <row r="1683" spans="1:5">
      <c r="A1683">
        <f>HYPERLINK("http://www.twitter.com/NYCParks/status/682607675021111298", "682607675021111298")</f>
        <v>0</v>
      </c>
      <c r="B1683" s="2">
        <v>42369.7097916667</v>
      </c>
      <c r="C1683">
        <v>10</v>
      </c>
      <c r="D1683">
        <v>4</v>
      </c>
      <c r="E1683" t="s">
        <v>1686</v>
      </c>
    </row>
    <row r="1684" spans="1:5">
      <c r="A1684">
        <f>HYPERLINK("http://www.twitter.com/NYCParks/status/682589628386394112", "682589628386394112")</f>
        <v>0</v>
      </c>
      <c r="B1684" s="2">
        <v>42369.6599884259</v>
      </c>
      <c r="C1684">
        <v>26</v>
      </c>
      <c r="D1684">
        <v>23</v>
      </c>
      <c r="E1684" t="s">
        <v>1687</v>
      </c>
    </row>
    <row r="1685" spans="1:5">
      <c r="A1685">
        <f>HYPERLINK("http://www.twitter.com/NYCParks/status/682308809075863552", "682308809075863552")</f>
        <v>0</v>
      </c>
      <c r="B1685" s="2">
        <v>42368.8850810185</v>
      </c>
      <c r="C1685">
        <v>2</v>
      </c>
      <c r="D1685">
        <v>0</v>
      </c>
      <c r="E1685" t="s">
        <v>1688</v>
      </c>
    </row>
    <row r="1686" spans="1:5">
      <c r="A1686">
        <f>HYPERLINK("http://www.twitter.com/NYCParks/status/682297014365851648", "682297014365851648")</f>
        <v>0</v>
      </c>
      <c r="B1686" s="2">
        <v>42368.8525347222</v>
      </c>
      <c r="C1686">
        <v>6</v>
      </c>
      <c r="D1686">
        <v>4</v>
      </c>
      <c r="E1686" t="s">
        <v>1689</v>
      </c>
    </row>
    <row r="1687" spans="1:5">
      <c r="A1687">
        <f>HYPERLINK("http://www.twitter.com/NYCParks/status/682275137773809665", "682275137773809665")</f>
        <v>0</v>
      </c>
      <c r="B1687" s="2">
        <v>42368.7921643518</v>
      </c>
      <c r="C1687">
        <v>14</v>
      </c>
      <c r="D1687">
        <v>9</v>
      </c>
      <c r="E1687" t="s">
        <v>1690</v>
      </c>
    </row>
    <row r="1688" spans="1:5">
      <c r="A1688">
        <f>HYPERLINK("http://www.twitter.com/NYCParks/status/682260028024307712", "682260028024307712")</f>
        <v>0</v>
      </c>
      <c r="B1688" s="2">
        <v>42368.750474537</v>
      </c>
      <c r="C1688">
        <v>23</v>
      </c>
      <c r="D1688">
        <v>4</v>
      </c>
      <c r="E1688" t="s">
        <v>1691</v>
      </c>
    </row>
    <row r="1689" spans="1:5">
      <c r="A1689">
        <f>HYPERLINK("http://www.twitter.com/NYCParks/status/682244092001124352", "682244092001124352")</f>
        <v>0</v>
      </c>
      <c r="B1689" s="2">
        <v>42368.7064930556</v>
      </c>
      <c r="C1689">
        <v>25</v>
      </c>
      <c r="D1689">
        <v>18</v>
      </c>
      <c r="E1689" t="s">
        <v>1692</v>
      </c>
    </row>
    <row r="1690" spans="1:5">
      <c r="A1690">
        <f>HYPERLINK("http://www.twitter.com/NYCParks/status/682227673691762688", "682227673691762688")</f>
        <v>0</v>
      </c>
      <c r="B1690" s="2">
        <v>42368.6611921296</v>
      </c>
      <c r="C1690">
        <v>0</v>
      </c>
      <c r="D1690">
        <v>19</v>
      </c>
      <c r="E1690" t="s">
        <v>1693</v>
      </c>
    </row>
    <row r="1691" spans="1:5">
      <c r="A1691">
        <f>HYPERLINK("http://www.twitter.com/NYCParks/status/681942990475145217", "681942990475145217")</f>
        <v>0</v>
      </c>
      <c r="B1691" s="2">
        <v>42367.8756134259</v>
      </c>
      <c r="C1691">
        <v>12</v>
      </c>
      <c r="D1691">
        <v>8</v>
      </c>
      <c r="E1691" t="s">
        <v>1694</v>
      </c>
    </row>
    <row r="1692" spans="1:5">
      <c r="A1692">
        <f>HYPERLINK("http://www.twitter.com/NYCParks/status/681927872970383360", "681927872970383360")</f>
        <v>0</v>
      </c>
      <c r="B1692" s="2">
        <v>42367.833900463</v>
      </c>
      <c r="C1692">
        <v>22</v>
      </c>
      <c r="D1692">
        <v>15</v>
      </c>
      <c r="E1692" t="s">
        <v>1695</v>
      </c>
    </row>
    <row r="1693" spans="1:5">
      <c r="A1693">
        <f>HYPERLINK("http://www.twitter.com/NYCParks/status/681915118473588738", "681915118473588738")</f>
        <v>0</v>
      </c>
      <c r="B1693" s="2">
        <v>42367.7987037037</v>
      </c>
      <c r="C1693">
        <v>7</v>
      </c>
      <c r="D1693">
        <v>3</v>
      </c>
      <c r="E1693" t="s">
        <v>1696</v>
      </c>
    </row>
    <row r="1694" spans="1:5">
      <c r="A1694">
        <f>HYPERLINK("http://www.twitter.com/NYCParks/status/681912245731913730", "681912245731913730")</f>
        <v>0</v>
      </c>
      <c r="B1694" s="2">
        <v>42367.790775463</v>
      </c>
      <c r="C1694">
        <v>7</v>
      </c>
      <c r="D1694">
        <v>1</v>
      </c>
      <c r="E1694" t="s">
        <v>1697</v>
      </c>
    </row>
    <row r="1695" spans="1:5">
      <c r="A1695">
        <f>HYPERLINK("http://www.twitter.com/NYCParks/status/681911517843984384", "681911517843984384")</f>
        <v>0</v>
      </c>
      <c r="B1695" s="2">
        <v>42367.7887615741</v>
      </c>
      <c r="C1695">
        <v>5</v>
      </c>
      <c r="D1695">
        <v>3</v>
      </c>
      <c r="E1695" t="s">
        <v>1698</v>
      </c>
    </row>
    <row r="1696" spans="1:5">
      <c r="A1696">
        <f>HYPERLINK("http://www.twitter.com/NYCParks/status/681899171670962177", "681899171670962177")</f>
        <v>0</v>
      </c>
      <c r="B1696" s="2">
        <v>42367.7546990741</v>
      </c>
      <c r="C1696">
        <v>27</v>
      </c>
      <c r="D1696">
        <v>28</v>
      </c>
      <c r="E1696" t="s">
        <v>1699</v>
      </c>
    </row>
    <row r="1697" spans="1:5">
      <c r="A1697">
        <f>HYPERLINK("http://www.twitter.com/NYCParks/status/681882752623456256", "681882752623456256")</f>
        <v>0</v>
      </c>
      <c r="B1697" s="2">
        <v>42367.7093865741</v>
      </c>
      <c r="C1697">
        <v>5</v>
      </c>
      <c r="D1697">
        <v>8</v>
      </c>
      <c r="E1697" t="s">
        <v>1700</v>
      </c>
    </row>
    <row r="1698" spans="1:5">
      <c r="A1698">
        <f>HYPERLINK("http://www.twitter.com/NYCParks/status/681864569313193984", "681864569313193984")</f>
        <v>0</v>
      </c>
      <c r="B1698" s="2">
        <v>42367.659212963</v>
      </c>
      <c r="C1698">
        <v>0</v>
      </c>
      <c r="D1698">
        <v>25</v>
      </c>
      <c r="E1698" t="s">
        <v>1701</v>
      </c>
    </row>
    <row r="1699" spans="1:5">
      <c r="A1699">
        <f>HYPERLINK("http://www.twitter.com/NYCParks/status/681579162067427328", "681579162067427328")</f>
        <v>0</v>
      </c>
      <c r="B1699" s="2">
        <v>42366.8716435185</v>
      </c>
      <c r="C1699">
        <v>18</v>
      </c>
      <c r="D1699">
        <v>2</v>
      </c>
      <c r="E1699" t="s">
        <v>1702</v>
      </c>
    </row>
    <row r="1700" spans="1:5">
      <c r="A1700">
        <f>HYPERLINK("http://www.twitter.com/NYCParks/status/681562825454665733", "681562825454665733")</f>
        <v>0</v>
      </c>
      <c r="B1700" s="2">
        <v>42366.8265625</v>
      </c>
      <c r="C1700">
        <v>24</v>
      </c>
      <c r="D1700">
        <v>11</v>
      </c>
      <c r="E1700" t="s">
        <v>1703</v>
      </c>
    </row>
    <row r="1701" spans="1:5">
      <c r="A1701">
        <f>HYPERLINK("http://www.twitter.com/NYCParks/status/681546474518396928", "681546474518396928")</f>
        <v>0</v>
      </c>
      <c r="B1701" s="2">
        <v>42366.7814351852</v>
      </c>
      <c r="C1701">
        <v>15</v>
      </c>
      <c r="D1701">
        <v>6</v>
      </c>
      <c r="E1701" t="s">
        <v>1704</v>
      </c>
    </row>
    <row r="1702" spans="1:5">
      <c r="A1702">
        <f>HYPERLINK("http://www.twitter.com/NYCParks/status/681542846197936129", "681542846197936129")</f>
        <v>0</v>
      </c>
      <c r="B1702" s="2">
        <v>42366.7714236111</v>
      </c>
      <c r="C1702">
        <v>0</v>
      </c>
      <c r="D1702">
        <v>0</v>
      </c>
      <c r="E1702" t="s">
        <v>1705</v>
      </c>
    </row>
    <row r="1703" spans="1:5">
      <c r="A1703">
        <f>HYPERLINK("http://www.twitter.com/NYCParks/status/681528844105428992", "681528844105428992")</f>
        <v>0</v>
      </c>
      <c r="B1703" s="2">
        <v>42366.7327893519</v>
      </c>
      <c r="C1703">
        <v>32</v>
      </c>
      <c r="D1703">
        <v>15</v>
      </c>
      <c r="E1703" t="s">
        <v>1706</v>
      </c>
    </row>
    <row r="1704" spans="1:5">
      <c r="A1704">
        <f>HYPERLINK("http://www.twitter.com/NYCParks/status/681515013253808128", "681515013253808128")</f>
        <v>0</v>
      </c>
      <c r="B1704" s="2">
        <v>42366.6946180556</v>
      </c>
      <c r="C1704">
        <v>21</v>
      </c>
      <c r="D1704">
        <v>22</v>
      </c>
      <c r="E1704" t="s">
        <v>1707</v>
      </c>
    </row>
    <row r="1705" spans="1:5">
      <c r="A1705">
        <f>HYPERLINK("http://www.twitter.com/NYCParks/status/681498783222501376", "681498783222501376")</f>
        <v>0</v>
      </c>
      <c r="B1705" s="2">
        <v>42366.649837963</v>
      </c>
      <c r="C1705">
        <v>9</v>
      </c>
      <c r="D1705">
        <v>4</v>
      </c>
      <c r="E1705" t="s">
        <v>1708</v>
      </c>
    </row>
    <row r="1706" spans="1:5">
      <c r="A1706">
        <f>HYPERLINK("http://www.twitter.com/NYCParks/status/680479587286052864", "680479587286052864")</f>
        <v>0</v>
      </c>
      <c r="B1706" s="2">
        <v>42363.8373842593</v>
      </c>
      <c r="C1706">
        <v>10</v>
      </c>
      <c r="D1706">
        <v>7</v>
      </c>
      <c r="E1706" t="s">
        <v>1709</v>
      </c>
    </row>
    <row r="1707" spans="1:5">
      <c r="A1707">
        <f>HYPERLINK("http://www.twitter.com/NYCParks/status/680476441532854272", "680476441532854272")</f>
        <v>0</v>
      </c>
      <c r="B1707" s="2">
        <v>42363.8287037037</v>
      </c>
      <c r="C1707">
        <v>10</v>
      </c>
      <c r="D1707">
        <v>4</v>
      </c>
      <c r="E1707" t="s">
        <v>1710</v>
      </c>
    </row>
    <row r="1708" spans="1:5">
      <c r="A1708">
        <f>HYPERLINK("http://www.twitter.com/NYCParks/status/680123399906148352", "680123399906148352")</f>
        <v>0</v>
      </c>
      <c r="B1708" s="2">
        <v>42362.8545023148</v>
      </c>
      <c r="C1708">
        <v>25</v>
      </c>
      <c r="D1708">
        <v>16</v>
      </c>
      <c r="E1708" t="s">
        <v>1711</v>
      </c>
    </row>
    <row r="1709" spans="1:5">
      <c r="A1709">
        <f>HYPERLINK("http://www.twitter.com/NYCParks/status/680109048696541184", "680109048696541184")</f>
        <v>0</v>
      </c>
      <c r="B1709" s="2">
        <v>42362.8148958333</v>
      </c>
      <c r="C1709">
        <v>11</v>
      </c>
      <c r="D1709">
        <v>10</v>
      </c>
      <c r="E1709" t="s">
        <v>1712</v>
      </c>
    </row>
    <row r="1710" spans="1:5">
      <c r="A1710">
        <f>HYPERLINK("http://www.twitter.com/NYCParks/status/680098324498767872", "680098324498767872")</f>
        <v>0</v>
      </c>
      <c r="B1710" s="2">
        <v>42362.7853009259</v>
      </c>
      <c r="C1710">
        <v>0</v>
      </c>
      <c r="D1710">
        <v>10</v>
      </c>
      <c r="E1710" t="s">
        <v>1713</v>
      </c>
    </row>
    <row r="1711" spans="1:5">
      <c r="A1711">
        <f>HYPERLINK("http://www.twitter.com/NYCParks/status/680084313568862209", "680084313568862209")</f>
        <v>0</v>
      </c>
      <c r="B1711" s="2">
        <v>42362.7466435185</v>
      </c>
      <c r="C1711">
        <v>20</v>
      </c>
      <c r="D1711">
        <v>6</v>
      </c>
      <c r="E1711" t="s">
        <v>1714</v>
      </c>
    </row>
    <row r="1712" spans="1:5">
      <c r="A1712">
        <f>HYPERLINK("http://www.twitter.com/NYCParks/status/680067993028718592", "680067993028718592")</f>
        <v>0</v>
      </c>
      <c r="B1712" s="2">
        <v>42362.7016087963</v>
      </c>
      <c r="C1712">
        <v>28</v>
      </c>
      <c r="D1712">
        <v>18</v>
      </c>
      <c r="E1712" t="s">
        <v>1715</v>
      </c>
    </row>
    <row r="1713" spans="1:5">
      <c r="A1713">
        <f>HYPERLINK("http://www.twitter.com/NYCParks/status/680051603009830913", "680051603009830913")</f>
        <v>0</v>
      </c>
      <c r="B1713" s="2">
        <v>42362.6563773148</v>
      </c>
      <c r="C1713">
        <v>35</v>
      </c>
      <c r="D1713">
        <v>22</v>
      </c>
      <c r="E1713" t="s">
        <v>1716</v>
      </c>
    </row>
    <row r="1714" spans="1:5">
      <c r="A1714">
        <f>HYPERLINK("http://www.twitter.com/NYCParks/status/679794645803601920", "679794645803601920")</f>
        <v>0</v>
      </c>
      <c r="B1714" s="2">
        <v>42361.9473148148</v>
      </c>
      <c r="C1714">
        <v>9</v>
      </c>
      <c r="D1714">
        <v>3</v>
      </c>
      <c r="E1714" t="s">
        <v>1717</v>
      </c>
    </row>
    <row r="1715" spans="1:5">
      <c r="A1715">
        <f>HYPERLINK("http://www.twitter.com/NYCParks/status/679789810828099584", "679789810828099584")</f>
        <v>0</v>
      </c>
      <c r="B1715" s="2">
        <v>42361.9339699074</v>
      </c>
      <c r="C1715">
        <v>0</v>
      </c>
      <c r="D1715">
        <v>0</v>
      </c>
      <c r="E1715" t="s">
        <v>1718</v>
      </c>
    </row>
    <row r="1716" spans="1:5">
      <c r="A1716">
        <f>HYPERLINK("http://www.twitter.com/NYCParks/status/679766006655528960", "679766006655528960")</f>
        <v>0</v>
      </c>
      <c r="B1716" s="2">
        <v>42361.868287037</v>
      </c>
      <c r="C1716">
        <v>17</v>
      </c>
      <c r="D1716">
        <v>8</v>
      </c>
      <c r="E1716" t="s">
        <v>1719</v>
      </c>
    </row>
    <row r="1717" spans="1:5">
      <c r="A1717">
        <f>HYPERLINK("http://www.twitter.com/NYCParks/status/679750907685416960", "679750907685416960")</f>
        <v>0</v>
      </c>
      <c r="B1717" s="2">
        <v>42361.8266203704</v>
      </c>
      <c r="C1717">
        <v>5</v>
      </c>
      <c r="D1717">
        <v>7</v>
      </c>
      <c r="E1717" t="s">
        <v>1720</v>
      </c>
    </row>
    <row r="1718" spans="1:5">
      <c r="A1718">
        <f>HYPERLINK("http://www.twitter.com/NYCParks/status/679734524440408064", "679734524440408064")</f>
        <v>0</v>
      </c>
      <c r="B1718" s="2">
        <v>42361.781412037</v>
      </c>
      <c r="C1718">
        <v>11</v>
      </c>
      <c r="D1718">
        <v>10</v>
      </c>
      <c r="E1718" t="s">
        <v>1721</v>
      </c>
    </row>
    <row r="1719" spans="1:5">
      <c r="A1719">
        <f>HYPERLINK("http://www.twitter.com/NYCParks/status/679719453962153985", "679719453962153985")</f>
        <v>0</v>
      </c>
      <c r="B1719" s="2">
        <v>42361.7398263889</v>
      </c>
      <c r="C1719">
        <v>7</v>
      </c>
      <c r="D1719">
        <v>11</v>
      </c>
      <c r="E1719" t="s">
        <v>1722</v>
      </c>
    </row>
    <row r="1720" spans="1:5">
      <c r="A1720">
        <f>HYPERLINK("http://www.twitter.com/NYCParks/status/679704696211255296", "679704696211255296")</f>
        <v>0</v>
      </c>
      <c r="B1720" s="2">
        <v>42361.6990972222</v>
      </c>
      <c r="C1720">
        <v>2</v>
      </c>
      <c r="D1720">
        <v>1</v>
      </c>
      <c r="E1720" t="s">
        <v>1723</v>
      </c>
    </row>
    <row r="1721" spans="1:5">
      <c r="A1721">
        <f>HYPERLINK("http://www.twitter.com/NYCParks/status/679701719144640512", "679701719144640512")</f>
        <v>0</v>
      </c>
      <c r="B1721" s="2">
        <v>42361.6908796296</v>
      </c>
      <c r="C1721">
        <v>5</v>
      </c>
      <c r="D1721">
        <v>2</v>
      </c>
      <c r="E1721" t="s">
        <v>1724</v>
      </c>
    </row>
    <row r="1722" spans="1:5">
      <c r="A1722">
        <f>HYPERLINK("http://www.twitter.com/NYCParks/status/679379703355019264", "679379703355019264")</f>
        <v>0</v>
      </c>
      <c r="B1722" s="2">
        <v>42360.8022916667</v>
      </c>
      <c r="C1722">
        <v>25</v>
      </c>
      <c r="D1722">
        <v>21</v>
      </c>
      <c r="E1722" t="s">
        <v>1725</v>
      </c>
    </row>
    <row r="1723" spans="1:5">
      <c r="A1723">
        <f>HYPERLINK("http://www.twitter.com/NYCParks/status/679362439637557252", "679362439637557252")</f>
        <v>0</v>
      </c>
      <c r="B1723" s="2">
        <v>42360.7546527778</v>
      </c>
      <c r="C1723">
        <v>0</v>
      </c>
      <c r="D1723">
        <v>19</v>
      </c>
      <c r="E1723" t="s">
        <v>1726</v>
      </c>
    </row>
    <row r="1724" spans="1:5">
      <c r="A1724">
        <f>HYPERLINK("http://www.twitter.com/NYCParks/status/679344546313060352", "679344546313060352")</f>
        <v>0</v>
      </c>
      <c r="B1724" s="2">
        <v>42360.7052777778</v>
      </c>
      <c r="C1724">
        <v>12</v>
      </c>
      <c r="D1724">
        <v>7</v>
      </c>
      <c r="E1724" t="s">
        <v>1727</v>
      </c>
    </row>
    <row r="1725" spans="1:5">
      <c r="A1725">
        <f>HYPERLINK("http://www.twitter.com/NYCParks/status/679329806765400068", "679329806765400068")</f>
        <v>0</v>
      </c>
      <c r="B1725" s="2">
        <v>42360.6645949074</v>
      </c>
      <c r="C1725">
        <v>20</v>
      </c>
      <c r="D1725">
        <v>8</v>
      </c>
      <c r="E1725" t="s">
        <v>1728</v>
      </c>
    </row>
    <row r="1726" spans="1:5">
      <c r="A1726">
        <f>HYPERLINK("http://www.twitter.com/NYCParks/status/679044391907041280", "679044391907041280")</f>
        <v>0</v>
      </c>
      <c r="B1726" s="2">
        <v>42359.8770023148</v>
      </c>
      <c r="C1726">
        <v>39</v>
      </c>
      <c r="D1726">
        <v>8</v>
      </c>
      <c r="E1726" t="s">
        <v>1729</v>
      </c>
    </row>
    <row r="1727" spans="1:5">
      <c r="A1727">
        <f>HYPERLINK("http://www.twitter.com/NYCParks/status/679026898337427457", "679026898337427457")</f>
        <v>0</v>
      </c>
      <c r="B1727" s="2">
        <v>42359.8287268519</v>
      </c>
      <c r="C1727">
        <v>11</v>
      </c>
      <c r="D1727">
        <v>5</v>
      </c>
      <c r="E1727" t="s">
        <v>1730</v>
      </c>
    </row>
    <row r="1728" spans="1:5">
      <c r="A1728">
        <f>HYPERLINK("http://www.twitter.com/NYCParks/status/679003455730634752", "679003455730634752")</f>
        <v>0</v>
      </c>
      <c r="B1728" s="2">
        <v>42359.7640393519</v>
      </c>
      <c r="C1728">
        <v>48</v>
      </c>
      <c r="D1728">
        <v>45</v>
      </c>
      <c r="E1728" t="s">
        <v>1731</v>
      </c>
    </row>
    <row r="1729" spans="1:5">
      <c r="A1729">
        <f>HYPERLINK("http://www.twitter.com/NYCParks/status/678987120820768768", "678987120820768768")</f>
        <v>0</v>
      </c>
      <c r="B1729" s="2">
        <v>42359.7189699074</v>
      </c>
      <c r="C1729">
        <v>12</v>
      </c>
      <c r="D1729">
        <v>5</v>
      </c>
      <c r="E1729" t="s">
        <v>1732</v>
      </c>
    </row>
    <row r="1730" spans="1:5">
      <c r="A1730">
        <f>HYPERLINK("http://www.twitter.com/NYCParks/status/678971284689145857", "678971284689145857")</f>
        <v>0</v>
      </c>
      <c r="B1730" s="2">
        <v>42359.6752662037</v>
      </c>
      <c r="C1730">
        <v>8</v>
      </c>
      <c r="D1730">
        <v>5</v>
      </c>
      <c r="E1730" t="s">
        <v>1733</v>
      </c>
    </row>
    <row r="1731" spans="1:5">
      <c r="A1731">
        <f>HYPERLINK("http://www.twitter.com/NYCParks/status/678272178689806341", "678272178689806341")</f>
        <v>0</v>
      </c>
      <c r="B1731" s="2">
        <v>42357.746099537</v>
      </c>
      <c r="C1731">
        <v>4</v>
      </c>
      <c r="D1731">
        <v>1</v>
      </c>
      <c r="E1731" t="s">
        <v>1734</v>
      </c>
    </row>
    <row r="1732" spans="1:5">
      <c r="A1732">
        <f>HYPERLINK("http://www.twitter.com/NYCParks/status/678270997833900032", "678270997833900032")</f>
        <v>0</v>
      </c>
      <c r="B1732" s="2">
        <v>42357.7428472222</v>
      </c>
      <c r="C1732">
        <v>5</v>
      </c>
      <c r="D1732">
        <v>0</v>
      </c>
      <c r="E1732" t="s">
        <v>1735</v>
      </c>
    </row>
    <row r="1733" spans="1:5">
      <c r="A1733">
        <f>HYPERLINK("http://www.twitter.com/NYCParks/status/677952390029557760", "677952390029557760")</f>
        <v>0</v>
      </c>
      <c r="B1733" s="2">
        <v>42356.8636574074</v>
      </c>
      <c r="C1733">
        <v>0</v>
      </c>
      <c r="D1733">
        <v>42</v>
      </c>
      <c r="E1733" t="s">
        <v>1736</v>
      </c>
    </row>
    <row r="1734" spans="1:5">
      <c r="A1734">
        <f>HYPERLINK("http://www.twitter.com/NYCParks/status/677927593279115264", "677927593279115264")</f>
        <v>0</v>
      </c>
      <c r="B1734" s="2">
        <v>42356.7952314815</v>
      </c>
      <c r="C1734">
        <v>18</v>
      </c>
      <c r="D1734">
        <v>9</v>
      </c>
      <c r="E1734" t="s">
        <v>1737</v>
      </c>
    </row>
    <row r="1735" spans="1:5">
      <c r="A1735">
        <f>HYPERLINK("http://www.twitter.com/NYCParks/status/677911326811930624", "677911326811930624")</f>
        <v>0</v>
      </c>
      <c r="B1735" s="2">
        <v>42356.7503356481</v>
      </c>
      <c r="C1735">
        <v>29</v>
      </c>
      <c r="D1735">
        <v>13</v>
      </c>
      <c r="E1735" t="s">
        <v>1738</v>
      </c>
    </row>
    <row r="1736" spans="1:5">
      <c r="A1736">
        <f>HYPERLINK("http://www.twitter.com/NYCParks/status/677893648223248385", "677893648223248385")</f>
        <v>0</v>
      </c>
      <c r="B1736" s="2">
        <v>42356.7015625</v>
      </c>
      <c r="C1736">
        <v>15</v>
      </c>
      <c r="D1736">
        <v>10</v>
      </c>
      <c r="E1736" t="s">
        <v>1739</v>
      </c>
    </row>
    <row r="1737" spans="1:5">
      <c r="A1737">
        <f>HYPERLINK("http://www.twitter.com/NYCParks/status/677878270428229632", "677878270428229632")</f>
        <v>0</v>
      </c>
      <c r="B1737" s="2">
        <v>42356.6591203704</v>
      </c>
      <c r="C1737">
        <v>9</v>
      </c>
      <c r="D1737">
        <v>3</v>
      </c>
      <c r="E1737" t="s">
        <v>1740</v>
      </c>
    </row>
    <row r="1738" spans="1:5">
      <c r="A1738">
        <f>HYPERLINK("http://www.twitter.com/NYCParks/status/677604175144964096", "677604175144964096")</f>
        <v>0</v>
      </c>
      <c r="B1738" s="2">
        <v>42355.9027662037</v>
      </c>
      <c r="C1738">
        <v>3</v>
      </c>
      <c r="D1738">
        <v>8</v>
      </c>
      <c r="E1738" t="s">
        <v>1741</v>
      </c>
    </row>
    <row r="1739" spans="1:5">
      <c r="A1739">
        <f>HYPERLINK("http://www.twitter.com/NYCParks/status/677578819943972864", "677578819943972864")</f>
        <v>0</v>
      </c>
      <c r="B1739" s="2">
        <v>42355.8328009259</v>
      </c>
      <c r="C1739">
        <v>0</v>
      </c>
      <c r="D1739">
        <v>20</v>
      </c>
      <c r="E1739" t="s">
        <v>1726</v>
      </c>
    </row>
    <row r="1740" spans="1:5">
      <c r="A1740">
        <f>HYPERLINK("http://www.twitter.com/NYCParks/status/677563824539615232", "677563824539615232")</f>
        <v>0</v>
      </c>
      <c r="B1740" s="2">
        <v>42355.791412037</v>
      </c>
      <c r="C1740">
        <v>7</v>
      </c>
      <c r="D1740">
        <v>3</v>
      </c>
      <c r="E1740" t="s">
        <v>1742</v>
      </c>
    </row>
    <row r="1741" spans="1:5">
      <c r="A1741">
        <f>HYPERLINK("http://www.twitter.com/NYCParks/status/677545126642753536", "677545126642753536")</f>
        <v>0</v>
      </c>
      <c r="B1741" s="2">
        <v>42355.7398263889</v>
      </c>
      <c r="C1741">
        <v>16</v>
      </c>
      <c r="D1741">
        <v>9</v>
      </c>
      <c r="E1741" t="s">
        <v>1743</v>
      </c>
    </row>
    <row r="1742" spans="1:5">
      <c r="A1742">
        <f>HYPERLINK("http://www.twitter.com/NYCParks/status/677528591236767744", "677528591236767744")</f>
        <v>0</v>
      </c>
      <c r="B1742" s="2">
        <v>42355.6941898148</v>
      </c>
      <c r="C1742">
        <v>16</v>
      </c>
      <c r="D1742">
        <v>10</v>
      </c>
      <c r="E1742" t="s">
        <v>1744</v>
      </c>
    </row>
    <row r="1743" spans="1:5">
      <c r="A1743">
        <f>HYPERLINK("http://www.twitter.com/NYCParks/status/677512808330850305", "677512808330850305")</f>
        <v>0</v>
      </c>
      <c r="B1743" s="2">
        <v>42355.6506365741</v>
      </c>
      <c r="C1743">
        <v>9</v>
      </c>
      <c r="D1743">
        <v>11</v>
      </c>
      <c r="E1743" t="s">
        <v>1745</v>
      </c>
    </row>
    <row r="1744" spans="1:5">
      <c r="A1744">
        <f>HYPERLINK("http://www.twitter.com/NYCParks/status/677220466482921472", "677220466482921472")</f>
        <v>0</v>
      </c>
      <c r="B1744" s="2">
        <v>42354.8439351852</v>
      </c>
      <c r="C1744">
        <v>6</v>
      </c>
      <c r="D1744">
        <v>1</v>
      </c>
      <c r="E1744" t="s">
        <v>1746</v>
      </c>
    </row>
    <row r="1745" spans="1:5">
      <c r="A1745">
        <f>HYPERLINK("http://www.twitter.com/NYCParks/status/677204112388300801", "677204112388300801")</f>
        <v>0</v>
      </c>
      <c r="B1745" s="2">
        <v>42354.7987962963</v>
      </c>
      <c r="C1745">
        <v>11</v>
      </c>
      <c r="D1745">
        <v>11</v>
      </c>
      <c r="E1745" t="s">
        <v>1747</v>
      </c>
    </row>
    <row r="1746" spans="1:5">
      <c r="A1746">
        <f>HYPERLINK("http://www.twitter.com/NYCParks/status/677190260531556352", "677190260531556352")</f>
        <v>0</v>
      </c>
      <c r="B1746" s="2">
        <v>42354.7605787037</v>
      </c>
      <c r="C1746">
        <v>13</v>
      </c>
      <c r="D1746">
        <v>9</v>
      </c>
      <c r="E1746" t="s">
        <v>1748</v>
      </c>
    </row>
    <row r="1747" spans="1:5">
      <c r="A1747">
        <f>HYPERLINK("http://www.twitter.com/NYCParks/status/677175305107279874", "677175305107279874")</f>
        <v>0</v>
      </c>
      <c r="B1747" s="2">
        <v>42354.7193055556</v>
      </c>
      <c r="C1747">
        <v>8</v>
      </c>
      <c r="D1747">
        <v>1</v>
      </c>
      <c r="E1747" t="s">
        <v>1749</v>
      </c>
    </row>
    <row r="1748" spans="1:5">
      <c r="A1748">
        <f>HYPERLINK("http://www.twitter.com/NYCParks/status/677160050734051328", "677160050734051328")</f>
        <v>0</v>
      </c>
      <c r="B1748" s="2">
        <v>42354.6772106482</v>
      </c>
      <c r="C1748">
        <v>11</v>
      </c>
      <c r="D1748">
        <v>0</v>
      </c>
      <c r="E1748" t="s">
        <v>1750</v>
      </c>
    </row>
    <row r="1749" spans="1:5">
      <c r="A1749">
        <f>HYPERLINK("http://www.twitter.com/NYCParks/status/677148336357511168", "677148336357511168")</f>
        <v>0</v>
      </c>
      <c r="B1749" s="2">
        <v>42354.6448842593</v>
      </c>
      <c r="C1749">
        <v>3</v>
      </c>
      <c r="D1749">
        <v>0</v>
      </c>
      <c r="E1749" t="s">
        <v>1751</v>
      </c>
    </row>
    <row r="1750" spans="1:5">
      <c r="A1750">
        <f>HYPERLINK("http://www.twitter.com/NYCParks/status/677145963253866497", "677145963253866497")</f>
        <v>0</v>
      </c>
      <c r="B1750" s="2">
        <v>42354.6383449074</v>
      </c>
      <c r="C1750">
        <v>11</v>
      </c>
      <c r="D1750">
        <v>2</v>
      </c>
      <c r="E1750" t="s">
        <v>1752</v>
      </c>
    </row>
    <row r="1751" spans="1:5">
      <c r="A1751">
        <f>HYPERLINK("http://www.twitter.com/NYCParks/status/677144091587698688", "677144091587698688")</f>
        <v>0</v>
      </c>
      <c r="B1751" s="2">
        <v>42354.6331712963</v>
      </c>
      <c r="C1751">
        <v>12</v>
      </c>
      <c r="D1751">
        <v>8</v>
      </c>
      <c r="E1751" t="s">
        <v>1753</v>
      </c>
    </row>
    <row r="1752" spans="1:5">
      <c r="A1752">
        <f>HYPERLINK("http://www.twitter.com/NYCParks/status/676861899657625600", "676861899657625600")</f>
        <v>0</v>
      </c>
      <c r="B1752" s="2">
        <v>42353.8544791667</v>
      </c>
      <c r="C1752">
        <v>8</v>
      </c>
      <c r="D1752">
        <v>4</v>
      </c>
      <c r="E1752" t="s">
        <v>1754</v>
      </c>
    </row>
    <row r="1753" spans="1:5">
      <c r="A1753">
        <f>HYPERLINK("http://www.twitter.com/NYCParks/status/676842865104953345", "676842865104953345")</f>
        <v>0</v>
      </c>
      <c r="B1753" s="2">
        <v>42353.8019444444</v>
      </c>
      <c r="C1753">
        <v>3</v>
      </c>
      <c r="D1753">
        <v>1</v>
      </c>
      <c r="E1753" t="s">
        <v>1755</v>
      </c>
    </row>
    <row r="1754" spans="1:5">
      <c r="A1754">
        <f>HYPERLINK("http://www.twitter.com/NYCParks/status/676840466558636032", "676840466558636032")</f>
        <v>0</v>
      </c>
      <c r="B1754" s="2">
        <v>42353.7953240741</v>
      </c>
      <c r="C1754">
        <v>5</v>
      </c>
      <c r="D1754">
        <v>3</v>
      </c>
      <c r="E1754" t="s">
        <v>1756</v>
      </c>
    </row>
    <row r="1755" spans="1:5">
      <c r="A1755">
        <f>HYPERLINK("http://www.twitter.com/NYCParks/status/676824164129443841", "676824164129443841")</f>
        <v>0</v>
      </c>
      <c r="B1755" s="2">
        <v>42353.7503472222</v>
      </c>
      <c r="C1755">
        <v>21</v>
      </c>
      <c r="D1755">
        <v>2</v>
      </c>
      <c r="E1755" t="s">
        <v>1757</v>
      </c>
    </row>
    <row r="1756" spans="1:5">
      <c r="A1756">
        <f>HYPERLINK("http://www.twitter.com/NYCParks/status/676813144476487680", "676813144476487680")</f>
        <v>0</v>
      </c>
      <c r="B1756" s="2">
        <v>42353.7199305556</v>
      </c>
      <c r="C1756">
        <v>5</v>
      </c>
      <c r="D1756">
        <v>0</v>
      </c>
      <c r="E1756" t="s">
        <v>1758</v>
      </c>
    </row>
    <row r="1757" spans="1:5">
      <c r="A1757">
        <f>HYPERLINK("http://www.twitter.com/NYCParks/status/676813113912610817", "676813113912610817")</f>
        <v>0</v>
      </c>
      <c r="B1757" s="2">
        <v>42353.719849537</v>
      </c>
      <c r="C1757">
        <v>65</v>
      </c>
      <c r="D1757">
        <v>46</v>
      </c>
      <c r="E1757" t="s">
        <v>1759</v>
      </c>
    </row>
    <row r="1758" spans="1:5">
      <c r="A1758">
        <f>HYPERLINK("http://www.twitter.com/NYCParks/status/676796426630864896", "676796426630864896")</f>
        <v>0</v>
      </c>
      <c r="B1758" s="2">
        <v>42353.6738078704</v>
      </c>
      <c r="C1758">
        <v>6</v>
      </c>
      <c r="D1758">
        <v>8</v>
      </c>
      <c r="E1758" t="s">
        <v>1760</v>
      </c>
    </row>
    <row r="1759" spans="1:5">
      <c r="A1759">
        <f>HYPERLINK("http://www.twitter.com/NYCParks/status/676779307893673984", "676779307893673984")</f>
        <v>0</v>
      </c>
      <c r="B1759" s="2">
        <v>42353.6265625</v>
      </c>
      <c r="C1759">
        <v>9</v>
      </c>
      <c r="D1759">
        <v>9</v>
      </c>
      <c r="E1759" t="s">
        <v>1761</v>
      </c>
    </row>
    <row r="1760" spans="1:5">
      <c r="A1760">
        <f>HYPERLINK("http://www.twitter.com/NYCParks/status/676507272969854976", "676507272969854976")</f>
        <v>0</v>
      </c>
      <c r="B1760" s="2">
        <v>42352.8758912037</v>
      </c>
      <c r="C1760">
        <v>6</v>
      </c>
      <c r="D1760">
        <v>4</v>
      </c>
      <c r="E1760" t="s">
        <v>1762</v>
      </c>
    </row>
    <row r="1761" spans="1:5">
      <c r="A1761">
        <f>HYPERLINK("http://www.twitter.com/NYCParks/status/676494536873521157", "676494536873521157")</f>
        <v>0</v>
      </c>
      <c r="B1761" s="2">
        <v>42352.8407407407</v>
      </c>
      <c r="C1761">
        <v>24</v>
      </c>
      <c r="D1761">
        <v>15</v>
      </c>
      <c r="E1761" t="s">
        <v>1763</v>
      </c>
    </row>
    <row r="1762" spans="1:5">
      <c r="A1762">
        <f>HYPERLINK("http://www.twitter.com/NYCParks/status/676479375643160576", "676479375643160576")</f>
        <v>0</v>
      </c>
      <c r="B1762" s="2">
        <v>42352.798912037</v>
      </c>
      <c r="C1762">
        <v>3</v>
      </c>
      <c r="D1762">
        <v>5</v>
      </c>
      <c r="E1762" t="s">
        <v>1764</v>
      </c>
    </row>
    <row r="1763" spans="1:5">
      <c r="A1763">
        <f>HYPERLINK("http://www.twitter.com/NYCParks/status/676463026791440384", "676463026791440384")</f>
        <v>0</v>
      </c>
      <c r="B1763" s="2">
        <v>42352.7537962963</v>
      </c>
      <c r="C1763">
        <v>11</v>
      </c>
      <c r="D1763">
        <v>2</v>
      </c>
      <c r="E1763" t="s">
        <v>1765</v>
      </c>
    </row>
    <row r="1764" spans="1:5">
      <c r="A1764">
        <f>HYPERLINK("http://www.twitter.com/NYCParks/status/676446776329637888", "676446776329637888")</f>
        <v>0</v>
      </c>
      <c r="B1764" s="2">
        <v>42352.7089467593</v>
      </c>
      <c r="C1764">
        <v>12</v>
      </c>
      <c r="D1764">
        <v>6</v>
      </c>
      <c r="E1764" t="s">
        <v>1766</v>
      </c>
    </row>
    <row r="1765" spans="1:5">
      <c r="A1765">
        <f>HYPERLINK("http://www.twitter.com/NYCParks/status/676431000444997634", "676431000444997634")</f>
        <v>0</v>
      </c>
      <c r="B1765" s="2">
        <v>42352.6654166667</v>
      </c>
      <c r="C1765">
        <v>35</v>
      </c>
      <c r="D1765">
        <v>9</v>
      </c>
      <c r="E1765" t="s">
        <v>1767</v>
      </c>
    </row>
    <row r="1766" spans="1:5">
      <c r="A1766">
        <f>HYPERLINK("http://www.twitter.com/NYCParks/status/676429573928693763", "676429573928693763")</f>
        <v>0</v>
      </c>
      <c r="B1766" s="2">
        <v>42352.6614814815</v>
      </c>
      <c r="C1766">
        <v>0</v>
      </c>
      <c r="D1766">
        <v>0</v>
      </c>
      <c r="E1766" t="s">
        <v>1768</v>
      </c>
    </row>
    <row r="1767" spans="1:5">
      <c r="A1767">
        <f>HYPERLINK("http://www.twitter.com/NYCParks/status/675420403414757377", "675420403414757377")</f>
        <v>0</v>
      </c>
      <c r="B1767" s="2">
        <v>42349.8767013889</v>
      </c>
      <c r="C1767">
        <v>13</v>
      </c>
      <c r="D1767">
        <v>6</v>
      </c>
      <c r="E1767" t="s">
        <v>1769</v>
      </c>
    </row>
    <row r="1768" spans="1:5">
      <c r="A1768">
        <f>HYPERLINK("http://www.twitter.com/NYCParks/status/675404913208369155", "675404913208369155")</f>
        <v>0</v>
      </c>
      <c r="B1768" s="2">
        <v>42349.8339583333</v>
      </c>
      <c r="C1768">
        <v>17</v>
      </c>
      <c r="D1768">
        <v>4</v>
      </c>
      <c r="E1768" t="s">
        <v>1770</v>
      </c>
    </row>
    <row r="1769" spans="1:5">
      <c r="A1769">
        <f>HYPERLINK("http://www.twitter.com/NYCParks/status/675391287613329408", "675391287613329408")</f>
        <v>0</v>
      </c>
      <c r="B1769" s="2">
        <v>42349.7963541667</v>
      </c>
      <c r="C1769">
        <v>3</v>
      </c>
      <c r="D1769">
        <v>5</v>
      </c>
      <c r="E1769" t="s">
        <v>1771</v>
      </c>
    </row>
    <row r="1770" spans="1:5">
      <c r="A1770">
        <f>HYPERLINK("http://www.twitter.com/NYCParks/status/675387130517004288", "675387130517004288")</f>
        <v>0</v>
      </c>
      <c r="B1770" s="2">
        <v>42349.7848842593</v>
      </c>
      <c r="C1770">
        <v>7</v>
      </c>
      <c r="D1770">
        <v>5</v>
      </c>
      <c r="E1770" t="s">
        <v>1772</v>
      </c>
    </row>
    <row r="1771" spans="1:5">
      <c r="A1771">
        <f>HYPERLINK("http://www.twitter.com/NYCParks/status/675372014346117120", "675372014346117120")</f>
        <v>0</v>
      </c>
      <c r="B1771" s="2">
        <v>42349.7431712963</v>
      </c>
      <c r="C1771">
        <v>12</v>
      </c>
      <c r="D1771">
        <v>6</v>
      </c>
      <c r="E1771" t="s">
        <v>1773</v>
      </c>
    </row>
    <row r="1772" spans="1:5">
      <c r="A1772">
        <f>HYPERLINK("http://www.twitter.com/NYCParks/status/675356938587238401", "675356938587238401")</f>
        <v>0</v>
      </c>
      <c r="B1772" s="2">
        <v>42349.7015740741</v>
      </c>
      <c r="C1772">
        <v>8</v>
      </c>
      <c r="D1772">
        <v>2</v>
      </c>
      <c r="E1772" t="s">
        <v>1774</v>
      </c>
    </row>
    <row r="1773" spans="1:5">
      <c r="A1773">
        <f>HYPERLINK("http://www.twitter.com/NYCParks/status/675339679689007104", "675339679689007104")</f>
        <v>0</v>
      </c>
      <c r="B1773" s="2">
        <v>42349.6539467593</v>
      </c>
      <c r="C1773">
        <v>79</v>
      </c>
      <c r="D1773">
        <v>26</v>
      </c>
      <c r="E1773" t="s">
        <v>1775</v>
      </c>
    </row>
    <row r="1774" spans="1:5">
      <c r="A1774">
        <f>HYPERLINK("http://www.twitter.com/NYCParks/status/675055437318852608", "675055437318852608")</f>
        <v>0</v>
      </c>
      <c r="B1774" s="2">
        <v>42348.8695833333</v>
      </c>
      <c r="C1774">
        <v>14</v>
      </c>
      <c r="D1774">
        <v>8</v>
      </c>
      <c r="E1774" t="s">
        <v>1776</v>
      </c>
    </row>
    <row r="1775" spans="1:5">
      <c r="A1775">
        <f>HYPERLINK("http://www.twitter.com/NYCParks/status/675038639064260610", "675038639064260610")</f>
        <v>0</v>
      </c>
      <c r="B1775" s="2">
        <v>42348.8232291667</v>
      </c>
      <c r="C1775">
        <v>10</v>
      </c>
      <c r="D1775">
        <v>3</v>
      </c>
      <c r="E1775" t="s">
        <v>1777</v>
      </c>
    </row>
    <row r="1776" spans="1:5">
      <c r="A1776">
        <f>HYPERLINK("http://www.twitter.com/NYCParks/status/675023527527976961", "675023527527976961")</f>
        <v>0</v>
      </c>
      <c r="B1776" s="2">
        <v>42348.7815277778</v>
      </c>
      <c r="C1776">
        <v>12</v>
      </c>
      <c r="D1776">
        <v>6</v>
      </c>
      <c r="E1776" t="s">
        <v>1778</v>
      </c>
    </row>
    <row r="1777" spans="1:5">
      <c r="A1777">
        <f>HYPERLINK("http://www.twitter.com/NYCParks/status/675007151283281920", "675007151283281920")</f>
        <v>0</v>
      </c>
      <c r="B1777" s="2">
        <v>42348.7363425926</v>
      </c>
      <c r="C1777">
        <v>10</v>
      </c>
      <c r="D1777">
        <v>8</v>
      </c>
      <c r="E1777" t="s">
        <v>1779</v>
      </c>
    </row>
    <row r="1778" spans="1:5">
      <c r="A1778">
        <f>HYPERLINK("http://www.twitter.com/NYCParks/status/674990449225019393", "674990449225019393")</f>
        <v>0</v>
      </c>
      <c r="B1778" s="2">
        <v>42348.6902546296</v>
      </c>
      <c r="C1778">
        <v>19</v>
      </c>
      <c r="D1778">
        <v>6</v>
      </c>
      <c r="E1778" t="s">
        <v>1780</v>
      </c>
    </row>
    <row r="1779" spans="1:5">
      <c r="A1779">
        <f>HYPERLINK("http://www.twitter.com/NYCParks/status/674974637848207360", "674974637848207360")</f>
        <v>0</v>
      </c>
      <c r="B1779" s="2">
        <v>42348.6466203704</v>
      </c>
      <c r="C1779">
        <v>0</v>
      </c>
      <c r="D1779">
        <v>10</v>
      </c>
      <c r="E1779" t="s">
        <v>1781</v>
      </c>
    </row>
    <row r="1780" spans="1:5">
      <c r="A1780">
        <f>HYPERLINK("http://www.twitter.com/NYCParks/status/674974318439366656", "674974318439366656")</f>
        <v>0</v>
      </c>
      <c r="B1780" s="2">
        <v>42348.6457407407</v>
      </c>
      <c r="C1780">
        <v>2</v>
      </c>
      <c r="D1780">
        <v>2</v>
      </c>
      <c r="E1780" t="s">
        <v>1782</v>
      </c>
    </row>
    <row r="1781" spans="1:5">
      <c r="A1781">
        <f>HYPERLINK("http://www.twitter.com/NYCParks/status/674682542214258688", "674682542214258688")</f>
        <v>0</v>
      </c>
      <c r="B1781" s="2">
        <v>42347.8405902778</v>
      </c>
      <c r="C1781">
        <v>5</v>
      </c>
      <c r="D1781">
        <v>2</v>
      </c>
      <c r="E1781" t="s">
        <v>1783</v>
      </c>
    </row>
    <row r="1782" spans="1:5">
      <c r="A1782">
        <f>HYPERLINK("http://www.twitter.com/NYCParks/status/674668059861340161", "674668059861340161")</f>
        <v>0</v>
      </c>
      <c r="B1782" s="2">
        <v>42347.800625</v>
      </c>
      <c r="C1782">
        <v>6</v>
      </c>
      <c r="D1782">
        <v>1</v>
      </c>
      <c r="E1782" t="s">
        <v>1784</v>
      </c>
    </row>
    <row r="1783" spans="1:5">
      <c r="A1783">
        <f>HYPERLINK("http://www.twitter.com/NYCParks/status/674664574445047809", "674664574445047809")</f>
        <v>0</v>
      </c>
      <c r="B1783" s="2">
        <v>42347.7910069444</v>
      </c>
      <c r="C1783">
        <v>7</v>
      </c>
      <c r="D1783">
        <v>1</v>
      </c>
      <c r="E1783" t="s">
        <v>1785</v>
      </c>
    </row>
    <row r="1784" spans="1:5">
      <c r="A1784">
        <f>HYPERLINK("http://www.twitter.com/NYCParks/status/674662374796828672", "674662374796828672")</f>
        <v>0</v>
      </c>
      <c r="B1784" s="2">
        <v>42347.7849421296</v>
      </c>
      <c r="C1784">
        <v>6</v>
      </c>
      <c r="D1784">
        <v>4</v>
      </c>
      <c r="E1784" t="s">
        <v>1786</v>
      </c>
    </row>
    <row r="1785" spans="1:5">
      <c r="A1785">
        <f>HYPERLINK("http://www.twitter.com/NYCParks/status/674647251206184960", "674647251206184960")</f>
        <v>0</v>
      </c>
      <c r="B1785" s="2">
        <v>42347.7432060185</v>
      </c>
      <c r="C1785">
        <v>15</v>
      </c>
      <c r="D1785">
        <v>4</v>
      </c>
      <c r="E1785" t="s">
        <v>1787</v>
      </c>
    </row>
    <row r="1786" spans="1:5">
      <c r="A1786">
        <f>HYPERLINK("http://www.twitter.com/NYCParks/status/674632151145578496", "674632151145578496")</f>
        <v>0</v>
      </c>
      <c r="B1786" s="2">
        <v>42347.7015393519</v>
      </c>
      <c r="C1786">
        <v>19</v>
      </c>
      <c r="D1786">
        <v>6</v>
      </c>
      <c r="E1786" t="s">
        <v>1788</v>
      </c>
    </row>
    <row r="1787" spans="1:5">
      <c r="A1787">
        <f>HYPERLINK("http://www.twitter.com/NYCParks/status/674616493527719936", "674616493527719936")</f>
        <v>0</v>
      </c>
      <c r="B1787" s="2">
        <v>42347.6583333333</v>
      </c>
      <c r="C1787">
        <v>9</v>
      </c>
      <c r="D1787">
        <v>6</v>
      </c>
      <c r="E1787" t="s">
        <v>1789</v>
      </c>
    </row>
    <row r="1788" spans="1:5">
      <c r="A1788">
        <f>HYPERLINK("http://www.twitter.com/NYCParks/status/674359007147122688", "674359007147122688")</f>
        <v>0</v>
      </c>
      <c r="B1788" s="2">
        <v>42346.9478009259</v>
      </c>
      <c r="C1788">
        <v>3</v>
      </c>
      <c r="D1788">
        <v>2</v>
      </c>
      <c r="E1788" t="s">
        <v>1790</v>
      </c>
    </row>
    <row r="1789" spans="1:5">
      <c r="A1789">
        <f>HYPERLINK("http://www.twitter.com/NYCParks/status/674355489111744512", "674355489111744512")</f>
        <v>0</v>
      </c>
      <c r="B1789" s="2">
        <v>42346.9381018519</v>
      </c>
      <c r="C1789">
        <v>7</v>
      </c>
      <c r="D1789">
        <v>4</v>
      </c>
      <c r="E1789" t="s">
        <v>1791</v>
      </c>
    </row>
    <row r="1790" spans="1:5">
      <c r="A1790">
        <f>HYPERLINK("http://www.twitter.com/NYCParks/status/674352854375731201", "674352854375731201")</f>
        <v>0</v>
      </c>
      <c r="B1790" s="2">
        <v>42346.9308333333</v>
      </c>
      <c r="C1790">
        <v>11</v>
      </c>
      <c r="D1790">
        <v>10</v>
      </c>
      <c r="E1790" t="s">
        <v>1792</v>
      </c>
    </row>
    <row r="1791" spans="1:5">
      <c r="A1791">
        <f>HYPERLINK("http://www.twitter.com/NYCParks/status/674333041129598976", "674333041129598976")</f>
        <v>0</v>
      </c>
      <c r="B1791" s="2">
        <v>42346.8761574074</v>
      </c>
      <c r="C1791">
        <v>39</v>
      </c>
      <c r="D1791">
        <v>21</v>
      </c>
      <c r="E1791" t="s">
        <v>1793</v>
      </c>
    </row>
    <row r="1792" spans="1:5">
      <c r="A1792">
        <f>HYPERLINK("http://www.twitter.com/NYCParks/status/674317913298481153", "674317913298481153")</f>
        <v>0</v>
      </c>
      <c r="B1792" s="2">
        <v>42346.8344097222</v>
      </c>
      <c r="C1792">
        <v>4</v>
      </c>
      <c r="D1792">
        <v>5</v>
      </c>
      <c r="E1792" t="s">
        <v>1794</v>
      </c>
    </row>
    <row r="1793" spans="1:5">
      <c r="A1793">
        <f>HYPERLINK("http://www.twitter.com/NYCParks/status/674307523156025344", "674307523156025344")</f>
        <v>0</v>
      </c>
      <c r="B1793" s="2">
        <v>42346.8057407407</v>
      </c>
      <c r="C1793">
        <v>7</v>
      </c>
      <c r="D1793">
        <v>15</v>
      </c>
      <c r="E1793" t="s">
        <v>1795</v>
      </c>
    </row>
    <row r="1794" spans="1:5">
      <c r="A1794">
        <f>HYPERLINK("http://www.twitter.com/NYCParks/status/674289938947551232", "674289938947551232")</f>
        <v>0</v>
      </c>
      <c r="B1794" s="2">
        <v>42346.7572106481</v>
      </c>
      <c r="C1794">
        <v>18</v>
      </c>
      <c r="D1794">
        <v>18</v>
      </c>
      <c r="E1794" t="s">
        <v>1796</v>
      </c>
    </row>
    <row r="1795" spans="1:5">
      <c r="A1795">
        <f>HYPERLINK("http://www.twitter.com/NYCParks/status/674274587731980293", "674274587731980293")</f>
        <v>0</v>
      </c>
      <c r="B1795" s="2">
        <v>42346.714849537</v>
      </c>
      <c r="C1795">
        <v>0</v>
      </c>
      <c r="D1795">
        <v>9</v>
      </c>
      <c r="E1795" t="s">
        <v>1797</v>
      </c>
    </row>
    <row r="1796" spans="1:5">
      <c r="A1796">
        <f>HYPERLINK("http://www.twitter.com/NYCParks/status/674261997429661696", "674261997429661696")</f>
        <v>0</v>
      </c>
      <c r="B1796" s="2">
        <v>42346.6801157407</v>
      </c>
      <c r="C1796">
        <v>15</v>
      </c>
      <c r="D1796">
        <v>7</v>
      </c>
      <c r="E1796" t="s">
        <v>1798</v>
      </c>
    </row>
    <row r="1797" spans="1:5">
      <c r="A1797">
        <f>HYPERLINK("http://www.twitter.com/NYCParks/status/674258466190573568", "674258466190573568")</f>
        <v>0</v>
      </c>
      <c r="B1797" s="2">
        <v>42346.6703703704</v>
      </c>
      <c r="C1797">
        <v>6</v>
      </c>
      <c r="D1797">
        <v>6</v>
      </c>
      <c r="E1797" t="s">
        <v>1799</v>
      </c>
    </row>
    <row r="1798" spans="1:5">
      <c r="A1798">
        <f>HYPERLINK("http://www.twitter.com/NYCParks/status/674254725085310980", "674254725085310980")</f>
        <v>0</v>
      </c>
      <c r="B1798" s="2">
        <v>42346.6600462963</v>
      </c>
      <c r="C1798">
        <v>53</v>
      </c>
      <c r="D1798">
        <v>37</v>
      </c>
      <c r="E1798" t="s">
        <v>1800</v>
      </c>
    </row>
    <row r="1799" spans="1:5">
      <c r="A1799">
        <f>HYPERLINK("http://www.twitter.com/NYCParks/status/674244846840889344", "674244846840889344")</f>
        <v>0</v>
      </c>
      <c r="B1799" s="2">
        <v>42346.6327893519</v>
      </c>
      <c r="C1799">
        <v>0</v>
      </c>
      <c r="D1799">
        <v>12</v>
      </c>
      <c r="E1799" t="s">
        <v>1801</v>
      </c>
    </row>
    <row r="1800" spans="1:5">
      <c r="A1800">
        <f>HYPERLINK("http://www.twitter.com/NYCParks/status/673966294379724801", "673966294379724801")</f>
        <v>0</v>
      </c>
      <c r="B1800" s="2">
        <v>42345.8641203704</v>
      </c>
      <c r="C1800">
        <v>21</v>
      </c>
      <c r="D1800">
        <v>7</v>
      </c>
      <c r="E1800" t="s">
        <v>1802</v>
      </c>
    </row>
    <row r="1801" spans="1:5">
      <c r="A1801">
        <f>HYPERLINK("http://www.twitter.com/NYCParks/status/673941386459226113", "673941386459226113")</f>
        <v>0</v>
      </c>
      <c r="B1801" s="2">
        <v>42345.7953935185</v>
      </c>
      <c r="C1801">
        <v>9</v>
      </c>
      <c r="D1801">
        <v>7</v>
      </c>
      <c r="E1801" t="s">
        <v>1803</v>
      </c>
    </row>
    <row r="1802" spans="1:5">
      <c r="A1802">
        <f>HYPERLINK("http://www.twitter.com/NYCParks/status/673925180650078208", "673925180650078208")</f>
        <v>0</v>
      </c>
      <c r="B1802" s="2">
        <v>42345.7506712963</v>
      </c>
      <c r="C1802">
        <v>15</v>
      </c>
      <c r="D1802">
        <v>4</v>
      </c>
      <c r="E1802" t="s">
        <v>1804</v>
      </c>
    </row>
    <row r="1803" spans="1:5">
      <c r="A1803">
        <f>HYPERLINK("http://www.twitter.com/NYCParks/status/673911194848272385", "673911194848272385")</f>
        <v>0</v>
      </c>
      <c r="B1803" s="2">
        <v>42345.7120833333</v>
      </c>
      <c r="C1803">
        <v>6</v>
      </c>
      <c r="D1803">
        <v>6</v>
      </c>
      <c r="E1803" t="s">
        <v>1805</v>
      </c>
    </row>
    <row r="1804" spans="1:5">
      <c r="A1804">
        <f>HYPERLINK("http://www.twitter.com/NYCParks/status/673906123771092996", "673906123771092996")</f>
        <v>0</v>
      </c>
      <c r="B1804" s="2">
        <v>42345.6980902778</v>
      </c>
      <c r="C1804">
        <v>0</v>
      </c>
      <c r="D1804">
        <v>1</v>
      </c>
      <c r="E1804" t="s">
        <v>1806</v>
      </c>
    </row>
    <row r="1805" spans="1:5">
      <c r="A1805">
        <f>HYPERLINK("http://www.twitter.com/NYCParks/status/673906101440655365", "673906101440655365")</f>
        <v>0</v>
      </c>
      <c r="B1805" s="2">
        <v>42345.6980208333</v>
      </c>
      <c r="C1805">
        <v>0</v>
      </c>
      <c r="D1805">
        <v>1</v>
      </c>
      <c r="E1805" t="s">
        <v>1807</v>
      </c>
    </row>
    <row r="1806" spans="1:5">
      <c r="A1806">
        <f>HYPERLINK("http://www.twitter.com/NYCParks/status/673892614672896000", "673892614672896000")</f>
        <v>0</v>
      </c>
      <c r="B1806" s="2">
        <v>42345.6608101852</v>
      </c>
      <c r="C1806">
        <v>19</v>
      </c>
      <c r="D1806">
        <v>4</v>
      </c>
      <c r="E1806" t="s">
        <v>1808</v>
      </c>
    </row>
    <row r="1807" spans="1:5">
      <c r="A1807">
        <f>HYPERLINK("http://www.twitter.com/NYCParks/status/672871817837703168", "672871817837703168")</f>
        <v>0</v>
      </c>
      <c r="B1807" s="2">
        <v>42342.8439467593</v>
      </c>
      <c r="C1807">
        <v>23</v>
      </c>
      <c r="D1807">
        <v>16</v>
      </c>
      <c r="E1807" t="s">
        <v>1809</v>
      </c>
    </row>
    <row r="1808" spans="1:5">
      <c r="A1808">
        <f>HYPERLINK("http://www.twitter.com/NYCParks/status/672855704932327424", "672855704932327424")</f>
        <v>0</v>
      </c>
      <c r="B1808" s="2">
        <v>42342.7994791667</v>
      </c>
      <c r="C1808">
        <v>7</v>
      </c>
      <c r="D1808">
        <v>10</v>
      </c>
      <c r="E1808" t="s">
        <v>1810</v>
      </c>
    </row>
    <row r="1809" spans="1:5">
      <c r="A1809">
        <f>HYPERLINK("http://www.twitter.com/NYCParks/status/672839131622436865", "672839131622436865")</f>
        <v>0</v>
      </c>
      <c r="B1809" s="2">
        <v>42342.75375</v>
      </c>
      <c r="C1809">
        <v>61</v>
      </c>
      <c r="D1809">
        <v>39</v>
      </c>
      <c r="E1809" t="s">
        <v>1811</v>
      </c>
    </row>
    <row r="1810" spans="1:5">
      <c r="A1810">
        <f>HYPERLINK("http://www.twitter.com/NYCParks/status/672822901750554624", "672822901750554624")</f>
        <v>0</v>
      </c>
      <c r="B1810" s="2">
        <v>42342.7089583333</v>
      </c>
      <c r="C1810">
        <v>19</v>
      </c>
      <c r="D1810">
        <v>14</v>
      </c>
      <c r="E1810" t="s">
        <v>1812</v>
      </c>
    </row>
    <row r="1811" spans="1:5">
      <c r="A1811">
        <f>HYPERLINK("http://www.twitter.com/NYCParks/status/672816742977130502", "672816742977130502")</f>
        <v>0</v>
      </c>
      <c r="B1811" s="2">
        <v>42342.6919675926</v>
      </c>
      <c r="C1811">
        <v>2</v>
      </c>
      <c r="D1811">
        <v>0</v>
      </c>
      <c r="E1811" t="s">
        <v>1813</v>
      </c>
    </row>
    <row r="1812" spans="1:5">
      <c r="A1812">
        <f>HYPERLINK("http://www.twitter.com/NYCParks/status/672808461789458432", "672808461789458432")</f>
        <v>0</v>
      </c>
      <c r="B1812" s="2">
        <v>42342.6691203704</v>
      </c>
      <c r="C1812">
        <v>4</v>
      </c>
      <c r="D1812">
        <v>4</v>
      </c>
      <c r="E1812" t="s">
        <v>1814</v>
      </c>
    </row>
    <row r="1813" spans="1:5">
      <c r="A1813">
        <f>HYPERLINK("http://www.twitter.com/NYCParks/status/672523801117216768", "672523801117216768")</f>
        <v>0</v>
      </c>
      <c r="B1813" s="2">
        <v>42341.883599537</v>
      </c>
      <c r="C1813">
        <v>0</v>
      </c>
      <c r="D1813">
        <v>6</v>
      </c>
      <c r="E1813" t="s">
        <v>1815</v>
      </c>
    </row>
    <row r="1814" spans="1:5">
      <c r="A1814">
        <f>HYPERLINK("http://www.twitter.com/NYCParks/status/672497887838920704", "672497887838920704")</f>
        <v>0</v>
      </c>
      <c r="B1814" s="2">
        <v>42341.8120949074</v>
      </c>
      <c r="C1814">
        <v>10</v>
      </c>
      <c r="D1814">
        <v>10</v>
      </c>
      <c r="E1814" t="s">
        <v>1816</v>
      </c>
    </row>
    <row r="1815" spans="1:5">
      <c r="A1815">
        <f>HYPERLINK("http://www.twitter.com/NYCParks/status/672482323435253760", "672482323435253760")</f>
        <v>0</v>
      </c>
      <c r="B1815" s="2">
        <v>42341.7691435185</v>
      </c>
      <c r="C1815">
        <v>7</v>
      </c>
      <c r="D1815">
        <v>4</v>
      </c>
      <c r="E1815" t="s">
        <v>1817</v>
      </c>
    </row>
    <row r="1816" spans="1:5">
      <c r="A1816">
        <f>HYPERLINK("http://www.twitter.com/NYCParks/status/672481084895051780", "672481084895051780")</f>
        <v>0</v>
      </c>
      <c r="B1816" s="2">
        <v>42341.7657291667</v>
      </c>
      <c r="C1816">
        <v>6</v>
      </c>
      <c r="D1816">
        <v>2</v>
      </c>
      <c r="E1816" t="s">
        <v>1818</v>
      </c>
    </row>
    <row r="1817" spans="1:5">
      <c r="A1817">
        <f>HYPERLINK("http://www.twitter.com/NYCParks/status/672480785870544897", "672480785870544897")</f>
        <v>0</v>
      </c>
      <c r="B1817" s="2">
        <v>42341.7649074074</v>
      </c>
      <c r="C1817">
        <v>6</v>
      </c>
      <c r="D1817">
        <v>2</v>
      </c>
      <c r="E1817" t="s">
        <v>1819</v>
      </c>
    </row>
    <row r="1818" spans="1:5">
      <c r="A1818">
        <f>HYPERLINK("http://www.twitter.com/NYCParks/status/672480364762406913", "672480364762406913")</f>
        <v>0</v>
      </c>
      <c r="B1818" s="2">
        <v>42341.7637384259</v>
      </c>
      <c r="C1818">
        <v>5</v>
      </c>
      <c r="D1818">
        <v>1</v>
      </c>
      <c r="E1818" t="s">
        <v>1820</v>
      </c>
    </row>
    <row r="1819" spans="1:5">
      <c r="A1819">
        <f>HYPERLINK("http://www.twitter.com/NYCParks/status/672479584055635969", "672479584055635969")</f>
        <v>0</v>
      </c>
      <c r="B1819" s="2">
        <v>42341.7615856481</v>
      </c>
      <c r="C1819">
        <v>7</v>
      </c>
      <c r="D1819">
        <v>4</v>
      </c>
      <c r="E1819" t="s">
        <v>1821</v>
      </c>
    </row>
    <row r="1820" spans="1:5">
      <c r="A1820">
        <f>HYPERLINK("http://www.twitter.com/NYCParks/status/672476706171658241", "672476706171658241")</f>
        <v>0</v>
      </c>
      <c r="B1820" s="2">
        <v>42341.7536458333</v>
      </c>
      <c r="C1820">
        <v>20</v>
      </c>
      <c r="D1820">
        <v>7</v>
      </c>
      <c r="E1820" t="s">
        <v>1822</v>
      </c>
    </row>
    <row r="1821" spans="1:5">
      <c r="A1821">
        <f>HYPERLINK("http://www.twitter.com/NYCParks/status/672467128226856961", "672467128226856961")</f>
        <v>0</v>
      </c>
      <c r="B1821" s="2">
        <v>42341.7272106481</v>
      </c>
      <c r="C1821">
        <v>5</v>
      </c>
      <c r="D1821">
        <v>4</v>
      </c>
      <c r="E1821" t="s">
        <v>1823</v>
      </c>
    </row>
    <row r="1822" spans="1:5">
      <c r="A1822">
        <f>HYPERLINK("http://www.twitter.com/NYCParks/status/672467074317463553", "672467074317463553")</f>
        <v>0</v>
      </c>
      <c r="B1822" s="2">
        <v>42341.7270717593</v>
      </c>
      <c r="C1822">
        <v>31</v>
      </c>
      <c r="D1822">
        <v>22</v>
      </c>
      <c r="E1822" t="s">
        <v>1824</v>
      </c>
    </row>
    <row r="1823" spans="1:5">
      <c r="A1823">
        <f>HYPERLINK("http://www.twitter.com/NYCParks/status/672446987422343168", "672446987422343168")</f>
        <v>0</v>
      </c>
      <c r="B1823" s="2">
        <v>42341.6716319444</v>
      </c>
      <c r="C1823">
        <v>20</v>
      </c>
      <c r="D1823">
        <v>7</v>
      </c>
      <c r="E1823" t="s">
        <v>1825</v>
      </c>
    </row>
    <row r="1824" spans="1:5">
      <c r="A1824">
        <f>HYPERLINK("http://www.twitter.com/NYCParks/status/672433393469104129", "672433393469104129")</f>
        <v>0</v>
      </c>
      <c r="B1824" s="2">
        <v>42341.6341203704</v>
      </c>
      <c r="C1824">
        <v>6</v>
      </c>
      <c r="D1824">
        <v>2</v>
      </c>
      <c r="E1824" t="s">
        <v>1826</v>
      </c>
    </row>
    <row r="1825" spans="1:5">
      <c r="A1825">
        <f>HYPERLINK("http://www.twitter.com/NYCParks/status/672431536587874304", "672431536587874304")</f>
        <v>0</v>
      </c>
      <c r="B1825" s="2">
        <v>42341.6290046296</v>
      </c>
      <c r="C1825">
        <v>5</v>
      </c>
      <c r="D1825">
        <v>2</v>
      </c>
      <c r="E1825" t="s">
        <v>1827</v>
      </c>
    </row>
    <row r="1826" spans="1:5">
      <c r="A1826">
        <f>HYPERLINK("http://www.twitter.com/NYCParks/status/672427734476410880", "672427734476410880")</f>
        <v>0</v>
      </c>
      <c r="B1826" s="2">
        <v>42341.6185069444</v>
      </c>
      <c r="C1826">
        <v>12</v>
      </c>
      <c r="D1826">
        <v>6</v>
      </c>
      <c r="E1826" t="s">
        <v>1828</v>
      </c>
    </row>
    <row r="1827" spans="1:5">
      <c r="A1827">
        <f>HYPERLINK("http://www.twitter.com/NYCParks/status/672150960182059008", "672150960182059008")</f>
        <v>0</v>
      </c>
      <c r="B1827" s="2">
        <v>42340.8547569444</v>
      </c>
      <c r="C1827">
        <v>7</v>
      </c>
      <c r="D1827">
        <v>1</v>
      </c>
      <c r="E1827" t="s">
        <v>1829</v>
      </c>
    </row>
    <row r="1828" spans="1:5">
      <c r="A1828">
        <f>HYPERLINK("http://www.twitter.com/NYCParks/status/672136179668619264", "672136179668619264")</f>
        <v>0</v>
      </c>
      <c r="B1828" s="2">
        <v>42340.8139699074</v>
      </c>
      <c r="C1828">
        <v>6</v>
      </c>
      <c r="D1828">
        <v>5</v>
      </c>
      <c r="E1828" t="s">
        <v>1830</v>
      </c>
    </row>
    <row r="1829" spans="1:5">
      <c r="A1829">
        <f>HYPERLINK("http://www.twitter.com/NYCParks/status/672114970109353984", "672114970109353984")</f>
        <v>0</v>
      </c>
      <c r="B1829" s="2">
        <v>42340.7554398148</v>
      </c>
      <c r="C1829">
        <v>14</v>
      </c>
      <c r="D1829">
        <v>3</v>
      </c>
      <c r="E1829" t="s">
        <v>1831</v>
      </c>
    </row>
    <row r="1830" spans="1:5">
      <c r="A1830">
        <f>HYPERLINK("http://www.twitter.com/NYCParks/status/672098803391025152", "672098803391025152")</f>
        <v>0</v>
      </c>
      <c r="B1830" s="2">
        <v>42340.7108333333</v>
      </c>
      <c r="C1830">
        <v>19</v>
      </c>
      <c r="D1830">
        <v>10</v>
      </c>
      <c r="E1830" t="s">
        <v>1832</v>
      </c>
    </row>
    <row r="1831" spans="1:5">
      <c r="A1831">
        <f>HYPERLINK("http://www.twitter.com/NYCParks/status/672080324877090816", "672080324877090816")</f>
        <v>0</v>
      </c>
      <c r="B1831" s="2">
        <v>42340.659837963</v>
      </c>
      <c r="C1831">
        <v>6</v>
      </c>
      <c r="D1831">
        <v>7</v>
      </c>
      <c r="E1831" t="s">
        <v>1833</v>
      </c>
    </row>
    <row r="1832" spans="1:5">
      <c r="A1832">
        <f>HYPERLINK("http://www.twitter.com/NYCParks/status/672068949559898112", "672068949559898112")</f>
        <v>0</v>
      </c>
      <c r="B1832" s="2">
        <v>42340.6284490741</v>
      </c>
      <c r="C1832">
        <v>0</v>
      </c>
      <c r="D1832">
        <v>5</v>
      </c>
      <c r="E1832" t="s">
        <v>1834</v>
      </c>
    </row>
    <row r="1833" spans="1:5">
      <c r="A1833">
        <f>HYPERLINK("http://www.twitter.com/NYCParks/status/671782394706444288", "671782394706444288")</f>
        <v>0</v>
      </c>
      <c r="B1833" s="2">
        <v>42339.8377083333</v>
      </c>
      <c r="C1833">
        <v>9</v>
      </c>
      <c r="D1833">
        <v>10</v>
      </c>
      <c r="E1833" t="s">
        <v>1835</v>
      </c>
    </row>
    <row r="1834" spans="1:5">
      <c r="A1834">
        <f>HYPERLINK("http://www.twitter.com/NYCParks/status/671764728306376708", "671764728306376708")</f>
        <v>0</v>
      </c>
      <c r="B1834" s="2">
        <v>42339.7889583333</v>
      </c>
      <c r="C1834">
        <v>14</v>
      </c>
      <c r="D1834">
        <v>11</v>
      </c>
      <c r="E1834" t="s">
        <v>1836</v>
      </c>
    </row>
    <row r="1835" spans="1:5">
      <c r="A1835">
        <f>HYPERLINK("http://www.twitter.com/NYCParks/status/671745670110400512", "671745670110400512")</f>
        <v>0</v>
      </c>
      <c r="B1835" s="2">
        <v>42339.7363657407</v>
      </c>
      <c r="C1835">
        <v>8</v>
      </c>
      <c r="D1835">
        <v>3</v>
      </c>
      <c r="E1835" t="s">
        <v>1837</v>
      </c>
    </row>
    <row r="1836" spans="1:5">
      <c r="A1836">
        <f>HYPERLINK("http://www.twitter.com/NYCParks/status/671729276572573696", "671729276572573696")</f>
        <v>0</v>
      </c>
      <c r="B1836" s="2">
        <v>42339.6911342593</v>
      </c>
      <c r="C1836">
        <v>10</v>
      </c>
      <c r="D1836">
        <v>4</v>
      </c>
      <c r="E1836" t="s">
        <v>1838</v>
      </c>
    </row>
    <row r="1837" spans="1:5">
      <c r="A1837">
        <f>HYPERLINK("http://www.twitter.com/NYCParks/status/671715876849217536", "671715876849217536")</f>
        <v>0</v>
      </c>
      <c r="B1837" s="2">
        <v>42339.6541550926</v>
      </c>
      <c r="C1837">
        <v>17</v>
      </c>
      <c r="D1837">
        <v>7</v>
      </c>
      <c r="E1837" t="s">
        <v>1839</v>
      </c>
    </row>
    <row r="1838" spans="1:5">
      <c r="A1838">
        <f>HYPERLINK("http://www.twitter.com/NYCParks/status/671418862743736320", "671418862743736320")</f>
        <v>0</v>
      </c>
      <c r="B1838" s="2">
        <v>42338.8345486111</v>
      </c>
      <c r="C1838">
        <v>13</v>
      </c>
      <c r="D1838">
        <v>8</v>
      </c>
      <c r="E1838" t="s">
        <v>1840</v>
      </c>
    </row>
    <row r="1839" spans="1:5">
      <c r="A1839">
        <f>HYPERLINK("http://www.twitter.com/NYCParks/status/671405337468133376", "671405337468133376")</f>
        <v>0</v>
      </c>
      <c r="B1839" s="2">
        <v>42338.7972337963</v>
      </c>
      <c r="C1839">
        <v>45</v>
      </c>
      <c r="D1839">
        <v>25</v>
      </c>
      <c r="E1839" t="s">
        <v>1841</v>
      </c>
    </row>
    <row r="1840" spans="1:5">
      <c r="A1840">
        <f>HYPERLINK("http://www.twitter.com/NYCParks/status/671387044355170304", "671387044355170304")</f>
        <v>0</v>
      </c>
      <c r="B1840" s="2">
        <v>42338.7467476852</v>
      </c>
      <c r="C1840">
        <v>5</v>
      </c>
      <c r="D1840">
        <v>3</v>
      </c>
      <c r="E1840" t="s">
        <v>1842</v>
      </c>
    </row>
    <row r="1841" spans="1:5">
      <c r="A1841">
        <f>HYPERLINK("http://www.twitter.com/NYCParks/status/671371586147102720", "671371586147102720")</f>
        <v>0</v>
      </c>
      <c r="B1841" s="2">
        <v>42338.7040972222</v>
      </c>
      <c r="C1841">
        <v>13</v>
      </c>
      <c r="D1841">
        <v>4</v>
      </c>
      <c r="E1841" t="s">
        <v>1843</v>
      </c>
    </row>
    <row r="1842" spans="1:5">
      <c r="A1842">
        <f>HYPERLINK("http://www.twitter.com/NYCParks/status/671354537068883968", "671354537068883968")</f>
        <v>0</v>
      </c>
      <c r="B1842" s="2">
        <v>42338.6570486111</v>
      </c>
      <c r="C1842">
        <v>9</v>
      </c>
      <c r="D1842">
        <v>5</v>
      </c>
      <c r="E1842" t="s">
        <v>1844</v>
      </c>
    </row>
    <row r="1843" spans="1:5">
      <c r="A1843">
        <f>HYPERLINK("http://www.twitter.com/NYCParks/status/670338966504218625", "670338966504218625")</f>
        <v>0</v>
      </c>
      <c r="B1843" s="2">
        <v>42335.8546064815</v>
      </c>
      <c r="C1843">
        <v>123</v>
      </c>
      <c r="D1843">
        <v>69</v>
      </c>
      <c r="E1843" t="s">
        <v>1845</v>
      </c>
    </row>
    <row r="1844" spans="1:5">
      <c r="A1844">
        <f>HYPERLINK("http://www.twitter.com/NYCParks/status/670331840562077696", "670331840562077696")</f>
        <v>0</v>
      </c>
      <c r="B1844" s="2">
        <v>42335.8349421296</v>
      </c>
      <c r="C1844">
        <v>6</v>
      </c>
      <c r="D1844">
        <v>2</v>
      </c>
      <c r="E1844" t="s">
        <v>1846</v>
      </c>
    </row>
    <row r="1845" spans="1:5">
      <c r="A1845">
        <f>HYPERLINK("http://www.twitter.com/NYCParks/status/670330760323272705", "670330760323272705")</f>
        <v>0</v>
      </c>
      <c r="B1845" s="2">
        <v>42335.8319675926</v>
      </c>
      <c r="C1845">
        <v>3</v>
      </c>
      <c r="D1845">
        <v>2</v>
      </c>
      <c r="E1845" t="s">
        <v>1847</v>
      </c>
    </row>
    <row r="1846" spans="1:5">
      <c r="A1846">
        <f>HYPERLINK("http://www.twitter.com/NYCParks/status/670320032329637888", "670320032329637888")</f>
        <v>0</v>
      </c>
      <c r="B1846" s="2">
        <v>42335.8023611111</v>
      </c>
      <c r="C1846">
        <v>10</v>
      </c>
      <c r="D1846">
        <v>7</v>
      </c>
      <c r="E1846" t="s">
        <v>1848</v>
      </c>
    </row>
    <row r="1847" spans="1:5">
      <c r="A1847">
        <f>HYPERLINK("http://www.twitter.com/NYCParks/status/670317314370310144", "670317314370310144")</f>
        <v>0</v>
      </c>
      <c r="B1847" s="2">
        <v>42335.7948611111</v>
      </c>
      <c r="C1847">
        <v>0</v>
      </c>
      <c r="D1847">
        <v>0</v>
      </c>
      <c r="E1847" t="s">
        <v>1849</v>
      </c>
    </row>
    <row r="1848" spans="1:5">
      <c r="A1848">
        <f>HYPERLINK("http://www.twitter.com/NYCParks/status/670304097535397888", "670304097535397888")</f>
        <v>0</v>
      </c>
      <c r="B1848" s="2">
        <v>42335.7583912037</v>
      </c>
      <c r="C1848">
        <v>12</v>
      </c>
      <c r="D1848">
        <v>9</v>
      </c>
      <c r="E1848" t="s">
        <v>1850</v>
      </c>
    </row>
    <row r="1849" spans="1:5">
      <c r="A1849">
        <f>HYPERLINK("http://www.twitter.com/NYCParks/status/670288539502944258", "670288539502944258")</f>
        <v>0</v>
      </c>
      <c r="B1849" s="2">
        <v>42335.7154513889</v>
      </c>
      <c r="C1849">
        <v>9</v>
      </c>
      <c r="D1849">
        <v>5</v>
      </c>
      <c r="E1849" t="s">
        <v>1851</v>
      </c>
    </row>
    <row r="1850" spans="1:5">
      <c r="A1850">
        <f>HYPERLINK("http://www.twitter.com/NYCParks/status/670275967143821312", "670275967143821312")</f>
        <v>0</v>
      </c>
      <c r="B1850" s="2">
        <v>42335.6807638889</v>
      </c>
      <c r="C1850">
        <v>51</v>
      </c>
      <c r="D1850">
        <v>28</v>
      </c>
      <c r="E1850" t="s">
        <v>1852</v>
      </c>
    </row>
    <row r="1851" spans="1:5">
      <c r="A1851">
        <f>HYPERLINK("http://www.twitter.com/NYCParks/status/670259603251339265", "670259603251339265")</f>
        <v>0</v>
      </c>
      <c r="B1851" s="2">
        <v>42335.6356018518</v>
      </c>
      <c r="C1851">
        <v>15</v>
      </c>
      <c r="D1851">
        <v>7</v>
      </c>
      <c r="E1851" t="s">
        <v>1853</v>
      </c>
    </row>
    <row r="1852" spans="1:5">
      <c r="A1852">
        <f>HYPERLINK("http://www.twitter.com/NYCParks/status/669621282065874944", "669621282065874944")</f>
        <v>0</v>
      </c>
      <c r="B1852" s="2">
        <v>42333.8741782407</v>
      </c>
      <c r="C1852">
        <v>0</v>
      </c>
      <c r="D1852">
        <v>20</v>
      </c>
      <c r="E1852" t="s">
        <v>1854</v>
      </c>
    </row>
    <row r="1853" spans="1:5">
      <c r="A1853">
        <f>HYPERLINK("http://www.twitter.com/NYCParks/status/669606924715999233", "669606924715999233")</f>
        <v>0</v>
      </c>
      <c r="B1853" s="2">
        <v>42333.8345601852</v>
      </c>
      <c r="C1853">
        <v>20</v>
      </c>
      <c r="D1853">
        <v>16</v>
      </c>
      <c r="E1853" t="s">
        <v>1855</v>
      </c>
    </row>
    <row r="1854" spans="1:5">
      <c r="A1854">
        <f>HYPERLINK("http://www.twitter.com/NYCParks/status/669590634160914433", "669590634160914433")</f>
        <v>0</v>
      </c>
      <c r="B1854" s="2">
        <v>42333.7896064815</v>
      </c>
      <c r="C1854">
        <v>0</v>
      </c>
      <c r="D1854">
        <v>16</v>
      </c>
      <c r="E1854" t="s">
        <v>1856</v>
      </c>
    </row>
    <row r="1855" spans="1:5">
      <c r="A1855">
        <f>HYPERLINK("http://www.twitter.com/NYCParks/status/669577600914890753", "669577600914890753")</f>
        <v>0</v>
      </c>
      <c r="B1855" s="2">
        <v>42333.7536342593</v>
      </c>
      <c r="C1855">
        <v>12</v>
      </c>
      <c r="D1855">
        <v>12</v>
      </c>
      <c r="E1855" t="s">
        <v>1857</v>
      </c>
    </row>
    <row r="1856" spans="1:5">
      <c r="A1856">
        <f>HYPERLINK("http://www.twitter.com/NYCParks/status/669561528111276033", "669561528111276033")</f>
        <v>0</v>
      </c>
      <c r="B1856" s="2">
        <v>42333.7092824074</v>
      </c>
      <c r="C1856">
        <v>15</v>
      </c>
      <c r="D1856">
        <v>9</v>
      </c>
      <c r="E1856" t="s">
        <v>1858</v>
      </c>
    </row>
    <row r="1857" spans="1:5">
      <c r="A1857">
        <f>HYPERLINK("http://www.twitter.com/NYCParks/status/669546321561395202", "669546321561395202")</f>
        <v>0</v>
      </c>
      <c r="B1857" s="2">
        <v>42333.6673263889</v>
      </c>
      <c r="C1857">
        <v>57</v>
      </c>
      <c r="D1857">
        <v>28</v>
      </c>
      <c r="E1857" t="s">
        <v>1859</v>
      </c>
    </row>
    <row r="1858" spans="1:5">
      <c r="A1858">
        <f>HYPERLINK("http://www.twitter.com/NYCParks/status/669535631501062144", "669535631501062144")</f>
        <v>0</v>
      </c>
      <c r="B1858" s="2">
        <v>42333.6378240741</v>
      </c>
      <c r="C1858">
        <v>8</v>
      </c>
      <c r="D1858">
        <v>6</v>
      </c>
      <c r="E1858" t="s">
        <v>1860</v>
      </c>
    </row>
    <row r="1859" spans="1:5">
      <c r="A1859">
        <f>HYPERLINK("http://www.twitter.com/NYCParks/status/669531158615621632", "669531158615621632")</f>
        <v>0</v>
      </c>
      <c r="B1859" s="2">
        <v>42333.6254861111</v>
      </c>
      <c r="C1859">
        <v>4</v>
      </c>
      <c r="D1859">
        <v>3</v>
      </c>
      <c r="E1859" t="s">
        <v>1861</v>
      </c>
    </row>
    <row r="1860" spans="1:5">
      <c r="A1860">
        <f>HYPERLINK("http://www.twitter.com/NYCParks/status/669523828108828672", "669523828108828672")</f>
        <v>0</v>
      </c>
      <c r="B1860" s="2">
        <v>42333.6052546296</v>
      </c>
      <c r="C1860">
        <v>24</v>
      </c>
      <c r="D1860">
        <v>16</v>
      </c>
      <c r="E1860" t="s">
        <v>1862</v>
      </c>
    </row>
    <row r="1861" spans="1:5">
      <c r="A1861">
        <f>HYPERLINK("http://www.twitter.com/NYCParks/status/669244339130908672", "669244339130908672")</f>
        <v>0</v>
      </c>
      <c r="B1861" s="2">
        <v>42332.8340162037</v>
      </c>
      <c r="C1861">
        <v>14</v>
      </c>
      <c r="D1861">
        <v>3</v>
      </c>
      <c r="E1861" t="s">
        <v>1863</v>
      </c>
    </row>
    <row r="1862" spans="1:5">
      <c r="A1862">
        <f>HYPERLINK("http://www.twitter.com/NYCParks/status/669229569992470530", "669229569992470530")</f>
        <v>0</v>
      </c>
      <c r="B1862" s="2">
        <v>42332.7932523148</v>
      </c>
      <c r="C1862">
        <v>12</v>
      </c>
      <c r="D1862">
        <v>3</v>
      </c>
      <c r="E1862" t="s">
        <v>1864</v>
      </c>
    </row>
    <row r="1863" spans="1:5">
      <c r="A1863">
        <f>HYPERLINK("http://www.twitter.com/NYCParks/status/669214137940099072", "669214137940099072")</f>
        <v>0</v>
      </c>
      <c r="B1863" s="2">
        <v>42332.7506712963</v>
      </c>
      <c r="C1863">
        <v>13</v>
      </c>
      <c r="D1863">
        <v>16</v>
      </c>
      <c r="E1863" t="s">
        <v>1865</v>
      </c>
    </row>
    <row r="1864" spans="1:5">
      <c r="A1864">
        <f>HYPERLINK("http://www.twitter.com/NYCParks/status/669200144072577024", "669200144072577024")</f>
        <v>0</v>
      </c>
      <c r="B1864" s="2">
        <v>42332.7120601852</v>
      </c>
      <c r="C1864">
        <v>7</v>
      </c>
      <c r="D1864">
        <v>7</v>
      </c>
      <c r="E1864" t="s">
        <v>1866</v>
      </c>
    </row>
    <row r="1865" spans="1:5">
      <c r="A1865">
        <f>HYPERLINK("http://www.twitter.com/NYCParks/status/669182499252215810", "669182499252215810")</f>
        <v>0</v>
      </c>
      <c r="B1865" s="2">
        <v>42332.6633680556</v>
      </c>
      <c r="C1865">
        <v>19</v>
      </c>
      <c r="D1865">
        <v>9</v>
      </c>
      <c r="E1865" t="s">
        <v>1867</v>
      </c>
    </row>
    <row r="1866" spans="1:5">
      <c r="A1866">
        <f>HYPERLINK("http://www.twitter.com/NYCParks/status/669172261291745280", "669172261291745280")</f>
        <v>0</v>
      </c>
      <c r="B1866" s="2">
        <v>42332.6351157407</v>
      </c>
      <c r="C1866">
        <v>6</v>
      </c>
      <c r="D1866">
        <v>2</v>
      </c>
      <c r="E1866" t="s">
        <v>1868</v>
      </c>
    </row>
    <row r="1867" spans="1:5">
      <c r="A1867">
        <f>HYPERLINK("http://www.twitter.com/NYCParks/status/669169076019810304", "669169076019810304")</f>
        <v>0</v>
      </c>
      <c r="B1867" s="2">
        <v>42332.6263194444</v>
      </c>
      <c r="C1867">
        <v>3</v>
      </c>
      <c r="D1867">
        <v>0</v>
      </c>
      <c r="E1867" t="s">
        <v>1869</v>
      </c>
    </row>
    <row r="1868" spans="1:5">
      <c r="A1868">
        <f>HYPERLINK("http://www.twitter.com/NYCParks/status/669166182742794240", "669166182742794240")</f>
        <v>0</v>
      </c>
      <c r="B1868" s="2">
        <v>42332.6183449074</v>
      </c>
      <c r="C1868">
        <v>19</v>
      </c>
      <c r="D1868">
        <v>4</v>
      </c>
      <c r="E1868" t="s">
        <v>1870</v>
      </c>
    </row>
    <row r="1869" spans="1:5">
      <c r="A1869">
        <f>HYPERLINK("http://www.twitter.com/NYCParks/status/668897109035323392", "668897109035323392")</f>
        <v>0</v>
      </c>
      <c r="B1869" s="2">
        <v>42331.8758333333</v>
      </c>
      <c r="C1869">
        <v>7</v>
      </c>
      <c r="D1869">
        <v>7</v>
      </c>
      <c r="E1869" t="s">
        <v>1871</v>
      </c>
    </row>
    <row r="1870" spans="1:5">
      <c r="A1870">
        <f>HYPERLINK("http://www.twitter.com/NYCParks/status/668894920141316096", "668894920141316096")</f>
        <v>0</v>
      </c>
      <c r="B1870" s="2">
        <v>42331.8698032407</v>
      </c>
      <c r="C1870">
        <v>2</v>
      </c>
      <c r="D1870">
        <v>0</v>
      </c>
      <c r="E1870" t="s">
        <v>1872</v>
      </c>
    </row>
    <row r="1871" spans="1:5">
      <c r="A1871">
        <f>HYPERLINK("http://www.twitter.com/NYCParks/status/668886598285701122", "668886598285701122")</f>
        <v>0</v>
      </c>
      <c r="B1871" s="2">
        <v>42331.8468402778</v>
      </c>
      <c r="C1871">
        <v>2</v>
      </c>
      <c r="D1871">
        <v>2</v>
      </c>
      <c r="E1871" t="s">
        <v>1873</v>
      </c>
    </row>
    <row r="1872" spans="1:5">
      <c r="A1872">
        <f>HYPERLINK("http://www.twitter.com/NYCParks/status/668881725758525440", "668881725758525440")</f>
        <v>0</v>
      </c>
      <c r="B1872" s="2">
        <v>42331.8333912037</v>
      </c>
      <c r="C1872">
        <v>6</v>
      </c>
      <c r="D1872">
        <v>6</v>
      </c>
      <c r="E1872" t="s">
        <v>1874</v>
      </c>
    </row>
    <row r="1873" spans="1:5">
      <c r="A1873">
        <f>HYPERLINK("http://www.twitter.com/NYCParks/status/668879317624070144", "668879317624070144")</f>
        <v>0</v>
      </c>
      <c r="B1873" s="2">
        <v>42331.8267476852</v>
      </c>
      <c r="C1873">
        <v>10</v>
      </c>
      <c r="D1873">
        <v>1</v>
      </c>
      <c r="E1873" t="s">
        <v>1875</v>
      </c>
    </row>
    <row r="1874" spans="1:5">
      <c r="A1874">
        <f>HYPERLINK("http://www.twitter.com/NYCParks/status/668867274200252416", "668867274200252416")</f>
        <v>0</v>
      </c>
      <c r="B1874" s="2">
        <v>42331.7935069444</v>
      </c>
      <c r="C1874">
        <v>12</v>
      </c>
      <c r="D1874">
        <v>9</v>
      </c>
      <c r="E1874" t="s">
        <v>1876</v>
      </c>
    </row>
    <row r="1875" spans="1:5">
      <c r="A1875">
        <f>HYPERLINK("http://www.twitter.com/NYCParks/status/668852843777011712", "668852843777011712")</f>
        <v>0</v>
      </c>
      <c r="B1875" s="2">
        <v>42331.7536921296</v>
      </c>
      <c r="C1875">
        <v>2</v>
      </c>
      <c r="D1875">
        <v>10</v>
      </c>
      <c r="E1875" t="s">
        <v>1877</v>
      </c>
    </row>
    <row r="1876" spans="1:5">
      <c r="A1876">
        <f>HYPERLINK("http://www.twitter.com/NYCParks/status/668836491569799168", "668836491569799168")</f>
        <v>0</v>
      </c>
      <c r="B1876" s="2">
        <v>42331.7085648148</v>
      </c>
      <c r="C1876">
        <v>8</v>
      </c>
      <c r="D1876">
        <v>5</v>
      </c>
      <c r="E1876" t="s">
        <v>1878</v>
      </c>
    </row>
    <row r="1877" spans="1:5">
      <c r="A1877">
        <f>HYPERLINK("http://www.twitter.com/NYCParks/status/668820236674682881", "668820236674682881")</f>
        <v>0</v>
      </c>
      <c r="B1877" s="2">
        <v>42331.6637152778</v>
      </c>
      <c r="C1877">
        <v>16</v>
      </c>
      <c r="D1877">
        <v>2</v>
      </c>
      <c r="E1877" t="s">
        <v>1879</v>
      </c>
    </row>
    <row r="1878" spans="1:5">
      <c r="A1878">
        <f>HYPERLINK("http://www.twitter.com/NYCParks/status/668530999454732290", "668530999454732290")</f>
        <v>0</v>
      </c>
      <c r="B1878" s="2">
        <v>42330.8655671296</v>
      </c>
      <c r="C1878">
        <v>5</v>
      </c>
      <c r="D1878">
        <v>4</v>
      </c>
      <c r="E1878" t="s">
        <v>1880</v>
      </c>
    </row>
    <row r="1879" spans="1:5">
      <c r="A1879">
        <f>HYPERLINK("http://www.twitter.com/NYCParks/status/668527200510091273", "668527200510091273")</f>
        <v>0</v>
      </c>
      <c r="B1879" s="2">
        <v>42330.8550810185</v>
      </c>
      <c r="C1879">
        <v>8</v>
      </c>
      <c r="D1879">
        <v>5</v>
      </c>
      <c r="E1879" t="s">
        <v>1881</v>
      </c>
    </row>
    <row r="1880" spans="1:5">
      <c r="A1880">
        <f>HYPERLINK("http://www.twitter.com/NYCParks/status/668519845160439808", "668519845160439808")</f>
        <v>0</v>
      </c>
      <c r="B1880" s="2">
        <v>42330.8347916667</v>
      </c>
      <c r="C1880">
        <v>15</v>
      </c>
      <c r="D1880">
        <v>10</v>
      </c>
      <c r="E1880" t="s">
        <v>1882</v>
      </c>
    </row>
    <row r="1881" spans="1:5">
      <c r="A1881">
        <f>HYPERLINK("http://www.twitter.com/NYCParks/status/667810703403683841", "667810703403683841")</f>
        <v>0</v>
      </c>
      <c r="B1881" s="2">
        <v>42328.8779282407</v>
      </c>
      <c r="C1881">
        <v>24</v>
      </c>
      <c r="D1881">
        <v>15</v>
      </c>
      <c r="E1881" t="s">
        <v>1883</v>
      </c>
    </row>
    <row r="1882" spans="1:5">
      <c r="A1882">
        <f>HYPERLINK("http://www.twitter.com/NYCParks/status/667794905461366788", "667794905461366788")</f>
        <v>0</v>
      </c>
      <c r="B1882" s="2">
        <v>42328.8343402778</v>
      </c>
      <c r="C1882">
        <v>9</v>
      </c>
      <c r="D1882">
        <v>6</v>
      </c>
      <c r="E1882" t="s">
        <v>1884</v>
      </c>
    </row>
    <row r="1883" spans="1:5">
      <c r="A1883">
        <f>HYPERLINK("http://www.twitter.com/NYCParks/status/667779748957954048", "667779748957954048")</f>
        <v>0</v>
      </c>
      <c r="B1883" s="2">
        <v>42328.7925115741</v>
      </c>
      <c r="C1883">
        <v>25</v>
      </c>
      <c r="D1883">
        <v>14</v>
      </c>
      <c r="E1883" t="s">
        <v>1885</v>
      </c>
    </row>
    <row r="1884" spans="1:5">
      <c r="A1884">
        <f>HYPERLINK("http://www.twitter.com/NYCParks/status/667764389160878080", "667764389160878080")</f>
        <v>0</v>
      </c>
      <c r="B1884" s="2">
        <v>42328.7501273148</v>
      </c>
      <c r="C1884">
        <v>40</v>
      </c>
      <c r="D1884">
        <v>21</v>
      </c>
      <c r="E1884" t="s">
        <v>1886</v>
      </c>
    </row>
    <row r="1885" spans="1:5">
      <c r="A1885">
        <f>HYPERLINK("http://www.twitter.com/NYCParks/status/667755422481281026", "667755422481281026")</f>
        <v>0</v>
      </c>
      <c r="B1885" s="2">
        <v>42328.7253819444</v>
      </c>
      <c r="C1885">
        <v>0</v>
      </c>
      <c r="D1885">
        <v>122</v>
      </c>
      <c r="E1885" t="s">
        <v>1887</v>
      </c>
    </row>
    <row r="1886" spans="1:5">
      <c r="A1886">
        <f>HYPERLINK("http://www.twitter.com/NYCParks/status/667735461255913472", "667735461255913472")</f>
        <v>0</v>
      </c>
      <c r="B1886" s="2">
        <v>42328.6703009259</v>
      </c>
      <c r="C1886">
        <v>22</v>
      </c>
      <c r="D1886">
        <v>27</v>
      </c>
      <c r="E1886" t="s">
        <v>1888</v>
      </c>
    </row>
    <row r="1887" spans="1:5">
      <c r="A1887">
        <f>HYPERLINK("http://www.twitter.com/NYCParks/status/667719839029534722", "667719839029534722")</f>
        <v>0</v>
      </c>
      <c r="B1887" s="2">
        <v>42328.6271875</v>
      </c>
      <c r="C1887">
        <v>0</v>
      </c>
      <c r="D1887">
        <v>8</v>
      </c>
      <c r="E1887" t="s">
        <v>1889</v>
      </c>
    </row>
    <row r="1888" spans="1:5">
      <c r="A1888">
        <f>HYPERLINK("http://www.twitter.com/NYCParks/status/667493286106546177", "667493286106546177")</f>
        <v>0</v>
      </c>
      <c r="B1888" s="2">
        <v>42328.002025463</v>
      </c>
      <c r="C1888">
        <v>0</v>
      </c>
      <c r="D1888">
        <v>25</v>
      </c>
      <c r="E1888" t="s">
        <v>1890</v>
      </c>
    </row>
    <row r="1889" spans="1:5">
      <c r="A1889">
        <f>HYPERLINK("http://www.twitter.com/NYCParks/status/667482115945193472", "667482115945193472")</f>
        <v>0</v>
      </c>
      <c r="B1889" s="2">
        <v>42327.9712037037</v>
      </c>
      <c r="C1889">
        <v>0</v>
      </c>
      <c r="D1889">
        <v>0</v>
      </c>
      <c r="E1889" t="s">
        <v>1891</v>
      </c>
    </row>
    <row r="1890" spans="1:5">
      <c r="A1890">
        <f>HYPERLINK("http://www.twitter.com/NYCParks/status/667477956827160577", "667477956827160577")</f>
        <v>0</v>
      </c>
      <c r="B1890" s="2">
        <v>42327.9597222222</v>
      </c>
      <c r="C1890">
        <v>1</v>
      </c>
      <c r="D1890">
        <v>0</v>
      </c>
      <c r="E1890" t="s">
        <v>1892</v>
      </c>
    </row>
    <row r="1891" spans="1:5">
      <c r="A1891">
        <f>HYPERLINK("http://www.twitter.com/NYCParks/status/667461932560080898", "667461932560080898")</f>
        <v>0</v>
      </c>
      <c r="B1891" s="2">
        <v>42327.9155092593</v>
      </c>
      <c r="C1891">
        <v>29</v>
      </c>
      <c r="D1891">
        <v>13</v>
      </c>
      <c r="E1891" t="s">
        <v>1893</v>
      </c>
    </row>
    <row r="1892" spans="1:5">
      <c r="A1892">
        <f>HYPERLINK("http://www.twitter.com/NYCParks/status/667445853938917377", "667445853938917377")</f>
        <v>0</v>
      </c>
      <c r="B1892" s="2">
        <v>42327.8711342593</v>
      </c>
      <c r="C1892">
        <v>56</v>
      </c>
      <c r="D1892">
        <v>39</v>
      </c>
      <c r="E1892" t="s">
        <v>1894</v>
      </c>
    </row>
    <row r="1893" spans="1:5">
      <c r="A1893">
        <f>HYPERLINK("http://www.twitter.com/NYCParks/status/667425940646043648", "667425940646043648")</f>
        <v>0</v>
      </c>
      <c r="B1893" s="2">
        <v>42327.8161921296</v>
      </c>
      <c r="C1893">
        <v>57</v>
      </c>
      <c r="D1893">
        <v>32</v>
      </c>
      <c r="E1893" t="s">
        <v>1895</v>
      </c>
    </row>
    <row r="1894" spans="1:5">
      <c r="A1894">
        <f>HYPERLINK("http://www.twitter.com/NYCParks/status/667409236482224129", "667409236482224129")</f>
        <v>0</v>
      </c>
      <c r="B1894" s="2">
        <v>42327.7700925926</v>
      </c>
      <c r="C1894">
        <v>12</v>
      </c>
      <c r="D1894">
        <v>8</v>
      </c>
      <c r="E1894" t="s">
        <v>1896</v>
      </c>
    </row>
    <row r="1895" spans="1:5">
      <c r="A1895">
        <f>HYPERLINK("http://www.twitter.com/NYCParks/status/667396086424817664", "667396086424817664")</f>
        <v>0</v>
      </c>
      <c r="B1895" s="2">
        <v>42327.7338078704</v>
      </c>
      <c r="C1895">
        <v>0</v>
      </c>
      <c r="D1895">
        <v>124</v>
      </c>
      <c r="E1895" t="s">
        <v>1897</v>
      </c>
    </row>
    <row r="1896" spans="1:5">
      <c r="A1896">
        <f>HYPERLINK("http://www.twitter.com/NYCParks/status/667365604303745024", "667365604303745024")</f>
        <v>0</v>
      </c>
      <c r="B1896" s="2">
        <v>42327.6496875</v>
      </c>
      <c r="C1896">
        <v>0</v>
      </c>
      <c r="D1896">
        <v>13</v>
      </c>
      <c r="E1896" t="s">
        <v>1898</v>
      </c>
    </row>
    <row r="1897" spans="1:5">
      <c r="A1897">
        <f>HYPERLINK("http://www.twitter.com/NYCParks/status/667096330490265600", "667096330490265600")</f>
        <v>0</v>
      </c>
      <c r="B1897" s="2">
        <v>42326.9066319444</v>
      </c>
      <c r="C1897">
        <v>7</v>
      </c>
      <c r="D1897">
        <v>4</v>
      </c>
      <c r="E1897" t="s">
        <v>1899</v>
      </c>
    </row>
    <row r="1898" spans="1:5">
      <c r="A1898">
        <f>HYPERLINK("http://www.twitter.com/NYCParks/status/667094387151736833", "667094387151736833")</f>
        <v>0</v>
      </c>
      <c r="B1898" s="2">
        <v>42326.9012731481</v>
      </c>
      <c r="C1898">
        <v>3</v>
      </c>
      <c r="D1898">
        <v>4</v>
      </c>
      <c r="E1898" t="s">
        <v>1900</v>
      </c>
    </row>
    <row r="1899" spans="1:5">
      <c r="A1899">
        <f>HYPERLINK("http://www.twitter.com/NYCParks/status/667091985027743744", "667091985027743744")</f>
        <v>0</v>
      </c>
      <c r="B1899" s="2">
        <v>42326.8946412037</v>
      </c>
      <c r="C1899">
        <v>8</v>
      </c>
      <c r="D1899">
        <v>4</v>
      </c>
      <c r="E1899" t="s">
        <v>1901</v>
      </c>
    </row>
    <row r="1900" spans="1:5">
      <c r="A1900">
        <f>HYPERLINK("http://www.twitter.com/NYCParks/status/667090073452720129", "667090073452720129")</f>
        <v>0</v>
      </c>
      <c r="B1900" s="2">
        <v>42326.889375</v>
      </c>
      <c r="C1900">
        <v>13</v>
      </c>
      <c r="D1900">
        <v>7</v>
      </c>
      <c r="E1900" t="s">
        <v>1902</v>
      </c>
    </row>
    <row r="1901" spans="1:5">
      <c r="A1901">
        <f>HYPERLINK("http://www.twitter.com/NYCParks/status/667088191783100417", "667088191783100417")</f>
        <v>0</v>
      </c>
      <c r="B1901" s="2">
        <v>42326.8841782407</v>
      </c>
      <c r="C1901">
        <v>8</v>
      </c>
      <c r="D1901">
        <v>4</v>
      </c>
      <c r="E1901" t="s">
        <v>1903</v>
      </c>
    </row>
    <row r="1902" spans="1:5">
      <c r="A1902">
        <f>HYPERLINK("http://www.twitter.com/NYCParks/status/667077109819514880", "667077109819514880")</f>
        <v>0</v>
      </c>
      <c r="B1902" s="2">
        <v>42326.853599537</v>
      </c>
      <c r="C1902">
        <v>0</v>
      </c>
      <c r="D1902">
        <v>131</v>
      </c>
      <c r="E1902" t="s">
        <v>1904</v>
      </c>
    </row>
    <row r="1903" spans="1:5">
      <c r="A1903">
        <f>HYPERLINK("http://www.twitter.com/NYCParks/status/667062501004206081", "667062501004206081")</f>
        <v>0</v>
      </c>
      <c r="B1903" s="2">
        <v>42326.813287037</v>
      </c>
      <c r="C1903">
        <v>14</v>
      </c>
      <c r="D1903">
        <v>4</v>
      </c>
      <c r="E1903" t="s">
        <v>1905</v>
      </c>
    </row>
    <row r="1904" spans="1:5">
      <c r="A1904">
        <f>HYPERLINK("http://www.twitter.com/NYCParks/status/667047345608122368", "667047345608122368")</f>
        <v>0</v>
      </c>
      <c r="B1904" s="2">
        <v>42326.7714583333</v>
      </c>
      <c r="C1904">
        <v>23</v>
      </c>
      <c r="D1904">
        <v>13</v>
      </c>
      <c r="E1904" t="s">
        <v>1906</v>
      </c>
    </row>
    <row r="1905" spans="1:5">
      <c r="A1905">
        <f>HYPERLINK("http://www.twitter.com/NYCParks/status/667030821136650240", "667030821136650240")</f>
        <v>0</v>
      </c>
      <c r="B1905" s="2">
        <v>42326.7258680556</v>
      </c>
      <c r="C1905">
        <v>7</v>
      </c>
      <c r="D1905">
        <v>5</v>
      </c>
      <c r="E1905" t="s">
        <v>1907</v>
      </c>
    </row>
    <row r="1906" spans="1:5">
      <c r="A1906">
        <f>HYPERLINK("http://www.twitter.com/NYCParks/status/667017066046730241", "667017066046730241")</f>
        <v>0</v>
      </c>
      <c r="B1906" s="2">
        <v>42326.6879050926</v>
      </c>
      <c r="C1906">
        <v>24</v>
      </c>
      <c r="D1906">
        <v>13</v>
      </c>
      <c r="E1906" t="s">
        <v>1908</v>
      </c>
    </row>
    <row r="1907" spans="1:5">
      <c r="A1907">
        <f>HYPERLINK("http://www.twitter.com/NYCParks/status/666999481745977344", "666999481745977344")</f>
        <v>0</v>
      </c>
      <c r="B1907" s="2">
        <v>42326.6393865741</v>
      </c>
      <c r="C1907">
        <v>0</v>
      </c>
      <c r="D1907">
        <v>19</v>
      </c>
      <c r="E1907" t="s">
        <v>1909</v>
      </c>
    </row>
    <row r="1908" spans="1:5">
      <c r="A1908">
        <f>HYPERLINK("http://www.twitter.com/NYCParks/status/666725050125574144", "666725050125574144")</f>
        <v>0</v>
      </c>
      <c r="B1908" s="2">
        <v>42325.8820949074</v>
      </c>
      <c r="C1908">
        <v>8</v>
      </c>
      <c r="D1908">
        <v>4</v>
      </c>
      <c r="E1908" t="s">
        <v>1910</v>
      </c>
    </row>
    <row r="1909" spans="1:5">
      <c r="A1909">
        <f>HYPERLINK("http://www.twitter.com/NYCParks/status/666723242929991680", "666723242929991680")</f>
        <v>0</v>
      </c>
      <c r="B1909" s="2">
        <v>42325.8771064815</v>
      </c>
      <c r="C1909">
        <v>0</v>
      </c>
      <c r="D1909">
        <v>20</v>
      </c>
      <c r="E1909" t="s">
        <v>1911</v>
      </c>
    </row>
    <row r="1910" spans="1:5">
      <c r="A1910">
        <f>HYPERLINK("http://www.twitter.com/NYCParks/status/666722746672529408", "666722746672529408")</f>
        <v>0</v>
      </c>
      <c r="B1910" s="2">
        <v>42325.8757407407</v>
      </c>
      <c r="C1910">
        <v>0</v>
      </c>
      <c r="D1910">
        <v>19</v>
      </c>
      <c r="E1910" t="s">
        <v>1912</v>
      </c>
    </row>
    <row r="1911" spans="1:5">
      <c r="A1911">
        <f>HYPERLINK("http://www.twitter.com/NYCParks/status/666707754715885568", "666707754715885568")</f>
        <v>0</v>
      </c>
      <c r="B1911" s="2">
        <v>42325.834375</v>
      </c>
      <c r="C1911">
        <v>23</v>
      </c>
      <c r="D1911">
        <v>8</v>
      </c>
      <c r="E1911" t="s">
        <v>1913</v>
      </c>
    </row>
    <row r="1912" spans="1:5">
      <c r="A1912">
        <f>HYPERLINK("http://www.twitter.com/NYCParks/status/666633225754836992", "666633225754836992")</f>
        <v>0</v>
      </c>
      <c r="B1912" s="2">
        <v>42325.6287152778</v>
      </c>
      <c r="C1912">
        <v>34</v>
      </c>
      <c r="D1912">
        <v>17</v>
      </c>
      <c r="E1912" t="s">
        <v>1914</v>
      </c>
    </row>
    <row r="1913" spans="1:5">
      <c r="A1913">
        <f>HYPERLINK("http://www.twitter.com/NYCParks/status/666332480929165312", "666332480929165312")</f>
        <v>0</v>
      </c>
      <c r="B1913" s="2">
        <v>42324.7988078704</v>
      </c>
      <c r="C1913">
        <v>15</v>
      </c>
      <c r="D1913">
        <v>8</v>
      </c>
      <c r="E1913" t="s">
        <v>1915</v>
      </c>
    </row>
    <row r="1914" spans="1:5">
      <c r="A1914">
        <f>HYPERLINK("http://www.twitter.com/NYCParks/status/666311877916549120", "666311877916549120")</f>
        <v>0</v>
      </c>
      <c r="B1914" s="2">
        <v>42324.7419560185</v>
      </c>
      <c r="C1914">
        <v>0</v>
      </c>
      <c r="D1914">
        <v>8</v>
      </c>
      <c r="E1914" t="s">
        <v>1916</v>
      </c>
    </row>
    <row r="1915" spans="1:5">
      <c r="A1915">
        <f>HYPERLINK("http://www.twitter.com/NYCParks/status/666302295395713024", "666302295395713024")</f>
        <v>0</v>
      </c>
      <c r="B1915" s="2">
        <v>42324.7155208333</v>
      </c>
      <c r="C1915">
        <v>3</v>
      </c>
      <c r="D1915">
        <v>1</v>
      </c>
      <c r="E1915" t="s">
        <v>1917</v>
      </c>
    </row>
    <row r="1916" spans="1:5">
      <c r="A1916">
        <f>HYPERLINK("http://www.twitter.com/NYCParks/status/666289012454330368", "666289012454330368")</f>
        <v>0</v>
      </c>
      <c r="B1916" s="2">
        <v>42324.6788657407</v>
      </c>
      <c r="C1916">
        <v>5</v>
      </c>
      <c r="D1916">
        <v>1</v>
      </c>
      <c r="E1916" t="s">
        <v>1918</v>
      </c>
    </row>
    <row r="1917" spans="1:5">
      <c r="A1917">
        <f>HYPERLINK("http://www.twitter.com/NYCParks/status/666279977135046656", "666279977135046656")</f>
        <v>0</v>
      </c>
      <c r="B1917" s="2">
        <v>42324.6539351852</v>
      </c>
      <c r="C1917">
        <v>18</v>
      </c>
      <c r="D1917">
        <v>11</v>
      </c>
      <c r="E1917" t="s">
        <v>1919</v>
      </c>
    </row>
    <row r="1918" spans="1:5">
      <c r="A1918">
        <f>HYPERLINK("http://www.twitter.com/NYCParks/status/665290193554038785", "665290193554038785")</f>
        <v>0</v>
      </c>
      <c r="B1918" s="2">
        <v>42321.922650463</v>
      </c>
      <c r="C1918">
        <v>0</v>
      </c>
      <c r="D1918">
        <v>29</v>
      </c>
      <c r="E1918" t="s">
        <v>1920</v>
      </c>
    </row>
    <row r="1919" spans="1:5">
      <c r="A1919">
        <f>HYPERLINK("http://www.twitter.com/NYCParks/status/665277917946056704", "665277917946056704")</f>
        <v>0</v>
      </c>
      <c r="B1919" s="2">
        <v>42321.8887731481</v>
      </c>
      <c r="C1919">
        <v>27</v>
      </c>
      <c r="D1919">
        <v>12</v>
      </c>
      <c r="E1919" t="s">
        <v>1921</v>
      </c>
    </row>
    <row r="1920" spans="1:5">
      <c r="A1920">
        <f>HYPERLINK("http://www.twitter.com/NYCParks/status/665258176384770050", "665258176384770050")</f>
        <v>0</v>
      </c>
      <c r="B1920" s="2">
        <v>42321.8342939815</v>
      </c>
      <c r="C1920">
        <v>12</v>
      </c>
      <c r="D1920">
        <v>6</v>
      </c>
      <c r="E1920" t="s">
        <v>1922</v>
      </c>
    </row>
    <row r="1921" spans="1:5">
      <c r="A1921">
        <f>HYPERLINK("http://www.twitter.com/NYCParks/status/665243044627783681", "665243044627783681")</f>
        <v>0</v>
      </c>
      <c r="B1921" s="2">
        <v>42321.7925462963</v>
      </c>
      <c r="C1921">
        <v>17</v>
      </c>
      <c r="D1921">
        <v>13</v>
      </c>
      <c r="E1921" t="s">
        <v>1923</v>
      </c>
    </row>
    <row r="1922" spans="1:5">
      <c r="A1922">
        <f>HYPERLINK("http://www.twitter.com/NYCParks/status/665227911973232645", "665227911973232645")</f>
        <v>0</v>
      </c>
      <c r="B1922" s="2">
        <v>42321.750787037</v>
      </c>
      <c r="C1922">
        <v>18</v>
      </c>
      <c r="D1922">
        <v>12</v>
      </c>
      <c r="E1922" t="s">
        <v>1924</v>
      </c>
    </row>
    <row r="1923" spans="1:5">
      <c r="A1923">
        <f>HYPERLINK("http://www.twitter.com/NYCParks/status/665212806795567105", "665212806795567105")</f>
        <v>0</v>
      </c>
      <c r="B1923" s="2">
        <v>42321.7090972222</v>
      </c>
      <c r="C1923">
        <v>20</v>
      </c>
      <c r="D1923">
        <v>11</v>
      </c>
      <c r="E1923" t="s">
        <v>1925</v>
      </c>
    </row>
    <row r="1924" spans="1:5">
      <c r="A1924">
        <f>HYPERLINK("http://www.twitter.com/NYCParks/status/665209728411303936", "665209728411303936")</f>
        <v>0</v>
      </c>
      <c r="B1924" s="2">
        <v>42321.7006018519</v>
      </c>
      <c r="C1924">
        <v>1</v>
      </c>
      <c r="D1924">
        <v>0</v>
      </c>
      <c r="E1924" t="s">
        <v>1926</v>
      </c>
    </row>
    <row r="1925" spans="1:5">
      <c r="A1925">
        <f>HYPERLINK("http://www.twitter.com/NYCParks/status/665205060524208133", "665205060524208133")</f>
        <v>0</v>
      </c>
      <c r="B1925" s="2">
        <v>42321.6877199074</v>
      </c>
      <c r="C1925">
        <v>1</v>
      </c>
      <c r="D1925">
        <v>0</v>
      </c>
      <c r="E1925" t="s">
        <v>1927</v>
      </c>
    </row>
    <row r="1926" spans="1:5">
      <c r="A1926">
        <f>HYPERLINK("http://www.twitter.com/NYCParks/status/665198983615246336", "665198983615246336")</f>
        <v>0</v>
      </c>
      <c r="B1926" s="2">
        <v>42321.6709606481</v>
      </c>
      <c r="C1926">
        <v>22</v>
      </c>
      <c r="D1926">
        <v>19</v>
      </c>
      <c r="E1926" t="s">
        <v>1928</v>
      </c>
    </row>
    <row r="1927" spans="1:5">
      <c r="A1927">
        <f>HYPERLINK("http://www.twitter.com/NYCParks/status/665182951735431168", "665182951735431168")</f>
        <v>0</v>
      </c>
      <c r="B1927" s="2">
        <v>42321.626712963</v>
      </c>
      <c r="C1927">
        <v>0</v>
      </c>
      <c r="D1927">
        <v>8</v>
      </c>
      <c r="E1927" t="s">
        <v>1929</v>
      </c>
    </row>
    <row r="1928" spans="1:5">
      <c r="A1928">
        <f>HYPERLINK("http://www.twitter.com/NYCParks/status/664925792544124929", "664925792544124929")</f>
        <v>0</v>
      </c>
      <c r="B1928" s="2">
        <v>42320.9170949074</v>
      </c>
      <c r="C1928">
        <v>52</v>
      </c>
      <c r="D1928">
        <v>33</v>
      </c>
      <c r="E1928" t="s">
        <v>1930</v>
      </c>
    </row>
    <row r="1929" spans="1:5">
      <c r="A1929">
        <f>HYPERLINK("http://www.twitter.com/NYCParks/status/664910265499189248", "664910265499189248")</f>
        <v>0</v>
      </c>
      <c r="B1929" s="2">
        <v>42320.8742476852</v>
      </c>
      <c r="C1929">
        <v>0</v>
      </c>
      <c r="D1929">
        <v>5</v>
      </c>
      <c r="E1929" t="s">
        <v>1931</v>
      </c>
    </row>
    <row r="1930" spans="1:5">
      <c r="A1930">
        <f>HYPERLINK("http://www.twitter.com/NYCParks/status/664901250165641216", "664901250165641216")</f>
        <v>0</v>
      </c>
      <c r="B1930" s="2">
        <v>42320.8493634259</v>
      </c>
      <c r="C1930">
        <v>3</v>
      </c>
      <c r="D1930">
        <v>2</v>
      </c>
      <c r="E1930" t="s">
        <v>1932</v>
      </c>
    </row>
    <row r="1931" spans="1:5">
      <c r="A1931">
        <f>HYPERLINK("http://www.twitter.com/NYCParks/status/664889190887370754", "664889190887370754")</f>
        <v>0</v>
      </c>
      <c r="B1931" s="2">
        <v>42320.816087963</v>
      </c>
      <c r="C1931">
        <v>10</v>
      </c>
      <c r="D1931">
        <v>7</v>
      </c>
      <c r="E1931" t="s">
        <v>1933</v>
      </c>
    </row>
    <row r="1932" spans="1:5">
      <c r="A1932">
        <f>HYPERLINK("http://www.twitter.com/NYCParks/status/664882304448380928", "664882304448380928")</f>
        <v>0</v>
      </c>
      <c r="B1932" s="2">
        <v>42320.7970833333</v>
      </c>
      <c r="C1932">
        <v>0</v>
      </c>
      <c r="D1932">
        <v>0</v>
      </c>
      <c r="E1932" t="s">
        <v>1934</v>
      </c>
    </row>
    <row r="1933" spans="1:5">
      <c r="A1933">
        <f>HYPERLINK("http://www.twitter.com/NYCParks/status/664881678238818305", "664881678238818305")</f>
        <v>0</v>
      </c>
      <c r="B1933" s="2">
        <v>42320.7953587963</v>
      </c>
      <c r="C1933">
        <v>7</v>
      </c>
      <c r="D1933">
        <v>3</v>
      </c>
      <c r="E1933" t="s">
        <v>1935</v>
      </c>
    </row>
    <row r="1934" spans="1:5">
      <c r="A1934">
        <f>HYPERLINK("http://www.twitter.com/NYCParks/status/664866641914765313", "664866641914765313")</f>
        <v>0</v>
      </c>
      <c r="B1934" s="2">
        <v>42320.7538657407</v>
      </c>
      <c r="C1934">
        <v>12</v>
      </c>
      <c r="D1934">
        <v>8</v>
      </c>
      <c r="E1934" t="s">
        <v>1936</v>
      </c>
    </row>
    <row r="1935" spans="1:5">
      <c r="A1935">
        <f>HYPERLINK("http://www.twitter.com/NYCParks/status/664851171291611136", "664851171291611136")</f>
        <v>0</v>
      </c>
      <c r="B1935" s="2">
        <v>42320.7111805556</v>
      </c>
      <c r="C1935">
        <v>51</v>
      </c>
      <c r="D1935">
        <v>26</v>
      </c>
      <c r="E1935" t="s">
        <v>1937</v>
      </c>
    </row>
    <row r="1936" spans="1:5">
      <c r="A1936">
        <f>HYPERLINK("http://www.twitter.com/NYCParks/status/664841359019384833", "664841359019384833")</f>
        <v>0</v>
      </c>
      <c r="B1936" s="2">
        <v>42320.6840972222</v>
      </c>
      <c r="C1936">
        <v>0</v>
      </c>
      <c r="D1936">
        <v>9</v>
      </c>
      <c r="E1936" t="s">
        <v>1938</v>
      </c>
    </row>
    <row r="1937" spans="1:5">
      <c r="A1937">
        <f>HYPERLINK("http://www.twitter.com/NYCParks/status/664837374422183939", "664837374422183939")</f>
        <v>0</v>
      </c>
      <c r="B1937" s="2">
        <v>42320.6731018519</v>
      </c>
      <c r="C1937">
        <v>0</v>
      </c>
      <c r="D1937">
        <v>14</v>
      </c>
      <c r="E1937" t="s">
        <v>1939</v>
      </c>
    </row>
    <row r="1938" spans="1:5">
      <c r="A1938">
        <f>HYPERLINK("http://www.twitter.com/NYCParks/status/664503621208432640", "664503621208432640")</f>
        <v>0</v>
      </c>
      <c r="B1938" s="2">
        <v>42319.7521180556</v>
      </c>
      <c r="C1938">
        <v>3</v>
      </c>
      <c r="D1938">
        <v>5</v>
      </c>
      <c r="E1938" t="s">
        <v>1940</v>
      </c>
    </row>
    <row r="1939" spans="1:5">
      <c r="A1939">
        <f>HYPERLINK("http://www.twitter.com/NYCParks/status/664488670645379072", "664488670645379072")</f>
        <v>0</v>
      </c>
      <c r="B1939" s="2">
        <v>42319.7108680556</v>
      </c>
      <c r="C1939">
        <v>13</v>
      </c>
      <c r="D1939">
        <v>14</v>
      </c>
      <c r="E1939" t="s">
        <v>1941</v>
      </c>
    </row>
    <row r="1940" spans="1:5">
      <c r="A1940">
        <f>HYPERLINK("http://www.twitter.com/NYCParks/status/664465840767672322", "664465840767672322")</f>
        <v>0</v>
      </c>
      <c r="B1940" s="2">
        <v>42319.6478703704</v>
      </c>
      <c r="C1940">
        <v>4</v>
      </c>
      <c r="D1940">
        <v>1</v>
      </c>
      <c r="E1940" t="s">
        <v>1942</v>
      </c>
    </row>
    <row r="1941" spans="1:5">
      <c r="A1941">
        <f>HYPERLINK("http://www.twitter.com/NYCParks/status/664460700874616832", "664460700874616832")</f>
        <v>0</v>
      </c>
      <c r="B1941" s="2">
        <v>42319.6336805556</v>
      </c>
      <c r="C1941">
        <v>2</v>
      </c>
      <c r="D1941">
        <v>3</v>
      </c>
      <c r="E1941" t="s">
        <v>1943</v>
      </c>
    </row>
    <row r="1942" spans="1:5">
      <c r="A1942">
        <f>HYPERLINK("http://www.twitter.com/NYCParks/status/664460198271131648", "664460198271131648")</f>
        <v>0</v>
      </c>
      <c r="B1942" s="2">
        <v>42319.6322916667</v>
      </c>
      <c r="C1942">
        <v>3</v>
      </c>
      <c r="D1942">
        <v>2</v>
      </c>
      <c r="E1942" t="s">
        <v>1944</v>
      </c>
    </row>
    <row r="1943" spans="1:5">
      <c r="A1943">
        <f>HYPERLINK("http://www.twitter.com/NYCParks/status/664458831217500160", "664458831217500160")</f>
        <v>0</v>
      </c>
      <c r="B1943" s="2">
        <v>42319.6285300926</v>
      </c>
      <c r="C1943">
        <v>3</v>
      </c>
      <c r="D1943">
        <v>1</v>
      </c>
      <c r="E1943" t="s">
        <v>1945</v>
      </c>
    </row>
    <row r="1944" spans="1:5">
      <c r="A1944">
        <f>HYPERLINK("http://www.twitter.com/NYCParks/status/664458043845976064", "664458043845976064")</f>
        <v>0</v>
      </c>
      <c r="B1944" s="2">
        <v>42319.6263541667</v>
      </c>
      <c r="C1944">
        <v>2</v>
      </c>
      <c r="D1944">
        <v>2</v>
      </c>
      <c r="E1944" t="s">
        <v>1946</v>
      </c>
    </row>
    <row r="1945" spans="1:5">
      <c r="A1945">
        <f>HYPERLINK("http://www.twitter.com/NYCParks/status/664450476843393024", "664450476843393024")</f>
        <v>0</v>
      </c>
      <c r="B1945" s="2">
        <v>42319.605474537</v>
      </c>
      <c r="C1945">
        <v>7</v>
      </c>
      <c r="D1945">
        <v>10</v>
      </c>
      <c r="E1945" t="s">
        <v>1947</v>
      </c>
    </row>
    <row r="1946" spans="1:5">
      <c r="A1946">
        <f>HYPERLINK("http://www.twitter.com/NYCParks/status/664177337899032576", "664177337899032576")</f>
        <v>0</v>
      </c>
      <c r="B1946" s="2">
        <v>42318.8517476852</v>
      </c>
      <c r="C1946">
        <v>43</v>
      </c>
      <c r="D1946">
        <v>29</v>
      </c>
      <c r="E1946" t="s">
        <v>1948</v>
      </c>
    </row>
    <row r="1947" spans="1:5">
      <c r="A1947">
        <f>HYPERLINK("http://www.twitter.com/NYCParks/status/664157606521536514", "664157606521536514")</f>
        <v>0</v>
      </c>
      <c r="B1947" s="2">
        <v>42318.7973032407</v>
      </c>
      <c r="C1947">
        <v>12</v>
      </c>
      <c r="D1947">
        <v>12</v>
      </c>
      <c r="E1947" t="s">
        <v>1949</v>
      </c>
    </row>
    <row r="1948" spans="1:5">
      <c r="A1948">
        <f>HYPERLINK("http://www.twitter.com/NYCParks/status/664142227850047488", "664142227850047488")</f>
        <v>0</v>
      </c>
      <c r="B1948" s="2">
        <v>42318.7548611111</v>
      </c>
      <c r="C1948">
        <v>9</v>
      </c>
      <c r="D1948">
        <v>4</v>
      </c>
      <c r="E1948" t="s">
        <v>1950</v>
      </c>
    </row>
    <row r="1949" spans="1:5">
      <c r="A1949">
        <f>HYPERLINK("http://www.twitter.com/NYCParks/status/664122934798233600", "664122934798233600")</f>
        <v>0</v>
      </c>
      <c r="B1949" s="2">
        <v>42318.7016319444</v>
      </c>
      <c r="C1949">
        <v>4</v>
      </c>
      <c r="D1949">
        <v>3</v>
      </c>
      <c r="E1949" t="s">
        <v>1837</v>
      </c>
    </row>
    <row r="1950" spans="1:5">
      <c r="A1950">
        <f>HYPERLINK("http://www.twitter.com/NYCParks/status/664106187105902592", "664106187105902592")</f>
        <v>0</v>
      </c>
      <c r="B1950" s="2">
        <v>42318.6554166667</v>
      </c>
      <c r="C1950">
        <v>4</v>
      </c>
      <c r="D1950">
        <v>2</v>
      </c>
      <c r="E1950" t="s">
        <v>1951</v>
      </c>
    </row>
    <row r="1951" spans="1:5">
      <c r="A1951">
        <f>HYPERLINK("http://www.twitter.com/NYCParks/status/664102273035968514", "664102273035968514")</f>
        <v>0</v>
      </c>
      <c r="B1951" s="2">
        <v>42318.6446064815</v>
      </c>
      <c r="C1951">
        <v>0</v>
      </c>
      <c r="D1951">
        <v>0</v>
      </c>
      <c r="E1951" t="s">
        <v>1952</v>
      </c>
    </row>
    <row r="1952" spans="1:5">
      <c r="A1952">
        <f>HYPERLINK("http://www.twitter.com/NYCParks/status/664095222238982144", "664095222238982144")</f>
        <v>0</v>
      </c>
      <c r="B1952" s="2">
        <v>42318.625150463</v>
      </c>
      <c r="C1952">
        <v>1</v>
      </c>
      <c r="D1952">
        <v>0</v>
      </c>
      <c r="E1952" t="s">
        <v>1953</v>
      </c>
    </row>
    <row r="1953" spans="1:5">
      <c r="A1953">
        <f>HYPERLINK("http://www.twitter.com/NYCParks/status/663819693543833601", "663819693543833601")</f>
        <v>0</v>
      </c>
      <c r="B1953" s="2">
        <v>42317.864837963</v>
      </c>
      <c r="C1953">
        <v>22</v>
      </c>
      <c r="D1953">
        <v>24</v>
      </c>
      <c r="E1953" t="s">
        <v>1954</v>
      </c>
    </row>
    <row r="1954" spans="1:5">
      <c r="A1954">
        <f>HYPERLINK("http://www.twitter.com/NYCParks/status/663803337947631617", "663803337947631617")</f>
        <v>0</v>
      </c>
      <c r="B1954" s="2">
        <v>42317.8197106481</v>
      </c>
      <c r="C1954">
        <v>23</v>
      </c>
      <c r="D1954">
        <v>8</v>
      </c>
      <c r="E1954" t="s">
        <v>1955</v>
      </c>
    </row>
    <row r="1955" spans="1:5">
      <c r="A1955">
        <f>HYPERLINK("http://www.twitter.com/NYCParks/status/663785809552764928", "663785809552764928")</f>
        <v>0</v>
      </c>
      <c r="B1955" s="2">
        <v>42317.7713425926</v>
      </c>
      <c r="C1955">
        <v>12</v>
      </c>
      <c r="D1955">
        <v>4</v>
      </c>
      <c r="E1955" t="s">
        <v>1956</v>
      </c>
    </row>
    <row r="1956" spans="1:5">
      <c r="A1956">
        <f>HYPERLINK("http://www.twitter.com/NYCParks/status/663770706711285761", "663770706711285761")</f>
        <v>0</v>
      </c>
      <c r="B1956" s="2">
        <v>42317.7296643518</v>
      </c>
      <c r="C1956">
        <v>8</v>
      </c>
      <c r="D1956">
        <v>11</v>
      </c>
      <c r="E1956" t="s">
        <v>1957</v>
      </c>
    </row>
    <row r="1957" spans="1:5">
      <c r="A1957">
        <f>HYPERLINK("http://www.twitter.com/NYCParks/status/663754228012290048", "663754228012290048")</f>
        <v>0</v>
      </c>
      <c r="B1957" s="2">
        <v>42317.6841898148</v>
      </c>
      <c r="C1957">
        <v>12</v>
      </c>
      <c r="D1957">
        <v>5</v>
      </c>
      <c r="E1957" t="s">
        <v>1958</v>
      </c>
    </row>
    <row r="1958" spans="1:5">
      <c r="A1958">
        <f>HYPERLINK("http://www.twitter.com/NYCParks/status/663739967483609089", "663739967483609089")</f>
        <v>0</v>
      </c>
      <c r="B1958" s="2">
        <v>42317.644837963</v>
      </c>
      <c r="C1958">
        <v>0</v>
      </c>
      <c r="D1958">
        <v>12</v>
      </c>
      <c r="E1958" t="s">
        <v>1959</v>
      </c>
    </row>
    <row r="1959" spans="1:5">
      <c r="A1959">
        <f>HYPERLINK("http://www.twitter.com/NYCParks/status/662736503806672896", "662736503806672896")</f>
        <v>0</v>
      </c>
      <c r="B1959" s="2">
        <v>42314.8758101852</v>
      </c>
      <c r="C1959">
        <v>45</v>
      </c>
      <c r="D1959">
        <v>32</v>
      </c>
      <c r="E1959" t="s">
        <v>1960</v>
      </c>
    </row>
    <row r="1960" spans="1:5">
      <c r="A1960">
        <f>HYPERLINK("http://www.twitter.com/NYCParks/status/662713732695330818", "662713732695330818")</f>
        <v>0</v>
      </c>
      <c r="B1960" s="2">
        <v>42314.812974537</v>
      </c>
      <c r="C1960">
        <v>13</v>
      </c>
      <c r="D1960">
        <v>5</v>
      </c>
      <c r="E1960" t="s">
        <v>1961</v>
      </c>
    </row>
    <row r="1961" spans="1:5">
      <c r="A1961">
        <f>HYPERLINK("http://www.twitter.com/NYCParks/status/662699792913534976", "662699792913534976")</f>
        <v>0</v>
      </c>
      <c r="B1961" s="2">
        <v>42314.7745023148</v>
      </c>
      <c r="C1961">
        <v>9</v>
      </c>
      <c r="D1961">
        <v>9</v>
      </c>
      <c r="E1961" t="s">
        <v>1962</v>
      </c>
    </row>
    <row r="1962" spans="1:5">
      <c r="A1962">
        <f>HYPERLINK("http://www.twitter.com/NYCParks/status/662682154468511744", "662682154468511744")</f>
        <v>0</v>
      </c>
      <c r="B1962" s="2">
        <v>42314.7258333333</v>
      </c>
      <c r="C1962">
        <v>32</v>
      </c>
      <c r="D1962">
        <v>25</v>
      </c>
      <c r="E1962" t="s">
        <v>1963</v>
      </c>
    </row>
    <row r="1963" spans="1:5">
      <c r="A1963">
        <f>HYPERLINK("http://www.twitter.com/NYCParks/status/662668392856428544", "662668392856428544")</f>
        <v>0</v>
      </c>
      <c r="B1963" s="2">
        <v>42314.6878587963</v>
      </c>
      <c r="C1963">
        <v>7</v>
      </c>
      <c r="D1963">
        <v>10</v>
      </c>
      <c r="E1963" t="s">
        <v>1964</v>
      </c>
    </row>
    <row r="1964" spans="1:5">
      <c r="A1964">
        <f>HYPERLINK("http://www.twitter.com/NYCParks/status/662653090504556544", "662653090504556544")</f>
        <v>0</v>
      </c>
      <c r="B1964" s="2">
        <v>42314.645625</v>
      </c>
      <c r="C1964">
        <v>9</v>
      </c>
      <c r="D1964">
        <v>13</v>
      </c>
      <c r="E1964" t="s">
        <v>1965</v>
      </c>
    </row>
    <row r="1965" spans="1:5">
      <c r="A1965">
        <f>HYPERLINK("http://www.twitter.com/NYCParks/status/662374072492400640", "662374072492400640")</f>
        <v>0</v>
      </c>
      <c r="B1965" s="2">
        <v>42313.8756828704</v>
      </c>
      <c r="C1965">
        <v>0</v>
      </c>
      <c r="D1965">
        <v>3</v>
      </c>
      <c r="E1965" t="s">
        <v>1966</v>
      </c>
    </row>
    <row r="1966" spans="1:5">
      <c r="A1966">
        <f>HYPERLINK("http://www.twitter.com/NYCParks/status/662362138174967808", "662362138174967808")</f>
        <v>0</v>
      </c>
      <c r="B1966" s="2">
        <v>42313.8427546296</v>
      </c>
      <c r="C1966">
        <v>35</v>
      </c>
      <c r="D1966">
        <v>17</v>
      </c>
      <c r="E1966" t="s">
        <v>1967</v>
      </c>
    </row>
    <row r="1967" spans="1:5">
      <c r="A1967">
        <f>HYPERLINK("http://www.twitter.com/NYCParks/status/662343896966516736", "662343896966516736")</f>
        <v>0</v>
      </c>
      <c r="B1967" s="2">
        <v>42313.7924189815</v>
      </c>
      <c r="C1967">
        <v>17</v>
      </c>
      <c r="D1967">
        <v>8</v>
      </c>
      <c r="E1967" t="s">
        <v>1968</v>
      </c>
    </row>
    <row r="1968" spans="1:5">
      <c r="A1968">
        <f>HYPERLINK("http://www.twitter.com/NYCParks/status/662329903841456128", "662329903841456128")</f>
        <v>0</v>
      </c>
      <c r="B1968" s="2">
        <v>42313.7538078704</v>
      </c>
      <c r="C1968">
        <v>17</v>
      </c>
      <c r="D1968">
        <v>14</v>
      </c>
      <c r="E1968" t="s">
        <v>1969</v>
      </c>
    </row>
    <row r="1969" spans="1:5">
      <c r="A1969">
        <f>HYPERLINK("http://www.twitter.com/NYCParks/status/662313595871588352", "662313595871588352")</f>
        <v>0</v>
      </c>
      <c r="B1969" s="2">
        <v>42313.7088078704</v>
      </c>
      <c r="C1969">
        <v>7</v>
      </c>
      <c r="D1969">
        <v>6</v>
      </c>
      <c r="E1969" t="s">
        <v>1970</v>
      </c>
    </row>
    <row r="1970" spans="1:5">
      <c r="A1970">
        <f>HYPERLINK("http://www.twitter.com/NYCParks/status/662310796433760256", "662310796433760256")</f>
        <v>0</v>
      </c>
      <c r="B1970" s="2">
        <v>42313.7010763889</v>
      </c>
      <c r="C1970">
        <v>9</v>
      </c>
      <c r="D1970">
        <v>2</v>
      </c>
      <c r="E1970" t="s">
        <v>1971</v>
      </c>
    </row>
    <row r="1971" spans="1:5">
      <c r="A1971">
        <f>HYPERLINK("http://www.twitter.com/NYCParks/status/662306641514205184", "662306641514205184")</f>
        <v>0</v>
      </c>
      <c r="B1971" s="2">
        <v>42313.6896180556</v>
      </c>
      <c r="C1971">
        <v>3</v>
      </c>
      <c r="D1971">
        <v>3</v>
      </c>
      <c r="E1971" t="s">
        <v>1972</v>
      </c>
    </row>
    <row r="1972" spans="1:5">
      <c r="A1972">
        <f>HYPERLINK("http://www.twitter.com/NYCParks/status/662301064851562496", "662301064851562496")</f>
        <v>0</v>
      </c>
      <c r="B1972" s="2">
        <v>42313.674224537</v>
      </c>
      <c r="C1972">
        <v>7</v>
      </c>
      <c r="D1972">
        <v>1</v>
      </c>
      <c r="E1972" t="s">
        <v>1973</v>
      </c>
    </row>
    <row r="1973" spans="1:5">
      <c r="A1973">
        <f>HYPERLINK("http://www.twitter.com/NYCParks/status/662300624231510020", "662300624231510020")</f>
        <v>0</v>
      </c>
      <c r="B1973" s="2">
        <v>42313.6730092593</v>
      </c>
      <c r="C1973">
        <v>6</v>
      </c>
      <c r="D1973">
        <v>2</v>
      </c>
      <c r="E1973" t="s">
        <v>1974</v>
      </c>
    </row>
    <row r="1974" spans="1:5">
      <c r="A1974">
        <f>HYPERLINK("http://www.twitter.com/NYCParks/status/662289169218207744", "662289169218207744")</f>
        <v>0</v>
      </c>
      <c r="B1974" s="2">
        <v>42313.641400463</v>
      </c>
      <c r="C1974">
        <v>12</v>
      </c>
      <c r="D1974">
        <v>8</v>
      </c>
      <c r="E1974" t="s">
        <v>1975</v>
      </c>
    </row>
    <row r="1975" spans="1:5">
      <c r="A1975">
        <f>HYPERLINK("http://www.twitter.com/NYCParks/status/662027274477260800", "662027274477260800")</f>
        <v>0</v>
      </c>
      <c r="B1975" s="2">
        <v>42312.9187037037</v>
      </c>
      <c r="C1975">
        <v>7</v>
      </c>
      <c r="D1975">
        <v>3</v>
      </c>
      <c r="E1975" t="s">
        <v>1976</v>
      </c>
    </row>
    <row r="1976" spans="1:5">
      <c r="A1976">
        <f>HYPERLINK("http://www.twitter.com/NYCParks/status/662012753163456515", "662012753163456515")</f>
        <v>0</v>
      </c>
      <c r="B1976" s="2">
        <v>42312.8786342593</v>
      </c>
      <c r="C1976">
        <v>0</v>
      </c>
      <c r="D1976">
        <v>6</v>
      </c>
      <c r="E1976" t="s">
        <v>1977</v>
      </c>
    </row>
    <row r="1977" spans="1:5">
      <c r="A1977">
        <f>HYPERLINK("http://www.twitter.com/NYCParks/status/661989004657709057", "661989004657709057")</f>
        <v>0</v>
      </c>
      <c r="B1977" s="2">
        <v>42312.8131018519</v>
      </c>
      <c r="C1977">
        <v>3</v>
      </c>
      <c r="D1977">
        <v>2</v>
      </c>
      <c r="E1977" t="s">
        <v>1978</v>
      </c>
    </row>
    <row r="1978" spans="1:5">
      <c r="A1978">
        <f>HYPERLINK("http://www.twitter.com/NYCParks/status/661972519470153729", "661972519470153729")</f>
        <v>0</v>
      </c>
      <c r="B1978" s="2">
        <v>42312.7676157407</v>
      </c>
      <c r="C1978">
        <v>10</v>
      </c>
      <c r="D1978">
        <v>4</v>
      </c>
      <c r="E1978" t="s">
        <v>1979</v>
      </c>
    </row>
    <row r="1979" spans="1:5">
      <c r="A1979">
        <f>HYPERLINK("http://www.twitter.com/NYCParks/status/661962784163393536", "661962784163393536")</f>
        <v>0</v>
      </c>
      <c r="B1979" s="2">
        <v>42312.7407523148</v>
      </c>
      <c r="C1979">
        <v>0</v>
      </c>
      <c r="D1979">
        <v>0</v>
      </c>
      <c r="E1979" t="s">
        <v>1980</v>
      </c>
    </row>
    <row r="1980" spans="1:5">
      <c r="A1980">
        <f>HYPERLINK("http://www.twitter.com/NYCParks/status/661957378762518528", "661957378762518528")</f>
        <v>0</v>
      </c>
      <c r="B1980" s="2">
        <v>42312.7258333333</v>
      </c>
      <c r="C1980">
        <v>10</v>
      </c>
      <c r="D1980">
        <v>6</v>
      </c>
      <c r="E1980" t="s">
        <v>1981</v>
      </c>
    </row>
    <row r="1981" spans="1:5">
      <c r="A1981">
        <f>HYPERLINK("http://www.twitter.com/NYCParks/status/661942281726009344", "661942281726009344")</f>
        <v>0</v>
      </c>
      <c r="B1981" s="2">
        <v>42312.6841666667</v>
      </c>
      <c r="C1981">
        <v>15</v>
      </c>
      <c r="D1981">
        <v>13</v>
      </c>
      <c r="E1981" t="s">
        <v>1982</v>
      </c>
    </row>
    <row r="1982" spans="1:5">
      <c r="A1982">
        <f>HYPERLINK("http://www.twitter.com/NYCParks/status/661937605202825216", "661937605202825216")</f>
        <v>0</v>
      </c>
      <c r="B1982" s="2">
        <v>42312.6712615741</v>
      </c>
      <c r="C1982">
        <v>7</v>
      </c>
      <c r="D1982">
        <v>7</v>
      </c>
      <c r="E1982" t="s">
        <v>1983</v>
      </c>
    </row>
    <row r="1983" spans="1:5">
      <c r="A1983">
        <f>HYPERLINK("http://www.twitter.com/NYCParks/status/661929613229203456", "661929613229203456")</f>
        <v>0</v>
      </c>
      <c r="B1983" s="2">
        <v>42312.649212963</v>
      </c>
      <c r="C1983">
        <v>7</v>
      </c>
      <c r="D1983">
        <v>1</v>
      </c>
      <c r="E1983" t="s">
        <v>1984</v>
      </c>
    </row>
    <row r="1984" spans="1:5">
      <c r="A1984">
        <f>HYPERLINK("http://www.twitter.com/NYCParks/status/661926384466583556", "661926384466583556")</f>
        <v>0</v>
      </c>
      <c r="B1984" s="2">
        <v>42312.6403009259</v>
      </c>
      <c r="C1984">
        <v>11</v>
      </c>
      <c r="D1984">
        <v>2</v>
      </c>
      <c r="E1984" t="s">
        <v>1985</v>
      </c>
    </row>
    <row r="1985" spans="1:5">
      <c r="A1985">
        <f>HYPERLINK("http://www.twitter.com/NYCParks/status/661917145522184193", "661917145522184193")</f>
        <v>0</v>
      </c>
      <c r="B1985" s="2">
        <v>42312.6148032407</v>
      </c>
      <c r="C1985">
        <v>57</v>
      </c>
      <c r="D1985">
        <v>26</v>
      </c>
      <c r="E1985" t="s">
        <v>1986</v>
      </c>
    </row>
    <row r="1986" spans="1:5">
      <c r="A1986">
        <f>HYPERLINK("http://www.twitter.com/NYCParks/status/661305586412355586", "661305586412355586")</f>
        <v>0</v>
      </c>
      <c r="B1986" s="2">
        <v>42310.9272222222</v>
      </c>
      <c r="C1986">
        <v>9</v>
      </c>
      <c r="D1986">
        <v>3</v>
      </c>
      <c r="E1986" t="s">
        <v>1987</v>
      </c>
    </row>
    <row r="1987" spans="1:5">
      <c r="A1987">
        <f>HYPERLINK("http://www.twitter.com/NYCParks/status/661292868443758593", "661292868443758593")</f>
        <v>0</v>
      </c>
      <c r="B1987" s="2">
        <v>42310.8921296296</v>
      </c>
      <c r="C1987">
        <v>0</v>
      </c>
      <c r="D1987">
        <v>11</v>
      </c>
      <c r="E1987" t="s">
        <v>1626</v>
      </c>
    </row>
    <row r="1988" spans="1:5">
      <c r="A1988">
        <f>HYPERLINK("http://www.twitter.com/NYCParks/status/661269167350370304", "661269167350370304")</f>
        <v>0</v>
      </c>
      <c r="B1988" s="2">
        <v>42310.826724537</v>
      </c>
      <c r="C1988">
        <v>18</v>
      </c>
      <c r="D1988">
        <v>13</v>
      </c>
      <c r="E1988" t="s">
        <v>1988</v>
      </c>
    </row>
    <row r="1989" spans="1:5">
      <c r="A1989">
        <f>HYPERLINK("http://www.twitter.com/NYCParks/status/661256752772591616", "661256752772591616")</f>
        <v>0</v>
      </c>
      <c r="B1989" s="2">
        <v>42310.7924768518</v>
      </c>
      <c r="C1989">
        <v>3</v>
      </c>
      <c r="D1989">
        <v>1</v>
      </c>
      <c r="E1989" t="s">
        <v>1989</v>
      </c>
    </row>
    <row r="1990" spans="1:5">
      <c r="A1990">
        <f>HYPERLINK("http://www.twitter.com/NYCParks/status/661238928486350848", "661238928486350848")</f>
        <v>0</v>
      </c>
      <c r="B1990" s="2">
        <v>42310.743287037</v>
      </c>
      <c r="C1990">
        <v>24</v>
      </c>
      <c r="D1990">
        <v>10</v>
      </c>
      <c r="E1990" t="s">
        <v>1990</v>
      </c>
    </row>
    <row r="1991" spans="1:5">
      <c r="A1991">
        <f>HYPERLINK("http://www.twitter.com/NYCParks/status/661222928508428288", "661222928508428288")</f>
        <v>0</v>
      </c>
      <c r="B1991" s="2">
        <v>42310.6991319444</v>
      </c>
      <c r="C1991">
        <v>0</v>
      </c>
      <c r="D1991">
        <v>24</v>
      </c>
      <c r="E1991" t="s">
        <v>1991</v>
      </c>
    </row>
    <row r="1992" spans="1:5">
      <c r="A1992">
        <f>HYPERLINK("http://www.twitter.com/NYCParks/status/661206790735024128", "661206790735024128")</f>
        <v>0</v>
      </c>
      <c r="B1992" s="2">
        <v>42310.6546064815</v>
      </c>
      <c r="C1992">
        <v>24</v>
      </c>
      <c r="D1992">
        <v>15</v>
      </c>
      <c r="E1992" t="s">
        <v>1992</v>
      </c>
    </row>
    <row r="1993" spans="1:5">
      <c r="A1993">
        <f>HYPERLINK("http://www.twitter.com/NYCParks/status/660181939970789376", "660181939970789376")</f>
        <v>0</v>
      </c>
      <c r="B1993" s="2">
        <v>42307.8265509259</v>
      </c>
      <c r="C1993">
        <v>10</v>
      </c>
      <c r="D1993">
        <v>4</v>
      </c>
      <c r="E1993" t="s">
        <v>1993</v>
      </c>
    </row>
    <row r="1994" spans="1:5">
      <c r="A1994">
        <f>HYPERLINK("http://www.twitter.com/NYCParks/status/660166998362583040", "660166998362583040")</f>
        <v>0</v>
      </c>
      <c r="B1994" s="2">
        <v>42307.7853240741</v>
      </c>
      <c r="C1994">
        <v>5</v>
      </c>
      <c r="D1994">
        <v>10</v>
      </c>
      <c r="E1994" t="s">
        <v>1994</v>
      </c>
    </row>
    <row r="1995" spans="1:5">
      <c r="A1995">
        <f>HYPERLINK("http://www.twitter.com/NYCParks/status/660151745226612740", "660151745226612740")</f>
        <v>0</v>
      </c>
      <c r="B1995" s="2">
        <v>42307.7432291667</v>
      </c>
      <c r="C1995">
        <v>32</v>
      </c>
      <c r="D1995">
        <v>21</v>
      </c>
      <c r="E1995" t="s">
        <v>1995</v>
      </c>
    </row>
    <row r="1996" spans="1:5">
      <c r="A1996">
        <f>HYPERLINK("http://www.twitter.com/NYCParks/status/660136673762742272", "660136673762742272")</f>
        <v>0</v>
      </c>
      <c r="B1996" s="2">
        <v>42307.7016435185</v>
      </c>
      <c r="C1996">
        <v>11</v>
      </c>
      <c r="D1996">
        <v>9</v>
      </c>
      <c r="E1996" t="s">
        <v>1996</v>
      </c>
    </row>
    <row r="1997" spans="1:5">
      <c r="A1997">
        <f>HYPERLINK("http://www.twitter.com/NYCParks/status/660117819980390400", "660117819980390400")</f>
        <v>0</v>
      </c>
      <c r="B1997" s="2">
        <v>42307.6496180556</v>
      </c>
      <c r="C1997">
        <v>23</v>
      </c>
      <c r="D1997">
        <v>14</v>
      </c>
      <c r="E1997" t="s">
        <v>1997</v>
      </c>
    </row>
    <row r="1998" spans="1:5">
      <c r="A1998">
        <f>HYPERLINK("http://www.twitter.com/NYCParks/status/660104897493385216", "660104897493385216")</f>
        <v>0</v>
      </c>
      <c r="B1998" s="2">
        <v>42307.6139583333</v>
      </c>
      <c r="C1998">
        <v>20</v>
      </c>
      <c r="D1998">
        <v>15</v>
      </c>
      <c r="E1998" t="s">
        <v>1998</v>
      </c>
    </row>
    <row r="1999" spans="1:5">
      <c r="A1999">
        <f>HYPERLINK("http://www.twitter.com/NYCParks/status/660099363398623232", "660099363398623232")</f>
        <v>0</v>
      </c>
      <c r="B1999" s="2">
        <v>42307.5986805556</v>
      </c>
      <c r="C1999">
        <v>0</v>
      </c>
      <c r="D1999">
        <v>0</v>
      </c>
      <c r="E1999" t="s">
        <v>1999</v>
      </c>
    </row>
    <row r="2000" spans="1:5">
      <c r="A2000">
        <f>HYPERLINK("http://www.twitter.com/NYCParks/status/659830458180595712", "659830458180595712")</f>
        <v>0</v>
      </c>
      <c r="B2000" s="2">
        <v>42306.8566435185</v>
      </c>
      <c r="C2000">
        <v>3</v>
      </c>
      <c r="D2000">
        <v>0</v>
      </c>
      <c r="E2000" t="s">
        <v>2000</v>
      </c>
    </row>
    <row r="2001" spans="1:5">
      <c r="A2001">
        <f>HYPERLINK("http://www.twitter.com/NYCParks/status/659818381458190336", "659818381458190336")</f>
        <v>0</v>
      </c>
      <c r="B2001" s="2">
        <v>42306.8233217593</v>
      </c>
      <c r="C2001">
        <v>12</v>
      </c>
      <c r="D2001">
        <v>6</v>
      </c>
      <c r="E2001" t="s">
        <v>2001</v>
      </c>
    </row>
    <row r="2002" spans="1:5">
      <c r="A2002">
        <f>HYPERLINK("http://www.twitter.com/NYCParks/status/659805748436869120", "659805748436869120")</f>
        <v>0</v>
      </c>
      <c r="B2002" s="2">
        <v>42306.7884606481</v>
      </c>
      <c r="C2002">
        <v>20</v>
      </c>
      <c r="D2002">
        <v>20</v>
      </c>
      <c r="E2002" t="s">
        <v>2002</v>
      </c>
    </row>
    <row r="2003" spans="1:5">
      <c r="A2003">
        <f>HYPERLINK("http://www.twitter.com/NYCParks/status/659790640717385728", "659790640717385728")</f>
        <v>0</v>
      </c>
      <c r="B2003" s="2">
        <v>42306.7467708333</v>
      </c>
      <c r="C2003">
        <v>13</v>
      </c>
      <c r="D2003">
        <v>3</v>
      </c>
      <c r="E2003" t="s">
        <v>2003</v>
      </c>
    </row>
    <row r="2004" spans="1:5">
      <c r="A2004">
        <f>HYPERLINK("http://www.twitter.com/NYCParks/status/659777007161638913", "659777007161638913")</f>
        <v>0</v>
      </c>
      <c r="B2004" s="2">
        <v>42306.7091550926</v>
      </c>
      <c r="C2004">
        <v>35</v>
      </c>
      <c r="D2004">
        <v>24</v>
      </c>
      <c r="E2004" t="s">
        <v>2004</v>
      </c>
    </row>
    <row r="2005" spans="1:5">
      <c r="A2005">
        <f>HYPERLINK("http://www.twitter.com/NYCParks/status/659767121031897088", "659767121031897088")</f>
        <v>0</v>
      </c>
      <c r="B2005" s="2">
        <v>42306.681875</v>
      </c>
      <c r="C2005">
        <v>4</v>
      </c>
      <c r="D2005">
        <v>0</v>
      </c>
      <c r="E2005" t="s">
        <v>2005</v>
      </c>
    </row>
    <row r="2006" spans="1:5">
      <c r="A2006">
        <f>HYPERLINK("http://www.twitter.com/NYCParks/status/659761882513981440", "659761882513981440")</f>
        <v>0</v>
      </c>
      <c r="B2006" s="2">
        <v>42306.6674189815</v>
      </c>
      <c r="C2006">
        <v>5</v>
      </c>
      <c r="D2006">
        <v>0</v>
      </c>
      <c r="E2006" t="s">
        <v>2006</v>
      </c>
    </row>
    <row r="2007" spans="1:5">
      <c r="A2007">
        <f>HYPERLINK("http://www.twitter.com/NYCParks/status/659759142882684928", "659759142882684928")</f>
        <v>0</v>
      </c>
      <c r="B2007" s="2">
        <v>42306.6598611111</v>
      </c>
      <c r="C2007">
        <v>7</v>
      </c>
      <c r="D2007">
        <v>2</v>
      </c>
      <c r="E2007" t="s">
        <v>2007</v>
      </c>
    </row>
    <row r="2008" spans="1:5">
      <c r="A2008">
        <f>HYPERLINK("http://www.twitter.com/NYCParks/status/659743874584326144", "659743874584326144")</f>
        <v>0</v>
      </c>
      <c r="B2008" s="2">
        <v>42306.6177199074</v>
      </c>
      <c r="C2008">
        <v>10</v>
      </c>
      <c r="D2008">
        <v>6</v>
      </c>
      <c r="E2008" t="s">
        <v>2008</v>
      </c>
    </row>
    <row r="2009" spans="1:5">
      <c r="A2009">
        <f>HYPERLINK("http://www.twitter.com/NYCParks/status/659465293970972672", "659465293970972672")</f>
        <v>0</v>
      </c>
      <c r="B2009" s="2">
        <v>42305.8489930556</v>
      </c>
      <c r="C2009">
        <v>22</v>
      </c>
      <c r="D2009">
        <v>21</v>
      </c>
      <c r="E2009" t="s">
        <v>2009</v>
      </c>
    </row>
    <row r="2010" spans="1:5">
      <c r="A2010">
        <f>HYPERLINK("http://www.twitter.com/NYCParks/status/659438624354803712", "659438624354803712")</f>
        <v>0</v>
      </c>
      <c r="B2010" s="2">
        <v>42305.7753935185</v>
      </c>
      <c r="C2010">
        <v>8</v>
      </c>
      <c r="D2010">
        <v>3</v>
      </c>
      <c r="E2010" t="s">
        <v>2010</v>
      </c>
    </row>
    <row r="2011" spans="1:5">
      <c r="A2011">
        <f>HYPERLINK("http://www.twitter.com/NYCParks/status/659418481679572993", "659418481679572993")</f>
        <v>0</v>
      </c>
      <c r="B2011" s="2">
        <v>42305.7198148148</v>
      </c>
      <c r="C2011">
        <v>39</v>
      </c>
      <c r="D2011">
        <v>41</v>
      </c>
      <c r="E2011" t="s">
        <v>2011</v>
      </c>
    </row>
    <row r="2012" spans="1:5">
      <c r="A2012">
        <f>HYPERLINK("http://www.twitter.com/NYCParks/status/659403091633176576", "659403091633176576")</f>
        <v>0</v>
      </c>
      <c r="B2012" s="2">
        <v>42305.677337963</v>
      </c>
      <c r="C2012">
        <v>11</v>
      </c>
      <c r="D2012">
        <v>1</v>
      </c>
      <c r="E2012" t="s">
        <v>2012</v>
      </c>
    </row>
    <row r="2013" spans="1:5">
      <c r="A2013">
        <f>HYPERLINK("http://www.twitter.com/NYCParks/status/659386689434079232", "659386689434079232")</f>
        <v>0</v>
      </c>
      <c r="B2013" s="2">
        <v>42305.6320833333</v>
      </c>
      <c r="C2013">
        <v>10</v>
      </c>
      <c r="D2013">
        <v>7</v>
      </c>
      <c r="E2013" t="s">
        <v>2013</v>
      </c>
    </row>
    <row r="2014" spans="1:5">
      <c r="A2014">
        <f>HYPERLINK("http://www.twitter.com/NYCParks/status/659379480365039616", "659379480365039616")</f>
        <v>0</v>
      </c>
      <c r="B2014" s="2">
        <v>42305.6121875</v>
      </c>
      <c r="C2014">
        <v>18</v>
      </c>
      <c r="D2014">
        <v>11</v>
      </c>
      <c r="E2014" t="s">
        <v>2014</v>
      </c>
    </row>
    <row r="2015" spans="1:5">
      <c r="A2015">
        <f>HYPERLINK("http://www.twitter.com/NYCParks/status/659113658438590464", "659113658438590464")</f>
        <v>0</v>
      </c>
      <c r="B2015" s="2">
        <v>42304.8786574074</v>
      </c>
      <c r="C2015">
        <v>12</v>
      </c>
      <c r="D2015">
        <v>3</v>
      </c>
      <c r="E2015" t="s">
        <v>2015</v>
      </c>
    </row>
    <row r="2016" spans="1:5">
      <c r="A2016">
        <f>HYPERLINK("http://www.twitter.com/NYCParks/status/659097579397976064", "659097579397976064")</f>
        <v>0</v>
      </c>
      <c r="B2016" s="2">
        <v>42304.8342939815</v>
      </c>
      <c r="C2016">
        <v>7</v>
      </c>
      <c r="D2016">
        <v>3</v>
      </c>
      <c r="E2016" t="s">
        <v>2016</v>
      </c>
    </row>
    <row r="2017" spans="1:5">
      <c r="A2017">
        <f>HYPERLINK("http://www.twitter.com/NYCParks/status/659082615383830528", "659082615383830528")</f>
        <v>0</v>
      </c>
      <c r="B2017" s="2">
        <v>42304.7929976852</v>
      </c>
      <c r="C2017">
        <v>15</v>
      </c>
      <c r="D2017">
        <v>6</v>
      </c>
      <c r="E2017" t="s">
        <v>2017</v>
      </c>
    </row>
    <row r="2018" spans="1:5">
      <c r="A2018">
        <f>HYPERLINK("http://www.twitter.com/NYCParks/status/659067416345997312", "659067416345997312")</f>
        <v>0</v>
      </c>
      <c r="B2018" s="2">
        <v>42304.7510532407</v>
      </c>
      <c r="C2018">
        <v>11</v>
      </c>
      <c r="D2018">
        <v>7</v>
      </c>
      <c r="E2018" t="s">
        <v>2018</v>
      </c>
    </row>
    <row r="2019" spans="1:5">
      <c r="A2019">
        <f>HYPERLINK("http://www.twitter.com/NYCParks/status/659049739107901440", "659049739107901440")</f>
        <v>0</v>
      </c>
      <c r="B2019" s="2">
        <v>42304.7022800926</v>
      </c>
      <c r="C2019">
        <v>0</v>
      </c>
      <c r="D2019">
        <v>10</v>
      </c>
      <c r="E2019" t="s">
        <v>2019</v>
      </c>
    </row>
    <row r="2020" spans="1:5">
      <c r="A2020">
        <f>HYPERLINK("http://www.twitter.com/NYCParks/status/659034433228546048", "659034433228546048")</f>
        <v>0</v>
      </c>
      <c r="B2020" s="2">
        <v>42304.6600347222</v>
      </c>
      <c r="C2020">
        <v>5</v>
      </c>
      <c r="D2020">
        <v>6</v>
      </c>
      <c r="E2020" t="s">
        <v>2020</v>
      </c>
    </row>
    <row r="2021" spans="1:5">
      <c r="A2021">
        <f>HYPERLINK("http://www.twitter.com/NYCParks/status/659029870777925632", "659029870777925632")</f>
        <v>0</v>
      </c>
      <c r="B2021" s="2">
        <v>42304.6474537037</v>
      </c>
      <c r="C2021">
        <v>1</v>
      </c>
      <c r="D2021">
        <v>0</v>
      </c>
      <c r="E2021" t="s">
        <v>2021</v>
      </c>
    </row>
    <row r="2022" spans="1:5">
      <c r="A2022">
        <f>HYPERLINK("http://www.twitter.com/NYCParks/status/659028032208969729", "659028032208969729")</f>
        <v>0</v>
      </c>
      <c r="B2022" s="2">
        <v>42304.6423726852</v>
      </c>
      <c r="C2022">
        <v>4</v>
      </c>
      <c r="D2022">
        <v>0</v>
      </c>
      <c r="E2022" t="s">
        <v>2022</v>
      </c>
    </row>
    <row r="2023" spans="1:5">
      <c r="A2023">
        <f>HYPERLINK("http://www.twitter.com/NYCParks/status/659018115171356672", "659018115171356672")</f>
        <v>0</v>
      </c>
      <c r="B2023" s="2">
        <v>42304.6150115741</v>
      </c>
      <c r="C2023">
        <v>3</v>
      </c>
      <c r="D2023">
        <v>4</v>
      </c>
      <c r="E2023" t="s">
        <v>2023</v>
      </c>
    </row>
    <row r="2024" spans="1:5">
      <c r="A2024">
        <f>HYPERLINK("http://www.twitter.com/NYCParks/status/659007382186532864", "659007382186532864")</f>
        <v>0</v>
      </c>
      <c r="B2024" s="2">
        <v>42304.5853935185</v>
      </c>
      <c r="C2024">
        <v>20</v>
      </c>
      <c r="D2024">
        <v>9</v>
      </c>
      <c r="E2024" t="s">
        <v>2024</v>
      </c>
    </row>
    <row r="2025" spans="1:5">
      <c r="A2025">
        <f>HYPERLINK("http://www.twitter.com/NYCParks/status/658729803114258432", "658729803114258432")</f>
        <v>0</v>
      </c>
      <c r="B2025" s="2">
        <v>42303.8194212963</v>
      </c>
      <c r="C2025">
        <v>17</v>
      </c>
      <c r="D2025">
        <v>9</v>
      </c>
      <c r="E2025" t="s">
        <v>2025</v>
      </c>
    </row>
    <row r="2026" spans="1:5">
      <c r="A2026">
        <f>HYPERLINK("http://www.twitter.com/NYCParks/status/658713416161501184", "658713416161501184")</f>
        <v>0</v>
      </c>
      <c r="B2026" s="2">
        <v>42303.7742013889</v>
      </c>
      <c r="C2026">
        <v>12</v>
      </c>
      <c r="D2026">
        <v>11</v>
      </c>
      <c r="E2026" t="s">
        <v>2026</v>
      </c>
    </row>
    <row r="2027" spans="1:5">
      <c r="A2027">
        <f>HYPERLINK("http://www.twitter.com/NYCParks/status/658708998137511937", "658708998137511937")</f>
        <v>0</v>
      </c>
      <c r="B2027" s="2">
        <v>42303.7620138889</v>
      </c>
      <c r="C2027">
        <v>1</v>
      </c>
      <c r="D2027">
        <v>0</v>
      </c>
      <c r="E2027" t="s">
        <v>2027</v>
      </c>
    </row>
    <row r="2028" spans="1:5">
      <c r="A2028">
        <f>HYPERLINK("http://www.twitter.com/NYCParks/status/658707102710562816", "658707102710562816")</f>
        <v>0</v>
      </c>
      <c r="B2028" s="2">
        <v>42303.7567824074</v>
      </c>
      <c r="C2028">
        <v>0</v>
      </c>
      <c r="D2028">
        <v>7</v>
      </c>
      <c r="E2028" t="s">
        <v>2028</v>
      </c>
    </row>
    <row r="2029" spans="1:5">
      <c r="A2029">
        <f>HYPERLINK("http://www.twitter.com/NYCParks/status/658689832126935041", "658689832126935041")</f>
        <v>0</v>
      </c>
      <c r="B2029" s="2">
        <v>42303.7091203704</v>
      </c>
      <c r="C2029">
        <v>3</v>
      </c>
      <c r="D2029">
        <v>1</v>
      </c>
      <c r="E2029" t="s">
        <v>2029</v>
      </c>
    </row>
    <row r="2030" spans="1:5">
      <c r="A2030">
        <f>HYPERLINK("http://www.twitter.com/NYCParks/status/658674650545827840", "658674650545827840")</f>
        <v>0</v>
      </c>
      <c r="B2030" s="2">
        <v>42303.6672222222</v>
      </c>
      <c r="C2030">
        <v>31</v>
      </c>
      <c r="D2030">
        <v>29</v>
      </c>
      <c r="E2030" t="s">
        <v>2030</v>
      </c>
    </row>
    <row r="2031" spans="1:5">
      <c r="A2031">
        <f>HYPERLINK("http://www.twitter.com/NYCParks/status/658656695485353985", "658656695485353985")</f>
        <v>0</v>
      </c>
      <c r="B2031" s="2">
        <v>42303.6176851852</v>
      </c>
      <c r="C2031">
        <v>10</v>
      </c>
      <c r="D2031">
        <v>5</v>
      </c>
      <c r="E2031" t="s">
        <v>2031</v>
      </c>
    </row>
    <row r="2032" spans="1:5">
      <c r="A2032">
        <f>HYPERLINK("http://www.twitter.com/NYCParks/status/657959804565065728", "657959804565065728")</f>
        <v>0</v>
      </c>
      <c r="B2032" s="2">
        <v>42301.6946296296</v>
      </c>
      <c r="C2032">
        <v>10</v>
      </c>
      <c r="D2032">
        <v>6</v>
      </c>
      <c r="E2032" t="s">
        <v>2032</v>
      </c>
    </row>
    <row r="2033" spans="1:5">
      <c r="A2033">
        <f>HYPERLINK("http://www.twitter.com/NYCParks/status/657957531285913601", "657957531285913601")</f>
        <v>0</v>
      </c>
      <c r="B2033" s="2">
        <v>42301.6883564815</v>
      </c>
      <c r="C2033">
        <v>15</v>
      </c>
      <c r="D2033">
        <v>4</v>
      </c>
      <c r="E2033" t="s">
        <v>2033</v>
      </c>
    </row>
    <row r="2034" spans="1:5">
      <c r="A2034">
        <f>HYPERLINK("http://www.twitter.com/NYCParks/status/657949149405556736", "657949149405556736")</f>
        <v>0</v>
      </c>
      <c r="B2034" s="2">
        <v>42301.6652199074</v>
      </c>
      <c r="C2034">
        <v>21</v>
      </c>
      <c r="D2034">
        <v>9</v>
      </c>
      <c r="E2034" t="s">
        <v>2034</v>
      </c>
    </row>
    <row r="2035" spans="1:5">
      <c r="A2035">
        <f>HYPERLINK("http://www.twitter.com/NYCParks/status/657668811525615616", "657668811525615616")</f>
        <v>0</v>
      </c>
      <c r="B2035" s="2">
        <v>42300.8916435185</v>
      </c>
      <c r="C2035">
        <v>11</v>
      </c>
      <c r="D2035">
        <v>7</v>
      </c>
      <c r="E2035" t="s">
        <v>2035</v>
      </c>
    </row>
    <row r="2036" spans="1:5">
      <c r="A2036">
        <f>HYPERLINK("http://www.twitter.com/NYCParks/status/657636023443267584", "657636023443267584")</f>
        <v>0</v>
      </c>
      <c r="B2036" s="2">
        <v>42300.8011574074</v>
      </c>
      <c r="C2036">
        <v>28</v>
      </c>
      <c r="D2036">
        <v>13</v>
      </c>
      <c r="E2036" t="s">
        <v>2036</v>
      </c>
    </row>
    <row r="2037" spans="1:5">
      <c r="A2037">
        <f>HYPERLINK("http://www.twitter.com/NYCParks/status/657621622753501184", "657621622753501184")</f>
        <v>0</v>
      </c>
      <c r="B2037" s="2">
        <v>42300.7614236111</v>
      </c>
      <c r="C2037">
        <v>5</v>
      </c>
      <c r="D2037">
        <v>3</v>
      </c>
      <c r="E2037" t="s">
        <v>2037</v>
      </c>
    </row>
    <row r="2038" spans="1:5">
      <c r="A2038">
        <f>HYPERLINK("http://www.twitter.com/NYCParks/status/657603711410249729", "657603711410249729")</f>
        <v>0</v>
      </c>
      <c r="B2038" s="2">
        <v>42300.7120023148</v>
      </c>
      <c r="C2038">
        <v>27</v>
      </c>
      <c r="D2038">
        <v>22</v>
      </c>
      <c r="E2038" t="s">
        <v>2038</v>
      </c>
    </row>
    <row r="2039" spans="1:5">
      <c r="A2039">
        <f>HYPERLINK("http://www.twitter.com/NYCParks/status/657591161310326784", "657591161310326784")</f>
        <v>0</v>
      </c>
      <c r="B2039" s="2">
        <v>42300.6773611111</v>
      </c>
      <c r="C2039">
        <v>5</v>
      </c>
      <c r="D2039">
        <v>7</v>
      </c>
      <c r="E2039" t="s">
        <v>2039</v>
      </c>
    </row>
    <row r="2040" spans="1:5">
      <c r="A2040">
        <f>HYPERLINK("http://www.twitter.com/NYCParks/status/657574766149304321", "657574766149304321")</f>
        <v>0</v>
      </c>
      <c r="B2040" s="2">
        <v>42300.6321296296</v>
      </c>
      <c r="C2040">
        <v>6</v>
      </c>
      <c r="D2040">
        <v>5</v>
      </c>
      <c r="E2040" t="s">
        <v>2040</v>
      </c>
    </row>
    <row r="2041" spans="1:5">
      <c r="A2041">
        <f>HYPERLINK("http://www.twitter.com/NYCParks/status/657304352906981376", "657304352906981376")</f>
        <v>0</v>
      </c>
      <c r="B2041" s="2">
        <v>42299.8859259259</v>
      </c>
      <c r="C2041">
        <v>6</v>
      </c>
      <c r="D2041">
        <v>14</v>
      </c>
      <c r="E2041" t="s">
        <v>2041</v>
      </c>
    </row>
    <row r="2042" spans="1:5">
      <c r="A2042">
        <f>HYPERLINK("http://www.twitter.com/NYCParks/status/657293289746518016", "657293289746518016")</f>
        <v>0</v>
      </c>
      <c r="B2042" s="2">
        <v>42299.8553935185</v>
      </c>
      <c r="C2042">
        <v>7</v>
      </c>
      <c r="D2042">
        <v>5</v>
      </c>
      <c r="E2042" t="s">
        <v>2042</v>
      </c>
    </row>
    <row r="2043" spans="1:5">
      <c r="A2043">
        <f>HYPERLINK("http://www.twitter.com/NYCParks/status/657286752118382596", "657286752118382596")</f>
        <v>0</v>
      </c>
      <c r="B2043" s="2">
        <v>42299.8373611111</v>
      </c>
      <c r="C2043">
        <v>4</v>
      </c>
      <c r="D2043">
        <v>2</v>
      </c>
      <c r="E2043" t="s">
        <v>2043</v>
      </c>
    </row>
    <row r="2044" spans="1:5">
      <c r="A2044">
        <f>HYPERLINK("http://www.twitter.com/NYCParks/status/657277922449997824", "657277922449997824")</f>
        <v>0</v>
      </c>
      <c r="B2044" s="2">
        <v>42299.8129976852</v>
      </c>
      <c r="C2044">
        <v>5</v>
      </c>
      <c r="D2044">
        <v>4</v>
      </c>
      <c r="E2044" t="s">
        <v>2044</v>
      </c>
    </row>
    <row r="2045" spans="1:5">
      <c r="A2045">
        <f>HYPERLINK("http://www.twitter.com/NYCParks/status/657262790936305668", "657262790936305668")</f>
        <v>0</v>
      </c>
      <c r="B2045" s="2">
        <v>42299.7712384259</v>
      </c>
      <c r="C2045">
        <v>28</v>
      </c>
      <c r="D2045">
        <v>30</v>
      </c>
      <c r="E2045" t="s">
        <v>2045</v>
      </c>
    </row>
    <row r="2046" spans="1:5">
      <c r="A2046">
        <f>HYPERLINK("http://www.twitter.com/NYCParks/status/657251363919929344", "657251363919929344")</f>
        <v>0</v>
      </c>
      <c r="B2046" s="2">
        <v>42299.7396990741</v>
      </c>
      <c r="C2046">
        <v>16</v>
      </c>
      <c r="D2046">
        <v>14</v>
      </c>
      <c r="E2046" t="s">
        <v>2046</v>
      </c>
    </row>
    <row r="2047" spans="1:5">
      <c r="A2047">
        <f>HYPERLINK("http://www.twitter.com/NYCParks/status/657238118127529985", "657238118127529985")</f>
        <v>0</v>
      </c>
      <c r="B2047" s="2">
        <v>42299.7031481481</v>
      </c>
      <c r="C2047">
        <v>2</v>
      </c>
      <c r="D2047">
        <v>4</v>
      </c>
      <c r="E2047" t="s">
        <v>2047</v>
      </c>
    </row>
    <row r="2048" spans="1:5">
      <c r="A2048">
        <f>HYPERLINK("http://www.twitter.com/NYCParks/status/657224936310882305", "657224936310882305")</f>
        <v>0</v>
      </c>
      <c r="B2048" s="2">
        <v>42299.6667824074</v>
      </c>
      <c r="C2048">
        <v>4</v>
      </c>
      <c r="D2048">
        <v>3</v>
      </c>
      <c r="E2048" t="s">
        <v>2048</v>
      </c>
    </row>
    <row r="2049" spans="1:5">
      <c r="A2049">
        <f>HYPERLINK("http://www.twitter.com/NYCParks/status/657208239361236992", "657208239361236992")</f>
        <v>0</v>
      </c>
      <c r="B2049" s="2">
        <v>42299.6207060185</v>
      </c>
      <c r="C2049">
        <v>0</v>
      </c>
      <c r="D2049">
        <v>11</v>
      </c>
      <c r="E2049" t="s">
        <v>2049</v>
      </c>
    </row>
    <row r="2050" spans="1:5">
      <c r="A2050">
        <f>HYPERLINK("http://www.twitter.com/NYCParks/status/656568684278890496", "656568684278890496")</f>
        <v>0</v>
      </c>
      <c r="B2050" s="2">
        <v>42297.8558680556</v>
      </c>
      <c r="C2050">
        <v>11</v>
      </c>
      <c r="D2050">
        <v>10</v>
      </c>
      <c r="E2050" t="s">
        <v>2050</v>
      </c>
    </row>
    <row r="2051" spans="1:5">
      <c r="A2051">
        <f>HYPERLINK("http://www.twitter.com/NYCParks/status/656546905590243328", "656546905590243328")</f>
        <v>0</v>
      </c>
      <c r="B2051" s="2">
        <v>42297.795775463</v>
      </c>
      <c r="C2051">
        <v>14</v>
      </c>
      <c r="D2051">
        <v>12</v>
      </c>
      <c r="E2051" t="s">
        <v>2051</v>
      </c>
    </row>
    <row r="2052" spans="1:5">
      <c r="A2052">
        <f>HYPERLINK("http://www.twitter.com/NYCParks/status/656524920508305408", "656524920508305408")</f>
        <v>0</v>
      </c>
      <c r="B2052" s="2">
        <v>42297.7351041667</v>
      </c>
      <c r="C2052">
        <v>59</v>
      </c>
      <c r="D2052">
        <v>43</v>
      </c>
      <c r="E2052" t="s">
        <v>2052</v>
      </c>
    </row>
    <row r="2053" spans="1:5">
      <c r="A2053">
        <f>HYPERLINK("http://www.twitter.com/NYCParks/status/656509008082292736", "656509008082292736")</f>
        <v>0</v>
      </c>
      <c r="B2053" s="2">
        <v>42297.6911921296</v>
      </c>
      <c r="C2053">
        <v>10</v>
      </c>
      <c r="D2053">
        <v>7</v>
      </c>
      <c r="E2053" t="s">
        <v>2053</v>
      </c>
    </row>
    <row r="2054" spans="1:5">
      <c r="A2054">
        <f>HYPERLINK("http://www.twitter.com/NYCParks/status/656492704533204992", "656492704533204992")</f>
        <v>0</v>
      </c>
      <c r="B2054" s="2">
        <v>42297.6462037037</v>
      </c>
      <c r="C2054">
        <v>11</v>
      </c>
      <c r="D2054">
        <v>5</v>
      </c>
      <c r="E2054" t="s">
        <v>2054</v>
      </c>
    </row>
    <row r="2055" spans="1:5">
      <c r="A2055">
        <f>HYPERLINK("http://www.twitter.com/NYCParks/status/656478334101139456", "656478334101139456")</f>
        <v>0</v>
      </c>
      <c r="B2055" s="2">
        <v>42297.6065509259</v>
      </c>
      <c r="C2055">
        <v>2</v>
      </c>
      <c r="D2055">
        <v>3</v>
      </c>
      <c r="E2055" t="s">
        <v>2055</v>
      </c>
    </row>
    <row r="2056" spans="1:5">
      <c r="A2056">
        <f>HYPERLINK("http://www.twitter.com/NYCParks/status/656198282310479873", "656198282310479873")</f>
        <v>0</v>
      </c>
      <c r="B2056" s="2">
        <v>42296.83375</v>
      </c>
      <c r="C2056">
        <v>3</v>
      </c>
      <c r="D2056">
        <v>3</v>
      </c>
      <c r="E2056" t="s">
        <v>2056</v>
      </c>
    </row>
    <row r="2057" spans="1:5">
      <c r="A2057">
        <f>HYPERLINK("http://www.twitter.com/NYCParks/status/656186983333629952", "656186983333629952")</f>
        <v>0</v>
      </c>
      <c r="B2057" s="2">
        <v>42296.8025694444</v>
      </c>
      <c r="C2057">
        <v>7</v>
      </c>
      <c r="D2057">
        <v>5</v>
      </c>
      <c r="E2057" t="s">
        <v>2057</v>
      </c>
    </row>
    <row r="2058" spans="1:5">
      <c r="A2058">
        <f>HYPERLINK("http://www.twitter.com/NYCParks/status/656170560993501190", "656170560993501190")</f>
        <v>0</v>
      </c>
      <c r="B2058" s="2">
        <v>42296.7572569444</v>
      </c>
      <c r="C2058">
        <v>7</v>
      </c>
      <c r="D2058">
        <v>4</v>
      </c>
      <c r="E2058" t="s">
        <v>2058</v>
      </c>
    </row>
    <row r="2059" spans="1:5">
      <c r="A2059">
        <f>HYPERLINK("http://www.twitter.com/NYCParks/status/656156725888851968", "656156725888851968")</f>
        <v>0</v>
      </c>
      <c r="B2059" s="2">
        <v>42296.7190740741</v>
      </c>
      <c r="C2059">
        <v>3</v>
      </c>
      <c r="D2059">
        <v>5</v>
      </c>
      <c r="E2059" t="s">
        <v>2059</v>
      </c>
    </row>
    <row r="2060" spans="1:5">
      <c r="A2060">
        <f>HYPERLINK("http://www.twitter.com/NYCParks/status/656136531476946944", "656136531476946944")</f>
        <v>0</v>
      </c>
      <c r="B2060" s="2">
        <v>42296.6633564815</v>
      </c>
      <c r="C2060">
        <v>21</v>
      </c>
      <c r="D2060">
        <v>13</v>
      </c>
      <c r="E2060" t="s">
        <v>2060</v>
      </c>
    </row>
    <row r="2061" spans="1:5">
      <c r="A2061">
        <f>HYPERLINK("http://www.twitter.com/NYCParks/status/656122028240564224", "656122028240564224")</f>
        <v>0</v>
      </c>
      <c r="B2061" s="2">
        <v>42296.6233333333</v>
      </c>
      <c r="C2061">
        <v>0</v>
      </c>
      <c r="D2061">
        <v>0</v>
      </c>
      <c r="E2061" t="s">
        <v>2061</v>
      </c>
    </row>
    <row r="2062" spans="1:5">
      <c r="A2062">
        <f>HYPERLINK("http://www.twitter.com/NYCParks/status/656121374990336004", "656121374990336004")</f>
        <v>0</v>
      </c>
      <c r="B2062" s="2">
        <v>42296.6215277778</v>
      </c>
      <c r="C2062">
        <v>5</v>
      </c>
      <c r="D2062">
        <v>2</v>
      </c>
      <c r="E2062" t="s">
        <v>2062</v>
      </c>
    </row>
    <row r="2063" spans="1:5">
      <c r="A2063">
        <f>HYPERLINK("http://www.twitter.com/NYCParks/status/656119997413085184", "656119997413085184")</f>
        <v>0</v>
      </c>
      <c r="B2063" s="2">
        <v>42296.6177314815</v>
      </c>
      <c r="C2063">
        <v>0</v>
      </c>
      <c r="D2063">
        <v>0</v>
      </c>
      <c r="E2063" t="s">
        <v>2063</v>
      </c>
    </row>
    <row r="2064" spans="1:5">
      <c r="A2064">
        <f>HYPERLINK("http://www.twitter.com/NYCParks/status/655118749813501953", "655118749813501953")</f>
        <v>0</v>
      </c>
      <c r="B2064" s="2">
        <v>42293.8548148148</v>
      </c>
      <c r="C2064">
        <v>6</v>
      </c>
      <c r="D2064">
        <v>5</v>
      </c>
      <c r="E2064" t="s">
        <v>2064</v>
      </c>
    </row>
    <row r="2065" spans="1:5">
      <c r="A2065">
        <f>HYPERLINK("http://www.twitter.com/NYCParks/status/655103544727609344", "655103544727609344")</f>
        <v>0</v>
      </c>
      <c r="B2065" s="2">
        <v>42293.8128472222</v>
      </c>
      <c r="C2065">
        <v>3</v>
      </c>
      <c r="D2065">
        <v>9</v>
      </c>
      <c r="E2065" t="s">
        <v>2065</v>
      </c>
    </row>
    <row r="2066" spans="1:5">
      <c r="A2066">
        <f>HYPERLINK("http://www.twitter.com/NYCParks/status/655090955599675392", "655090955599675392")</f>
        <v>0</v>
      </c>
      <c r="B2066" s="2">
        <v>42293.7781134259</v>
      </c>
      <c r="C2066">
        <v>11</v>
      </c>
      <c r="D2066">
        <v>12</v>
      </c>
      <c r="E2066" t="s">
        <v>2066</v>
      </c>
    </row>
    <row r="2067" spans="1:5">
      <c r="A2067">
        <f>HYPERLINK("http://www.twitter.com/NYCParks/status/655083154064195585", "655083154064195585")</f>
        <v>0</v>
      </c>
      <c r="B2067" s="2">
        <v>42293.7565856481</v>
      </c>
      <c r="C2067">
        <v>3</v>
      </c>
      <c r="D2067">
        <v>2</v>
      </c>
      <c r="E2067" t="s">
        <v>2067</v>
      </c>
    </row>
    <row r="2068" spans="1:5">
      <c r="A2068">
        <f>HYPERLINK("http://www.twitter.com/NYCParks/status/655077099003342848", "655077099003342848")</f>
        <v>0</v>
      </c>
      <c r="B2068" s="2">
        <v>42293.7398726852</v>
      </c>
      <c r="C2068">
        <v>11</v>
      </c>
      <c r="D2068">
        <v>16</v>
      </c>
      <c r="E2068" t="s">
        <v>2068</v>
      </c>
    </row>
    <row r="2069" spans="1:5">
      <c r="A2069">
        <f>HYPERLINK("http://www.twitter.com/NYCParks/status/655063255279382528", "655063255279382528")</f>
        <v>0</v>
      </c>
      <c r="B2069" s="2">
        <v>42293.7016782407</v>
      </c>
      <c r="C2069">
        <v>11</v>
      </c>
      <c r="D2069">
        <v>7</v>
      </c>
      <c r="E2069" t="s">
        <v>2069</v>
      </c>
    </row>
    <row r="2070" spans="1:5">
      <c r="A2070">
        <f>HYPERLINK("http://www.twitter.com/NYCParks/status/655045609720778752", "655045609720778752")</f>
        <v>0</v>
      </c>
      <c r="B2070" s="2">
        <v>42293.6529861111</v>
      </c>
      <c r="C2070">
        <v>43</v>
      </c>
      <c r="D2070">
        <v>32</v>
      </c>
      <c r="E2070" t="s">
        <v>2070</v>
      </c>
    </row>
    <row r="2071" spans="1:5">
      <c r="A2071">
        <f>HYPERLINK("http://www.twitter.com/NYCParks/status/655028028242817024", "655028028242817024")</f>
        <v>0</v>
      </c>
      <c r="B2071" s="2">
        <v>42293.6044675926</v>
      </c>
      <c r="C2071">
        <v>0</v>
      </c>
      <c r="D2071">
        <v>16</v>
      </c>
      <c r="E2071" t="s">
        <v>2071</v>
      </c>
    </row>
    <row r="2072" spans="1:5">
      <c r="A2072">
        <f>HYPERLINK("http://www.twitter.com/NYCParks/status/654749932830593024", "654749932830593024")</f>
        <v>0</v>
      </c>
      <c r="B2072" s="2">
        <v>42292.8370717593</v>
      </c>
      <c r="C2072">
        <v>3</v>
      </c>
      <c r="D2072">
        <v>3</v>
      </c>
      <c r="E2072" t="s">
        <v>2072</v>
      </c>
    </row>
    <row r="2073" spans="1:5">
      <c r="A2073">
        <f>HYPERLINK("http://www.twitter.com/NYCParks/status/654734872368447488", "654734872368447488")</f>
        <v>0</v>
      </c>
      <c r="B2073" s="2">
        <v>42292.7955092593</v>
      </c>
      <c r="C2073">
        <v>22</v>
      </c>
      <c r="D2073">
        <v>12</v>
      </c>
      <c r="E2073" t="s">
        <v>2073</v>
      </c>
    </row>
    <row r="2074" spans="1:5">
      <c r="A2074">
        <f>HYPERLINK("http://www.twitter.com/NYCParks/status/654718685274214404", "654718685274214404")</f>
        <v>0</v>
      </c>
      <c r="B2074" s="2">
        <v>42292.7508449074</v>
      </c>
      <c r="C2074">
        <v>7</v>
      </c>
      <c r="D2074">
        <v>13</v>
      </c>
      <c r="E2074" t="s">
        <v>2074</v>
      </c>
    </row>
    <row r="2075" spans="1:5">
      <c r="A2075">
        <f>HYPERLINK("http://www.twitter.com/NYCParks/status/654711319648600064", "654711319648600064")</f>
        <v>0</v>
      </c>
      <c r="B2075" s="2">
        <v>42292.7305208333</v>
      </c>
      <c r="C2075">
        <v>0</v>
      </c>
      <c r="D2075">
        <v>0</v>
      </c>
      <c r="E2075" t="s">
        <v>2075</v>
      </c>
    </row>
    <row r="2076" spans="1:5">
      <c r="A2076">
        <f>HYPERLINK("http://www.twitter.com/NYCParks/status/654703416141176832", "654703416141176832")</f>
        <v>0</v>
      </c>
      <c r="B2076" s="2">
        <v>42292.7087037037</v>
      </c>
      <c r="C2076">
        <v>28</v>
      </c>
      <c r="D2076">
        <v>18</v>
      </c>
      <c r="E2076" t="s">
        <v>2076</v>
      </c>
    </row>
    <row r="2077" spans="1:5">
      <c r="A2077">
        <f>HYPERLINK("http://www.twitter.com/NYCParks/status/654696154102239235", "654696154102239235")</f>
        <v>0</v>
      </c>
      <c r="B2077" s="2">
        <v>42292.6886689815</v>
      </c>
      <c r="C2077">
        <v>0</v>
      </c>
      <c r="D2077">
        <v>0</v>
      </c>
      <c r="E2077" t="s">
        <v>2077</v>
      </c>
    </row>
    <row r="2078" spans="1:5">
      <c r="A2078">
        <f>HYPERLINK("http://www.twitter.com/NYCParks/status/654690781144346625", "654690781144346625")</f>
        <v>0</v>
      </c>
      <c r="B2078" s="2">
        <v>42292.6738425926</v>
      </c>
      <c r="C2078">
        <v>3</v>
      </c>
      <c r="D2078">
        <v>1</v>
      </c>
      <c r="E2078" t="s">
        <v>2078</v>
      </c>
    </row>
    <row r="2079" spans="1:5">
      <c r="A2079">
        <f>HYPERLINK("http://www.twitter.com/NYCParks/status/654669705119076352", "654669705119076352")</f>
        <v>0</v>
      </c>
      <c r="B2079" s="2">
        <v>42292.6156828704</v>
      </c>
      <c r="C2079">
        <v>16</v>
      </c>
      <c r="D2079">
        <v>14</v>
      </c>
      <c r="E2079" t="s">
        <v>2079</v>
      </c>
    </row>
    <row r="2080" spans="1:5">
      <c r="A2080">
        <f>HYPERLINK("http://www.twitter.com/NYCParks/status/654386343653548032", "654386343653548032")</f>
        <v>0</v>
      </c>
      <c r="B2080" s="2">
        <v>42291.83375</v>
      </c>
      <c r="C2080">
        <v>0</v>
      </c>
      <c r="D2080">
        <v>38</v>
      </c>
      <c r="E2080" t="s">
        <v>2080</v>
      </c>
    </row>
    <row r="2081" spans="1:5">
      <c r="A2081">
        <f>HYPERLINK("http://www.twitter.com/NYCParks/status/654361107994423296", "654361107994423296")</f>
        <v>0</v>
      </c>
      <c r="B2081" s="2">
        <v>42291.7641203704</v>
      </c>
      <c r="C2081">
        <v>20</v>
      </c>
      <c r="D2081">
        <v>11</v>
      </c>
      <c r="E2081" t="s">
        <v>2081</v>
      </c>
    </row>
    <row r="2082" spans="1:5">
      <c r="A2082">
        <f>HYPERLINK("http://www.twitter.com/NYCParks/status/654344779032055809", "654344779032055809")</f>
        <v>0</v>
      </c>
      <c r="B2082" s="2">
        <v>42291.7190625</v>
      </c>
      <c r="C2082">
        <v>4</v>
      </c>
      <c r="D2082">
        <v>6</v>
      </c>
      <c r="E2082" t="s">
        <v>2082</v>
      </c>
    </row>
    <row r="2083" spans="1:5">
      <c r="A2083">
        <f>HYPERLINK("http://www.twitter.com/NYCParks/status/654341871230128128", "654341871230128128")</f>
        <v>0</v>
      </c>
      <c r="B2083" s="2">
        <v>42291.7110300926</v>
      </c>
      <c r="C2083">
        <v>1</v>
      </c>
      <c r="D2083">
        <v>0</v>
      </c>
      <c r="E2083" t="s">
        <v>2083</v>
      </c>
    </row>
    <row r="2084" spans="1:5">
      <c r="A2084">
        <f>HYPERLINK("http://www.twitter.com/NYCParks/status/654332380388425729", "654332380388425729")</f>
        <v>0</v>
      </c>
      <c r="B2084" s="2">
        <v>42291.684849537</v>
      </c>
      <c r="C2084">
        <v>0</v>
      </c>
      <c r="D2084">
        <v>0</v>
      </c>
      <c r="E2084" t="s">
        <v>2084</v>
      </c>
    </row>
    <row r="2085" spans="1:5">
      <c r="A2085">
        <f>HYPERLINK("http://www.twitter.com/NYCParks/status/654327165618663425", "654327165618663425")</f>
        <v>0</v>
      </c>
      <c r="B2085" s="2">
        <v>42291.6704513889</v>
      </c>
      <c r="C2085">
        <v>12</v>
      </c>
      <c r="D2085">
        <v>13</v>
      </c>
      <c r="E2085" t="s">
        <v>2085</v>
      </c>
    </row>
    <row r="2086" spans="1:5">
      <c r="A2086">
        <f>HYPERLINK("http://www.twitter.com/NYCParks/status/654324147103903745", "654324147103903745")</f>
        <v>0</v>
      </c>
      <c r="B2086" s="2">
        <v>42291.6621296296</v>
      </c>
      <c r="C2086">
        <v>9</v>
      </c>
      <c r="D2086">
        <v>3</v>
      </c>
      <c r="E2086" t="s">
        <v>2086</v>
      </c>
    </row>
    <row r="2087" spans="1:5">
      <c r="A2087">
        <f>HYPERLINK("http://www.twitter.com/NYCParks/status/654314532073041920", "654314532073041920")</f>
        <v>0</v>
      </c>
      <c r="B2087" s="2">
        <v>42291.6355902778</v>
      </c>
      <c r="C2087">
        <v>10</v>
      </c>
      <c r="D2087">
        <v>4</v>
      </c>
      <c r="E2087" t="s">
        <v>2087</v>
      </c>
    </row>
    <row r="2088" spans="1:5">
      <c r="A2088">
        <f>HYPERLINK("http://www.twitter.com/NYCParks/status/654296037121728513", "654296037121728513")</f>
        <v>0</v>
      </c>
      <c r="B2088" s="2">
        <v>42291.5845601852</v>
      </c>
      <c r="C2088">
        <v>7</v>
      </c>
      <c r="D2088">
        <v>7</v>
      </c>
      <c r="E2088" t="s">
        <v>2088</v>
      </c>
    </row>
    <row r="2089" spans="1:5">
      <c r="A2089">
        <f>HYPERLINK("http://www.twitter.com/NYCParks/status/654291676924616704", "654291676924616704")</f>
        <v>0</v>
      </c>
      <c r="B2089" s="2">
        <v>42291.5725231481</v>
      </c>
      <c r="C2089">
        <v>17</v>
      </c>
      <c r="D2089">
        <v>11</v>
      </c>
      <c r="E2089" t="s">
        <v>2089</v>
      </c>
    </row>
    <row r="2090" spans="1:5">
      <c r="A2090">
        <f>HYPERLINK("http://www.twitter.com/NYCParks/status/654021360902098944", "654021360902098944")</f>
        <v>0</v>
      </c>
      <c r="B2090" s="2">
        <v>42290.8265972222</v>
      </c>
      <c r="C2090">
        <v>0</v>
      </c>
      <c r="D2090">
        <v>23</v>
      </c>
      <c r="E2090" t="s">
        <v>2090</v>
      </c>
    </row>
    <row r="2091" spans="1:5">
      <c r="A2091">
        <f>HYPERLINK("http://www.twitter.com/NYCParks/status/653995190596804608", "653995190596804608")</f>
        <v>0</v>
      </c>
      <c r="B2091" s="2">
        <v>42290.754375</v>
      </c>
      <c r="C2091">
        <v>17</v>
      </c>
      <c r="D2091">
        <v>6</v>
      </c>
      <c r="E2091" t="s">
        <v>2091</v>
      </c>
    </row>
    <row r="2092" spans="1:5">
      <c r="A2092">
        <f>HYPERLINK("http://www.twitter.com/NYCParks/status/653978894555611136", "653978894555611136")</f>
        <v>0</v>
      </c>
      <c r="B2092" s="2">
        <v>42290.7094097222</v>
      </c>
      <c r="C2092">
        <v>13</v>
      </c>
      <c r="D2092">
        <v>6</v>
      </c>
      <c r="E2092" t="s">
        <v>2092</v>
      </c>
    </row>
    <row r="2093" spans="1:5">
      <c r="A2093">
        <f>HYPERLINK("http://www.twitter.com/NYCParks/status/653962259610365952", "653962259610365952")</f>
        <v>0</v>
      </c>
      <c r="B2093" s="2">
        <v>42290.6635069444</v>
      </c>
      <c r="C2093">
        <v>16</v>
      </c>
      <c r="D2093">
        <v>10</v>
      </c>
      <c r="E2093" t="s">
        <v>2093</v>
      </c>
    </row>
    <row r="2094" spans="1:5">
      <c r="A2094">
        <f>HYPERLINK("http://www.twitter.com/NYCParks/status/653945890990854144", "653945890990854144")</f>
        <v>0</v>
      </c>
      <c r="B2094" s="2">
        <v>42290.6183333333</v>
      </c>
      <c r="C2094">
        <v>1</v>
      </c>
      <c r="D2094">
        <v>5</v>
      </c>
      <c r="E2094" t="s">
        <v>2094</v>
      </c>
    </row>
    <row r="2095" spans="1:5">
      <c r="A2095">
        <f>HYPERLINK("http://www.twitter.com/NYCParks/status/653929494135353345", "653929494135353345")</f>
        <v>0</v>
      </c>
      <c r="B2095" s="2">
        <v>42290.5730902778</v>
      </c>
      <c r="C2095">
        <v>6</v>
      </c>
      <c r="D2095">
        <v>7</v>
      </c>
      <c r="E2095" t="s">
        <v>2095</v>
      </c>
    </row>
    <row r="2096" spans="1:5">
      <c r="A2096">
        <f>HYPERLINK("http://www.twitter.com/NYCParks/status/652568469704187906", "652568469704187906")</f>
        <v>0</v>
      </c>
      <c r="B2096" s="2">
        <v>42286.8173726852</v>
      </c>
      <c r="C2096">
        <v>6</v>
      </c>
      <c r="D2096">
        <v>2</v>
      </c>
      <c r="E2096" t="s">
        <v>2096</v>
      </c>
    </row>
    <row r="2097" spans="1:5">
      <c r="A2097">
        <f>HYPERLINK("http://www.twitter.com/NYCParks/status/652545992017977344", "652545992017977344")</f>
        <v>0</v>
      </c>
      <c r="B2097" s="2">
        <v>42286.7553472222</v>
      </c>
      <c r="C2097">
        <v>15</v>
      </c>
      <c r="D2097">
        <v>13</v>
      </c>
      <c r="E2097" t="s">
        <v>2097</v>
      </c>
    </row>
    <row r="2098" spans="1:5">
      <c r="A2098">
        <f>HYPERLINK("http://www.twitter.com/NYCParks/status/652536633284259840", "652536633284259840")</f>
        <v>0</v>
      </c>
      <c r="B2098" s="2">
        <v>42286.729525463</v>
      </c>
      <c r="C2098">
        <v>27</v>
      </c>
      <c r="D2098">
        <v>33</v>
      </c>
      <c r="E2098" t="s">
        <v>2098</v>
      </c>
    </row>
    <row r="2099" spans="1:5">
      <c r="A2099">
        <f>HYPERLINK("http://www.twitter.com/NYCParks/status/652514822152654848", "652514822152654848")</f>
        <v>0</v>
      </c>
      <c r="B2099" s="2">
        <v>42286.6693402778</v>
      </c>
      <c r="C2099">
        <v>6</v>
      </c>
      <c r="D2099">
        <v>7</v>
      </c>
      <c r="E2099" t="s">
        <v>2099</v>
      </c>
    </row>
    <row r="2100" spans="1:5">
      <c r="A2100">
        <f>HYPERLINK("http://www.twitter.com/NYCParks/status/652505370158628864", "652505370158628864")</f>
        <v>0</v>
      </c>
      <c r="B2100" s="2">
        <v>42286.6432523148</v>
      </c>
      <c r="C2100">
        <v>10</v>
      </c>
      <c r="D2100">
        <v>15</v>
      </c>
      <c r="E2100" t="s">
        <v>2100</v>
      </c>
    </row>
    <row r="2101" spans="1:5">
      <c r="A2101">
        <f>HYPERLINK("http://www.twitter.com/NYCParks/status/652215262985498624", "652215262985498624")</f>
        <v>0</v>
      </c>
      <c r="B2101" s="2">
        <v>42285.8427083333</v>
      </c>
      <c r="C2101">
        <v>1</v>
      </c>
      <c r="D2101">
        <v>0</v>
      </c>
      <c r="E2101" t="s">
        <v>2101</v>
      </c>
    </row>
    <row r="2102" spans="1:5">
      <c r="A2102">
        <f>HYPERLINK("http://www.twitter.com/NYCParks/status/652206688150401024", "652206688150401024")</f>
        <v>0</v>
      </c>
      <c r="B2102" s="2">
        <v>42285.8190509259</v>
      </c>
      <c r="C2102">
        <v>56</v>
      </c>
      <c r="D2102">
        <v>39</v>
      </c>
      <c r="E2102" t="s">
        <v>2102</v>
      </c>
    </row>
    <row r="2103" spans="1:5">
      <c r="A2103">
        <f>HYPERLINK("http://www.twitter.com/NYCParks/status/652206495946395648", "652206495946395648")</f>
        <v>0</v>
      </c>
      <c r="B2103" s="2">
        <v>42285.8185185185</v>
      </c>
      <c r="C2103">
        <v>0</v>
      </c>
      <c r="D2103">
        <v>0</v>
      </c>
      <c r="E2103" t="s">
        <v>2103</v>
      </c>
    </row>
    <row r="2104" spans="1:5">
      <c r="A2104">
        <f>HYPERLINK("http://www.twitter.com/NYCParks/status/652184514337312768", "652184514337312768")</f>
        <v>0</v>
      </c>
      <c r="B2104" s="2">
        <v>42285.7578587963</v>
      </c>
      <c r="C2104">
        <v>47</v>
      </c>
      <c r="D2104">
        <v>32</v>
      </c>
      <c r="E2104" t="s">
        <v>2104</v>
      </c>
    </row>
    <row r="2105" spans="1:5">
      <c r="A2105">
        <f>HYPERLINK("http://www.twitter.com/NYCParks/status/652170322301456384", "652170322301456384")</f>
        <v>0</v>
      </c>
      <c r="B2105" s="2">
        <v>42285.7187037037</v>
      </c>
      <c r="C2105">
        <v>7</v>
      </c>
      <c r="D2105">
        <v>5</v>
      </c>
      <c r="E2105" t="s">
        <v>2105</v>
      </c>
    </row>
    <row r="2106" spans="1:5">
      <c r="A2106">
        <f>HYPERLINK("http://www.twitter.com/NYCParks/status/652161558382927872", "652161558382927872")</f>
        <v>0</v>
      </c>
      <c r="B2106" s="2">
        <v>42285.6945138889</v>
      </c>
      <c r="C2106">
        <v>17</v>
      </c>
      <c r="D2106">
        <v>7</v>
      </c>
      <c r="E2106" t="s">
        <v>2106</v>
      </c>
    </row>
    <row r="2107" spans="1:5">
      <c r="A2107">
        <f>HYPERLINK("http://www.twitter.com/NYCParks/status/652146955053756417", "652146955053756417")</f>
        <v>0</v>
      </c>
      <c r="B2107" s="2">
        <v>42285.654224537</v>
      </c>
      <c r="C2107">
        <v>12</v>
      </c>
      <c r="D2107">
        <v>4</v>
      </c>
      <c r="E2107" t="s">
        <v>2107</v>
      </c>
    </row>
    <row r="2108" spans="1:5">
      <c r="A2108">
        <f>HYPERLINK("http://www.twitter.com/NYCParks/status/652143038102302721", "652143038102302721")</f>
        <v>0</v>
      </c>
      <c r="B2108" s="2">
        <v>42285.6434143518</v>
      </c>
      <c r="C2108">
        <v>1</v>
      </c>
      <c r="D2108">
        <v>0</v>
      </c>
      <c r="E2108" t="s">
        <v>2108</v>
      </c>
    </row>
    <row r="2109" spans="1:5">
      <c r="A2109">
        <f>HYPERLINK("http://www.twitter.com/NYCParks/status/652141102053523456", "652141102053523456")</f>
        <v>0</v>
      </c>
      <c r="B2109" s="2">
        <v>42285.6380671296</v>
      </c>
      <c r="C2109">
        <v>0</v>
      </c>
      <c r="D2109">
        <v>0</v>
      </c>
      <c r="E2109" t="s">
        <v>2109</v>
      </c>
    </row>
    <row r="2110" spans="1:5">
      <c r="A2110">
        <f>HYPERLINK("http://www.twitter.com/NYCParks/status/652135664108965888", "652135664108965888")</f>
        <v>0</v>
      </c>
      <c r="B2110" s="2">
        <v>42285.6230671296</v>
      </c>
      <c r="C2110">
        <v>6</v>
      </c>
      <c r="D2110">
        <v>6</v>
      </c>
      <c r="E2110" t="s">
        <v>2110</v>
      </c>
    </row>
    <row r="2111" spans="1:5">
      <c r="A2111">
        <f>HYPERLINK("http://www.twitter.com/NYCParks/status/651820046491217920", "651820046491217920")</f>
        <v>0</v>
      </c>
      <c r="B2111" s="2">
        <v>42284.7521180556</v>
      </c>
      <c r="C2111">
        <v>3</v>
      </c>
      <c r="D2111">
        <v>1</v>
      </c>
      <c r="E2111" t="s">
        <v>2111</v>
      </c>
    </row>
    <row r="2112" spans="1:5">
      <c r="A2112">
        <f>HYPERLINK("http://www.twitter.com/NYCParks/status/651803233506185216", "651803233506185216")</f>
        <v>0</v>
      </c>
      <c r="B2112" s="2">
        <v>42284.7057291667</v>
      </c>
      <c r="C2112">
        <v>7</v>
      </c>
      <c r="D2112">
        <v>3</v>
      </c>
      <c r="E2112" t="s">
        <v>2112</v>
      </c>
    </row>
    <row r="2113" spans="1:5">
      <c r="A2113">
        <f>HYPERLINK("http://www.twitter.com/NYCParks/status/651786119202361344", "651786119202361344")</f>
        <v>0</v>
      </c>
      <c r="B2113" s="2">
        <v>42284.6585069444</v>
      </c>
      <c r="C2113">
        <v>3</v>
      </c>
      <c r="D2113">
        <v>7</v>
      </c>
      <c r="E2113" t="s">
        <v>2113</v>
      </c>
    </row>
    <row r="2114" spans="1:5">
      <c r="A2114">
        <f>HYPERLINK("http://www.twitter.com/NYCParks/status/651775796835708928", "651775796835708928")</f>
        <v>0</v>
      </c>
      <c r="B2114" s="2">
        <v>42284.6300231482</v>
      </c>
      <c r="C2114">
        <v>0</v>
      </c>
      <c r="D2114">
        <v>0</v>
      </c>
      <c r="E2114" t="s">
        <v>2114</v>
      </c>
    </row>
    <row r="2115" spans="1:5">
      <c r="A2115">
        <f>HYPERLINK("http://www.twitter.com/NYCParks/status/651769863233536000", "651769863233536000")</f>
        <v>0</v>
      </c>
      <c r="B2115" s="2">
        <v>42284.6136458333</v>
      </c>
      <c r="C2115">
        <v>9</v>
      </c>
      <c r="D2115">
        <v>7</v>
      </c>
      <c r="E2115" t="s">
        <v>2115</v>
      </c>
    </row>
    <row r="2116" spans="1:5">
      <c r="A2116">
        <f>HYPERLINK("http://www.twitter.com/NYCParks/status/651754294920761344", "651754294920761344")</f>
        <v>0</v>
      </c>
      <c r="B2116" s="2">
        <v>42284.5706828704</v>
      </c>
      <c r="C2116">
        <v>0</v>
      </c>
      <c r="D2116">
        <v>25</v>
      </c>
      <c r="E2116" t="s">
        <v>2116</v>
      </c>
    </row>
    <row r="2117" spans="1:5">
      <c r="A2117">
        <f>HYPERLINK("http://www.twitter.com/NYCParks/status/651751985742483456", "651751985742483456")</f>
        <v>0</v>
      </c>
      <c r="B2117" s="2">
        <v>42284.5643171296</v>
      </c>
      <c r="C2117">
        <v>1</v>
      </c>
      <c r="D2117">
        <v>0</v>
      </c>
      <c r="E2117" t="s">
        <v>2117</v>
      </c>
    </row>
    <row r="2118" spans="1:5">
      <c r="A2118">
        <f>HYPERLINK("http://www.twitter.com/NYCParks/status/651498857877127168", "651498857877127168")</f>
        <v>0</v>
      </c>
      <c r="B2118" s="2">
        <v>42283.8658101852</v>
      </c>
      <c r="C2118">
        <v>0</v>
      </c>
      <c r="D2118">
        <v>0</v>
      </c>
      <c r="E2118" t="s">
        <v>2118</v>
      </c>
    </row>
    <row r="2119" spans="1:5">
      <c r="A2119">
        <f>HYPERLINK("http://www.twitter.com/NYCParks/status/651497954361131008", "651497954361131008")</f>
        <v>0</v>
      </c>
      <c r="B2119" s="2">
        <v>42283.8633217593</v>
      </c>
      <c r="C2119">
        <v>1</v>
      </c>
      <c r="D2119">
        <v>0</v>
      </c>
      <c r="E2119" t="s">
        <v>2119</v>
      </c>
    </row>
    <row r="2120" spans="1:5">
      <c r="A2120">
        <f>HYPERLINK("http://www.twitter.com/NYCParks/status/651485156046409728", "651485156046409728")</f>
        <v>0</v>
      </c>
      <c r="B2120" s="2">
        <v>42283.8279976852</v>
      </c>
      <c r="C2120">
        <v>11</v>
      </c>
      <c r="D2120">
        <v>7</v>
      </c>
      <c r="E2120" t="s">
        <v>2120</v>
      </c>
    </row>
    <row r="2121" spans="1:5">
      <c r="A2121">
        <f>HYPERLINK("http://www.twitter.com/NYCParks/status/651467547221577728", "651467547221577728")</f>
        <v>0</v>
      </c>
      <c r="B2121" s="2">
        <v>42283.7794097222</v>
      </c>
      <c r="C2121">
        <v>7</v>
      </c>
      <c r="D2121">
        <v>5</v>
      </c>
      <c r="E2121" t="s">
        <v>2121</v>
      </c>
    </row>
    <row r="2122" spans="1:5">
      <c r="A2122">
        <f>HYPERLINK("http://www.twitter.com/NYCParks/status/651450973081178112", "651450973081178112")</f>
        <v>0</v>
      </c>
      <c r="B2122" s="2">
        <v>42283.7336805556</v>
      </c>
      <c r="C2122">
        <v>13</v>
      </c>
      <c r="D2122">
        <v>12</v>
      </c>
      <c r="E2122" t="s">
        <v>2122</v>
      </c>
    </row>
    <row r="2123" spans="1:5">
      <c r="A2123">
        <f>HYPERLINK("http://www.twitter.com/NYCParks/status/651434498266169344", "651434498266169344")</f>
        <v>0</v>
      </c>
      <c r="B2123" s="2">
        <v>42283.6882175926</v>
      </c>
      <c r="C2123">
        <v>2</v>
      </c>
      <c r="D2123">
        <v>2</v>
      </c>
      <c r="E2123" t="s">
        <v>2123</v>
      </c>
    </row>
    <row r="2124" spans="1:5">
      <c r="A2124">
        <f>HYPERLINK("http://www.twitter.com/NYCParks/status/651425673773514752", "651425673773514752")</f>
        <v>0</v>
      </c>
      <c r="B2124" s="2">
        <v>42283.6638657407</v>
      </c>
      <c r="C2124">
        <v>8</v>
      </c>
      <c r="D2124">
        <v>5</v>
      </c>
      <c r="E2124" t="s">
        <v>2124</v>
      </c>
    </row>
    <row r="2125" spans="1:5">
      <c r="A2125">
        <f>HYPERLINK("http://www.twitter.com/NYCParks/status/651421154192814080", "651421154192814080")</f>
        <v>0</v>
      </c>
      <c r="B2125" s="2">
        <v>42283.6513888889</v>
      </c>
      <c r="C2125">
        <v>24</v>
      </c>
      <c r="D2125">
        <v>30</v>
      </c>
      <c r="E2125" t="s">
        <v>2125</v>
      </c>
    </row>
    <row r="2126" spans="1:5">
      <c r="A2126">
        <f>HYPERLINK("http://www.twitter.com/NYCParks/status/651420432260825089", "651420432260825089")</f>
        <v>0</v>
      </c>
      <c r="B2126" s="2">
        <v>42283.6493981481</v>
      </c>
      <c r="C2126">
        <v>2</v>
      </c>
      <c r="D2126">
        <v>1</v>
      </c>
      <c r="E2126" t="s">
        <v>2126</v>
      </c>
    </row>
    <row r="2127" spans="1:5">
      <c r="A2127">
        <f>HYPERLINK("http://www.twitter.com/NYCParks/status/651420162441281536", "651420162441281536")</f>
        <v>0</v>
      </c>
      <c r="B2127" s="2">
        <v>42283.6486574074</v>
      </c>
      <c r="C2127">
        <v>7</v>
      </c>
      <c r="D2127">
        <v>7</v>
      </c>
      <c r="E2127" t="s">
        <v>2127</v>
      </c>
    </row>
    <row r="2128" spans="1:5">
      <c r="A2128">
        <f>HYPERLINK("http://www.twitter.com/NYCParks/status/651419636442001408", "651419636442001408")</f>
        <v>0</v>
      </c>
      <c r="B2128" s="2">
        <v>42283.6471990741</v>
      </c>
      <c r="C2128">
        <v>4</v>
      </c>
      <c r="D2128">
        <v>1</v>
      </c>
      <c r="E2128" t="s">
        <v>2128</v>
      </c>
    </row>
    <row r="2129" spans="1:5">
      <c r="A2129">
        <f>HYPERLINK("http://www.twitter.com/NYCParks/status/651419356744843264", "651419356744843264")</f>
        <v>0</v>
      </c>
      <c r="B2129" s="2">
        <v>42283.6464351852</v>
      </c>
      <c r="C2129">
        <v>3</v>
      </c>
      <c r="D2129">
        <v>0</v>
      </c>
      <c r="E2129" t="s">
        <v>2129</v>
      </c>
    </row>
    <row r="2130" spans="1:5">
      <c r="A2130">
        <f>HYPERLINK("http://www.twitter.com/NYCParks/status/651128528725913600", "651128528725913600")</f>
        <v>0</v>
      </c>
      <c r="B2130" s="2">
        <v>42282.843900463</v>
      </c>
      <c r="C2130">
        <v>0</v>
      </c>
      <c r="D2130">
        <v>346</v>
      </c>
      <c r="E2130" t="s">
        <v>2130</v>
      </c>
    </row>
    <row r="2131" spans="1:5">
      <c r="A2131">
        <f>HYPERLINK("http://www.twitter.com/NYCParks/status/651117110525997058", "651117110525997058")</f>
        <v>0</v>
      </c>
      <c r="B2131" s="2">
        <v>42282.8123842593</v>
      </c>
      <c r="C2131">
        <v>13</v>
      </c>
      <c r="D2131">
        <v>8</v>
      </c>
      <c r="E2131" t="s">
        <v>2131</v>
      </c>
    </row>
    <row r="2132" spans="1:5">
      <c r="A2132">
        <f>HYPERLINK("http://www.twitter.com/NYCParks/status/651100491728965632", "651100491728965632")</f>
        <v>0</v>
      </c>
      <c r="B2132" s="2">
        <v>42282.7665277778</v>
      </c>
      <c r="C2132">
        <v>4</v>
      </c>
      <c r="D2132">
        <v>5</v>
      </c>
      <c r="E2132" t="s">
        <v>2132</v>
      </c>
    </row>
    <row r="2133" spans="1:5">
      <c r="A2133">
        <f>HYPERLINK("http://www.twitter.com/NYCParks/status/651083958789259264", "651083958789259264")</f>
        <v>0</v>
      </c>
      <c r="B2133" s="2">
        <v>42282.7209027778</v>
      </c>
      <c r="C2133">
        <v>9</v>
      </c>
      <c r="D2133">
        <v>10</v>
      </c>
      <c r="E2133" t="s">
        <v>2133</v>
      </c>
    </row>
    <row r="2134" spans="1:5">
      <c r="A2134">
        <f>HYPERLINK("http://www.twitter.com/NYCParks/status/651067843522482176", "651067843522482176")</f>
        <v>0</v>
      </c>
      <c r="B2134" s="2">
        <v>42282.6764351852</v>
      </c>
      <c r="C2134">
        <v>22</v>
      </c>
      <c r="D2134">
        <v>18</v>
      </c>
      <c r="E2134" t="s">
        <v>2134</v>
      </c>
    </row>
    <row r="2135" spans="1:5">
      <c r="A2135">
        <f>HYPERLINK("http://www.twitter.com/NYCParks/status/651051334255439872", "651051334255439872")</f>
        <v>0</v>
      </c>
      <c r="B2135" s="2">
        <v>42282.6308796296</v>
      </c>
      <c r="C2135">
        <v>0</v>
      </c>
      <c r="D2135">
        <v>0</v>
      </c>
      <c r="E2135" t="s">
        <v>2135</v>
      </c>
    </row>
    <row r="2136" spans="1:5">
      <c r="A2136">
        <f>HYPERLINK("http://www.twitter.com/NYCParks/status/651048725226332160", "651048725226332160")</f>
        <v>0</v>
      </c>
      <c r="B2136" s="2">
        <v>42282.6236805556</v>
      </c>
      <c r="C2136">
        <v>0</v>
      </c>
      <c r="D2136">
        <v>4</v>
      </c>
      <c r="E2136" t="s">
        <v>2136</v>
      </c>
    </row>
    <row r="2137" spans="1:5">
      <c r="A2137">
        <f>HYPERLINK("http://www.twitter.com/NYCParks/status/650055468304474116", "650055468304474116")</f>
        <v>0</v>
      </c>
      <c r="B2137" s="2">
        <v>42279.8828125</v>
      </c>
      <c r="C2137">
        <v>1</v>
      </c>
      <c r="D2137">
        <v>0</v>
      </c>
      <c r="E2137" t="s">
        <v>2137</v>
      </c>
    </row>
    <row r="2138" spans="1:5">
      <c r="A2138">
        <f>HYPERLINK("http://www.twitter.com/NYCParks/status/650054759370616833", "650054759370616833")</f>
        <v>0</v>
      </c>
      <c r="B2138" s="2">
        <v>42279.8808564815</v>
      </c>
      <c r="C2138">
        <v>0</v>
      </c>
      <c r="D2138">
        <v>10</v>
      </c>
      <c r="E2138" t="s">
        <v>2138</v>
      </c>
    </row>
    <row r="2139" spans="1:5">
      <c r="A2139">
        <f>HYPERLINK("http://www.twitter.com/NYCParks/status/650029608579006465", "650029608579006465")</f>
        <v>0</v>
      </c>
      <c r="B2139" s="2">
        <v>42279.8114583333</v>
      </c>
      <c r="C2139">
        <v>47</v>
      </c>
      <c r="D2139">
        <v>48</v>
      </c>
      <c r="E2139" t="s">
        <v>2139</v>
      </c>
    </row>
    <row r="2140" spans="1:5">
      <c r="A2140">
        <f>HYPERLINK("http://www.twitter.com/NYCParks/status/650013710069702656", "650013710069702656")</f>
        <v>0</v>
      </c>
      <c r="B2140" s="2">
        <v>42279.7675810185</v>
      </c>
      <c r="C2140">
        <v>11</v>
      </c>
      <c r="D2140">
        <v>10</v>
      </c>
      <c r="E2140" t="s">
        <v>2140</v>
      </c>
    </row>
    <row r="2141" spans="1:5">
      <c r="A2141">
        <f>HYPERLINK("http://www.twitter.com/NYCParks/status/649999555510042624", "649999555510042624")</f>
        <v>0</v>
      </c>
      <c r="B2141" s="2">
        <v>42279.7285300926</v>
      </c>
      <c r="C2141">
        <v>1</v>
      </c>
      <c r="D2141">
        <v>3</v>
      </c>
      <c r="E2141" t="s">
        <v>2141</v>
      </c>
    </row>
    <row r="2142" spans="1:5">
      <c r="A2142">
        <f>HYPERLINK("http://www.twitter.com/NYCParks/status/649983306067496961", "649983306067496961")</f>
        <v>0</v>
      </c>
      <c r="B2142" s="2">
        <v>42279.6836805556</v>
      </c>
      <c r="C2142">
        <v>18</v>
      </c>
      <c r="D2142">
        <v>13</v>
      </c>
      <c r="E2142" t="s">
        <v>2142</v>
      </c>
    </row>
    <row r="2143" spans="1:5">
      <c r="A2143">
        <f>HYPERLINK("http://www.twitter.com/NYCParks/status/649969274354839552", "649969274354839552")</f>
        <v>0</v>
      </c>
      <c r="B2143" s="2">
        <v>42279.6449652778</v>
      </c>
      <c r="C2143">
        <v>0</v>
      </c>
      <c r="D2143">
        <v>5</v>
      </c>
      <c r="E2143" t="s">
        <v>2143</v>
      </c>
    </row>
    <row r="2144" spans="1:5">
      <c r="A2144">
        <f>HYPERLINK("http://www.twitter.com/NYCParks/status/649963021066989569", "649963021066989569")</f>
        <v>0</v>
      </c>
      <c r="B2144" s="2">
        <v>42279.6277083333</v>
      </c>
      <c r="C2144">
        <v>0</v>
      </c>
      <c r="D2144">
        <v>12</v>
      </c>
      <c r="E2144" t="s">
        <v>2144</v>
      </c>
    </row>
    <row r="2145" spans="1:5">
      <c r="A2145">
        <f>HYPERLINK("http://www.twitter.com/NYCParks/status/649650044036083712", "649650044036083712")</f>
        <v>0</v>
      </c>
      <c r="B2145" s="2">
        <v>42278.7640625</v>
      </c>
      <c r="C2145">
        <v>14</v>
      </c>
      <c r="D2145">
        <v>3</v>
      </c>
      <c r="E2145" t="s">
        <v>2145</v>
      </c>
    </row>
    <row r="2146" spans="1:5">
      <c r="A2146">
        <f>HYPERLINK("http://www.twitter.com/NYCParks/status/649632514466795520", "649632514466795520")</f>
        <v>0</v>
      </c>
      <c r="B2146" s="2">
        <v>42278.7156828704</v>
      </c>
      <c r="C2146">
        <v>13</v>
      </c>
      <c r="D2146">
        <v>4</v>
      </c>
      <c r="E2146" t="s">
        <v>2146</v>
      </c>
    </row>
    <row r="2147" spans="1:5">
      <c r="A2147">
        <f>HYPERLINK("http://www.twitter.com/NYCParks/status/649617712193400832", "649617712193400832")</f>
        <v>0</v>
      </c>
      <c r="B2147" s="2">
        <v>42278.674837963</v>
      </c>
      <c r="C2147">
        <v>38</v>
      </c>
      <c r="D2147">
        <v>36</v>
      </c>
      <c r="E2147" t="s">
        <v>2147</v>
      </c>
    </row>
    <row r="2148" spans="1:5">
      <c r="A2148">
        <f>HYPERLINK("http://www.twitter.com/NYCParks/status/649600241784778752", "649600241784778752")</f>
        <v>0</v>
      </c>
      <c r="B2148" s="2">
        <v>42278.6266319444</v>
      </c>
      <c r="C2148">
        <v>3</v>
      </c>
      <c r="D2148">
        <v>5</v>
      </c>
      <c r="E2148" t="s">
        <v>2148</v>
      </c>
    </row>
    <row r="2149" spans="1:5">
      <c r="A2149">
        <f>HYPERLINK("http://www.twitter.com/NYCParks/status/649311554786197504", "649311554786197504")</f>
        <v>0</v>
      </c>
      <c r="B2149" s="2">
        <v>42277.83</v>
      </c>
      <c r="C2149">
        <v>0</v>
      </c>
      <c r="D2149">
        <v>0</v>
      </c>
      <c r="E2149" t="s">
        <v>2149</v>
      </c>
    </row>
    <row r="2150" spans="1:5">
      <c r="A2150">
        <f>HYPERLINK("http://www.twitter.com/NYCParks/status/649297824790634500", "649297824790634500")</f>
        <v>0</v>
      </c>
      <c r="B2150" s="2">
        <v>42277.7921180556</v>
      </c>
      <c r="C2150">
        <v>5</v>
      </c>
      <c r="D2150">
        <v>3</v>
      </c>
      <c r="E2150" t="s">
        <v>2150</v>
      </c>
    </row>
    <row r="2151" spans="1:5">
      <c r="A2151">
        <f>HYPERLINK("http://www.twitter.com/NYCParks/status/649282628676358144", "649282628676358144")</f>
        <v>0</v>
      </c>
      <c r="B2151" s="2">
        <v>42277.7501851852</v>
      </c>
      <c r="C2151">
        <v>4</v>
      </c>
      <c r="D2151">
        <v>2</v>
      </c>
      <c r="E2151" t="s">
        <v>2151</v>
      </c>
    </row>
    <row r="2152" spans="1:5">
      <c r="A2152">
        <f>HYPERLINK("http://www.twitter.com/NYCParks/status/649268092896460800", "649268092896460800")</f>
        <v>0</v>
      </c>
      <c r="B2152" s="2">
        <v>42277.7100694444</v>
      </c>
      <c r="C2152">
        <v>4</v>
      </c>
      <c r="D2152">
        <v>5</v>
      </c>
      <c r="E2152" t="s">
        <v>2152</v>
      </c>
    </row>
    <row r="2153" spans="1:5">
      <c r="A2153">
        <f>HYPERLINK("http://www.twitter.com/NYCParks/status/649251943697805312", "649251943697805312")</f>
        <v>0</v>
      </c>
      <c r="B2153" s="2">
        <v>42277.6655092593</v>
      </c>
      <c r="C2153">
        <v>7</v>
      </c>
      <c r="D2153">
        <v>2</v>
      </c>
      <c r="E2153" t="s">
        <v>2153</v>
      </c>
    </row>
    <row r="2154" spans="1:5">
      <c r="A2154">
        <f>HYPERLINK("http://www.twitter.com/NYCParks/status/649234040978022400", "649234040978022400")</f>
        <v>0</v>
      </c>
      <c r="B2154" s="2">
        <v>42277.6161111111</v>
      </c>
      <c r="C2154">
        <v>11</v>
      </c>
      <c r="D2154">
        <v>12</v>
      </c>
      <c r="E2154" t="s">
        <v>2154</v>
      </c>
    </row>
    <row r="2155" spans="1:5">
      <c r="A2155">
        <f>HYPERLINK("http://www.twitter.com/NYCParks/status/648950766854664192", "648950766854664192")</f>
        <v>0</v>
      </c>
      <c r="B2155" s="2">
        <v>42276.8344212963</v>
      </c>
      <c r="C2155">
        <v>8</v>
      </c>
      <c r="D2155">
        <v>8</v>
      </c>
      <c r="E2155" t="s">
        <v>2155</v>
      </c>
    </row>
    <row r="2156" spans="1:5">
      <c r="A2156">
        <f>HYPERLINK("http://www.twitter.com/NYCParks/status/648932715887239169", "648932715887239169")</f>
        <v>0</v>
      </c>
      <c r="B2156" s="2">
        <v>42276.7846064815</v>
      </c>
      <c r="C2156">
        <v>13</v>
      </c>
      <c r="D2156">
        <v>14</v>
      </c>
      <c r="E2156" t="s">
        <v>2156</v>
      </c>
    </row>
    <row r="2157" spans="1:5">
      <c r="A2157">
        <f>HYPERLINK("http://www.twitter.com/NYCParks/status/648903202650353664", "648903202650353664")</f>
        <v>0</v>
      </c>
      <c r="B2157" s="2">
        <v>42276.7031712963</v>
      </c>
      <c r="C2157">
        <v>28</v>
      </c>
      <c r="D2157">
        <v>23</v>
      </c>
      <c r="E2157" t="s">
        <v>2157</v>
      </c>
    </row>
    <row r="2158" spans="1:5">
      <c r="A2158">
        <f>HYPERLINK("http://www.twitter.com/NYCParks/status/648888468391731200", "648888468391731200")</f>
        <v>0</v>
      </c>
      <c r="B2158" s="2">
        <v>42276.6625115741</v>
      </c>
      <c r="C2158">
        <v>9</v>
      </c>
      <c r="D2158">
        <v>8</v>
      </c>
      <c r="E2158" t="s">
        <v>2158</v>
      </c>
    </row>
    <row r="2159" spans="1:5">
      <c r="A2159">
        <f>HYPERLINK("http://www.twitter.com/NYCParks/status/648870611759013888", "648870611759013888")</f>
        <v>0</v>
      </c>
      <c r="B2159" s="2">
        <v>42276.6132291667</v>
      </c>
      <c r="C2159">
        <v>14</v>
      </c>
      <c r="D2159">
        <v>8</v>
      </c>
      <c r="E2159" t="s">
        <v>2159</v>
      </c>
    </row>
    <row r="2160" spans="1:5">
      <c r="A2160">
        <f>HYPERLINK("http://www.twitter.com/NYCParks/status/648864182310465536", "648864182310465536")</f>
        <v>0</v>
      </c>
      <c r="B2160" s="2">
        <v>42276.5954976852</v>
      </c>
      <c r="C2160">
        <v>0</v>
      </c>
      <c r="D2160">
        <v>0</v>
      </c>
      <c r="E2160" t="s">
        <v>2160</v>
      </c>
    </row>
    <row r="2161" spans="1:5">
      <c r="A2161">
        <f>HYPERLINK("http://www.twitter.com/NYCParks/status/648840195199135744", "648840195199135744")</f>
        <v>0</v>
      </c>
      <c r="B2161" s="2">
        <v>42276.5293055556</v>
      </c>
      <c r="C2161">
        <v>1</v>
      </c>
      <c r="D2161">
        <v>0</v>
      </c>
      <c r="E2161" t="s">
        <v>2161</v>
      </c>
    </row>
    <row r="2162" spans="1:5">
      <c r="A2162">
        <f>HYPERLINK("http://www.twitter.com/NYCParks/status/648586830061944832", "648586830061944832")</f>
        <v>0</v>
      </c>
      <c r="B2162" s="2">
        <v>42275.830150463</v>
      </c>
      <c r="C2162">
        <v>16</v>
      </c>
      <c r="D2162">
        <v>9</v>
      </c>
      <c r="E2162" t="s">
        <v>2162</v>
      </c>
    </row>
    <row r="2163" spans="1:5">
      <c r="A2163">
        <f>HYPERLINK("http://www.twitter.com/NYCParks/status/648563459840430080", "648563459840430080")</f>
        <v>0</v>
      </c>
      <c r="B2163" s="2">
        <v>42275.7656597222</v>
      </c>
      <c r="C2163">
        <v>6</v>
      </c>
      <c r="D2163">
        <v>3</v>
      </c>
      <c r="E2163" t="s">
        <v>2163</v>
      </c>
    </row>
    <row r="2164" spans="1:5">
      <c r="A2164">
        <f>HYPERLINK("http://www.twitter.com/NYCParks/status/648548759123718144", "648548759123718144")</f>
        <v>0</v>
      </c>
      <c r="B2164" s="2">
        <v>42275.7250925926</v>
      </c>
      <c r="C2164">
        <v>4</v>
      </c>
      <c r="D2164">
        <v>6</v>
      </c>
      <c r="E2164" t="s">
        <v>2164</v>
      </c>
    </row>
    <row r="2165" spans="1:5">
      <c r="A2165">
        <f>HYPERLINK("http://www.twitter.com/NYCParks/status/648533279239479296", "648533279239479296")</f>
        <v>0</v>
      </c>
      <c r="B2165" s="2">
        <v>42275.6823726852</v>
      </c>
      <c r="C2165">
        <v>6</v>
      </c>
      <c r="D2165">
        <v>4</v>
      </c>
      <c r="E2165" t="s">
        <v>2165</v>
      </c>
    </row>
    <row r="2166" spans="1:5">
      <c r="A2166">
        <f>HYPERLINK("http://www.twitter.com/NYCParks/status/648517592831913984", "648517592831913984")</f>
        <v>0</v>
      </c>
      <c r="B2166" s="2">
        <v>42275.6390856481</v>
      </c>
      <c r="C2166">
        <v>0</v>
      </c>
      <c r="D2166">
        <v>15</v>
      </c>
      <c r="E2166" t="s">
        <v>2166</v>
      </c>
    </row>
    <row r="2167" spans="1:5">
      <c r="A2167">
        <f>HYPERLINK("http://www.twitter.com/NYCParks/status/648501570968158208", "648501570968158208")</f>
        <v>0</v>
      </c>
      <c r="B2167" s="2">
        <v>42275.5948726852</v>
      </c>
      <c r="C2167">
        <v>19</v>
      </c>
      <c r="D2167">
        <v>11</v>
      </c>
      <c r="E2167" t="s">
        <v>2167</v>
      </c>
    </row>
    <row r="2168" spans="1:5">
      <c r="A2168">
        <f>HYPERLINK("http://www.twitter.com/NYCParks/status/647792503068995584", "647792503068995584")</f>
        <v>0</v>
      </c>
      <c r="B2168" s="2">
        <v>42273.6382175926</v>
      </c>
      <c r="C2168">
        <v>6</v>
      </c>
      <c r="D2168">
        <v>2</v>
      </c>
      <c r="E2168" t="s">
        <v>2168</v>
      </c>
    </row>
    <row r="2169" spans="1:5">
      <c r="A2169">
        <f>HYPERLINK("http://www.twitter.com/NYCParks/status/647788076153077760", "647788076153077760")</f>
        <v>0</v>
      </c>
      <c r="B2169" s="2">
        <v>42273.6260069444</v>
      </c>
      <c r="C2169">
        <v>5</v>
      </c>
      <c r="D2169">
        <v>3</v>
      </c>
      <c r="E2169" t="s">
        <v>2169</v>
      </c>
    </row>
    <row r="2170" spans="1:5">
      <c r="A2170">
        <f>HYPERLINK("http://www.twitter.com/NYCParks/status/647524386413629440", "647524386413629440")</f>
        <v>0</v>
      </c>
      <c r="B2170" s="2">
        <v>42272.8983564815</v>
      </c>
      <c r="C2170">
        <v>97</v>
      </c>
      <c r="D2170">
        <v>58</v>
      </c>
      <c r="E2170" t="s">
        <v>2170</v>
      </c>
    </row>
    <row r="2171" spans="1:5">
      <c r="A2171">
        <f>HYPERLINK("http://www.twitter.com/NYCParks/status/647487563293442048", "647487563293442048")</f>
        <v>0</v>
      </c>
      <c r="B2171" s="2">
        <v>42272.7967476852</v>
      </c>
      <c r="C2171">
        <v>16</v>
      </c>
      <c r="D2171">
        <v>11</v>
      </c>
      <c r="E2171" t="s">
        <v>2171</v>
      </c>
    </row>
    <row r="2172" spans="1:5">
      <c r="A2172">
        <f>HYPERLINK("http://www.twitter.com/NYCParks/status/647468878155505665", "647468878155505665")</f>
        <v>0</v>
      </c>
      <c r="B2172" s="2">
        <v>42272.7451851852</v>
      </c>
      <c r="C2172">
        <v>9</v>
      </c>
      <c r="D2172">
        <v>8</v>
      </c>
      <c r="E2172" t="s">
        <v>2172</v>
      </c>
    </row>
    <row r="2173" spans="1:5">
      <c r="A2173">
        <f>HYPERLINK("http://www.twitter.com/NYCParks/status/647437256190488576", "647437256190488576")</f>
        <v>0</v>
      </c>
      <c r="B2173" s="2">
        <v>42272.6579282407</v>
      </c>
      <c r="C2173">
        <v>0</v>
      </c>
      <c r="D2173">
        <v>540</v>
      </c>
      <c r="E2173" t="s">
        <v>2173</v>
      </c>
    </row>
    <row r="2174" spans="1:5">
      <c r="A2174">
        <f>HYPERLINK("http://www.twitter.com/NYCParks/status/647431298974400514", "647431298974400514")</f>
        <v>0</v>
      </c>
      <c r="B2174" s="2">
        <v>42272.6414930556</v>
      </c>
      <c r="C2174">
        <v>11</v>
      </c>
      <c r="D2174">
        <v>15</v>
      </c>
      <c r="E2174" t="s">
        <v>2174</v>
      </c>
    </row>
    <row r="2175" spans="1:5">
      <c r="A2175">
        <f>HYPERLINK("http://www.twitter.com/NYCParks/status/647421296683413504", "647421296683413504")</f>
        <v>0</v>
      </c>
      <c r="B2175" s="2">
        <v>42272.6138888889</v>
      </c>
      <c r="C2175">
        <v>0</v>
      </c>
      <c r="D2175">
        <v>32</v>
      </c>
      <c r="E2175" t="s">
        <v>2175</v>
      </c>
    </row>
    <row r="2176" spans="1:5">
      <c r="A2176">
        <f>HYPERLINK("http://www.twitter.com/NYCParks/status/647409861773410304", "647409861773410304")</f>
        <v>0</v>
      </c>
      <c r="B2176" s="2">
        <v>42272.5823263889</v>
      </c>
      <c r="C2176">
        <v>4</v>
      </c>
      <c r="D2176">
        <v>5</v>
      </c>
      <c r="E2176" t="s">
        <v>2176</v>
      </c>
    </row>
    <row r="2177" spans="1:5">
      <c r="A2177">
        <f>HYPERLINK("http://www.twitter.com/NYCParks/status/647401516417064960", "647401516417064960")</f>
        <v>0</v>
      </c>
      <c r="B2177" s="2">
        <v>42272.5593055556</v>
      </c>
      <c r="C2177">
        <v>0</v>
      </c>
      <c r="D2177">
        <v>0</v>
      </c>
      <c r="E2177" t="s">
        <v>2177</v>
      </c>
    </row>
    <row r="2178" spans="1:5">
      <c r="A2178">
        <f>HYPERLINK("http://www.twitter.com/NYCParks/status/647140807816949760", "647140807816949760")</f>
        <v>0</v>
      </c>
      <c r="B2178" s="2">
        <v>42271.8398842593</v>
      </c>
      <c r="C2178">
        <v>6</v>
      </c>
      <c r="D2178">
        <v>10</v>
      </c>
      <c r="E2178" t="s">
        <v>2178</v>
      </c>
    </row>
    <row r="2179" spans="1:5">
      <c r="A2179">
        <f>HYPERLINK("http://www.twitter.com/NYCParks/status/647127036805390336", "647127036805390336")</f>
        <v>0</v>
      </c>
      <c r="B2179" s="2">
        <v>42271.8018865741</v>
      </c>
      <c r="C2179">
        <v>18</v>
      </c>
      <c r="D2179">
        <v>8</v>
      </c>
      <c r="E2179" t="s">
        <v>2179</v>
      </c>
    </row>
    <row r="2180" spans="1:5">
      <c r="A2180">
        <f>HYPERLINK("http://www.twitter.com/NYCParks/status/647110288190345216", "647110288190345216")</f>
        <v>0</v>
      </c>
      <c r="B2180" s="2">
        <v>42271.7556712963</v>
      </c>
      <c r="C2180">
        <v>14</v>
      </c>
      <c r="D2180">
        <v>14</v>
      </c>
      <c r="E2180" t="s">
        <v>2180</v>
      </c>
    </row>
    <row r="2181" spans="1:5">
      <c r="A2181">
        <f>HYPERLINK("http://www.twitter.com/NYCParks/status/647098025173745664", "647098025173745664")</f>
        <v>0</v>
      </c>
      <c r="B2181" s="2">
        <v>42271.7218287037</v>
      </c>
      <c r="C2181">
        <v>4</v>
      </c>
      <c r="D2181">
        <v>2</v>
      </c>
      <c r="E2181" t="s">
        <v>2181</v>
      </c>
    </row>
    <row r="2182" spans="1:5">
      <c r="A2182">
        <f>HYPERLINK("http://www.twitter.com/NYCParks/status/647095431026114560", "647095431026114560")</f>
        <v>0</v>
      </c>
      <c r="B2182" s="2">
        <v>42271.7146643518</v>
      </c>
      <c r="C2182">
        <v>2</v>
      </c>
      <c r="D2182">
        <v>3</v>
      </c>
      <c r="E2182" t="s">
        <v>2182</v>
      </c>
    </row>
    <row r="2183" spans="1:5">
      <c r="A2183">
        <f>HYPERLINK("http://www.twitter.com/NYCParks/status/647091515743969280", "647091515743969280")</f>
        <v>0</v>
      </c>
      <c r="B2183" s="2">
        <v>42271.7038657407</v>
      </c>
      <c r="C2183">
        <v>17</v>
      </c>
      <c r="D2183">
        <v>7</v>
      </c>
      <c r="E2183" t="s">
        <v>2183</v>
      </c>
    </row>
    <row r="2184" spans="1:5">
      <c r="A2184">
        <f>HYPERLINK("http://www.twitter.com/NYCParks/status/647083081128628224", "647083081128628224")</f>
        <v>0</v>
      </c>
      <c r="B2184" s="2">
        <v>42271.6805902778</v>
      </c>
      <c r="C2184">
        <v>19</v>
      </c>
      <c r="D2184">
        <v>20</v>
      </c>
      <c r="E2184" t="s">
        <v>2184</v>
      </c>
    </row>
    <row r="2185" spans="1:5">
      <c r="A2185">
        <f>HYPERLINK("http://www.twitter.com/NYCParks/status/647068940846407681", "647068940846407681")</f>
        <v>0</v>
      </c>
      <c r="B2185" s="2">
        <v>42271.6415740741</v>
      </c>
      <c r="C2185">
        <v>0</v>
      </c>
      <c r="D2185">
        <v>183</v>
      </c>
      <c r="E2185" t="s">
        <v>2185</v>
      </c>
    </row>
    <row r="2186" spans="1:5">
      <c r="A2186">
        <f>HYPERLINK("http://www.twitter.com/NYCParks/status/647060201871396864", "647060201871396864")</f>
        <v>0</v>
      </c>
      <c r="B2186" s="2">
        <v>42271.6174537037</v>
      </c>
      <c r="C2186">
        <v>5</v>
      </c>
      <c r="D2186">
        <v>4</v>
      </c>
      <c r="E2186" t="s">
        <v>2186</v>
      </c>
    </row>
    <row r="2187" spans="1:5">
      <c r="A2187">
        <f>HYPERLINK("http://www.twitter.com/NYCParks/status/647052568800178176", "647052568800178176")</f>
        <v>0</v>
      </c>
      <c r="B2187" s="2">
        <v>42271.5963888889</v>
      </c>
      <c r="C2187">
        <v>0</v>
      </c>
      <c r="D2187">
        <v>0</v>
      </c>
      <c r="E2187" t="s">
        <v>2187</v>
      </c>
    </row>
    <row r="2188" spans="1:5">
      <c r="A2188">
        <f>HYPERLINK("http://www.twitter.com/NYCParks/status/646796626263064576", "646796626263064576")</f>
        <v>0</v>
      </c>
      <c r="B2188" s="2">
        <v>42270.8901273148</v>
      </c>
      <c r="C2188">
        <v>8</v>
      </c>
      <c r="D2188">
        <v>6</v>
      </c>
      <c r="E2188" t="s">
        <v>2188</v>
      </c>
    </row>
    <row r="2189" spans="1:5">
      <c r="A2189">
        <f>HYPERLINK("http://www.twitter.com/NYCParks/status/646781034340593667", "646781034340593667")</f>
        <v>0</v>
      </c>
      <c r="B2189" s="2">
        <v>42270.8470949074</v>
      </c>
      <c r="C2189">
        <v>6</v>
      </c>
      <c r="D2189">
        <v>4</v>
      </c>
      <c r="E2189" t="s">
        <v>2189</v>
      </c>
    </row>
    <row r="2190" spans="1:5">
      <c r="A2190">
        <f>HYPERLINK("http://www.twitter.com/NYCParks/status/646766741842980865", "646766741842980865")</f>
        <v>0</v>
      </c>
      <c r="B2190" s="2">
        <v>42270.807662037</v>
      </c>
      <c r="C2190">
        <v>1</v>
      </c>
      <c r="D2190">
        <v>0</v>
      </c>
      <c r="E2190" t="s">
        <v>2190</v>
      </c>
    </row>
    <row r="2191" spans="1:5">
      <c r="A2191">
        <f>HYPERLINK("http://www.twitter.com/NYCParks/status/646765399904788480", "646765399904788480")</f>
        <v>0</v>
      </c>
      <c r="B2191" s="2">
        <v>42270.8039583333</v>
      </c>
      <c r="C2191">
        <v>6</v>
      </c>
      <c r="D2191">
        <v>4</v>
      </c>
      <c r="E2191" t="s">
        <v>2191</v>
      </c>
    </row>
    <row r="2192" spans="1:5">
      <c r="A2192">
        <f>HYPERLINK("http://www.twitter.com/NYCParks/status/646748698886733824", "646748698886733824")</f>
        <v>0</v>
      </c>
      <c r="B2192" s="2">
        <v>42270.7578703704</v>
      </c>
      <c r="C2192">
        <v>8</v>
      </c>
      <c r="D2192">
        <v>4</v>
      </c>
      <c r="E2192" t="s">
        <v>2192</v>
      </c>
    </row>
    <row r="2193" spans="1:5">
      <c r="A2193">
        <f>HYPERLINK("http://www.twitter.com/NYCParks/status/646733355615170560", "646733355615170560")</f>
        <v>0</v>
      </c>
      <c r="B2193" s="2">
        <v>42270.7155324074</v>
      </c>
      <c r="C2193">
        <v>28</v>
      </c>
      <c r="D2193">
        <v>15</v>
      </c>
      <c r="E2193" t="s">
        <v>2193</v>
      </c>
    </row>
    <row r="2194" spans="1:5">
      <c r="A2194">
        <f>HYPERLINK("http://www.twitter.com/NYCParks/status/646718684929593345", "646718684929593345")</f>
        <v>0</v>
      </c>
      <c r="B2194" s="2">
        <v>42270.6750462963</v>
      </c>
      <c r="C2194">
        <v>16</v>
      </c>
      <c r="D2194">
        <v>6</v>
      </c>
      <c r="E2194" t="s">
        <v>2194</v>
      </c>
    </row>
    <row r="2195" spans="1:5">
      <c r="A2195">
        <f>HYPERLINK("http://www.twitter.com/NYCParks/status/646708581308461057", "646708581308461057")</f>
        <v>0</v>
      </c>
      <c r="B2195" s="2">
        <v>42270.6471643519</v>
      </c>
      <c r="C2195">
        <v>1</v>
      </c>
      <c r="D2195">
        <v>0</v>
      </c>
      <c r="E2195" t="s">
        <v>2195</v>
      </c>
    </row>
    <row r="2196" spans="1:5">
      <c r="A2196">
        <f>HYPERLINK("http://www.twitter.com/NYCParks/status/646696753954181120", "646696753954181120")</f>
        <v>0</v>
      </c>
      <c r="B2196" s="2">
        <v>42270.614525463</v>
      </c>
      <c r="C2196">
        <v>197</v>
      </c>
      <c r="D2196">
        <v>129</v>
      </c>
      <c r="E2196" t="s">
        <v>2196</v>
      </c>
    </row>
    <row r="2197" spans="1:5">
      <c r="A2197">
        <f>HYPERLINK("http://www.twitter.com/NYCParks/status/646396645186371588", "646396645186371588")</f>
        <v>0</v>
      </c>
      <c r="B2197" s="2">
        <v>42269.7863888889</v>
      </c>
      <c r="C2197">
        <v>3</v>
      </c>
      <c r="D2197">
        <v>8</v>
      </c>
      <c r="E2197" t="s">
        <v>2197</v>
      </c>
    </row>
    <row r="2198" spans="1:5">
      <c r="A2198">
        <f>HYPERLINK("http://www.twitter.com/NYCParks/status/646381723010375680", "646381723010375680")</f>
        <v>0</v>
      </c>
      <c r="B2198" s="2">
        <v>42269.7452083333</v>
      </c>
      <c r="C2198">
        <v>3</v>
      </c>
      <c r="D2198">
        <v>0</v>
      </c>
      <c r="E2198" t="s">
        <v>2198</v>
      </c>
    </row>
    <row r="2199" spans="1:5">
      <c r="A2199">
        <f>HYPERLINK("http://www.twitter.com/NYCParks/status/646375599834050560", "646375599834050560")</f>
        <v>0</v>
      </c>
      <c r="B2199" s="2">
        <v>42269.7283101852</v>
      </c>
      <c r="C2199">
        <v>34</v>
      </c>
      <c r="D2199">
        <v>24</v>
      </c>
      <c r="E2199" t="s">
        <v>2199</v>
      </c>
    </row>
    <row r="2200" spans="1:5">
      <c r="A2200">
        <f>HYPERLINK("http://www.twitter.com/NYCParks/status/646359060216946688", "646359060216946688")</f>
        <v>0</v>
      </c>
      <c r="B2200" s="2">
        <v>42269.6826736111</v>
      </c>
      <c r="C2200">
        <v>5</v>
      </c>
      <c r="D2200">
        <v>5</v>
      </c>
      <c r="E2200" t="s">
        <v>2200</v>
      </c>
    </row>
    <row r="2201" spans="1:5">
      <c r="A2201">
        <f>HYPERLINK("http://www.twitter.com/NYCParks/status/646348891873538048", "646348891873538048")</f>
        <v>0</v>
      </c>
      <c r="B2201" s="2">
        <v>42269.6546180556</v>
      </c>
      <c r="C2201">
        <v>0</v>
      </c>
      <c r="D2201">
        <v>0</v>
      </c>
      <c r="E2201" t="s">
        <v>2201</v>
      </c>
    </row>
    <row r="2202" spans="1:5">
      <c r="A2202">
        <f>HYPERLINK("http://www.twitter.com/NYCParks/status/646343628420423680", "646343628420423680")</f>
        <v>0</v>
      </c>
      <c r="B2202" s="2">
        <v>42269.6400925926</v>
      </c>
      <c r="C2202">
        <v>26</v>
      </c>
      <c r="D2202">
        <v>14</v>
      </c>
      <c r="E2202" t="s">
        <v>2202</v>
      </c>
    </row>
    <row r="2203" spans="1:5">
      <c r="A2203">
        <f>HYPERLINK("http://www.twitter.com/NYCParks/status/646329990854877184", "646329990854877184")</f>
        <v>0</v>
      </c>
      <c r="B2203" s="2">
        <v>42269.6024537037</v>
      </c>
      <c r="C2203">
        <v>20</v>
      </c>
      <c r="D2203">
        <v>20</v>
      </c>
      <c r="E2203" t="s">
        <v>2203</v>
      </c>
    </row>
    <row r="2204" spans="1:5">
      <c r="A2204">
        <f>HYPERLINK("http://www.twitter.com/NYCParks/status/646326192933617664", "646326192933617664")</f>
        <v>0</v>
      </c>
      <c r="B2204" s="2">
        <v>42269.5919791667</v>
      </c>
      <c r="C2204">
        <v>0</v>
      </c>
      <c r="D2204">
        <v>0</v>
      </c>
      <c r="E2204" t="s">
        <v>2204</v>
      </c>
    </row>
    <row r="2205" spans="1:5">
      <c r="A2205">
        <f>HYPERLINK("http://www.twitter.com/NYCParks/status/646309845273063424", "646309845273063424")</f>
        <v>0</v>
      </c>
      <c r="B2205" s="2">
        <v>42269.5468634259</v>
      </c>
      <c r="C2205">
        <v>9</v>
      </c>
      <c r="D2205">
        <v>6</v>
      </c>
      <c r="E2205" t="s">
        <v>2205</v>
      </c>
    </row>
    <row r="2206" spans="1:5">
      <c r="A2206">
        <f>HYPERLINK("http://www.twitter.com/NYCParks/status/646080371365421056", "646080371365421056")</f>
        <v>0</v>
      </c>
      <c r="B2206" s="2">
        <v>42268.9136342593</v>
      </c>
      <c r="C2206">
        <v>1</v>
      </c>
      <c r="D2206">
        <v>0</v>
      </c>
      <c r="E2206" t="s">
        <v>2206</v>
      </c>
    </row>
    <row r="2207" spans="1:5">
      <c r="A2207">
        <f>HYPERLINK("http://www.twitter.com/NYCParks/status/646070294583623680", "646070294583623680")</f>
        <v>0</v>
      </c>
      <c r="B2207" s="2">
        <v>42268.8858333333</v>
      </c>
      <c r="C2207">
        <v>1</v>
      </c>
      <c r="D2207">
        <v>1</v>
      </c>
      <c r="E2207" t="s">
        <v>2207</v>
      </c>
    </row>
    <row r="2208" spans="1:5">
      <c r="A2208">
        <f>HYPERLINK("http://www.twitter.com/NYCParks/status/646069621414600704", "646069621414600704")</f>
        <v>0</v>
      </c>
      <c r="B2208" s="2">
        <v>42268.8839699074</v>
      </c>
      <c r="C2208">
        <v>1</v>
      </c>
      <c r="D2208">
        <v>1</v>
      </c>
      <c r="E2208" t="s">
        <v>2208</v>
      </c>
    </row>
    <row r="2209" spans="1:5">
      <c r="A2209">
        <f>HYPERLINK("http://www.twitter.com/NYCParks/status/646069218883014656", "646069218883014656")</f>
        <v>0</v>
      </c>
      <c r="B2209" s="2">
        <v>42268.8828587963</v>
      </c>
      <c r="C2209">
        <v>0</v>
      </c>
      <c r="D2209">
        <v>0</v>
      </c>
      <c r="E2209" t="s">
        <v>2209</v>
      </c>
    </row>
    <row r="2210" spans="1:5">
      <c r="A2210">
        <f>HYPERLINK("http://www.twitter.com/NYCParks/status/646050239800066048", "646050239800066048")</f>
        <v>0</v>
      </c>
      <c r="B2210" s="2">
        <v>42268.8304861111</v>
      </c>
      <c r="C2210">
        <v>0</v>
      </c>
      <c r="D2210">
        <v>0</v>
      </c>
      <c r="E2210" t="s">
        <v>2210</v>
      </c>
    </row>
    <row r="2211" spans="1:5">
      <c r="A2211">
        <f>HYPERLINK("http://www.twitter.com/NYCParks/status/646033021892751360", "646033021892751360")</f>
        <v>0</v>
      </c>
      <c r="B2211" s="2">
        <v>42268.782974537</v>
      </c>
      <c r="C2211">
        <v>14</v>
      </c>
      <c r="D2211">
        <v>17</v>
      </c>
      <c r="E2211" t="s">
        <v>2211</v>
      </c>
    </row>
    <row r="2212" spans="1:5">
      <c r="A2212">
        <f>HYPERLINK("http://www.twitter.com/NYCParks/status/646022468231143424", "646022468231143424")</f>
        <v>0</v>
      </c>
      <c r="B2212" s="2">
        <v>42268.7538541667</v>
      </c>
      <c r="C2212">
        <v>0</v>
      </c>
      <c r="D2212">
        <v>35</v>
      </c>
      <c r="E2212" t="s">
        <v>2212</v>
      </c>
    </row>
    <row r="2213" spans="1:5">
      <c r="A2213">
        <f>HYPERLINK("http://www.twitter.com/NYCParks/status/646007440434184192", "646007440434184192")</f>
        <v>0</v>
      </c>
      <c r="B2213" s="2">
        <v>42268.7123842593</v>
      </c>
      <c r="C2213">
        <v>19</v>
      </c>
      <c r="D2213">
        <v>15</v>
      </c>
      <c r="E2213" t="s">
        <v>2213</v>
      </c>
    </row>
    <row r="2214" spans="1:5">
      <c r="A2214">
        <f>HYPERLINK("http://www.twitter.com/NYCParks/status/645989927952453633", "645989927952453633")</f>
        <v>0</v>
      </c>
      <c r="B2214" s="2">
        <v>42268.6640625</v>
      </c>
      <c r="C2214">
        <v>10</v>
      </c>
      <c r="D2214">
        <v>7</v>
      </c>
      <c r="E2214" t="s">
        <v>2214</v>
      </c>
    </row>
    <row r="2215" spans="1:5">
      <c r="A2215">
        <f>HYPERLINK("http://www.twitter.com/NYCParks/status/645971622072045568", "645971622072045568")</f>
        <v>0</v>
      </c>
      <c r="B2215" s="2">
        <v>42268.6135416667</v>
      </c>
      <c r="C2215">
        <v>8</v>
      </c>
      <c r="D2215">
        <v>10</v>
      </c>
      <c r="E2215" t="s">
        <v>2215</v>
      </c>
    </row>
    <row r="2216" spans="1:5">
      <c r="A2216">
        <f>HYPERLINK("http://www.twitter.com/NYCParks/status/645761885900537856", "645761885900537856")</f>
        <v>0</v>
      </c>
      <c r="B2216" s="2">
        <v>42268.0347800926</v>
      </c>
      <c r="C2216">
        <v>0</v>
      </c>
      <c r="D2216">
        <v>0</v>
      </c>
      <c r="E2216" t="s">
        <v>2216</v>
      </c>
    </row>
    <row r="2217" spans="1:5">
      <c r="A2217">
        <f>HYPERLINK("http://www.twitter.com/NYCParks/status/644972229256708096", "644972229256708096")</f>
        <v>0</v>
      </c>
      <c r="B2217" s="2">
        <v>42265.8557523148</v>
      </c>
      <c r="C2217">
        <v>14</v>
      </c>
      <c r="D2217">
        <v>22</v>
      </c>
      <c r="E2217" t="s">
        <v>2217</v>
      </c>
    </row>
    <row r="2218" spans="1:5">
      <c r="A2218">
        <f>HYPERLINK("http://www.twitter.com/NYCParks/status/644925181518069760", "644925181518069760")</f>
        <v>0</v>
      </c>
      <c r="B2218" s="2">
        <v>42265.7259259259</v>
      </c>
      <c r="C2218">
        <v>27</v>
      </c>
      <c r="D2218">
        <v>15</v>
      </c>
      <c r="E2218" t="s">
        <v>2218</v>
      </c>
    </row>
    <row r="2219" spans="1:5">
      <c r="A2219">
        <f>HYPERLINK("http://www.twitter.com/NYCParks/status/644908416218083328", "644908416218083328")</f>
        <v>0</v>
      </c>
      <c r="B2219" s="2">
        <v>42265.6796527778</v>
      </c>
      <c r="C2219">
        <v>19</v>
      </c>
      <c r="D2219">
        <v>17</v>
      </c>
      <c r="E2219" t="s">
        <v>2219</v>
      </c>
    </row>
    <row r="2220" spans="1:5">
      <c r="A2220">
        <f>HYPERLINK("http://www.twitter.com/NYCParks/status/644899097980370944", "644899097980370944")</f>
        <v>0</v>
      </c>
      <c r="B2220" s="2">
        <v>42265.6539467593</v>
      </c>
      <c r="C2220">
        <v>0</v>
      </c>
      <c r="D2220">
        <v>9</v>
      </c>
      <c r="E2220" t="s">
        <v>2220</v>
      </c>
    </row>
    <row r="2221" spans="1:5">
      <c r="A2221">
        <f>HYPERLINK("http://www.twitter.com/NYCParks/status/644882110348722176", "644882110348722176")</f>
        <v>0</v>
      </c>
      <c r="B2221" s="2">
        <v>42265.6070717593</v>
      </c>
      <c r="C2221">
        <v>10</v>
      </c>
      <c r="D2221">
        <v>11</v>
      </c>
      <c r="E2221" t="s">
        <v>2221</v>
      </c>
    </row>
    <row r="2222" spans="1:5">
      <c r="A2222">
        <f>HYPERLINK("http://www.twitter.com/NYCParks/status/644579240655069184", "644579240655069184")</f>
        <v>0</v>
      </c>
      <c r="B2222" s="2">
        <v>42264.7713078704</v>
      </c>
      <c r="C2222">
        <v>9</v>
      </c>
      <c r="D2222">
        <v>8</v>
      </c>
      <c r="E2222" t="s">
        <v>2222</v>
      </c>
    </row>
    <row r="2223" spans="1:5">
      <c r="A2223">
        <f>HYPERLINK("http://www.twitter.com/NYCParks/status/644563919663665156", "644563919663665156")</f>
        <v>0</v>
      </c>
      <c r="B2223" s="2">
        <v>42264.7290277778</v>
      </c>
      <c r="C2223">
        <v>16</v>
      </c>
      <c r="D2223">
        <v>11</v>
      </c>
      <c r="E2223" t="s">
        <v>2223</v>
      </c>
    </row>
    <row r="2224" spans="1:5">
      <c r="A2224">
        <f>HYPERLINK("http://www.twitter.com/NYCParks/status/644549774625087488", "644549774625087488")</f>
        <v>0</v>
      </c>
      <c r="B2224" s="2">
        <v>42264.69</v>
      </c>
      <c r="C2224">
        <v>5</v>
      </c>
      <c r="D2224">
        <v>5</v>
      </c>
      <c r="E2224" t="s">
        <v>2224</v>
      </c>
    </row>
    <row r="2225" spans="1:5">
      <c r="A2225">
        <f>HYPERLINK("http://www.twitter.com/NYCParks/status/644528820914122753", "644528820914122753")</f>
        <v>0</v>
      </c>
      <c r="B2225" s="2">
        <v>42264.6321759259</v>
      </c>
      <c r="C2225">
        <v>15</v>
      </c>
      <c r="D2225">
        <v>4</v>
      </c>
      <c r="E2225" t="s">
        <v>2225</v>
      </c>
    </row>
    <row r="2226" spans="1:5">
      <c r="A2226">
        <f>HYPERLINK("http://www.twitter.com/NYCParks/status/644514234437640192", "644514234437640192")</f>
        <v>0</v>
      </c>
      <c r="B2226" s="2">
        <v>42264.5919212963</v>
      </c>
      <c r="C2226">
        <v>13</v>
      </c>
      <c r="D2226">
        <v>14</v>
      </c>
      <c r="E2226" t="s">
        <v>2226</v>
      </c>
    </row>
    <row r="2227" spans="1:5">
      <c r="A2227">
        <f>HYPERLINK("http://www.twitter.com/NYCParks/status/644248380026163200", "644248380026163200")</f>
        <v>0</v>
      </c>
      <c r="B2227" s="2">
        <v>42263.8583101852</v>
      </c>
      <c r="C2227">
        <v>1</v>
      </c>
      <c r="D2227">
        <v>1</v>
      </c>
      <c r="E2227" t="s">
        <v>2227</v>
      </c>
    </row>
    <row r="2228" spans="1:5">
      <c r="A2228">
        <f>HYPERLINK("http://www.twitter.com/NYCParks/status/644237223580274688", "644237223580274688")</f>
        <v>0</v>
      </c>
      <c r="B2228" s="2">
        <v>42263.8275231481</v>
      </c>
      <c r="C2228">
        <v>14</v>
      </c>
      <c r="D2228">
        <v>9</v>
      </c>
      <c r="E2228" t="s">
        <v>2228</v>
      </c>
    </row>
    <row r="2229" spans="1:5">
      <c r="A2229">
        <f>HYPERLINK("http://www.twitter.com/NYCParks/status/644233210185056256", "644233210185056256")</f>
        <v>0</v>
      </c>
      <c r="B2229" s="2">
        <v>42263.8164467593</v>
      </c>
      <c r="C2229">
        <v>2</v>
      </c>
      <c r="D2229">
        <v>1</v>
      </c>
      <c r="E2229" t="s">
        <v>2229</v>
      </c>
    </row>
    <row r="2230" spans="1:5">
      <c r="A2230">
        <f>HYPERLINK("http://www.twitter.com/NYCParks/status/644220639281291264", "644220639281291264")</f>
        <v>0</v>
      </c>
      <c r="B2230" s="2">
        <v>42263.7817592593</v>
      </c>
      <c r="C2230">
        <v>4</v>
      </c>
      <c r="D2230">
        <v>4</v>
      </c>
      <c r="E2230" t="s">
        <v>2230</v>
      </c>
    </row>
    <row r="2231" spans="1:5">
      <c r="A2231">
        <f>HYPERLINK("http://www.twitter.com/NYCParks/status/644203522666401792", "644203522666401792")</f>
        <v>0</v>
      </c>
      <c r="B2231" s="2">
        <v>42263.734525463</v>
      </c>
      <c r="C2231">
        <v>19</v>
      </c>
      <c r="D2231">
        <v>10</v>
      </c>
      <c r="E2231" t="s">
        <v>2231</v>
      </c>
    </row>
    <row r="2232" spans="1:5">
      <c r="A2232">
        <f>HYPERLINK("http://www.twitter.com/NYCParks/status/644189400268718084", "644189400268718084")</f>
        <v>0</v>
      </c>
      <c r="B2232" s="2">
        <v>42263.6955555556</v>
      </c>
      <c r="C2232">
        <v>8</v>
      </c>
      <c r="D2232">
        <v>6</v>
      </c>
      <c r="E2232" t="s">
        <v>2232</v>
      </c>
    </row>
    <row r="2233" spans="1:5">
      <c r="A2233">
        <f>HYPERLINK("http://www.twitter.com/NYCParks/status/644173455009652736", "644173455009652736")</f>
        <v>0</v>
      </c>
      <c r="B2233" s="2">
        <v>42263.6515509259</v>
      </c>
      <c r="C2233">
        <v>7</v>
      </c>
      <c r="D2233">
        <v>8</v>
      </c>
      <c r="E2233" t="s">
        <v>2233</v>
      </c>
    </row>
    <row r="2234" spans="1:5">
      <c r="A2234">
        <f>HYPERLINK("http://www.twitter.com/NYCParks/status/644157839536189440", "644157839536189440")</f>
        <v>0</v>
      </c>
      <c r="B2234" s="2">
        <v>42263.6084606481</v>
      </c>
      <c r="C2234">
        <v>6</v>
      </c>
      <c r="D2234">
        <v>2</v>
      </c>
      <c r="E2234" t="s">
        <v>2234</v>
      </c>
    </row>
    <row r="2235" spans="1:5">
      <c r="A2235">
        <f>HYPERLINK("http://www.twitter.com/NYCParks/status/643868117333114880", "643868117333114880")</f>
        <v>0</v>
      </c>
      <c r="B2235" s="2">
        <v>42262.8089814815</v>
      </c>
      <c r="C2235">
        <v>21</v>
      </c>
      <c r="D2235">
        <v>18</v>
      </c>
      <c r="E2235" t="s">
        <v>2235</v>
      </c>
    </row>
    <row r="2236" spans="1:5">
      <c r="A2236">
        <f>HYPERLINK("http://www.twitter.com/NYCParks/status/643861482317459457", "643861482317459457")</f>
        <v>0</v>
      </c>
      <c r="B2236" s="2">
        <v>42262.7906712963</v>
      </c>
      <c r="C2236">
        <v>29</v>
      </c>
      <c r="D2236">
        <v>17</v>
      </c>
      <c r="E2236" t="s">
        <v>2236</v>
      </c>
    </row>
    <row r="2237" spans="1:5">
      <c r="A2237">
        <f>HYPERLINK("http://www.twitter.com/NYCParks/status/643838773558661120", "643838773558661120")</f>
        <v>0</v>
      </c>
      <c r="B2237" s="2">
        <v>42262.7280092593</v>
      </c>
      <c r="C2237">
        <v>0</v>
      </c>
      <c r="D2237">
        <v>11</v>
      </c>
      <c r="E2237" t="s">
        <v>2237</v>
      </c>
    </row>
    <row r="2238" spans="1:5">
      <c r="A2238">
        <f>HYPERLINK("http://www.twitter.com/NYCParks/status/643825616429649920", "643825616429649920")</f>
        <v>0</v>
      </c>
      <c r="B2238" s="2">
        <v>42262.6917013889</v>
      </c>
      <c r="C2238">
        <v>17</v>
      </c>
      <c r="D2238">
        <v>9</v>
      </c>
      <c r="E2238" t="s">
        <v>2238</v>
      </c>
    </row>
    <row r="2239" spans="1:5">
      <c r="A2239">
        <f>HYPERLINK("http://www.twitter.com/NYCParks/status/643811921918066688", "643811921918066688")</f>
        <v>0</v>
      </c>
      <c r="B2239" s="2">
        <v>42262.653912037</v>
      </c>
      <c r="C2239">
        <v>11</v>
      </c>
      <c r="D2239">
        <v>10</v>
      </c>
      <c r="E2239" t="s">
        <v>2239</v>
      </c>
    </row>
    <row r="2240" spans="1:5">
      <c r="A2240">
        <f>HYPERLINK("http://www.twitter.com/NYCParks/status/643794997515546624", "643794997515546624")</f>
        <v>0</v>
      </c>
      <c r="B2240" s="2">
        <v>42262.6072106482</v>
      </c>
      <c r="C2240">
        <v>15</v>
      </c>
      <c r="D2240">
        <v>15</v>
      </c>
      <c r="E2240" t="s">
        <v>2240</v>
      </c>
    </row>
    <row r="2241" spans="1:5">
      <c r="A2241">
        <f>HYPERLINK("http://www.twitter.com/NYCParks/status/643790671040671744", "643790671040671744")</f>
        <v>0</v>
      </c>
      <c r="B2241" s="2">
        <v>42262.5952662037</v>
      </c>
      <c r="C2241">
        <v>6</v>
      </c>
      <c r="D2241">
        <v>3</v>
      </c>
      <c r="E2241" t="s">
        <v>2241</v>
      </c>
    </row>
    <row r="2242" spans="1:5">
      <c r="A2242">
        <f>HYPERLINK("http://www.twitter.com/NYCParks/status/643769325174788096", "643769325174788096")</f>
        <v>0</v>
      </c>
      <c r="B2242" s="2">
        <v>42262.5363657407</v>
      </c>
      <c r="C2242">
        <v>21</v>
      </c>
      <c r="D2242">
        <v>20</v>
      </c>
      <c r="E2242" t="s">
        <v>2242</v>
      </c>
    </row>
    <row r="2243" spans="1:5">
      <c r="A2243">
        <f>HYPERLINK("http://www.twitter.com/NYCParks/status/643756546636296192", "643756546636296192")</f>
        <v>0</v>
      </c>
      <c r="B2243" s="2">
        <v>42262.501099537</v>
      </c>
      <c r="C2243">
        <v>0</v>
      </c>
      <c r="D2243">
        <v>0</v>
      </c>
      <c r="E2243" t="s">
        <v>2243</v>
      </c>
    </row>
    <row r="2244" spans="1:5">
      <c r="A2244">
        <f>HYPERLINK("http://www.twitter.com/NYCParks/status/643756457599606784", "643756457599606784")</f>
        <v>0</v>
      </c>
      <c r="B2244" s="2">
        <v>42262.5008564815</v>
      </c>
      <c r="C2244">
        <v>0</v>
      </c>
      <c r="D2244">
        <v>0</v>
      </c>
      <c r="E2244" t="s">
        <v>2244</v>
      </c>
    </row>
    <row r="2245" spans="1:5">
      <c r="A2245">
        <f>HYPERLINK("http://www.twitter.com/NYCParks/status/643756420207366144", "643756420207366144")</f>
        <v>0</v>
      </c>
      <c r="B2245" s="2">
        <v>42262.5007523148</v>
      </c>
      <c r="C2245">
        <v>0</v>
      </c>
      <c r="D2245">
        <v>0</v>
      </c>
      <c r="E2245" t="s">
        <v>2245</v>
      </c>
    </row>
    <row r="2246" spans="1:5">
      <c r="A2246">
        <f>HYPERLINK("http://www.twitter.com/NYCParks/status/643756384086032384", "643756384086032384")</f>
        <v>0</v>
      </c>
      <c r="B2246" s="2">
        <v>42262.5006597222</v>
      </c>
      <c r="C2246">
        <v>0</v>
      </c>
      <c r="D2246">
        <v>0</v>
      </c>
      <c r="E2246" t="s">
        <v>2246</v>
      </c>
    </row>
    <row r="2247" spans="1:5">
      <c r="A2247">
        <f>HYPERLINK("http://www.twitter.com/NYCParks/status/643514424163221505", "643514424163221505")</f>
        <v>0</v>
      </c>
      <c r="B2247" s="2">
        <v>42261.832974537</v>
      </c>
      <c r="C2247">
        <v>6</v>
      </c>
      <c r="D2247">
        <v>11</v>
      </c>
      <c r="E2247" t="s">
        <v>2247</v>
      </c>
    </row>
    <row r="2248" spans="1:5">
      <c r="A2248">
        <f>HYPERLINK("http://www.twitter.com/NYCParks/status/643501308427796480", "643501308427796480")</f>
        <v>0</v>
      </c>
      <c r="B2248" s="2">
        <v>42261.7967824074</v>
      </c>
      <c r="C2248">
        <v>9</v>
      </c>
      <c r="D2248">
        <v>14</v>
      </c>
      <c r="E2248" t="s">
        <v>2248</v>
      </c>
    </row>
    <row r="2249" spans="1:5">
      <c r="A2249">
        <f>HYPERLINK("http://www.twitter.com/NYCParks/status/643487320059047936", "643487320059047936")</f>
        <v>0</v>
      </c>
      <c r="B2249" s="2">
        <v>42261.7581828704</v>
      </c>
      <c r="C2249">
        <v>12</v>
      </c>
      <c r="D2249">
        <v>13</v>
      </c>
      <c r="E2249" t="s">
        <v>2249</v>
      </c>
    </row>
    <row r="2250" spans="1:5">
      <c r="A2250">
        <f>HYPERLINK("http://www.twitter.com/NYCParks/status/643469583953870848", "643469583953870848")</f>
        <v>0</v>
      </c>
      <c r="B2250" s="2">
        <v>42261.7092361111</v>
      </c>
      <c r="C2250">
        <v>3</v>
      </c>
      <c r="D2250">
        <v>3</v>
      </c>
      <c r="E2250" t="s">
        <v>2250</v>
      </c>
    </row>
    <row r="2251" spans="1:5">
      <c r="A2251">
        <f>HYPERLINK("http://www.twitter.com/NYCParks/status/643456945681211392", "643456945681211392")</f>
        <v>0</v>
      </c>
      <c r="B2251" s="2">
        <v>42261.6743634259</v>
      </c>
      <c r="C2251">
        <v>12</v>
      </c>
      <c r="D2251">
        <v>7</v>
      </c>
      <c r="E2251" t="s">
        <v>2251</v>
      </c>
    </row>
    <row r="2252" spans="1:5">
      <c r="A2252">
        <f>HYPERLINK("http://www.twitter.com/NYCParks/status/643439567404711936", "643439567404711936")</f>
        <v>0</v>
      </c>
      <c r="B2252" s="2">
        <v>42261.626412037</v>
      </c>
      <c r="C2252">
        <v>12</v>
      </c>
      <c r="D2252">
        <v>12</v>
      </c>
      <c r="E2252" t="s">
        <v>2252</v>
      </c>
    </row>
    <row r="2253" spans="1:5">
      <c r="A2253">
        <f>HYPERLINK("http://www.twitter.com/NYCParks/status/643431182332493825", "643431182332493825")</f>
        <v>0</v>
      </c>
      <c r="B2253" s="2">
        <v>42261.6032638889</v>
      </c>
      <c r="C2253">
        <v>0</v>
      </c>
      <c r="D2253">
        <v>0</v>
      </c>
      <c r="E2253" t="s">
        <v>2253</v>
      </c>
    </row>
    <row r="2254" spans="1:5">
      <c r="A2254">
        <f>HYPERLINK("http://www.twitter.com/NYCParks/status/642411207400538113", "642411207400538113")</f>
        <v>0</v>
      </c>
      <c r="B2254" s="2">
        <v>42258.7886689815</v>
      </c>
      <c r="C2254">
        <v>9</v>
      </c>
      <c r="D2254">
        <v>12</v>
      </c>
      <c r="E2254" t="s">
        <v>2254</v>
      </c>
    </row>
    <row r="2255" spans="1:5">
      <c r="A2255">
        <f>HYPERLINK("http://www.twitter.com/NYCParks/status/642393266168721409", "642393266168721409")</f>
        <v>0</v>
      </c>
      <c r="B2255" s="2">
        <v>42258.7391666667</v>
      </c>
      <c r="C2255">
        <v>24</v>
      </c>
      <c r="D2255">
        <v>16</v>
      </c>
      <c r="E2255" t="s">
        <v>2255</v>
      </c>
    </row>
    <row r="2256" spans="1:5">
      <c r="A2256">
        <f>HYPERLINK("http://www.twitter.com/NYCParks/status/642379529281998848", "642379529281998848")</f>
        <v>0</v>
      </c>
      <c r="B2256" s="2">
        <v>42258.7012615741</v>
      </c>
      <c r="C2256">
        <v>22</v>
      </c>
      <c r="D2256">
        <v>14</v>
      </c>
      <c r="E2256" t="s">
        <v>2256</v>
      </c>
    </row>
    <row r="2257" spans="1:5">
      <c r="A2257">
        <f>HYPERLINK("http://www.twitter.com/NYCParks/status/642368378989117440", "642368378989117440")</f>
        <v>0</v>
      </c>
      <c r="B2257" s="2">
        <v>42258.6704861111</v>
      </c>
      <c r="C2257">
        <v>1</v>
      </c>
      <c r="D2257">
        <v>0</v>
      </c>
      <c r="E2257" t="s">
        <v>2257</v>
      </c>
    </row>
    <row r="2258" spans="1:5">
      <c r="A2258">
        <f>HYPERLINK("http://www.twitter.com/NYCParks/status/642362994492579840", "642362994492579840")</f>
        <v>0</v>
      </c>
      <c r="B2258" s="2">
        <v>42258.6556365741</v>
      </c>
      <c r="C2258">
        <v>19</v>
      </c>
      <c r="D2258">
        <v>20</v>
      </c>
      <c r="E2258" t="s">
        <v>2258</v>
      </c>
    </row>
    <row r="2259" spans="1:5">
      <c r="A2259">
        <f>HYPERLINK("http://www.twitter.com/NYCParks/status/642337792375304192", "642337792375304192")</f>
        <v>0</v>
      </c>
      <c r="B2259" s="2">
        <v>42258.586087963</v>
      </c>
      <c r="C2259">
        <v>0</v>
      </c>
      <c r="D2259">
        <v>891</v>
      </c>
      <c r="E2259" t="s">
        <v>2259</v>
      </c>
    </row>
    <row r="2260" spans="1:5">
      <c r="A2260">
        <f>HYPERLINK("http://www.twitter.com/NYCParks/status/642063837160673280", "642063837160673280")</f>
        <v>0</v>
      </c>
      <c r="B2260" s="2">
        <v>42257.8301157407</v>
      </c>
      <c r="C2260">
        <v>14</v>
      </c>
      <c r="D2260">
        <v>8</v>
      </c>
      <c r="E2260" t="s">
        <v>2260</v>
      </c>
    </row>
    <row r="2261" spans="1:5">
      <c r="A2261">
        <f>HYPERLINK("http://www.twitter.com/NYCParks/status/642044822472249344", "642044822472249344")</f>
        <v>0</v>
      </c>
      <c r="B2261" s="2">
        <v>42257.7776388889</v>
      </c>
      <c r="C2261">
        <v>7</v>
      </c>
      <c r="D2261">
        <v>8</v>
      </c>
      <c r="E2261" t="s">
        <v>2261</v>
      </c>
    </row>
    <row r="2262" spans="1:5">
      <c r="A2262">
        <f>HYPERLINK("http://www.twitter.com/NYCParks/status/642027252302106624", "642027252302106624")</f>
        <v>0</v>
      </c>
      <c r="B2262" s="2">
        <v>42257.7291550926</v>
      </c>
      <c r="C2262">
        <v>14</v>
      </c>
      <c r="D2262">
        <v>8</v>
      </c>
      <c r="E2262" t="s">
        <v>2262</v>
      </c>
    </row>
    <row r="2263" spans="1:5">
      <c r="A2263">
        <f>HYPERLINK("http://www.twitter.com/NYCParks/status/642005949520211968", "642005949520211968")</f>
        <v>0</v>
      </c>
      <c r="B2263" s="2">
        <v>42257.6703703704</v>
      </c>
      <c r="C2263">
        <v>19</v>
      </c>
      <c r="D2263">
        <v>12</v>
      </c>
      <c r="E2263" t="s">
        <v>2263</v>
      </c>
    </row>
    <row r="2264" spans="1:5">
      <c r="A2264">
        <f>HYPERLINK("http://www.twitter.com/NYCParks/status/641992922448199681", "641992922448199681")</f>
        <v>0</v>
      </c>
      <c r="B2264" s="2">
        <v>42257.6344328704</v>
      </c>
      <c r="C2264">
        <v>7</v>
      </c>
      <c r="D2264">
        <v>3</v>
      </c>
      <c r="E2264" t="s">
        <v>2264</v>
      </c>
    </row>
    <row r="2265" spans="1:5">
      <c r="A2265">
        <f>HYPERLINK("http://www.twitter.com/NYCParks/status/641981329022812161", "641981329022812161")</f>
        <v>0</v>
      </c>
      <c r="B2265" s="2">
        <v>42257.6024305556</v>
      </c>
      <c r="C2265">
        <v>0</v>
      </c>
      <c r="D2265">
        <v>0</v>
      </c>
      <c r="E2265" t="s">
        <v>2265</v>
      </c>
    </row>
    <row r="2266" spans="1:5">
      <c r="A2266">
        <f>HYPERLINK("http://www.twitter.com/NYCParks/status/641973658248970240", "641973658248970240")</f>
        <v>0</v>
      </c>
      <c r="B2266" s="2">
        <v>42257.5812731481</v>
      </c>
      <c r="C2266">
        <v>0</v>
      </c>
      <c r="D2266">
        <v>0</v>
      </c>
      <c r="E2266" t="s">
        <v>2266</v>
      </c>
    </row>
    <row r="2267" spans="1:5">
      <c r="A2267">
        <f>HYPERLINK("http://www.twitter.com/NYCParks/status/641973348210184192", "641973348210184192")</f>
        <v>0</v>
      </c>
      <c r="B2267" s="2">
        <v>42257.5804166667</v>
      </c>
      <c r="C2267">
        <v>12</v>
      </c>
      <c r="D2267">
        <v>6</v>
      </c>
      <c r="E2267" t="s">
        <v>2267</v>
      </c>
    </row>
    <row r="2268" spans="1:5">
      <c r="A2268">
        <f>HYPERLINK("http://www.twitter.com/NYCParks/status/641694626282360832", "641694626282360832")</f>
        <v>0</v>
      </c>
      <c r="B2268" s="2">
        <v>42256.8112847222</v>
      </c>
      <c r="C2268">
        <v>0</v>
      </c>
      <c r="D2268">
        <v>13</v>
      </c>
      <c r="E2268" t="s">
        <v>2268</v>
      </c>
    </row>
    <row r="2269" spans="1:5">
      <c r="A2269">
        <f>HYPERLINK("http://www.twitter.com/NYCParks/status/641674227591028736", "641674227591028736")</f>
        <v>0</v>
      </c>
      <c r="B2269" s="2">
        <v>42256.755</v>
      </c>
      <c r="C2269">
        <v>8</v>
      </c>
      <c r="D2269">
        <v>3</v>
      </c>
      <c r="E2269" t="s">
        <v>2269</v>
      </c>
    </row>
    <row r="2270" spans="1:5">
      <c r="A2270">
        <f>HYPERLINK("http://www.twitter.com/NYCParks/status/641661886648459264", "641661886648459264")</f>
        <v>0</v>
      </c>
      <c r="B2270" s="2">
        <v>42256.7209375</v>
      </c>
      <c r="C2270">
        <v>1</v>
      </c>
      <c r="D2270">
        <v>0</v>
      </c>
      <c r="E2270" t="s">
        <v>2270</v>
      </c>
    </row>
    <row r="2271" spans="1:5">
      <c r="A2271">
        <f>HYPERLINK("http://www.twitter.com/NYCParks/status/641661866473848833", "641661866473848833")</f>
        <v>0</v>
      </c>
      <c r="B2271" s="2">
        <v>42256.7208912037</v>
      </c>
      <c r="C2271">
        <v>1</v>
      </c>
      <c r="D2271">
        <v>0</v>
      </c>
      <c r="E2271" t="s">
        <v>2271</v>
      </c>
    </row>
    <row r="2272" spans="1:5">
      <c r="A2272">
        <f>HYPERLINK("http://www.twitter.com/NYCParks/status/641656324439318528", "641656324439318528")</f>
        <v>0</v>
      </c>
      <c r="B2272" s="2">
        <v>42256.7055902778</v>
      </c>
      <c r="C2272">
        <v>2</v>
      </c>
      <c r="D2272">
        <v>2</v>
      </c>
      <c r="E2272" t="s">
        <v>2272</v>
      </c>
    </row>
    <row r="2273" spans="1:5">
      <c r="A2273">
        <f>HYPERLINK("http://www.twitter.com/NYCParks/status/641637154926497794", "641637154926497794")</f>
        <v>0</v>
      </c>
      <c r="B2273" s="2">
        <v>42256.6526967593</v>
      </c>
      <c r="C2273">
        <v>9</v>
      </c>
      <c r="D2273">
        <v>7</v>
      </c>
      <c r="E2273" t="s">
        <v>2273</v>
      </c>
    </row>
    <row r="2274" spans="1:5">
      <c r="A2274">
        <f>HYPERLINK("http://www.twitter.com/NYCParks/status/641618084009234432", "641618084009234432")</f>
        <v>0</v>
      </c>
      <c r="B2274" s="2">
        <v>42256.6000694444</v>
      </c>
      <c r="C2274">
        <v>9</v>
      </c>
      <c r="D2274">
        <v>11</v>
      </c>
      <c r="E2274" t="s">
        <v>2274</v>
      </c>
    </row>
    <row r="2275" spans="1:5">
      <c r="A2275">
        <f>HYPERLINK("http://www.twitter.com/NYCParks/status/641332429823823873", "641332429823823873")</f>
        <v>0</v>
      </c>
      <c r="B2275" s="2">
        <v>42255.8118171296</v>
      </c>
      <c r="C2275">
        <v>8</v>
      </c>
      <c r="D2275">
        <v>8</v>
      </c>
      <c r="E2275" t="s">
        <v>2275</v>
      </c>
    </row>
    <row r="2276" spans="1:5">
      <c r="A2276">
        <f>HYPERLINK("http://www.twitter.com/NYCParks/status/641317841447337984", "641317841447337984")</f>
        <v>0</v>
      </c>
      <c r="B2276" s="2">
        <v>42255.7715625</v>
      </c>
      <c r="C2276">
        <v>12</v>
      </c>
      <c r="D2276">
        <v>4</v>
      </c>
      <c r="E2276" t="s">
        <v>2276</v>
      </c>
    </row>
    <row r="2277" spans="1:5">
      <c r="A2277">
        <f>HYPERLINK("http://www.twitter.com/NYCParks/status/641303763643449344", "641303763643449344")</f>
        <v>0</v>
      </c>
      <c r="B2277" s="2">
        <v>42255.7327083333</v>
      </c>
      <c r="C2277">
        <v>8</v>
      </c>
      <c r="D2277">
        <v>6</v>
      </c>
      <c r="E2277" t="s">
        <v>2277</v>
      </c>
    </row>
    <row r="2278" spans="1:5">
      <c r="A2278">
        <f>HYPERLINK("http://www.twitter.com/NYCParks/status/641290094905806849", "641290094905806849")</f>
        <v>0</v>
      </c>
      <c r="B2278" s="2">
        <v>42255.6949884259</v>
      </c>
      <c r="C2278">
        <v>9</v>
      </c>
      <c r="D2278">
        <v>6</v>
      </c>
      <c r="E2278" t="s">
        <v>2278</v>
      </c>
    </row>
    <row r="2279" spans="1:5">
      <c r="A2279">
        <f>HYPERLINK("http://www.twitter.com/NYCParks/status/641289392993234944", "641289392993234944")</f>
        <v>0</v>
      </c>
      <c r="B2279" s="2">
        <v>42255.6930555556</v>
      </c>
      <c r="C2279">
        <v>8</v>
      </c>
      <c r="D2279">
        <v>9</v>
      </c>
      <c r="E2279" t="s">
        <v>2279</v>
      </c>
    </row>
    <row r="2280" spans="1:5">
      <c r="A2280">
        <f>HYPERLINK("http://www.twitter.com/NYCParks/status/641277606483111936", "641277606483111936")</f>
        <v>0</v>
      </c>
      <c r="B2280" s="2">
        <v>42255.6605324074</v>
      </c>
      <c r="C2280">
        <v>0</v>
      </c>
      <c r="D2280">
        <v>0</v>
      </c>
      <c r="E2280" t="s">
        <v>2280</v>
      </c>
    </row>
    <row r="2281" spans="1:5">
      <c r="A2281">
        <f>HYPERLINK("http://www.twitter.com/NYCParks/status/641273855311486976", "641273855311486976")</f>
        <v>0</v>
      </c>
      <c r="B2281" s="2">
        <v>42255.6501851852</v>
      </c>
      <c r="C2281">
        <v>13</v>
      </c>
      <c r="D2281">
        <v>19</v>
      </c>
      <c r="E2281" t="s">
        <v>2281</v>
      </c>
    </row>
    <row r="2282" spans="1:5">
      <c r="A2282">
        <f>HYPERLINK("http://www.twitter.com/NYCParks/status/641258628159307776", "641258628159307776")</f>
        <v>0</v>
      </c>
      <c r="B2282" s="2">
        <v>42255.6081597222</v>
      </c>
      <c r="C2282">
        <v>11</v>
      </c>
      <c r="D2282">
        <v>1</v>
      </c>
      <c r="E2282" t="s">
        <v>2282</v>
      </c>
    </row>
    <row r="2283" spans="1:5">
      <c r="A2283">
        <f>HYPERLINK("http://www.twitter.com/NYCParks/status/639894084438654979", "639894084438654979")</f>
        <v>0</v>
      </c>
      <c r="B2283" s="2">
        <v>42251.8427430556</v>
      </c>
      <c r="C2283">
        <v>18</v>
      </c>
      <c r="D2283">
        <v>13</v>
      </c>
      <c r="E2283" t="s">
        <v>2283</v>
      </c>
    </row>
    <row r="2284" spans="1:5">
      <c r="A2284">
        <f>HYPERLINK("http://www.twitter.com/NYCParks/status/639875048283709440", "639875048283709440")</f>
        <v>0</v>
      </c>
      <c r="B2284" s="2">
        <v>42251.7902083333</v>
      </c>
      <c r="C2284">
        <v>8</v>
      </c>
      <c r="D2284">
        <v>13</v>
      </c>
      <c r="E2284" t="s">
        <v>2284</v>
      </c>
    </row>
    <row r="2285" spans="1:5">
      <c r="A2285">
        <f>HYPERLINK("http://www.twitter.com/NYCParks/status/639858558952206336", "639858558952206336")</f>
        <v>0</v>
      </c>
      <c r="B2285" s="2">
        <v>42251.7447106481</v>
      </c>
      <c r="C2285">
        <v>30</v>
      </c>
      <c r="D2285">
        <v>26</v>
      </c>
      <c r="E2285" t="s">
        <v>2285</v>
      </c>
    </row>
    <row r="2286" spans="1:5">
      <c r="A2286">
        <f>HYPERLINK("http://www.twitter.com/NYCParks/status/639840815326609409", "639840815326609409")</f>
        <v>0</v>
      </c>
      <c r="B2286" s="2">
        <v>42251.6957407407</v>
      </c>
      <c r="C2286">
        <v>19</v>
      </c>
      <c r="D2286">
        <v>13</v>
      </c>
      <c r="E2286" t="s">
        <v>2286</v>
      </c>
    </row>
    <row r="2287" spans="1:5">
      <c r="A2287">
        <f>HYPERLINK("http://www.twitter.com/NYCParks/status/639828577744252929", "639828577744252929")</f>
        <v>0</v>
      </c>
      <c r="B2287" s="2">
        <v>42251.6619791667</v>
      </c>
      <c r="C2287">
        <v>4</v>
      </c>
      <c r="D2287">
        <v>1</v>
      </c>
      <c r="E2287" t="s">
        <v>2287</v>
      </c>
    </row>
    <row r="2288" spans="1:5">
      <c r="A2288">
        <f>HYPERLINK("http://www.twitter.com/NYCParks/status/639812425060102144", "639812425060102144")</f>
        <v>0</v>
      </c>
      <c r="B2288" s="2">
        <v>42251.6173958333</v>
      </c>
      <c r="C2288">
        <v>23</v>
      </c>
      <c r="D2288">
        <v>21</v>
      </c>
      <c r="E2288" t="s">
        <v>2288</v>
      </c>
    </row>
    <row r="2289" spans="1:5">
      <c r="A2289">
        <f>HYPERLINK("http://www.twitter.com/NYCParks/status/639540382011912192", "639540382011912192")</f>
        <v>0</v>
      </c>
      <c r="B2289" s="2">
        <v>42250.8667013889</v>
      </c>
      <c r="C2289">
        <v>16</v>
      </c>
      <c r="D2289">
        <v>15</v>
      </c>
      <c r="E2289" t="s">
        <v>2289</v>
      </c>
    </row>
    <row r="2290" spans="1:5">
      <c r="A2290">
        <f>HYPERLINK("http://www.twitter.com/NYCParks/status/639524556181516288", "639524556181516288")</f>
        <v>0</v>
      </c>
      <c r="B2290" s="2">
        <v>42250.8230324074</v>
      </c>
      <c r="C2290">
        <v>11</v>
      </c>
      <c r="D2290">
        <v>5</v>
      </c>
      <c r="E2290" t="s">
        <v>2290</v>
      </c>
    </row>
    <row r="2291" spans="1:5">
      <c r="A2291">
        <f>HYPERLINK("http://www.twitter.com/NYCParks/status/639508988279816192", "639508988279816192")</f>
        <v>0</v>
      </c>
      <c r="B2291" s="2">
        <v>42250.7800694444</v>
      </c>
      <c r="C2291">
        <v>7</v>
      </c>
      <c r="D2291">
        <v>3</v>
      </c>
      <c r="E2291" t="s">
        <v>2291</v>
      </c>
    </row>
    <row r="2292" spans="1:5">
      <c r="A2292">
        <f>HYPERLINK("http://www.twitter.com/NYCParks/status/639491824814583808", "639491824814583808")</f>
        <v>0</v>
      </c>
      <c r="B2292" s="2">
        <v>42250.7327083333</v>
      </c>
      <c r="C2292">
        <v>20</v>
      </c>
      <c r="D2292">
        <v>10</v>
      </c>
      <c r="E2292" t="s">
        <v>2292</v>
      </c>
    </row>
    <row r="2293" spans="1:5">
      <c r="A2293">
        <f>HYPERLINK("http://www.twitter.com/NYCParks/status/639474762209697792", "639474762209697792")</f>
        <v>0</v>
      </c>
      <c r="B2293" s="2">
        <v>42250.685625</v>
      </c>
      <c r="C2293">
        <v>16</v>
      </c>
      <c r="D2293">
        <v>11</v>
      </c>
      <c r="E2293" t="s">
        <v>2293</v>
      </c>
    </row>
    <row r="2294" spans="1:5">
      <c r="A2294">
        <f>HYPERLINK("http://www.twitter.com/NYCParks/status/639459382154162176", "639459382154162176")</f>
        <v>0</v>
      </c>
      <c r="B2294" s="2">
        <v>42250.6431828704</v>
      </c>
      <c r="C2294">
        <v>17</v>
      </c>
      <c r="D2294">
        <v>12</v>
      </c>
      <c r="E2294" t="s">
        <v>2294</v>
      </c>
    </row>
    <row r="2295" spans="1:5">
      <c r="A2295">
        <f>HYPERLINK("http://www.twitter.com/NYCParks/status/639441661794353152", "639441661794353152")</f>
        <v>0</v>
      </c>
      <c r="B2295" s="2">
        <v>42250.5942939815</v>
      </c>
      <c r="C2295">
        <v>16</v>
      </c>
      <c r="D2295">
        <v>9</v>
      </c>
      <c r="E2295" t="s">
        <v>2295</v>
      </c>
    </row>
    <row r="2296" spans="1:5">
      <c r="A2296">
        <f>HYPERLINK("http://www.twitter.com/NYCParks/status/639438595909095424", "639438595909095424")</f>
        <v>0</v>
      </c>
      <c r="B2296" s="2">
        <v>42250.5858333333</v>
      </c>
      <c r="C2296">
        <v>1</v>
      </c>
      <c r="D2296">
        <v>0</v>
      </c>
      <c r="E2296" t="s">
        <v>2296</v>
      </c>
    </row>
    <row r="2297" spans="1:5">
      <c r="A2297">
        <f>HYPERLINK("http://www.twitter.com/NYCParks/status/639438340010418176", "639438340010418176")</f>
        <v>0</v>
      </c>
      <c r="B2297" s="2">
        <v>42250.5851273148</v>
      </c>
      <c r="C2297">
        <v>1</v>
      </c>
      <c r="D2297">
        <v>0</v>
      </c>
      <c r="E2297" t="s">
        <v>2297</v>
      </c>
    </row>
    <row r="2298" spans="1:5">
      <c r="A2298">
        <f>HYPERLINK("http://www.twitter.com/NYCParks/status/639195623330328576", "639195623330328576")</f>
        <v>0</v>
      </c>
      <c r="B2298" s="2">
        <v>42249.9153472222</v>
      </c>
      <c r="C2298">
        <v>0</v>
      </c>
      <c r="D2298">
        <v>0</v>
      </c>
      <c r="E2298" t="s">
        <v>2298</v>
      </c>
    </row>
    <row r="2299" spans="1:5">
      <c r="A2299">
        <f>HYPERLINK("http://www.twitter.com/NYCParks/status/639195584444923904", "639195584444923904")</f>
        <v>0</v>
      </c>
      <c r="B2299" s="2">
        <v>42249.9152430556</v>
      </c>
      <c r="C2299">
        <v>0</v>
      </c>
      <c r="D2299">
        <v>0</v>
      </c>
      <c r="E2299" t="s">
        <v>2299</v>
      </c>
    </row>
    <row r="2300" spans="1:5">
      <c r="A2300">
        <f>HYPERLINK("http://www.twitter.com/NYCParks/status/639189568906993664", "639189568906993664")</f>
        <v>0</v>
      </c>
      <c r="B2300" s="2">
        <v>42249.8986458333</v>
      </c>
      <c r="C2300">
        <v>0</v>
      </c>
      <c r="D2300">
        <v>0</v>
      </c>
      <c r="E2300" t="s">
        <v>2300</v>
      </c>
    </row>
    <row r="2301" spans="1:5">
      <c r="A2301">
        <f>HYPERLINK("http://www.twitter.com/NYCParks/status/639179488044150784", "639179488044150784")</f>
        <v>0</v>
      </c>
      <c r="B2301" s="2">
        <v>42249.8708217593</v>
      </c>
      <c r="C2301">
        <v>12</v>
      </c>
      <c r="D2301">
        <v>11</v>
      </c>
      <c r="E2301" t="s">
        <v>2301</v>
      </c>
    </row>
    <row r="2302" spans="1:5">
      <c r="A2302">
        <f>HYPERLINK("http://www.twitter.com/NYCParks/status/639168711732133889", "639168711732133889")</f>
        <v>0</v>
      </c>
      <c r="B2302" s="2">
        <v>42249.841087963</v>
      </c>
      <c r="C2302">
        <v>1</v>
      </c>
      <c r="D2302">
        <v>1</v>
      </c>
      <c r="E2302" t="s">
        <v>2302</v>
      </c>
    </row>
    <row r="2303" spans="1:5">
      <c r="A2303">
        <f>HYPERLINK("http://www.twitter.com/NYCParks/status/639151795772747776", "639151795772747776")</f>
        <v>0</v>
      </c>
      <c r="B2303" s="2">
        <v>42249.7944097222</v>
      </c>
      <c r="C2303">
        <v>0</v>
      </c>
      <c r="D2303">
        <v>0</v>
      </c>
      <c r="E2303" t="s">
        <v>2303</v>
      </c>
    </row>
    <row r="2304" spans="1:5">
      <c r="A2304">
        <f>HYPERLINK("http://www.twitter.com/NYCParks/status/639149440780107776", "639149440780107776")</f>
        <v>0</v>
      </c>
      <c r="B2304" s="2">
        <v>42249.7879166667</v>
      </c>
      <c r="C2304">
        <v>0</v>
      </c>
      <c r="D2304">
        <v>0</v>
      </c>
      <c r="E2304" t="s">
        <v>2304</v>
      </c>
    </row>
    <row r="2305" spans="1:5">
      <c r="A2305">
        <f>HYPERLINK("http://www.twitter.com/NYCParks/status/639147375936806913", "639147375936806913")</f>
        <v>0</v>
      </c>
      <c r="B2305" s="2">
        <v>42249.7822106481</v>
      </c>
      <c r="C2305">
        <v>1</v>
      </c>
      <c r="D2305">
        <v>1</v>
      </c>
      <c r="E2305" t="s">
        <v>2305</v>
      </c>
    </row>
    <row r="2306" spans="1:5">
      <c r="A2306">
        <f>HYPERLINK("http://www.twitter.com/NYCParks/status/639146091225743360", "639146091225743360")</f>
        <v>0</v>
      </c>
      <c r="B2306" s="2">
        <v>42249.7786689815</v>
      </c>
      <c r="C2306">
        <v>0</v>
      </c>
      <c r="D2306">
        <v>5</v>
      </c>
      <c r="E2306" t="s">
        <v>2306</v>
      </c>
    </row>
    <row r="2307" spans="1:5">
      <c r="A2307">
        <f>HYPERLINK("http://www.twitter.com/NYCParks/status/639141401427595264", "639141401427595264")</f>
        <v>0</v>
      </c>
      <c r="B2307" s="2">
        <v>42249.7657291667</v>
      </c>
      <c r="C2307">
        <v>8</v>
      </c>
      <c r="D2307">
        <v>3</v>
      </c>
      <c r="E2307" t="s">
        <v>2307</v>
      </c>
    </row>
    <row r="2308" spans="1:5">
      <c r="A2308">
        <f>HYPERLINK("http://www.twitter.com/NYCParks/status/639138711754682368", "639138711754682368")</f>
        <v>0</v>
      </c>
      <c r="B2308" s="2">
        <v>42249.7583101852</v>
      </c>
      <c r="C2308">
        <v>11</v>
      </c>
      <c r="D2308">
        <v>7</v>
      </c>
      <c r="E2308" t="s">
        <v>2308</v>
      </c>
    </row>
    <row r="2309" spans="1:5">
      <c r="A2309">
        <f>HYPERLINK("http://www.twitter.com/NYCParks/status/639130510208446464", "639130510208446464")</f>
        <v>0</v>
      </c>
      <c r="B2309" s="2">
        <v>42249.7356712963</v>
      </c>
      <c r="C2309">
        <v>12</v>
      </c>
      <c r="D2309">
        <v>9</v>
      </c>
      <c r="E2309" t="s">
        <v>2309</v>
      </c>
    </row>
    <row r="2310" spans="1:5">
      <c r="A2310">
        <f>HYPERLINK("http://www.twitter.com/NYCParks/status/639117473011384320", "639117473011384320")</f>
        <v>0</v>
      </c>
      <c r="B2310" s="2">
        <v>42249.6996990741</v>
      </c>
      <c r="C2310">
        <v>19</v>
      </c>
      <c r="D2310">
        <v>20</v>
      </c>
      <c r="E2310" t="s">
        <v>2310</v>
      </c>
    </row>
    <row r="2311" spans="1:5">
      <c r="A2311">
        <f>HYPERLINK("http://www.twitter.com/NYCParks/status/639099619612471296", "639099619612471296")</f>
        <v>0</v>
      </c>
      <c r="B2311" s="2">
        <v>42249.6504282407</v>
      </c>
      <c r="C2311">
        <v>8</v>
      </c>
      <c r="D2311">
        <v>3</v>
      </c>
      <c r="E2311" t="s">
        <v>2311</v>
      </c>
    </row>
    <row r="2312" spans="1:5">
      <c r="A2312">
        <f>HYPERLINK("http://www.twitter.com/NYCParks/status/639085040715083776", "639085040715083776")</f>
        <v>0</v>
      </c>
      <c r="B2312" s="2">
        <v>42249.6101967593</v>
      </c>
      <c r="C2312">
        <v>24</v>
      </c>
      <c r="D2312">
        <v>7</v>
      </c>
      <c r="E2312" t="s">
        <v>2312</v>
      </c>
    </row>
    <row r="2313" spans="1:5">
      <c r="A2313">
        <f>HYPERLINK("http://www.twitter.com/NYCParks/status/638811869306875905", "638811869306875905")</f>
        <v>0</v>
      </c>
      <c r="B2313" s="2">
        <v>42248.8563888889</v>
      </c>
      <c r="C2313">
        <v>0</v>
      </c>
      <c r="D2313">
        <v>0</v>
      </c>
      <c r="E2313" t="s">
        <v>2313</v>
      </c>
    </row>
    <row r="2314" spans="1:5">
      <c r="A2314">
        <f>HYPERLINK("http://www.twitter.com/NYCParks/status/638811750016647168", "638811750016647168")</f>
        <v>0</v>
      </c>
      <c r="B2314" s="2">
        <v>42248.8560648148</v>
      </c>
      <c r="C2314">
        <v>0</v>
      </c>
      <c r="D2314">
        <v>0</v>
      </c>
      <c r="E2314" t="s">
        <v>2314</v>
      </c>
    </row>
    <row r="2315" spans="1:5">
      <c r="A2315">
        <f>HYPERLINK("http://www.twitter.com/NYCParks/status/638811598103179265", "638811598103179265")</f>
        <v>0</v>
      </c>
      <c r="B2315" s="2">
        <v>42248.8556481482</v>
      </c>
      <c r="C2315">
        <v>0</v>
      </c>
      <c r="D2315">
        <v>0</v>
      </c>
      <c r="E2315" t="s">
        <v>2315</v>
      </c>
    </row>
    <row r="2316" spans="1:5">
      <c r="A2316">
        <f>HYPERLINK("http://www.twitter.com/NYCParks/status/638811391256850437", "638811391256850437")</f>
        <v>0</v>
      </c>
      <c r="B2316" s="2">
        <v>42248.8550694444</v>
      </c>
      <c r="C2316">
        <v>0</v>
      </c>
      <c r="D2316">
        <v>0</v>
      </c>
      <c r="E2316" t="s">
        <v>2316</v>
      </c>
    </row>
    <row r="2317" spans="1:5">
      <c r="A2317">
        <f>HYPERLINK("http://www.twitter.com/NYCParks/status/638811240282853376", "638811240282853376")</f>
        <v>0</v>
      </c>
      <c r="B2317" s="2">
        <v>42248.8546527778</v>
      </c>
      <c r="C2317">
        <v>0</v>
      </c>
      <c r="D2317">
        <v>0</v>
      </c>
      <c r="E2317" t="s">
        <v>2317</v>
      </c>
    </row>
    <row r="2318" spans="1:5">
      <c r="A2318">
        <f>HYPERLINK("http://www.twitter.com/NYCParks/status/638810520544509952", "638810520544509952")</f>
        <v>0</v>
      </c>
      <c r="B2318" s="2">
        <v>42248.8526736111</v>
      </c>
      <c r="C2318">
        <v>0</v>
      </c>
      <c r="D2318">
        <v>1</v>
      </c>
      <c r="E2318" t="s">
        <v>2318</v>
      </c>
    </row>
    <row r="2319" spans="1:5">
      <c r="A2319">
        <f>HYPERLINK("http://www.twitter.com/NYCParks/status/638810492694331401", "638810492694331401")</f>
        <v>0</v>
      </c>
      <c r="B2319" s="2">
        <v>42248.8525925926</v>
      </c>
      <c r="C2319">
        <v>0</v>
      </c>
      <c r="D2319">
        <v>0</v>
      </c>
      <c r="E2319" t="s">
        <v>2319</v>
      </c>
    </row>
    <row r="2320" spans="1:5">
      <c r="A2320">
        <f>HYPERLINK("http://www.twitter.com/NYCParks/status/638810469428559873", "638810469428559873")</f>
        <v>0</v>
      </c>
      <c r="B2320" s="2">
        <v>42248.8525347222</v>
      </c>
      <c r="C2320">
        <v>0</v>
      </c>
      <c r="D2320">
        <v>0</v>
      </c>
      <c r="E2320" t="s">
        <v>2320</v>
      </c>
    </row>
    <row r="2321" spans="1:5">
      <c r="A2321">
        <f>HYPERLINK("http://www.twitter.com/NYCParks/status/638810268982747136", "638810268982747136")</f>
        <v>0</v>
      </c>
      <c r="B2321" s="2">
        <v>42248.8519791667</v>
      </c>
      <c r="C2321">
        <v>1</v>
      </c>
      <c r="D2321">
        <v>1</v>
      </c>
      <c r="E2321" t="s">
        <v>2321</v>
      </c>
    </row>
    <row r="2322" spans="1:5">
      <c r="A2322">
        <f>HYPERLINK("http://www.twitter.com/NYCParks/status/638810248078360576", "638810248078360576")</f>
        <v>0</v>
      </c>
      <c r="B2322" s="2">
        <v>42248.8519212963</v>
      </c>
      <c r="C2322">
        <v>0</v>
      </c>
      <c r="D2322">
        <v>0</v>
      </c>
      <c r="E2322" t="s">
        <v>2322</v>
      </c>
    </row>
    <row r="2323" spans="1:5">
      <c r="A2323">
        <f>HYPERLINK("http://www.twitter.com/NYCParks/status/638810209335529472", "638810209335529472")</f>
        <v>0</v>
      </c>
      <c r="B2323" s="2">
        <v>42248.8518171296</v>
      </c>
      <c r="C2323">
        <v>0</v>
      </c>
      <c r="D2323">
        <v>0</v>
      </c>
      <c r="E2323" t="s">
        <v>2323</v>
      </c>
    </row>
    <row r="2324" spans="1:5">
      <c r="A2324">
        <f>HYPERLINK("http://www.twitter.com/NYCParks/status/638809530088980480", "638809530088980480")</f>
        <v>0</v>
      </c>
      <c r="B2324" s="2">
        <v>42248.8499421296</v>
      </c>
      <c r="C2324">
        <v>0</v>
      </c>
      <c r="D2324">
        <v>0</v>
      </c>
      <c r="E2324" t="s">
        <v>2324</v>
      </c>
    </row>
    <row r="2325" spans="1:5">
      <c r="A2325">
        <f>HYPERLINK("http://www.twitter.com/NYCParks/status/638809276824309760", "638809276824309760")</f>
        <v>0</v>
      </c>
      <c r="B2325" s="2">
        <v>42248.8492361111</v>
      </c>
      <c r="C2325">
        <v>0</v>
      </c>
      <c r="D2325">
        <v>0</v>
      </c>
      <c r="E2325" t="s">
        <v>2325</v>
      </c>
    </row>
    <row r="2326" spans="1:5">
      <c r="A2326">
        <f>HYPERLINK("http://www.twitter.com/NYCParks/status/638809211879727104", "638809211879727104")</f>
        <v>0</v>
      </c>
      <c r="B2326" s="2">
        <v>42248.8490625</v>
      </c>
      <c r="C2326">
        <v>0</v>
      </c>
      <c r="D2326">
        <v>0</v>
      </c>
      <c r="E2326" t="s">
        <v>2326</v>
      </c>
    </row>
    <row r="2327" spans="1:5">
      <c r="A2327">
        <f>HYPERLINK("http://www.twitter.com/NYCParks/status/638808940072038400", "638808940072038400")</f>
        <v>0</v>
      </c>
      <c r="B2327" s="2">
        <v>42248.8483101852</v>
      </c>
      <c r="C2327">
        <v>0</v>
      </c>
      <c r="D2327">
        <v>0</v>
      </c>
      <c r="E2327" t="s">
        <v>2327</v>
      </c>
    </row>
    <row r="2328" spans="1:5">
      <c r="A2328">
        <f>HYPERLINK("http://www.twitter.com/NYCParks/status/638808906400141313", "638808906400141313")</f>
        <v>0</v>
      </c>
      <c r="B2328" s="2">
        <v>42248.8482175926</v>
      </c>
      <c r="C2328">
        <v>0</v>
      </c>
      <c r="D2328">
        <v>0</v>
      </c>
      <c r="E2328" t="s">
        <v>2328</v>
      </c>
    </row>
    <row r="2329" spans="1:5">
      <c r="A2329">
        <f>HYPERLINK("http://www.twitter.com/NYCParks/status/638808894572261376", "638808894572261376")</f>
        <v>0</v>
      </c>
      <c r="B2329" s="2">
        <v>42248.8481828704</v>
      </c>
      <c r="C2329">
        <v>0</v>
      </c>
      <c r="D2329">
        <v>0</v>
      </c>
      <c r="E2329" t="s">
        <v>2329</v>
      </c>
    </row>
    <row r="2330" spans="1:5">
      <c r="A2330">
        <f>HYPERLINK("http://www.twitter.com/NYCParks/status/638808711201472512", "638808711201472512")</f>
        <v>0</v>
      </c>
      <c r="B2330" s="2">
        <v>42248.8476736111</v>
      </c>
      <c r="C2330">
        <v>0</v>
      </c>
      <c r="D2330">
        <v>0</v>
      </c>
      <c r="E2330" t="s">
        <v>2330</v>
      </c>
    </row>
    <row r="2331" spans="1:5">
      <c r="A2331">
        <f>HYPERLINK("http://www.twitter.com/NYCParks/status/638808678783713281", "638808678783713281")</f>
        <v>0</v>
      </c>
      <c r="B2331" s="2">
        <v>42248.8475925926</v>
      </c>
      <c r="C2331">
        <v>0</v>
      </c>
      <c r="D2331">
        <v>0</v>
      </c>
      <c r="E2331" t="s">
        <v>2331</v>
      </c>
    </row>
    <row r="2332" spans="1:5">
      <c r="A2332">
        <f>HYPERLINK("http://www.twitter.com/NYCParks/status/638808624530370560", "638808624530370560")</f>
        <v>0</v>
      </c>
      <c r="B2332" s="2">
        <v>42248.8474421296</v>
      </c>
      <c r="C2332">
        <v>0</v>
      </c>
      <c r="D2332">
        <v>0</v>
      </c>
      <c r="E2332" t="s">
        <v>2332</v>
      </c>
    </row>
    <row r="2333" spans="1:5">
      <c r="A2333">
        <f>HYPERLINK("http://www.twitter.com/NYCParks/status/638799977922306048", "638799977922306048")</f>
        <v>0</v>
      </c>
      <c r="B2333" s="2">
        <v>42248.8235763889</v>
      </c>
      <c r="C2333">
        <v>15</v>
      </c>
      <c r="D2333">
        <v>10</v>
      </c>
      <c r="E2333" t="s">
        <v>2333</v>
      </c>
    </row>
    <row r="2334" spans="1:5">
      <c r="A2334">
        <f>HYPERLINK("http://www.twitter.com/NYCParks/status/638782813123256320", "638782813123256320")</f>
        <v>0</v>
      </c>
      <c r="B2334" s="2">
        <v>42248.7762152778</v>
      </c>
      <c r="C2334">
        <v>8</v>
      </c>
      <c r="D2334">
        <v>4</v>
      </c>
      <c r="E2334" t="s">
        <v>2334</v>
      </c>
    </row>
    <row r="2335" spans="1:5">
      <c r="A2335">
        <f>HYPERLINK("http://www.twitter.com/NYCParks/status/638769571487461381", "638769571487461381")</f>
        <v>0</v>
      </c>
      <c r="B2335" s="2">
        <v>42248.7396759259</v>
      </c>
      <c r="C2335">
        <v>0</v>
      </c>
      <c r="D2335">
        <v>9</v>
      </c>
      <c r="E2335" t="s">
        <v>2335</v>
      </c>
    </row>
    <row r="2336" spans="1:5">
      <c r="A2336">
        <f>HYPERLINK("http://www.twitter.com/NYCParks/status/638756333177688064", "638756333177688064")</f>
        <v>0</v>
      </c>
      <c r="B2336" s="2">
        <v>42248.7031481481</v>
      </c>
      <c r="C2336">
        <v>16</v>
      </c>
      <c r="D2336">
        <v>6</v>
      </c>
      <c r="E2336" t="s">
        <v>2336</v>
      </c>
    </row>
    <row r="2337" spans="1:5">
      <c r="A2337">
        <f>HYPERLINK("http://www.twitter.com/NYCParks/status/638741774761107456", "638741774761107456")</f>
        <v>0</v>
      </c>
      <c r="B2337" s="2">
        <v>42248.662974537</v>
      </c>
      <c r="C2337">
        <v>0</v>
      </c>
      <c r="D2337">
        <v>8</v>
      </c>
      <c r="E2337" t="s">
        <v>2337</v>
      </c>
    </row>
    <row r="2338" spans="1:5">
      <c r="A2338">
        <f>HYPERLINK("http://www.twitter.com/NYCParks/status/638733163729154048", "638733163729154048")</f>
        <v>0</v>
      </c>
      <c r="B2338" s="2">
        <v>42248.6392013889</v>
      </c>
      <c r="C2338">
        <v>7</v>
      </c>
      <c r="D2338">
        <v>5</v>
      </c>
      <c r="E2338" t="s">
        <v>2338</v>
      </c>
    </row>
    <row r="2339" spans="1:5">
      <c r="A2339">
        <f>HYPERLINK("http://www.twitter.com/NYCParks/status/638716628046364672", "638716628046364672")</f>
        <v>0</v>
      </c>
      <c r="B2339" s="2">
        <v>42248.5935763889</v>
      </c>
      <c r="C2339">
        <v>0</v>
      </c>
      <c r="D2339">
        <v>65</v>
      </c>
      <c r="E2339" t="s">
        <v>2339</v>
      </c>
    </row>
    <row r="2340" spans="1:5">
      <c r="A2340">
        <f>HYPERLINK("http://www.twitter.com/NYCParks/status/638441233791234048", "638441233791234048")</f>
        <v>0</v>
      </c>
      <c r="B2340" s="2">
        <v>42247.8336342593</v>
      </c>
      <c r="C2340">
        <v>6</v>
      </c>
      <c r="D2340">
        <v>7</v>
      </c>
      <c r="E2340" t="s">
        <v>2340</v>
      </c>
    </row>
    <row r="2341" spans="1:5">
      <c r="A2341">
        <f>HYPERLINK("http://www.twitter.com/NYCParks/status/638427552080658432", "638427552080658432")</f>
        <v>0</v>
      </c>
      <c r="B2341" s="2">
        <v>42247.7958796296</v>
      </c>
      <c r="C2341">
        <v>5</v>
      </c>
      <c r="D2341">
        <v>11</v>
      </c>
      <c r="E2341" t="s">
        <v>2341</v>
      </c>
    </row>
    <row r="2342" spans="1:5">
      <c r="A2342">
        <f>HYPERLINK("http://www.twitter.com/NYCParks/status/638411673007714304", "638411673007714304")</f>
        <v>0</v>
      </c>
      <c r="B2342" s="2">
        <v>42247.7520601852</v>
      </c>
      <c r="C2342">
        <v>14</v>
      </c>
      <c r="D2342">
        <v>11</v>
      </c>
      <c r="E2342" t="s">
        <v>2342</v>
      </c>
    </row>
    <row r="2343" spans="1:5">
      <c r="A2343">
        <f>HYPERLINK("http://www.twitter.com/NYCParks/status/638397288260456448", "638397288260456448")</f>
        <v>0</v>
      </c>
      <c r="B2343" s="2">
        <v>42247.7123726852</v>
      </c>
      <c r="C2343">
        <v>14</v>
      </c>
      <c r="D2343">
        <v>16</v>
      </c>
      <c r="E2343" t="s">
        <v>2343</v>
      </c>
    </row>
    <row r="2344" spans="1:5">
      <c r="A2344">
        <f>HYPERLINK("http://www.twitter.com/NYCParks/status/638379069579640832", "638379069579640832")</f>
        <v>0</v>
      </c>
      <c r="B2344" s="2">
        <v>42247.6620949074</v>
      </c>
      <c r="C2344">
        <v>5</v>
      </c>
      <c r="D2344">
        <v>6</v>
      </c>
      <c r="E2344" t="s">
        <v>2344</v>
      </c>
    </row>
    <row r="2345" spans="1:5">
      <c r="A2345">
        <f>HYPERLINK("http://www.twitter.com/NYCParks/status/638374223229124608", "638374223229124608")</f>
        <v>0</v>
      </c>
      <c r="B2345" s="2">
        <v>42247.6487152778</v>
      </c>
      <c r="C2345">
        <v>2</v>
      </c>
      <c r="D2345">
        <v>1</v>
      </c>
      <c r="E2345" t="s">
        <v>2345</v>
      </c>
    </row>
    <row r="2346" spans="1:5">
      <c r="A2346">
        <f>HYPERLINK("http://www.twitter.com/NYCParks/status/638364755250540544", "638364755250540544")</f>
        <v>0</v>
      </c>
      <c r="B2346" s="2">
        <v>42247.6225925926</v>
      </c>
      <c r="C2346">
        <v>14</v>
      </c>
      <c r="D2346">
        <v>4</v>
      </c>
      <c r="E2346" t="s">
        <v>2346</v>
      </c>
    </row>
    <row r="2347" spans="1:5">
      <c r="A2347">
        <f>HYPERLINK("http://www.twitter.com/NYCParks/status/637352559062175744", "637352559062175744")</f>
        <v>0</v>
      </c>
      <c r="B2347" s="2">
        <v>42244.8294675926</v>
      </c>
      <c r="C2347">
        <v>24</v>
      </c>
      <c r="D2347">
        <v>19</v>
      </c>
      <c r="E2347" t="s">
        <v>2347</v>
      </c>
    </row>
    <row r="2348" spans="1:5">
      <c r="A2348">
        <f>HYPERLINK("http://www.twitter.com/NYCParks/status/637328287811899393", "637328287811899393")</f>
        <v>0</v>
      </c>
      <c r="B2348" s="2">
        <v>42244.7624884259</v>
      </c>
      <c r="C2348">
        <v>14</v>
      </c>
      <c r="D2348">
        <v>8</v>
      </c>
      <c r="E2348" t="s">
        <v>2348</v>
      </c>
    </row>
    <row r="2349" spans="1:5">
      <c r="A2349">
        <f>HYPERLINK("http://www.twitter.com/NYCParks/status/637314317097037824", "637314317097037824")</f>
        <v>0</v>
      </c>
      <c r="B2349" s="2">
        <v>42244.7239351852</v>
      </c>
      <c r="C2349">
        <v>23</v>
      </c>
      <c r="D2349">
        <v>16</v>
      </c>
      <c r="E2349" t="s">
        <v>2349</v>
      </c>
    </row>
    <row r="2350" spans="1:5">
      <c r="A2350">
        <f>HYPERLINK("http://www.twitter.com/NYCParks/status/637303178053218304", "637303178053218304")</f>
        <v>0</v>
      </c>
      <c r="B2350" s="2">
        <v>42244.6931944444</v>
      </c>
      <c r="C2350">
        <v>12</v>
      </c>
      <c r="D2350">
        <v>8</v>
      </c>
      <c r="E2350" t="s">
        <v>2350</v>
      </c>
    </row>
    <row r="2351" spans="1:5">
      <c r="A2351">
        <f>HYPERLINK("http://www.twitter.com/NYCParks/status/637288536463552512", "637288536463552512")</f>
        <v>0</v>
      </c>
      <c r="B2351" s="2">
        <v>42244.6527893519</v>
      </c>
      <c r="C2351">
        <v>6</v>
      </c>
      <c r="D2351">
        <v>8</v>
      </c>
      <c r="E2351" t="s">
        <v>2351</v>
      </c>
    </row>
    <row r="2352" spans="1:5">
      <c r="A2352">
        <f>HYPERLINK("http://www.twitter.com/NYCParks/status/637273512433057796", "637273512433057796")</f>
        <v>0</v>
      </c>
      <c r="B2352" s="2">
        <v>42244.6113310185</v>
      </c>
      <c r="C2352">
        <v>18</v>
      </c>
      <c r="D2352">
        <v>18</v>
      </c>
      <c r="E2352" t="s">
        <v>2352</v>
      </c>
    </row>
    <row r="2353" spans="1:5">
      <c r="A2353">
        <f>HYPERLINK("http://www.twitter.com/NYCParks/status/636983230508478464", "636983230508478464")</f>
        <v>0</v>
      </c>
      <c r="B2353" s="2">
        <v>42243.8103125</v>
      </c>
      <c r="C2353">
        <v>38</v>
      </c>
      <c r="D2353">
        <v>23</v>
      </c>
      <c r="E2353" t="s">
        <v>2353</v>
      </c>
    </row>
    <row r="2354" spans="1:5">
      <c r="A2354">
        <f>HYPERLINK("http://www.twitter.com/NYCParks/status/636965790105767936", "636965790105767936")</f>
        <v>0</v>
      </c>
      <c r="B2354" s="2">
        <v>42243.7621875</v>
      </c>
      <c r="C2354">
        <v>13</v>
      </c>
      <c r="D2354">
        <v>10</v>
      </c>
      <c r="E2354" t="s">
        <v>2354</v>
      </c>
    </row>
    <row r="2355" spans="1:5">
      <c r="A2355">
        <f>HYPERLINK("http://www.twitter.com/NYCParks/status/636950721007587330", "636950721007587330")</f>
        <v>0</v>
      </c>
      <c r="B2355" s="2">
        <v>42243.7206018519</v>
      </c>
      <c r="C2355">
        <v>16</v>
      </c>
      <c r="D2355">
        <v>7</v>
      </c>
      <c r="E2355" t="s">
        <v>2355</v>
      </c>
    </row>
    <row r="2356" spans="1:5">
      <c r="A2356">
        <f>HYPERLINK("http://www.twitter.com/NYCParks/status/636932461361037312", "636932461361037312")</f>
        <v>0</v>
      </c>
      <c r="B2356" s="2">
        <v>42243.6702199074</v>
      </c>
      <c r="C2356">
        <v>0</v>
      </c>
      <c r="D2356">
        <v>12</v>
      </c>
      <c r="E2356" t="s">
        <v>2356</v>
      </c>
    </row>
    <row r="2357" spans="1:5">
      <c r="A2357">
        <f>HYPERLINK("http://www.twitter.com/NYCParks/status/636909504244908032", "636909504244908032")</f>
        <v>0</v>
      </c>
      <c r="B2357" s="2">
        <v>42243.6068634259</v>
      </c>
      <c r="C2357">
        <v>13</v>
      </c>
      <c r="D2357">
        <v>11</v>
      </c>
      <c r="E2357" t="s">
        <v>2357</v>
      </c>
    </row>
    <row r="2358" spans="1:5">
      <c r="A2358">
        <f>HYPERLINK("http://www.twitter.com/NYCParks/status/636634714724564992", "636634714724564992")</f>
        <v>0</v>
      </c>
      <c r="B2358" s="2">
        <v>42242.848587963</v>
      </c>
      <c r="C2358">
        <v>7</v>
      </c>
      <c r="D2358">
        <v>8</v>
      </c>
      <c r="E2358" t="s">
        <v>2358</v>
      </c>
    </row>
    <row r="2359" spans="1:5">
      <c r="A2359">
        <f>HYPERLINK("http://www.twitter.com/NYCParks/status/636618115237986304", "636618115237986304")</f>
        <v>0</v>
      </c>
      <c r="B2359" s="2">
        <v>42242.8027893519</v>
      </c>
      <c r="C2359">
        <v>10</v>
      </c>
      <c r="D2359">
        <v>9</v>
      </c>
      <c r="E2359" t="s">
        <v>2359</v>
      </c>
    </row>
    <row r="2360" spans="1:5">
      <c r="A2360">
        <f>HYPERLINK("http://www.twitter.com/NYCParks/status/636605002904113152", "636605002904113152")</f>
        <v>0</v>
      </c>
      <c r="B2360" s="2">
        <v>42242.7665972222</v>
      </c>
      <c r="C2360">
        <v>1</v>
      </c>
      <c r="D2360">
        <v>2</v>
      </c>
      <c r="E2360" t="s">
        <v>2360</v>
      </c>
    </row>
    <row r="2361" spans="1:5">
      <c r="A2361">
        <f>HYPERLINK("http://www.twitter.com/NYCParks/status/636600297566130176", "636600297566130176")</f>
        <v>0</v>
      </c>
      <c r="B2361" s="2">
        <v>42242.7536226852</v>
      </c>
      <c r="C2361">
        <v>10</v>
      </c>
      <c r="D2361">
        <v>6</v>
      </c>
      <c r="E2361" t="s">
        <v>2361</v>
      </c>
    </row>
    <row r="2362" spans="1:5">
      <c r="A2362">
        <f>HYPERLINK("http://www.twitter.com/NYCParks/status/636585268280168448", "636585268280168448")</f>
        <v>0</v>
      </c>
      <c r="B2362" s="2">
        <v>42242.7121412037</v>
      </c>
      <c r="C2362">
        <v>36</v>
      </c>
      <c r="D2362">
        <v>18</v>
      </c>
      <c r="E2362" t="s">
        <v>2362</v>
      </c>
    </row>
    <row r="2363" spans="1:5">
      <c r="A2363">
        <f>HYPERLINK("http://www.twitter.com/NYCParks/status/636571401198137344", "636571401198137344")</f>
        <v>0</v>
      </c>
      <c r="B2363" s="2">
        <v>42242.6738773148</v>
      </c>
      <c r="C2363">
        <v>7</v>
      </c>
      <c r="D2363">
        <v>6</v>
      </c>
      <c r="E2363" t="s">
        <v>2363</v>
      </c>
    </row>
    <row r="2364" spans="1:5">
      <c r="A2364">
        <f>HYPERLINK("http://www.twitter.com/NYCParks/status/636555876548128768", "636555876548128768")</f>
        <v>0</v>
      </c>
      <c r="B2364" s="2">
        <v>42242.6310416667</v>
      </c>
      <c r="C2364">
        <v>0</v>
      </c>
      <c r="D2364">
        <v>1</v>
      </c>
      <c r="E2364" t="s">
        <v>2364</v>
      </c>
    </row>
    <row r="2365" spans="1:5">
      <c r="A2365">
        <f>HYPERLINK("http://www.twitter.com/NYCParks/status/636550236840849408", "636550236840849408")</f>
        <v>0</v>
      </c>
      <c r="B2365" s="2">
        <v>42242.615474537</v>
      </c>
      <c r="C2365">
        <v>11</v>
      </c>
      <c r="D2365">
        <v>6</v>
      </c>
      <c r="E2365" t="s">
        <v>2365</v>
      </c>
    </row>
    <row r="2366" spans="1:5">
      <c r="A2366">
        <f>HYPERLINK("http://www.twitter.com/NYCParks/status/636280092046565376", "636280092046565376")</f>
        <v>0</v>
      </c>
      <c r="B2366" s="2">
        <v>42241.8700231481</v>
      </c>
      <c r="C2366">
        <v>1</v>
      </c>
      <c r="D2366">
        <v>0</v>
      </c>
      <c r="E2366" t="s">
        <v>2366</v>
      </c>
    </row>
    <row r="2367" spans="1:5">
      <c r="A2367">
        <f>HYPERLINK("http://www.twitter.com/NYCParks/status/636279976040513536", "636279976040513536")</f>
        <v>0</v>
      </c>
      <c r="B2367" s="2">
        <v>42241.8696990741</v>
      </c>
      <c r="C2367">
        <v>0</v>
      </c>
      <c r="D2367">
        <v>0</v>
      </c>
      <c r="E2367" t="s">
        <v>2367</v>
      </c>
    </row>
    <row r="2368" spans="1:5">
      <c r="A2368">
        <f>HYPERLINK("http://www.twitter.com/NYCParks/status/636275400436523012", "636275400436523012")</f>
        <v>0</v>
      </c>
      <c r="B2368" s="2">
        <v>42241.8570717593</v>
      </c>
      <c r="C2368">
        <v>9</v>
      </c>
      <c r="D2368">
        <v>6</v>
      </c>
      <c r="E2368" t="s">
        <v>2368</v>
      </c>
    </row>
    <row r="2369" spans="1:5">
      <c r="A2369">
        <f>HYPERLINK("http://www.twitter.com/NYCParks/status/636265998895722498", "636265998895722498")</f>
        <v>0</v>
      </c>
      <c r="B2369" s="2">
        <v>42241.8311342593</v>
      </c>
      <c r="C2369">
        <v>0</v>
      </c>
      <c r="D2369">
        <v>0</v>
      </c>
      <c r="E2369" t="s">
        <v>2369</v>
      </c>
    </row>
    <row r="2370" spans="1:5">
      <c r="A2370">
        <f>HYPERLINK("http://www.twitter.com/NYCParks/status/636255071303532544", "636255071303532544")</f>
        <v>0</v>
      </c>
      <c r="B2370" s="2">
        <v>42241.8009722222</v>
      </c>
      <c r="C2370">
        <v>0</v>
      </c>
      <c r="D2370">
        <v>0</v>
      </c>
      <c r="E2370" t="s">
        <v>2370</v>
      </c>
    </row>
    <row r="2371" spans="1:5">
      <c r="A2371">
        <f>HYPERLINK("http://www.twitter.com/NYCParks/status/636248407242313728", "636248407242313728")</f>
        <v>0</v>
      </c>
      <c r="B2371" s="2">
        <v>42241.7825810185</v>
      </c>
      <c r="C2371">
        <v>28</v>
      </c>
      <c r="D2371">
        <v>24</v>
      </c>
      <c r="E2371" t="s">
        <v>2371</v>
      </c>
    </row>
    <row r="2372" spans="1:5">
      <c r="A2372">
        <f>HYPERLINK("http://www.twitter.com/NYCParks/status/636230747062448128", "636230747062448128")</f>
        <v>0</v>
      </c>
      <c r="B2372" s="2">
        <v>42241.7338541667</v>
      </c>
      <c r="C2372">
        <v>2</v>
      </c>
      <c r="D2372">
        <v>4</v>
      </c>
      <c r="E2372" t="s">
        <v>2372</v>
      </c>
    </row>
    <row r="2373" spans="1:5">
      <c r="A2373">
        <f>HYPERLINK("http://www.twitter.com/NYCParks/status/636210854057385984", "636210854057385984")</f>
        <v>0</v>
      </c>
      <c r="B2373" s="2">
        <v>42241.6789583333</v>
      </c>
      <c r="C2373">
        <v>14</v>
      </c>
      <c r="D2373">
        <v>23</v>
      </c>
      <c r="E2373" t="s">
        <v>2373</v>
      </c>
    </row>
    <row r="2374" spans="1:5">
      <c r="A2374">
        <f>HYPERLINK("http://www.twitter.com/NYCParks/status/636209657896402944", "636209657896402944")</f>
        <v>0</v>
      </c>
      <c r="B2374" s="2">
        <v>42241.6756597222</v>
      </c>
      <c r="C2374">
        <v>0</v>
      </c>
      <c r="D2374">
        <v>0</v>
      </c>
      <c r="E2374" t="s">
        <v>2374</v>
      </c>
    </row>
    <row r="2375" spans="1:5">
      <c r="A2375">
        <f>HYPERLINK("http://www.twitter.com/NYCParks/status/636196117299003392", "636196117299003392")</f>
        <v>0</v>
      </c>
      <c r="B2375" s="2">
        <v>42241.638287037</v>
      </c>
      <c r="C2375">
        <v>66</v>
      </c>
      <c r="D2375">
        <v>60</v>
      </c>
      <c r="E2375" t="s">
        <v>2375</v>
      </c>
    </row>
    <row r="2376" spans="1:5">
      <c r="A2376">
        <f>HYPERLINK("http://www.twitter.com/NYCParks/status/636183684849270784", "636183684849270784")</f>
        <v>0</v>
      </c>
      <c r="B2376" s="2">
        <v>42241.6039814815</v>
      </c>
      <c r="C2376">
        <v>9</v>
      </c>
      <c r="D2376">
        <v>7</v>
      </c>
      <c r="E2376" t="s">
        <v>2376</v>
      </c>
    </row>
    <row r="2377" spans="1:5">
      <c r="A2377">
        <f>HYPERLINK("http://www.twitter.com/NYCParks/status/636176915003523072", "636176915003523072")</f>
        <v>0</v>
      </c>
      <c r="B2377" s="2">
        <v>42241.5853009259</v>
      </c>
      <c r="C2377">
        <v>0</v>
      </c>
      <c r="D2377">
        <v>0</v>
      </c>
      <c r="E2377" t="s">
        <v>2377</v>
      </c>
    </row>
    <row r="2378" spans="1:5">
      <c r="A2378">
        <f>HYPERLINK("http://www.twitter.com/NYCParks/status/635919229494104064", "635919229494104064")</f>
        <v>0</v>
      </c>
      <c r="B2378" s="2">
        <v>42240.874224537</v>
      </c>
      <c r="C2378">
        <v>2</v>
      </c>
      <c r="D2378">
        <v>4</v>
      </c>
      <c r="E2378" t="s">
        <v>2378</v>
      </c>
    </row>
    <row r="2379" spans="1:5">
      <c r="A2379">
        <f>HYPERLINK("http://www.twitter.com/NYCParks/status/635903502242476033", "635903502242476033")</f>
        <v>0</v>
      </c>
      <c r="B2379" s="2">
        <v>42240.8308333333</v>
      </c>
      <c r="C2379">
        <v>47</v>
      </c>
      <c r="D2379">
        <v>27</v>
      </c>
      <c r="E2379" t="s">
        <v>2379</v>
      </c>
    </row>
    <row r="2380" spans="1:5">
      <c r="A2380">
        <f>HYPERLINK("http://www.twitter.com/NYCParks/status/635889373825867776", "635889373825867776")</f>
        <v>0</v>
      </c>
      <c r="B2380" s="2">
        <v>42240.7918402778</v>
      </c>
      <c r="C2380">
        <v>8</v>
      </c>
      <c r="D2380">
        <v>5</v>
      </c>
      <c r="E2380" t="s">
        <v>2380</v>
      </c>
    </row>
    <row r="2381" spans="1:5">
      <c r="A2381">
        <f>HYPERLINK("http://www.twitter.com/NYCParks/status/635874756223475712", "635874756223475712")</f>
        <v>0</v>
      </c>
      <c r="B2381" s="2">
        <v>42240.7515046296</v>
      </c>
      <c r="C2381">
        <v>12</v>
      </c>
      <c r="D2381">
        <v>16</v>
      </c>
      <c r="E2381" t="s">
        <v>2381</v>
      </c>
    </row>
    <row r="2382" spans="1:5">
      <c r="A2382">
        <f>HYPERLINK("http://www.twitter.com/NYCParks/status/635861876207931392", "635861876207931392")</f>
        <v>0</v>
      </c>
      <c r="B2382" s="2">
        <v>42240.7159606482</v>
      </c>
      <c r="C2382">
        <v>8</v>
      </c>
      <c r="D2382">
        <v>5</v>
      </c>
      <c r="E2382" t="s">
        <v>2382</v>
      </c>
    </row>
    <row r="2383" spans="1:5">
      <c r="A2383">
        <f>HYPERLINK("http://www.twitter.com/NYCParks/status/635843844639207424", "635843844639207424")</f>
        <v>0</v>
      </c>
      <c r="B2383" s="2">
        <v>42240.6662037037</v>
      </c>
      <c r="C2383">
        <v>10</v>
      </c>
      <c r="D2383">
        <v>9</v>
      </c>
      <c r="E2383" t="s">
        <v>2383</v>
      </c>
    </row>
    <row r="2384" spans="1:5">
      <c r="A2384">
        <f>HYPERLINK("http://www.twitter.com/NYCParks/status/635842894440570880", "635842894440570880")</f>
        <v>0</v>
      </c>
      <c r="B2384" s="2">
        <v>42240.663587963</v>
      </c>
      <c r="C2384">
        <v>0</v>
      </c>
      <c r="D2384">
        <v>0</v>
      </c>
      <c r="E2384" t="s">
        <v>2384</v>
      </c>
    </row>
    <row r="2385" spans="1:5">
      <c r="A2385">
        <f>HYPERLINK("http://www.twitter.com/NYCParks/status/635827530105270273", "635827530105270273")</f>
        <v>0</v>
      </c>
      <c r="B2385" s="2">
        <v>42240.6211805556</v>
      </c>
      <c r="C2385">
        <v>15</v>
      </c>
      <c r="D2385">
        <v>13</v>
      </c>
      <c r="E2385" t="s">
        <v>2385</v>
      </c>
    </row>
    <row r="2386" spans="1:5">
      <c r="A2386">
        <f>HYPERLINK("http://www.twitter.com/NYCParks/status/634819535976202241", "634819535976202241")</f>
        <v>0</v>
      </c>
      <c r="B2386" s="2">
        <v>42237.8396527778</v>
      </c>
      <c r="C2386">
        <v>8</v>
      </c>
      <c r="D2386">
        <v>9</v>
      </c>
      <c r="E2386" t="s">
        <v>2386</v>
      </c>
    </row>
    <row r="2387" spans="1:5">
      <c r="A2387">
        <f>HYPERLINK("http://www.twitter.com/NYCParks/status/634799754095009792", "634799754095009792")</f>
        <v>0</v>
      </c>
      <c r="B2387" s="2">
        <v>42237.7850694444</v>
      </c>
      <c r="C2387">
        <v>19</v>
      </c>
      <c r="D2387">
        <v>14</v>
      </c>
      <c r="E2387" t="s">
        <v>2387</v>
      </c>
    </row>
    <row r="2388" spans="1:5">
      <c r="A2388">
        <f>HYPERLINK("http://www.twitter.com/NYCParks/status/634781993625067524", "634781993625067524")</f>
        <v>0</v>
      </c>
      <c r="B2388" s="2">
        <v>42237.7360532407</v>
      </c>
      <c r="C2388">
        <v>9</v>
      </c>
      <c r="D2388">
        <v>9</v>
      </c>
      <c r="E2388" t="s">
        <v>2388</v>
      </c>
    </row>
    <row r="2389" spans="1:5">
      <c r="A2389">
        <f>HYPERLINK("http://www.twitter.com/NYCParks/status/634764719111471105", "634764719111471105")</f>
        <v>0</v>
      </c>
      <c r="B2389" s="2">
        <v>42237.6883912037</v>
      </c>
      <c r="C2389">
        <v>9</v>
      </c>
      <c r="D2389">
        <v>7</v>
      </c>
      <c r="E2389" t="s">
        <v>2389</v>
      </c>
    </row>
    <row r="2390" spans="1:5">
      <c r="A2390">
        <f>HYPERLINK("http://www.twitter.com/NYCParks/status/634750630364643329", "634750630364643329")</f>
        <v>0</v>
      </c>
      <c r="B2390" s="2">
        <v>42237.6495138889</v>
      </c>
      <c r="C2390">
        <v>45</v>
      </c>
      <c r="D2390">
        <v>34</v>
      </c>
      <c r="E2390" t="s">
        <v>2390</v>
      </c>
    </row>
    <row r="2391" spans="1:5">
      <c r="A2391">
        <f>HYPERLINK("http://www.twitter.com/NYCParks/status/634734255411740673", "634734255411740673")</f>
        <v>0</v>
      </c>
      <c r="B2391" s="2">
        <v>42237.6043171296</v>
      </c>
      <c r="C2391">
        <v>0</v>
      </c>
      <c r="D2391">
        <v>38</v>
      </c>
      <c r="E2391" t="s">
        <v>2391</v>
      </c>
    </row>
    <row r="2392" spans="1:5">
      <c r="A2392">
        <f>HYPERLINK("http://www.twitter.com/NYCParks/status/634440158906032128", "634440158906032128")</f>
        <v>0</v>
      </c>
      <c r="B2392" s="2">
        <v>42236.7927662037</v>
      </c>
      <c r="C2392">
        <v>16</v>
      </c>
      <c r="D2392">
        <v>20</v>
      </c>
      <c r="E2392" t="s">
        <v>2392</v>
      </c>
    </row>
    <row r="2393" spans="1:5">
      <c r="A2393">
        <f>HYPERLINK("http://www.twitter.com/NYCParks/status/634426760315191297", "634426760315191297")</f>
        <v>0</v>
      </c>
      <c r="B2393" s="2">
        <v>42236.7557986111</v>
      </c>
      <c r="C2393">
        <v>15</v>
      </c>
      <c r="D2393">
        <v>7</v>
      </c>
      <c r="E2393" t="s">
        <v>2393</v>
      </c>
    </row>
    <row r="2394" spans="1:5">
      <c r="A2394">
        <f>HYPERLINK("http://www.twitter.com/NYCParks/status/634407126530682880", "634407126530682880")</f>
        <v>0</v>
      </c>
      <c r="B2394" s="2">
        <v>42236.7016203704</v>
      </c>
      <c r="C2394">
        <v>32</v>
      </c>
      <c r="D2394">
        <v>25</v>
      </c>
      <c r="E2394" t="s">
        <v>2394</v>
      </c>
    </row>
    <row r="2395" spans="1:5">
      <c r="A2395">
        <f>HYPERLINK("http://www.twitter.com/NYCParks/status/634393214296948737", "634393214296948737")</f>
        <v>0</v>
      </c>
      <c r="B2395" s="2">
        <v>42236.6632291667</v>
      </c>
      <c r="C2395">
        <v>19</v>
      </c>
      <c r="D2395">
        <v>8</v>
      </c>
      <c r="E2395" t="s">
        <v>2395</v>
      </c>
    </row>
    <row r="2396" spans="1:5">
      <c r="A2396">
        <f>HYPERLINK("http://www.twitter.com/NYCParks/status/634383415916236800", "634383415916236800")</f>
        <v>0</v>
      </c>
      <c r="B2396" s="2">
        <v>42236.6361921296</v>
      </c>
      <c r="C2396">
        <v>0</v>
      </c>
      <c r="D2396">
        <v>0</v>
      </c>
      <c r="E2396" t="s">
        <v>2396</v>
      </c>
    </row>
    <row r="2397" spans="1:5">
      <c r="A2397">
        <f>HYPERLINK("http://www.twitter.com/NYCParks/status/634376610947432448", "634376610947432448")</f>
        <v>0</v>
      </c>
      <c r="B2397" s="2">
        <v>42236.6174074074</v>
      </c>
      <c r="C2397">
        <v>8</v>
      </c>
      <c r="D2397">
        <v>8</v>
      </c>
      <c r="E2397" t="s">
        <v>2397</v>
      </c>
    </row>
    <row r="2398" spans="1:5">
      <c r="A2398">
        <f>HYPERLINK("http://www.twitter.com/NYCParks/status/634365522914709504", "634365522914709504")</f>
        <v>0</v>
      </c>
      <c r="B2398" s="2">
        <v>42236.5868171296</v>
      </c>
      <c r="C2398">
        <v>0</v>
      </c>
      <c r="D2398">
        <v>13</v>
      </c>
      <c r="E2398" t="s">
        <v>2398</v>
      </c>
    </row>
    <row r="2399" spans="1:5">
      <c r="A2399">
        <f>HYPERLINK("http://www.twitter.com/NYCParks/status/634362890133315584", "634362890133315584")</f>
        <v>0</v>
      </c>
      <c r="B2399" s="2">
        <v>42236.5795486111</v>
      </c>
      <c r="C2399">
        <v>0</v>
      </c>
      <c r="D2399">
        <v>0</v>
      </c>
      <c r="E2399" t="s">
        <v>2399</v>
      </c>
    </row>
    <row r="2400" spans="1:5">
      <c r="A2400">
        <f>HYPERLINK("http://www.twitter.com/NYCParks/status/634095680655638529", "634095680655638529")</f>
        <v>0</v>
      </c>
      <c r="B2400" s="2">
        <v>42235.8421875</v>
      </c>
      <c r="C2400">
        <v>10</v>
      </c>
      <c r="D2400">
        <v>6</v>
      </c>
      <c r="E2400" t="s">
        <v>2400</v>
      </c>
    </row>
    <row r="2401" spans="1:5">
      <c r="A2401">
        <f>HYPERLINK("http://www.twitter.com/NYCParks/status/634081463512756225", "634081463512756225")</f>
        <v>0</v>
      </c>
      <c r="B2401" s="2">
        <v>42235.802962963</v>
      </c>
      <c r="C2401">
        <v>8</v>
      </c>
      <c r="D2401">
        <v>10</v>
      </c>
      <c r="E2401" t="s">
        <v>2401</v>
      </c>
    </row>
    <row r="2402" spans="1:5">
      <c r="A2402">
        <f>HYPERLINK("http://www.twitter.com/NYCParks/status/634064390342451201", "634064390342451201")</f>
        <v>0</v>
      </c>
      <c r="B2402" s="2">
        <v>42235.7558449074</v>
      </c>
      <c r="C2402">
        <v>10</v>
      </c>
      <c r="D2402">
        <v>3</v>
      </c>
      <c r="E2402" t="s">
        <v>2402</v>
      </c>
    </row>
    <row r="2403" spans="1:5">
      <c r="A2403">
        <f>HYPERLINK("http://www.twitter.com/NYCParks/status/634055242280226820", "634055242280226820")</f>
        <v>0</v>
      </c>
      <c r="B2403" s="2">
        <v>42235.7306018519</v>
      </c>
      <c r="C2403">
        <v>0</v>
      </c>
      <c r="D2403">
        <v>1</v>
      </c>
      <c r="E2403" t="s">
        <v>2403</v>
      </c>
    </row>
    <row r="2404" spans="1:5">
      <c r="A2404">
        <f>HYPERLINK("http://www.twitter.com/NYCParks/status/634049704289026048", "634049704289026048")</f>
        <v>0</v>
      </c>
      <c r="B2404" s="2">
        <v>42235.7153240741</v>
      </c>
      <c r="C2404">
        <v>8</v>
      </c>
      <c r="D2404">
        <v>9</v>
      </c>
      <c r="E2404" t="s">
        <v>2404</v>
      </c>
    </row>
    <row r="2405" spans="1:5">
      <c r="A2405">
        <f>HYPERLINK("http://www.twitter.com/NYCParks/status/634034362074431489", "634034362074431489")</f>
        <v>0</v>
      </c>
      <c r="B2405" s="2">
        <v>42235.6729861111</v>
      </c>
      <c r="C2405">
        <v>43</v>
      </c>
      <c r="D2405">
        <v>36</v>
      </c>
      <c r="E2405" t="s">
        <v>2405</v>
      </c>
    </row>
    <row r="2406" spans="1:5">
      <c r="A2406">
        <f>HYPERLINK("http://www.twitter.com/NYCParks/status/634017642265841664", "634017642265841664")</f>
        <v>0</v>
      </c>
      <c r="B2406" s="2">
        <v>42235.6268518519</v>
      </c>
      <c r="C2406">
        <v>22</v>
      </c>
      <c r="D2406">
        <v>3</v>
      </c>
      <c r="E2406" t="s">
        <v>2406</v>
      </c>
    </row>
    <row r="2407" spans="1:5">
      <c r="A2407">
        <f>HYPERLINK("http://www.twitter.com/NYCParks/status/633726544092004352", "633726544092004352")</f>
        <v>0</v>
      </c>
      <c r="B2407" s="2">
        <v>42234.8235648148</v>
      </c>
      <c r="C2407">
        <v>11</v>
      </c>
      <c r="D2407">
        <v>8</v>
      </c>
      <c r="E2407" t="s">
        <v>2407</v>
      </c>
    </row>
    <row r="2408" spans="1:5">
      <c r="A2408">
        <f>HYPERLINK("http://www.twitter.com/NYCParks/status/633710446533570560", "633710446533570560")</f>
        <v>0</v>
      </c>
      <c r="B2408" s="2">
        <v>42234.7791435185</v>
      </c>
      <c r="C2408">
        <v>6</v>
      </c>
      <c r="D2408">
        <v>4</v>
      </c>
      <c r="E2408" t="s">
        <v>2408</v>
      </c>
    </row>
    <row r="2409" spans="1:5">
      <c r="A2409">
        <f>HYPERLINK("http://www.twitter.com/NYCParks/status/633695071771213824", "633695071771213824")</f>
        <v>0</v>
      </c>
      <c r="B2409" s="2">
        <v>42234.736724537</v>
      </c>
      <c r="C2409">
        <v>13</v>
      </c>
      <c r="D2409">
        <v>6</v>
      </c>
      <c r="E2409" t="s">
        <v>2409</v>
      </c>
    </row>
    <row r="2410" spans="1:5">
      <c r="A2410">
        <f>HYPERLINK("http://www.twitter.com/NYCParks/status/633679754613362688", "633679754613362688")</f>
        <v>0</v>
      </c>
      <c r="B2410" s="2">
        <v>42234.6944560185</v>
      </c>
      <c r="C2410">
        <v>13</v>
      </c>
      <c r="D2410">
        <v>7</v>
      </c>
      <c r="E2410" t="s">
        <v>2410</v>
      </c>
    </row>
    <row r="2411" spans="1:5">
      <c r="A2411">
        <f>HYPERLINK("http://www.twitter.com/NYCParks/status/633659987643002880", "633659987643002880")</f>
        <v>0</v>
      </c>
      <c r="B2411" s="2">
        <v>42234.6399074074</v>
      </c>
      <c r="C2411">
        <v>6</v>
      </c>
      <c r="D2411">
        <v>3</v>
      </c>
      <c r="E2411" t="s">
        <v>2411</v>
      </c>
    </row>
    <row r="2412" spans="1:5">
      <c r="A2412">
        <f>HYPERLINK("http://www.twitter.com/NYCParks/status/633645521962405888", "633645521962405888")</f>
        <v>0</v>
      </c>
      <c r="B2412" s="2">
        <v>42234.5999884259</v>
      </c>
      <c r="C2412">
        <v>6</v>
      </c>
      <c r="D2412">
        <v>10</v>
      </c>
      <c r="E2412" t="s">
        <v>2412</v>
      </c>
    </row>
    <row r="2413" spans="1:5">
      <c r="A2413">
        <f>HYPERLINK("http://www.twitter.com/NYCParks/status/633375862205849600", "633375862205849600")</f>
        <v>0</v>
      </c>
      <c r="B2413" s="2">
        <v>42233.8558680556</v>
      </c>
      <c r="C2413">
        <v>0</v>
      </c>
      <c r="D2413">
        <v>40</v>
      </c>
      <c r="E2413" t="s">
        <v>2413</v>
      </c>
    </row>
    <row r="2414" spans="1:5">
      <c r="A2414">
        <f>HYPERLINK("http://www.twitter.com/NYCParks/status/633357647820029952", "633357647820029952")</f>
        <v>0</v>
      </c>
      <c r="B2414" s="2">
        <v>42233.8056134259</v>
      </c>
      <c r="C2414">
        <v>14</v>
      </c>
      <c r="D2414">
        <v>10</v>
      </c>
      <c r="E2414" t="s">
        <v>2414</v>
      </c>
    </row>
    <row r="2415" spans="1:5">
      <c r="A2415">
        <f>HYPERLINK("http://www.twitter.com/NYCParks/status/633356942665232384", "633356942665232384")</f>
        <v>0</v>
      </c>
      <c r="B2415" s="2">
        <v>42233.8036574074</v>
      </c>
      <c r="C2415">
        <v>2</v>
      </c>
      <c r="D2415">
        <v>1</v>
      </c>
      <c r="E2415" t="s">
        <v>2415</v>
      </c>
    </row>
    <row r="2416" spans="1:5">
      <c r="A2416">
        <f>HYPERLINK("http://www.twitter.com/NYCParks/status/633341114280472576", "633341114280472576")</f>
        <v>0</v>
      </c>
      <c r="B2416" s="2">
        <v>42233.7599884259</v>
      </c>
      <c r="C2416">
        <v>13</v>
      </c>
      <c r="D2416">
        <v>9</v>
      </c>
      <c r="E2416" t="s">
        <v>2416</v>
      </c>
    </row>
    <row r="2417" spans="1:5">
      <c r="A2417">
        <f>HYPERLINK("http://www.twitter.com/NYCParks/status/633323827498323968", "633323827498323968")</f>
        <v>0</v>
      </c>
      <c r="B2417" s="2">
        <v>42233.7122800926</v>
      </c>
      <c r="C2417">
        <v>64</v>
      </c>
      <c r="D2417">
        <v>41</v>
      </c>
      <c r="E2417" t="s">
        <v>2417</v>
      </c>
    </row>
    <row r="2418" spans="1:5">
      <c r="A2418">
        <f>HYPERLINK("http://www.twitter.com/NYCParks/status/633308954160930816", "633308954160930816")</f>
        <v>0</v>
      </c>
      <c r="B2418" s="2">
        <v>42233.6712384259</v>
      </c>
      <c r="C2418">
        <v>0</v>
      </c>
      <c r="D2418">
        <v>0</v>
      </c>
      <c r="E2418" t="s">
        <v>2418</v>
      </c>
    </row>
    <row r="2419" spans="1:5">
      <c r="A2419">
        <f>HYPERLINK("http://www.twitter.com/NYCParks/status/633306506809712640", "633306506809712640")</f>
        <v>0</v>
      </c>
      <c r="B2419" s="2">
        <v>42233.6644907407</v>
      </c>
      <c r="C2419">
        <v>14</v>
      </c>
      <c r="D2419">
        <v>21</v>
      </c>
      <c r="E2419" t="s">
        <v>2419</v>
      </c>
    </row>
    <row r="2420" spans="1:5">
      <c r="A2420">
        <f>HYPERLINK("http://www.twitter.com/NYCParks/status/633305728489553920", "633305728489553920")</f>
        <v>0</v>
      </c>
      <c r="B2420" s="2">
        <v>42233.662337963</v>
      </c>
      <c r="C2420">
        <v>0</v>
      </c>
      <c r="D2420">
        <v>1</v>
      </c>
      <c r="E2420" t="s">
        <v>2420</v>
      </c>
    </row>
    <row r="2421" spans="1:5">
      <c r="A2421">
        <f>HYPERLINK("http://www.twitter.com/NYCParks/status/633291209331621888", "633291209331621888")</f>
        <v>0</v>
      </c>
      <c r="B2421" s="2">
        <v>42233.6222685185</v>
      </c>
      <c r="C2421">
        <v>16</v>
      </c>
      <c r="D2421">
        <v>9</v>
      </c>
      <c r="E2421" t="s">
        <v>2421</v>
      </c>
    </row>
    <row r="2422" spans="1:5">
      <c r="A2422">
        <f>HYPERLINK("http://www.twitter.com/NYCParks/status/632273154375852032", "632273154375852032")</f>
        <v>0</v>
      </c>
      <c r="B2422" s="2">
        <v>42230.812974537</v>
      </c>
      <c r="C2422">
        <v>14</v>
      </c>
      <c r="D2422">
        <v>10</v>
      </c>
      <c r="E2422" t="s">
        <v>2422</v>
      </c>
    </row>
    <row r="2423" spans="1:5">
      <c r="A2423">
        <f>HYPERLINK("http://www.twitter.com/NYCParks/status/632255981288861696", "632255981288861696")</f>
        <v>0</v>
      </c>
      <c r="B2423" s="2">
        <v>42230.7655902778</v>
      </c>
      <c r="C2423">
        <v>14</v>
      </c>
      <c r="D2423">
        <v>12</v>
      </c>
      <c r="E2423" t="s">
        <v>2423</v>
      </c>
    </row>
    <row r="2424" spans="1:5">
      <c r="A2424">
        <f>HYPERLINK("http://www.twitter.com/NYCParks/status/632238032138055680", "632238032138055680")</f>
        <v>0</v>
      </c>
      <c r="B2424" s="2">
        <v>42230.7160532407</v>
      </c>
      <c r="C2424">
        <v>14</v>
      </c>
      <c r="D2424">
        <v>5</v>
      </c>
      <c r="E2424" t="s">
        <v>2424</v>
      </c>
    </row>
    <row r="2425" spans="1:5">
      <c r="A2425">
        <f>HYPERLINK("http://www.twitter.com/NYCParks/status/632219269552570369", "632219269552570369")</f>
        <v>0</v>
      </c>
      <c r="B2425" s="2">
        <v>42230.6642824074</v>
      </c>
      <c r="C2425">
        <v>8</v>
      </c>
      <c r="D2425">
        <v>4</v>
      </c>
      <c r="E2425" t="s">
        <v>2425</v>
      </c>
    </row>
    <row r="2426" spans="1:5">
      <c r="A2426">
        <f>HYPERLINK("http://www.twitter.com/NYCParks/status/632203188767166465", "632203188767166465")</f>
        <v>0</v>
      </c>
      <c r="B2426" s="2">
        <v>42230.6199074074</v>
      </c>
      <c r="C2426">
        <v>16</v>
      </c>
      <c r="D2426">
        <v>26</v>
      </c>
      <c r="E2426" t="s">
        <v>2426</v>
      </c>
    </row>
    <row r="2427" spans="1:5">
      <c r="A2427">
        <f>HYPERLINK("http://www.twitter.com/NYCParks/status/631919447889059840", "631919447889059840")</f>
        <v>0</v>
      </c>
      <c r="B2427" s="2">
        <v>42229.8369328704</v>
      </c>
      <c r="C2427">
        <v>13</v>
      </c>
      <c r="D2427">
        <v>17</v>
      </c>
      <c r="E2427" t="s">
        <v>2427</v>
      </c>
    </row>
    <row r="2428" spans="1:5">
      <c r="A2428">
        <f>HYPERLINK("http://www.twitter.com/NYCParks/status/631917962476290051", "631917962476290051")</f>
        <v>0</v>
      </c>
      <c r="B2428" s="2">
        <v>42229.8328356482</v>
      </c>
      <c r="C2428">
        <v>1</v>
      </c>
      <c r="D2428">
        <v>0</v>
      </c>
      <c r="E2428" t="s">
        <v>2428</v>
      </c>
    </row>
    <row r="2429" spans="1:5">
      <c r="A2429">
        <f>HYPERLINK("http://www.twitter.com/NYCParks/status/631902573281177600", "631902573281177600")</f>
        <v>0</v>
      </c>
      <c r="B2429" s="2">
        <v>42229.7903703704</v>
      </c>
      <c r="C2429">
        <v>11</v>
      </c>
      <c r="D2429">
        <v>11</v>
      </c>
      <c r="E2429" t="s">
        <v>2429</v>
      </c>
    </row>
    <row r="2430" spans="1:5">
      <c r="A2430">
        <f>HYPERLINK("http://www.twitter.com/NYCParks/status/631883271681540096", "631883271681540096")</f>
        <v>0</v>
      </c>
      <c r="B2430" s="2">
        <v>42229.7371064815</v>
      </c>
      <c r="C2430">
        <v>47</v>
      </c>
      <c r="D2430">
        <v>29</v>
      </c>
      <c r="E2430" t="s">
        <v>2430</v>
      </c>
    </row>
    <row r="2431" spans="1:5">
      <c r="A2431">
        <f>HYPERLINK("http://www.twitter.com/NYCParks/status/631871347375915008", "631871347375915008")</f>
        <v>0</v>
      </c>
      <c r="B2431" s="2">
        <v>42229.7042013889</v>
      </c>
      <c r="C2431">
        <v>0</v>
      </c>
      <c r="D2431">
        <v>0</v>
      </c>
      <c r="E2431" t="s">
        <v>2431</v>
      </c>
    </row>
    <row r="2432" spans="1:5">
      <c r="A2432">
        <f>HYPERLINK("http://www.twitter.com/NYCParks/status/631866271714443264", "631866271714443264")</f>
        <v>0</v>
      </c>
      <c r="B2432" s="2">
        <v>42229.6901967593</v>
      </c>
      <c r="C2432">
        <v>10</v>
      </c>
      <c r="D2432">
        <v>15</v>
      </c>
      <c r="E2432" t="s">
        <v>2432</v>
      </c>
    </row>
    <row r="2433" spans="1:5">
      <c r="A2433">
        <f>HYPERLINK("http://www.twitter.com/NYCParks/status/631851492677390336", "631851492677390336")</f>
        <v>0</v>
      </c>
      <c r="B2433" s="2">
        <v>42229.6494097222</v>
      </c>
      <c r="C2433">
        <v>39</v>
      </c>
      <c r="D2433">
        <v>24</v>
      </c>
      <c r="E2433" t="s">
        <v>2433</v>
      </c>
    </row>
    <row r="2434" spans="1:5">
      <c r="A2434">
        <f>HYPERLINK("http://www.twitter.com/NYCParks/status/631835846421934080", "631835846421934080")</f>
        <v>0</v>
      </c>
      <c r="B2434" s="2">
        <v>42229.6062384259</v>
      </c>
      <c r="C2434">
        <v>17</v>
      </c>
      <c r="D2434">
        <v>10</v>
      </c>
      <c r="E2434" t="s">
        <v>2434</v>
      </c>
    </row>
    <row r="2435" spans="1:5">
      <c r="A2435">
        <f>HYPERLINK("http://www.twitter.com/NYCParks/status/631587890213048320", "631587890213048320")</f>
        <v>0</v>
      </c>
      <c r="B2435" s="2">
        <v>42228.9220138889</v>
      </c>
      <c r="C2435">
        <v>0</v>
      </c>
      <c r="D2435">
        <v>26</v>
      </c>
      <c r="E2435" t="s">
        <v>2435</v>
      </c>
    </row>
    <row r="2436" spans="1:5">
      <c r="A2436">
        <f>HYPERLINK("http://www.twitter.com/NYCParks/status/631573144734724096", "631573144734724096")</f>
        <v>0</v>
      </c>
      <c r="B2436" s="2">
        <v>42228.8813194444</v>
      </c>
      <c r="C2436">
        <v>19</v>
      </c>
      <c r="D2436">
        <v>16</v>
      </c>
      <c r="E2436" t="s">
        <v>2436</v>
      </c>
    </row>
    <row r="2437" spans="1:5">
      <c r="A2437">
        <f>HYPERLINK("http://www.twitter.com/NYCParks/status/631556341727907840", "631556341727907840")</f>
        <v>0</v>
      </c>
      <c r="B2437" s="2">
        <v>42228.8349537037</v>
      </c>
      <c r="C2437">
        <v>33</v>
      </c>
      <c r="D2437">
        <v>15</v>
      </c>
      <c r="E2437" t="s">
        <v>2437</v>
      </c>
    </row>
    <row r="2438" spans="1:5">
      <c r="A2438">
        <f>HYPERLINK("http://www.twitter.com/NYCParks/status/631543537444585472", "631543537444585472")</f>
        <v>0</v>
      </c>
      <c r="B2438" s="2">
        <v>42228.7996180556</v>
      </c>
      <c r="C2438">
        <v>7</v>
      </c>
      <c r="D2438">
        <v>4</v>
      </c>
      <c r="E2438" t="s">
        <v>2438</v>
      </c>
    </row>
    <row r="2439" spans="1:5">
      <c r="A2439">
        <f>HYPERLINK("http://www.twitter.com/NYCParks/status/631525926229012480", "631525926229012480")</f>
        <v>0</v>
      </c>
      <c r="B2439" s="2">
        <v>42228.7510185185</v>
      </c>
      <c r="C2439">
        <v>12</v>
      </c>
      <c r="D2439">
        <v>12</v>
      </c>
      <c r="E2439" t="s">
        <v>2439</v>
      </c>
    </row>
    <row r="2440" spans="1:5">
      <c r="A2440">
        <f>HYPERLINK("http://www.twitter.com/NYCParks/status/631511086244585472", "631511086244585472")</f>
        <v>0</v>
      </c>
      <c r="B2440" s="2">
        <v>42228.7100694444</v>
      </c>
      <c r="C2440">
        <v>6</v>
      </c>
      <c r="D2440">
        <v>5</v>
      </c>
      <c r="E2440" t="s">
        <v>2440</v>
      </c>
    </row>
    <row r="2441" spans="1:5">
      <c r="A2441">
        <f>HYPERLINK("http://www.twitter.com/NYCParks/status/631494428264370176", "631494428264370176")</f>
        <v>0</v>
      </c>
      <c r="B2441" s="2">
        <v>42228.6640972222</v>
      </c>
      <c r="C2441">
        <v>29</v>
      </c>
      <c r="D2441">
        <v>29</v>
      </c>
      <c r="E2441" t="s">
        <v>2441</v>
      </c>
    </row>
    <row r="2442" spans="1:5">
      <c r="A2442">
        <f>HYPERLINK("http://www.twitter.com/NYCParks/status/631480443452399616", "631480443452399616")</f>
        <v>0</v>
      </c>
      <c r="B2442" s="2">
        <v>42228.6255092593</v>
      </c>
      <c r="C2442">
        <v>12</v>
      </c>
      <c r="D2442">
        <v>13</v>
      </c>
      <c r="E2442" t="s">
        <v>2442</v>
      </c>
    </row>
    <row r="2443" spans="1:5">
      <c r="A2443">
        <f>HYPERLINK("http://www.twitter.com/NYCParks/status/631182890060128260", "631182890060128260")</f>
        <v>0</v>
      </c>
      <c r="B2443" s="2">
        <v>42227.8044212963</v>
      </c>
      <c r="C2443">
        <v>43</v>
      </c>
      <c r="D2443">
        <v>22</v>
      </c>
      <c r="E2443" t="s">
        <v>2443</v>
      </c>
    </row>
    <row r="2444" spans="1:5">
      <c r="A2444">
        <f>HYPERLINK("http://www.twitter.com/NYCParks/status/631177762859036674", "631177762859036674")</f>
        <v>0</v>
      </c>
      <c r="B2444" s="2">
        <v>42227.7902777778</v>
      </c>
      <c r="C2444">
        <v>0</v>
      </c>
      <c r="D2444">
        <v>0</v>
      </c>
      <c r="E2444" t="s">
        <v>2444</v>
      </c>
    </row>
    <row r="2445" spans="1:5">
      <c r="A2445">
        <f>HYPERLINK("http://www.twitter.com/NYCParks/status/631163576007421952", "631163576007421952")</f>
        <v>0</v>
      </c>
      <c r="B2445" s="2">
        <v>42227.7511226852</v>
      </c>
      <c r="C2445">
        <v>10</v>
      </c>
      <c r="D2445">
        <v>6</v>
      </c>
      <c r="E2445" t="s">
        <v>2445</v>
      </c>
    </row>
    <row r="2446" spans="1:5">
      <c r="A2446">
        <f>HYPERLINK("http://www.twitter.com/NYCParks/status/631146677756391424", "631146677756391424")</f>
        <v>0</v>
      </c>
      <c r="B2446" s="2">
        <v>42227.7044907407</v>
      </c>
      <c r="C2446">
        <v>7</v>
      </c>
      <c r="D2446">
        <v>4</v>
      </c>
      <c r="E2446" t="s">
        <v>2446</v>
      </c>
    </row>
    <row r="2447" spans="1:5">
      <c r="A2447">
        <f>HYPERLINK("http://www.twitter.com/NYCParks/status/631129139785912320", "631129139785912320")</f>
        <v>0</v>
      </c>
      <c r="B2447" s="2">
        <v>42227.656099537</v>
      </c>
      <c r="C2447">
        <v>2</v>
      </c>
      <c r="D2447">
        <v>4</v>
      </c>
      <c r="E2447" t="s">
        <v>2447</v>
      </c>
    </row>
    <row r="2448" spans="1:5">
      <c r="A2448">
        <f>HYPERLINK("http://www.twitter.com/NYCParks/status/631114613602578433", "631114613602578433")</f>
        <v>0</v>
      </c>
      <c r="B2448" s="2">
        <v>42227.6160185185</v>
      </c>
      <c r="C2448">
        <v>3</v>
      </c>
      <c r="D2448">
        <v>2</v>
      </c>
      <c r="E2448" t="s">
        <v>2448</v>
      </c>
    </row>
    <row r="2449" spans="1:5">
      <c r="A2449">
        <f>HYPERLINK("http://www.twitter.com/NYCParks/status/630858077156311040", "630858077156311040")</f>
        <v>0</v>
      </c>
      <c r="B2449" s="2">
        <v>42226.9081134259</v>
      </c>
      <c r="C2449">
        <v>0</v>
      </c>
      <c r="D2449">
        <v>0</v>
      </c>
      <c r="E2449" t="s">
        <v>2449</v>
      </c>
    </row>
    <row r="2450" spans="1:5">
      <c r="A2450">
        <f>HYPERLINK("http://www.twitter.com/NYCParks/status/630822041579618305", "630822041579618305")</f>
        <v>0</v>
      </c>
      <c r="B2450" s="2">
        <v>42226.8086689815</v>
      </c>
      <c r="C2450">
        <v>7</v>
      </c>
      <c r="D2450">
        <v>7</v>
      </c>
      <c r="E2450" t="s">
        <v>2450</v>
      </c>
    </row>
    <row r="2451" spans="1:5">
      <c r="A2451">
        <f>HYPERLINK("http://www.twitter.com/NYCParks/status/630804764821995521", "630804764821995521")</f>
        <v>0</v>
      </c>
      <c r="B2451" s="2">
        <v>42226.7609953704</v>
      </c>
      <c r="C2451">
        <v>9</v>
      </c>
      <c r="D2451">
        <v>13</v>
      </c>
      <c r="E2451" t="s">
        <v>2451</v>
      </c>
    </row>
    <row r="2452" spans="1:5">
      <c r="A2452">
        <f>HYPERLINK("http://www.twitter.com/NYCParks/status/630799191011364864", "630799191011364864")</f>
        <v>0</v>
      </c>
      <c r="B2452" s="2">
        <v>42226.7456134259</v>
      </c>
      <c r="C2452">
        <v>0</v>
      </c>
      <c r="D2452">
        <v>0</v>
      </c>
      <c r="E2452" t="s">
        <v>2452</v>
      </c>
    </row>
    <row r="2453" spans="1:5">
      <c r="A2453">
        <f>HYPERLINK("http://www.twitter.com/NYCParks/status/630787535254499328", "630787535254499328")</f>
        <v>0</v>
      </c>
      <c r="B2453" s="2">
        <v>42226.7134490741</v>
      </c>
      <c r="C2453">
        <v>10</v>
      </c>
      <c r="D2453">
        <v>7</v>
      </c>
      <c r="E2453" t="s">
        <v>2453</v>
      </c>
    </row>
    <row r="2454" spans="1:5">
      <c r="A2454">
        <f>HYPERLINK("http://www.twitter.com/NYCParks/status/630772896219140096", "630772896219140096")</f>
        <v>0</v>
      </c>
      <c r="B2454" s="2">
        <v>42226.6730555556</v>
      </c>
      <c r="C2454">
        <v>39</v>
      </c>
      <c r="D2454">
        <v>37</v>
      </c>
      <c r="E2454" t="s">
        <v>2454</v>
      </c>
    </row>
    <row r="2455" spans="1:5">
      <c r="A2455">
        <f>HYPERLINK("http://www.twitter.com/NYCParks/status/630754754583523329", "630754754583523329")</f>
        <v>0</v>
      </c>
      <c r="B2455" s="2">
        <v>42226.6229976852</v>
      </c>
      <c r="C2455">
        <v>18</v>
      </c>
      <c r="D2455">
        <v>13</v>
      </c>
      <c r="E2455" t="s">
        <v>2455</v>
      </c>
    </row>
    <row r="2456" spans="1:5">
      <c r="A2456">
        <f>HYPERLINK("http://www.twitter.com/NYCParks/status/630119572348272645", "630119572348272645")</f>
        <v>0</v>
      </c>
      <c r="B2456" s="2">
        <v>42224.8702199074</v>
      </c>
      <c r="C2456">
        <v>5</v>
      </c>
      <c r="D2456">
        <v>4</v>
      </c>
      <c r="E2456" t="s">
        <v>2456</v>
      </c>
    </row>
    <row r="2457" spans="1:5">
      <c r="A2457">
        <f>HYPERLINK("http://www.twitter.com/NYCParks/status/629749260188262400", "629749260188262400")</f>
        <v>0</v>
      </c>
      <c r="B2457" s="2">
        <v>42223.8483564815</v>
      </c>
      <c r="C2457">
        <v>17</v>
      </c>
      <c r="D2457">
        <v>12</v>
      </c>
      <c r="E2457" t="s">
        <v>2457</v>
      </c>
    </row>
    <row r="2458" spans="1:5">
      <c r="A2458">
        <f>HYPERLINK("http://www.twitter.com/NYCParks/status/629737399464108032", "629737399464108032")</f>
        <v>0</v>
      </c>
      <c r="B2458" s="2">
        <v>42223.815625</v>
      </c>
      <c r="C2458">
        <v>16</v>
      </c>
      <c r="D2458">
        <v>9</v>
      </c>
      <c r="E2458" t="s">
        <v>2458</v>
      </c>
    </row>
    <row r="2459" spans="1:5">
      <c r="A2459">
        <f>HYPERLINK("http://www.twitter.com/NYCParks/status/629725331356786689", "629725331356786689")</f>
        <v>0</v>
      </c>
      <c r="B2459" s="2">
        <v>42223.7823263889</v>
      </c>
      <c r="C2459">
        <v>4</v>
      </c>
      <c r="D2459">
        <v>4</v>
      </c>
      <c r="E2459" t="s">
        <v>2459</v>
      </c>
    </row>
    <row r="2460" spans="1:5">
      <c r="A2460">
        <f>HYPERLINK("http://www.twitter.com/NYCParks/status/629710718502334464", "629710718502334464")</f>
        <v>0</v>
      </c>
      <c r="B2460" s="2">
        <v>42223.7420023148</v>
      </c>
      <c r="C2460">
        <v>31</v>
      </c>
      <c r="D2460">
        <v>31</v>
      </c>
      <c r="E2460" t="s">
        <v>2460</v>
      </c>
    </row>
    <row r="2461" spans="1:5">
      <c r="A2461">
        <f>HYPERLINK("http://www.twitter.com/NYCParks/status/629693380797333504", "629693380797333504")</f>
        <v>0</v>
      </c>
      <c r="B2461" s="2">
        <v>42223.6941550926</v>
      </c>
      <c r="C2461">
        <v>20</v>
      </c>
      <c r="D2461">
        <v>16</v>
      </c>
      <c r="E2461" t="s">
        <v>2461</v>
      </c>
    </row>
    <row r="2462" spans="1:5">
      <c r="A2462">
        <f>HYPERLINK("http://www.twitter.com/NYCParks/status/629682317469085696", "629682317469085696")</f>
        <v>0</v>
      </c>
      <c r="B2462" s="2">
        <v>42223.6636342593</v>
      </c>
      <c r="C2462">
        <v>0</v>
      </c>
      <c r="D2462">
        <v>0</v>
      </c>
      <c r="E2462" t="s">
        <v>2462</v>
      </c>
    </row>
    <row r="2463" spans="1:5">
      <c r="A2463">
        <f>HYPERLINK("http://www.twitter.com/NYCParks/status/629679242620588036", "629679242620588036")</f>
        <v>0</v>
      </c>
      <c r="B2463" s="2">
        <v>42223.6551388889</v>
      </c>
      <c r="C2463">
        <v>12</v>
      </c>
      <c r="D2463">
        <v>17</v>
      </c>
      <c r="E2463" t="s">
        <v>2463</v>
      </c>
    </row>
    <row r="2464" spans="1:5">
      <c r="A2464">
        <f>HYPERLINK("http://www.twitter.com/NYCParks/status/629656068394778624", "629656068394778624")</f>
        <v>0</v>
      </c>
      <c r="B2464" s="2">
        <v>42223.5911921296</v>
      </c>
      <c r="C2464">
        <v>0</v>
      </c>
      <c r="D2464">
        <v>11</v>
      </c>
      <c r="E2464" t="s">
        <v>2464</v>
      </c>
    </row>
    <row r="2465" spans="1:5">
      <c r="A2465">
        <f>HYPERLINK("http://www.twitter.com/NYCParks/status/629383016805068800", "629383016805068800")</f>
        <v>0</v>
      </c>
      <c r="B2465" s="2">
        <v>42222.8377199074</v>
      </c>
      <c r="C2465">
        <v>11</v>
      </c>
      <c r="D2465">
        <v>9</v>
      </c>
      <c r="E2465" t="s">
        <v>2465</v>
      </c>
    </row>
    <row r="2466" spans="1:5">
      <c r="A2466">
        <f>HYPERLINK("http://www.twitter.com/NYCParks/status/629369540061851649", "629369540061851649")</f>
        <v>0</v>
      </c>
      <c r="B2466" s="2">
        <v>42222.8005324074</v>
      </c>
      <c r="C2466">
        <v>57</v>
      </c>
      <c r="D2466">
        <v>60</v>
      </c>
      <c r="E2466" t="s">
        <v>2466</v>
      </c>
    </row>
    <row r="2467" spans="1:5">
      <c r="A2467">
        <f>HYPERLINK("http://www.twitter.com/NYCParks/status/629353877985431552", "629353877985431552")</f>
        <v>0</v>
      </c>
      <c r="B2467" s="2">
        <v>42222.7573032407</v>
      </c>
      <c r="C2467">
        <v>83</v>
      </c>
      <c r="D2467">
        <v>58</v>
      </c>
      <c r="E2467" t="s">
        <v>2467</v>
      </c>
    </row>
    <row r="2468" spans="1:5">
      <c r="A2468">
        <f>HYPERLINK("http://www.twitter.com/NYCParks/status/629337931472367617", "629337931472367617")</f>
        <v>0</v>
      </c>
      <c r="B2468" s="2">
        <v>42222.7133101852</v>
      </c>
      <c r="C2468">
        <v>4</v>
      </c>
      <c r="D2468">
        <v>5</v>
      </c>
      <c r="E2468" t="s">
        <v>2468</v>
      </c>
    </row>
    <row r="2469" spans="1:5">
      <c r="A2469">
        <f>HYPERLINK("http://www.twitter.com/NYCParks/status/629325967333421056", "629325967333421056")</f>
        <v>0</v>
      </c>
      <c r="B2469" s="2">
        <v>42222.6802893519</v>
      </c>
      <c r="C2469">
        <v>19</v>
      </c>
      <c r="D2469">
        <v>14</v>
      </c>
      <c r="E2469" t="s">
        <v>2469</v>
      </c>
    </row>
    <row r="2470" spans="1:5">
      <c r="A2470">
        <f>HYPERLINK("http://www.twitter.com/NYCParks/status/629312165317582848", "629312165317582848")</f>
        <v>0</v>
      </c>
      <c r="B2470" s="2">
        <v>42222.6421990741</v>
      </c>
      <c r="C2470">
        <v>1</v>
      </c>
      <c r="D2470">
        <v>0</v>
      </c>
      <c r="E2470" t="s">
        <v>2470</v>
      </c>
    </row>
    <row r="2471" spans="1:5">
      <c r="A2471">
        <f>HYPERLINK("http://www.twitter.com/NYCParks/status/629309175118569473", "629309175118569473")</f>
        <v>0</v>
      </c>
      <c r="B2471" s="2">
        <v>42222.6339583333</v>
      </c>
      <c r="C2471">
        <v>21</v>
      </c>
      <c r="D2471">
        <v>22</v>
      </c>
      <c r="E2471" t="s">
        <v>2471</v>
      </c>
    </row>
    <row r="2472" spans="1:5">
      <c r="A2472">
        <f>HYPERLINK("http://www.twitter.com/NYCParks/status/629020063920689152", "629020063920689152")</f>
        <v>0</v>
      </c>
      <c r="B2472" s="2">
        <v>42221.8361574074</v>
      </c>
      <c r="C2472">
        <v>13</v>
      </c>
      <c r="D2472">
        <v>13</v>
      </c>
      <c r="E2472" t="s">
        <v>2472</v>
      </c>
    </row>
    <row r="2473" spans="1:5">
      <c r="A2473">
        <f>HYPERLINK("http://www.twitter.com/NYCParks/status/629009225235230720", "629009225235230720")</f>
        <v>0</v>
      </c>
      <c r="B2473" s="2">
        <v>42221.80625</v>
      </c>
      <c r="C2473">
        <v>17</v>
      </c>
      <c r="D2473">
        <v>15</v>
      </c>
      <c r="E2473" t="s">
        <v>2473</v>
      </c>
    </row>
    <row r="2474" spans="1:5">
      <c r="A2474">
        <f>HYPERLINK("http://www.twitter.com/NYCParks/status/628993406883205120", "628993406883205120")</f>
        <v>0</v>
      </c>
      <c r="B2474" s="2">
        <v>42221.7625925926</v>
      </c>
      <c r="C2474">
        <v>14</v>
      </c>
      <c r="D2474">
        <v>19</v>
      </c>
      <c r="E2474" t="s">
        <v>2474</v>
      </c>
    </row>
    <row r="2475" spans="1:5">
      <c r="A2475">
        <f>HYPERLINK("http://www.twitter.com/NYCParks/status/628973133928759297", "628973133928759297")</f>
        <v>0</v>
      </c>
      <c r="B2475" s="2">
        <v>42221.7066550926</v>
      </c>
      <c r="C2475">
        <v>13</v>
      </c>
      <c r="D2475">
        <v>17</v>
      </c>
      <c r="E2475" t="s">
        <v>2475</v>
      </c>
    </row>
    <row r="2476" spans="1:5">
      <c r="A2476">
        <f>HYPERLINK("http://www.twitter.com/NYCParks/status/628958270573703168", "628958270573703168")</f>
        <v>0</v>
      </c>
      <c r="B2476" s="2">
        <v>42221.6656365741</v>
      </c>
      <c r="C2476">
        <v>13</v>
      </c>
      <c r="D2476">
        <v>11</v>
      </c>
      <c r="E2476" t="s">
        <v>2476</v>
      </c>
    </row>
    <row r="2477" spans="1:5">
      <c r="A2477">
        <f>HYPERLINK("http://www.twitter.com/NYCParks/status/628944407421669376", "628944407421669376")</f>
        <v>0</v>
      </c>
      <c r="B2477" s="2">
        <v>42221.6273842593</v>
      </c>
      <c r="C2477">
        <v>7</v>
      </c>
      <c r="D2477">
        <v>7</v>
      </c>
      <c r="E2477" t="s">
        <v>2477</v>
      </c>
    </row>
    <row r="2478" spans="1:5">
      <c r="A2478">
        <f>HYPERLINK("http://www.twitter.com/NYCParks/status/628931735858872320", "628931735858872320")</f>
        <v>0</v>
      </c>
      <c r="B2478" s="2">
        <v>42221.5924189815</v>
      </c>
      <c r="C2478">
        <v>0</v>
      </c>
      <c r="D2478">
        <v>0</v>
      </c>
      <c r="E2478" t="s">
        <v>2478</v>
      </c>
    </row>
    <row r="2479" spans="1:5">
      <c r="A2479">
        <f>HYPERLINK("http://www.twitter.com/NYCParks/status/628657155055423488", "628657155055423488")</f>
        <v>0</v>
      </c>
      <c r="B2479" s="2">
        <v>42220.8347222222</v>
      </c>
      <c r="C2479">
        <v>13</v>
      </c>
      <c r="D2479">
        <v>8</v>
      </c>
      <c r="E2479" t="s">
        <v>2479</v>
      </c>
    </row>
    <row r="2480" spans="1:5">
      <c r="A2480">
        <f>HYPERLINK("http://www.twitter.com/NYCParks/status/628644413879775232", "628644413879775232")</f>
        <v>0</v>
      </c>
      <c r="B2480" s="2">
        <v>42220.7995601852</v>
      </c>
      <c r="C2480">
        <v>18</v>
      </c>
      <c r="D2480">
        <v>14</v>
      </c>
      <c r="E2480" t="s">
        <v>2480</v>
      </c>
    </row>
    <row r="2481" spans="1:5">
      <c r="A2481">
        <f>HYPERLINK("http://www.twitter.com/NYCParks/status/628629182713589760", "628629182713589760")</f>
        <v>0</v>
      </c>
      <c r="B2481" s="2">
        <v>42220.7575347222</v>
      </c>
      <c r="C2481">
        <v>14</v>
      </c>
      <c r="D2481">
        <v>10</v>
      </c>
      <c r="E2481" t="s">
        <v>2481</v>
      </c>
    </row>
    <row r="2482" spans="1:5">
      <c r="A2482">
        <f>HYPERLINK("http://www.twitter.com/NYCParks/status/628613970954428416", "628613970954428416")</f>
        <v>0</v>
      </c>
      <c r="B2482" s="2">
        <v>42220.7155555556</v>
      </c>
      <c r="C2482">
        <v>3</v>
      </c>
      <c r="D2482">
        <v>6</v>
      </c>
      <c r="E2482" t="s">
        <v>2482</v>
      </c>
    </row>
    <row r="2483" spans="1:5">
      <c r="A2483">
        <f>HYPERLINK("http://www.twitter.com/NYCParks/status/628597332167233536", "628597332167233536")</f>
        <v>0</v>
      </c>
      <c r="B2483" s="2">
        <v>42220.6696412037</v>
      </c>
      <c r="C2483">
        <v>12</v>
      </c>
      <c r="D2483">
        <v>8</v>
      </c>
      <c r="E2483" t="s">
        <v>2483</v>
      </c>
    </row>
    <row r="2484" spans="1:5">
      <c r="A2484">
        <f>HYPERLINK("http://www.twitter.com/NYCParks/status/628585368556826624", "628585368556826624")</f>
        <v>0</v>
      </c>
      <c r="B2484" s="2">
        <v>42220.6366319444</v>
      </c>
      <c r="C2484">
        <v>5</v>
      </c>
      <c r="D2484">
        <v>9</v>
      </c>
      <c r="E2484" t="s">
        <v>2484</v>
      </c>
    </row>
    <row r="2485" spans="1:5">
      <c r="A2485">
        <f>HYPERLINK("http://www.twitter.com/NYCParks/status/628577878142287873", "628577878142287873")</f>
        <v>0</v>
      </c>
      <c r="B2485" s="2">
        <v>42220.6159606481</v>
      </c>
      <c r="C2485">
        <v>0</v>
      </c>
      <c r="D2485">
        <v>0</v>
      </c>
      <c r="E2485" t="s">
        <v>2485</v>
      </c>
    </row>
    <row r="2486" spans="1:5">
      <c r="A2486">
        <f>HYPERLINK("http://www.twitter.com/NYCParks/status/628302382749904896", "628302382749904896")</f>
        <v>0</v>
      </c>
      <c r="B2486" s="2">
        <v>42219.8557291667</v>
      </c>
      <c r="C2486">
        <v>4</v>
      </c>
      <c r="D2486">
        <v>6</v>
      </c>
      <c r="E2486" t="s">
        <v>2486</v>
      </c>
    </row>
    <row r="2487" spans="1:5">
      <c r="A2487">
        <f>HYPERLINK("http://www.twitter.com/NYCParks/status/628289373780451328", "628289373780451328")</f>
        <v>0</v>
      </c>
      <c r="B2487" s="2">
        <v>42219.819837963</v>
      </c>
      <c r="C2487">
        <v>0</v>
      </c>
      <c r="D2487">
        <v>50</v>
      </c>
      <c r="E2487" t="s">
        <v>2487</v>
      </c>
    </row>
    <row r="2488" spans="1:5">
      <c r="A2488">
        <f>HYPERLINK("http://www.twitter.com/NYCParks/status/628272803255611392", "628272803255611392")</f>
        <v>0</v>
      </c>
      <c r="B2488" s="2">
        <v>42219.7741087963</v>
      </c>
      <c r="C2488">
        <v>14</v>
      </c>
      <c r="D2488">
        <v>12</v>
      </c>
      <c r="E2488" t="s">
        <v>2488</v>
      </c>
    </row>
    <row r="2489" spans="1:5">
      <c r="A2489">
        <f>HYPERLINK("http://www.twitter.com/NYCParks/status/628265931056259072", "628265931056259072")</f>
        <v>0</v>
      </c>
      <c r="B2489" s="2">
        <v>42219.755150463</v>
      </c>
      <c r="C2489">
        <v>1</v>
      </c>
      <c r="D2489">
        <v>1</v>
      </c>
      <c r="E2489" t="s">
        <v>2489</v>
      </c>
    </row>
    <row r="2490" spans="1:5">
      <c r="A2490">
        <f>HYPERLINK("http://www.twitter.com/NYCParks/status/628257996292915200", "628257996292915200")</f>
        <v>0</v>
      </c>
      <c r="B2490" s="2">
        <v>42219.7332523148</v>
      </c>
      <c r="C2490">
        <v>10</v>
      </c>
      <c r="D2490">
        <v>12</v>
      </c>
      <c r="E2490" t="s">
        <v>2490</v>
      </c>
    </row>
    <row r="2491" spans="1:5">
      <c r="A2491">
        <f>HYPERLINK("http://www.twitter.com/NYCParks/status/628243003900076032", "628243003900076032")</f>
        <v>0</v>
      </c>
      <c r="B2491" s="2">
        <v>42219.691875</v>
      </c>
      <c r="C2491">
        <v>16</v>
      </c>
      <c r="D2491">
        <v>17</v>
      </c>
      <c r="E2491" t="s">
        <v>2491</v>
      </c>
    </row>
    <row r="2492" spans="1:5">
      <c r="A2492">
        <f>HYPERLINK("http://www.twitter.com/NYCParks/status/628229563756224513", "628229563756224513")</f>
        <v>0</v>
      </c>
      <c r="B2492" s="2">
        <v>42219.6547916667</v>
      </c>
      <c r="C2492">
        <v>12</v>
      </c>
      <c r="D2492">
        <v>13</v>
      </c>
      <c r="E2492" t="s">
        <v>2492</v>
      </c>
    </row>
    <row r="2493" spans="1:5">
      <c r="A2493">
        <f>HYPERLINK("http://www.twitter.com/NYCParks/status/628214733531914240", "628214733531914240")</f>
        <v>0</v>
      </c>
      <c r="B2493" s="2">
        <v>42219.6138657407</v>
      </c>
      <c r="C2493">
        <v>0</v>
      </c>
      <c r="D2493">
        <v>0</v>
      </c>
      <c r="E2493" t="s">
        <v>2493</v>
      </c>
    </row>
    <row r="2494" spans="1:5">
      <c r="A2494">
        <f>HYPERLINK("http://www.twitter.com/NYCParks/status/628212721998254080", "628212721998254080")</f>
        <v>0</v>
      </c>
      <c r="B2494" s="2">
        <v>42219.6083217593</v>
      </c>
      <c r="C2494">
        <v>0</v>
      </c>
      <c r="D2494">
        <v>6</v>
      </c>
      <c r="E2494" t="s">
        <v>2494</v>
      </c>
    </row>
    <row r="2495" spans="1:5">
      <c r="A2495">
        <f>HYPERLINK("http://www.twitter.com/NYCParks/status/627206458644537344", "627206458644537344")</f>
        <v>0</v>
      </c>
      <c r="B2495" s="2">
        <v>42216.8315625</v>
      </c>
      <c r="C2495">
        <v>10</v>
      </c>
      <c r="D2495">
        <v>16</v>
      </c>
      <c r="E2495" t="s">
        <v>2495</v>
      </c>
    </row>
    <row r="2496" spans="1:5">
      <c r="A2496">
        <f>HYPERLINK("http://www.twitter.com/NYCParks/status/627190565260652544", "627190565260652544")</f>
        <v>0</v>
      </c>
      <c r="B2496" s="2">
        <v>42216.7877083333</v>
      </c>
      <c r="C2496">
        <v>12</v>
      </c>
      <c r="D2496">
        <v>8</v>
      </c>
      <c r="E2496" t="s">
        <v>2496</v>
      </c>
    </row>
    <row r="2497" spans="1:5">
      <c r="A2497">
        <f>HYPERLINK("http://www.twitter.com/NYCParks/status/627171725793492992", "627171725793492992")</f>
        <v>0</v>
      </c>
      <c r="B2497" s="2">
        <v>42216.7357175926</v>
      </c>
      <c r="C2497">
        <v>6</v>
      </c>
      <c r="D2497">
        <v>9</v>
      </c>
      <c r="E2497" t="s">
        <v>2497</v>
      </c>
    </row>
    <row r="2498" spans="1:5">
      <c r="A2498">
        <f>HYPERLINK("http://www.twitter.com/NYCParks/status/627157451977170944", "627157451977170944")</f>
        <v>0</v>
      </c>
      <c r="B2498" s="2">
        <v>42216.6963310185</v>
      </c>
      <c r="C2498">
        <v>45</v>
      </c>
      <c r="D2498">
        <v>20</v>
      </c>
      <c r="E2498" t="s">
        <v>2498</v>
      </c>
    </row>
    <row r="2499" spans="1:5">
      <c r="A2499">
        <f>HYPERLINK("http://www.twitter.com/NYCParks/status/627141486388359168", "627141486388359168")</f>
        <v>0</v>
      </c>
      <c r="B2499" s="2">
        <v>42216.6522685185</v>
      </c>
      <c r="C2499">
        <v>32</v>
      </c>
      <c r="D2499">
        <v>46</v>
      </c>
      <c r="E2499" t="s">
        <v>2499</v>
      </c>
    </row>
    <row r="2500" spans="1:5">
      <c r="A2500">
        <f>HYPERLINK("http://www.twitter.com/NYCParks/status/627126907939758080", "627126907939758080")</f>
        <v>0</v>
      </c>
      <c r="B2500" s="2">
        <v>42216.612037037</v>
      </c>
      <c r="C2500">
        <v>38</v>
      </c>
      <c r="D2500">
        <v>32</v>
      </c>
      <c r="E2500" t="s">
        <v>2500</v>
      </c>
    </row>
    <row r="2501" spans="1:5">
      <c r="A2501">
        <f>HYPERLINK("http://www.twitter.com/NYCParks/status/626831921495019520", "626831921495019520")</f>
        <v>0</v>
      </c>
      <c r="B2501" s="2">
        <v>42215.7980324074</v>
      </c>
      <c r="C2501">
        <v>6</v>
      </c>
      <c r="D2501">
        <v>1</v>
      </c>
      <c r="E2501" t="s">
        <v>2501</v>
      </c>
    </row>
    <row r="2502" spans="1:5">
      <c r="A2502">
        <f>HYPERLINK("http://www.twitter.com/NYCParks/status/626816416558284800", "626816416558284800")</f>
        <v>0</v>
      </c>
      <c r="B2502" s="2">
        <v>42215.7552546296</v>
      </c>
      <c r="C2502">
        <v>13</v>
      </c>
      <c r="D2502">
        <v>9</v>
      </c>
      <c r="E2502" t="s">
        <v>2502</v>
      </c>
    </row>
    <row r="2503" spans="1:5">
      <c r="A2503">
        <f>HYPERLINK("http://www.twitter.com/NYCParks/status/626800772643057665", "626800772643057665")</f>
        <v>0</v>
      </c>
      <c r="B2503" s="2">
        <v>42215.7120833333</v>
      </c>
      <c r="C2503">
        <v>19</v>
      </c>
      <c r="D2503">
        <v>13</v>
      </c>
      <c r="E2503" t="s">
        <v>2503</v>
      </c>
    </row>
    <row r="2504" spans="1:5">
      <c r="A2504">
        <f>HYPERLINK("http://www.twitter.com/NYCParks/status/626781525552594948", "626781525552594948")</f>
        <v>0</v>
      </c>
      <c r="B2504" s="2">
        <v>42215.6589699074</v>
      </c>
      <c r="C2504">
        <v>0</v>
      </c>
      <c r="D2504">
        <v>0</v>
      </c>
      <c r="E2504" t="s">
        <v>2504</v>
      </c>
    </row>
    <row r="2505" spans="1:5">
      <c r="A2505">
        <f>HYPERLINK("http://www.twitter.com/NYCParks/status/626780967496253440", "626780967496253440")</f>
        <v>0</v>
      </c>
      <c r="B2505" s="2">
        <v>42215.6574305556</v>
      </c>
      <c r="C2505">
        <v>26</v>
      </c>
      <c r="D2505">
        <v>20</v>
      </c>
      <c r="E2505" t="s">
        <v>2505</v>
      </c>
    </row>
    <row r="2506" spans="1:5">
      <c r="A2506">
        <f>HYPERLINK("http://www.twitter.com/NYCParks/status/626770657800515584", "626770657800515584")</f>
        <v>0</v>
      </c>
      <c r="B2506" s="2">
        <v>42215.6289814815</v>
      </c>
      <c r="C2506">
        <v>0</v>
      </c>
      <c r="D2506">
        <v>0</v>
      </c>
      <c r="E2506" t="s">
        <v>2506</v>
      </c>
    </row>
    <row r="2507" spans="1:5">
      <c r="A2507">
        <f>HYPERLINK("http://www.twitter.com/NYCParks/status/626768172578963456", "626768172578963456")</f>
        <v>0</v>
      </c>
      <c r="B2507" s="2">
        <v>42215.6221180556</v>
      </c>
      <c r="C2507">
        <v>48</v>
      </c>
      <c r="D2507">
        <v>47</v>
      </c>
      <c r="E2507" t="s">
        <v>2507</v>
      </c>
    </row>
    <row r="2508" spans="1:5">
      <c r="A2508">
        <f>HYPERLINK("http://www.twitter.com/NYCParks/status/626480680306917376", "626480680306917376")</f>
        <v>0</v>
      </c>
      <c r="B2508" s="2">
        <v>42214.8287962963</v>
      </c>
      <c r="C2508">
        <v>5</v>
      </c>
      <c r="D2508">
        <v>6</v>
      </c>
      <c r="E2508" t="s">
        <v>2508</v>
      </c>
    </row>
    <row r="2509" spans="1:5">
      <c r="A2509">
        <f>HYPERLINK("http://www.twitter.com/NYCParks/status/626465059154337792", "626465059154337792")</f>
        <v>0</v>
      </c>
      <c r="B2509" s="2">
        <v>42214.7856828704</v>
      </c>
      <c r="C2509">
        <v>17</v>
      </c>
      <c r="D2509">
        <v>26</v>
      </c>
      <c r="E2509" t="s">
        <v>2509</v>
      </c>
    </row>
    <row r="2510" spans="1:5">
      <c r="A2510">
        <f>HYPERLINK("http://www.twitter.com/NYCParks/status/626465044478492673", "626465044478492673")</f>
        <v>0</v>
      </c>
      <c r="B2510" s="2">
        <v>42214.7856481482</v>
      </c>
      <c r="C2510">
        <v>0</v>
      </c>
      <c r="D2510">
        <v>0</v>
      </c>
      <c r="E2510" t="s">
        <v>2510</v>
      </c>
    </row>
    <row r="2511" spans="1:5">
      <c r="A2511">
        <f>HYPERLINK("http://www.twitter.com/NYCParks/status/626465020273160192", "626465020273160192")</f>
        <v>0</v>
      </c>
      <c r="B2511" s="2">
        <v>42214.7855787037</v>
      </c>
      <c r="C2511">
        <v>1</v>
      </c>
      <c r="D2511">
        <v>0</v>
      </c>
      <c r="E2511" t="s">
        <v>2511</v>
      </c>
    </row>
    <row r="2512" spans="1:5">
      <c r="A2512">
        <f>HYPERLINK("http://www.twitter.com/NYCParks/status/626464765565620224", "626464765565620224")</f>
        <v>0</v>
      </c>
      <c r="B2512" s="2">
        <v>42214.7848726852</v>
      </c>
      <c r="C2512">
        <v>1</v>
      </c>
      <c r="D2512">
        <v>0</v>
      </c>
      <c r="E2512" t="s">
        <v>2512</v>
      </c>
    </row>
    <row r="2513" spans="1:5">
      <c r="A2513">
        <f>HYPERLINK("http://www.twitter.com/NYCParks/status/626450413525598208", "626450413525598208")</f>
        <v>0</v>
      </c>
      <c r="B2513" s="2">
        <v>42214.7452777778</v>
      </c>
      <c r="C2513">
        <v>19</v>
      </c>
      <c r="D2513">
        <v>20</v>
      </c>
      <c r="E2513" t="s">
        <v>2513</v>
      </c>
    </row>
    <row r="2514" spans="1:5">
      <c r="A2514">
        <f>HYPERLINK("http://www.twitter.com/NYCParks/status/626431132427534337", "626431132427534337")</f>
        <v>0</v>
      </c>
      <c r="B2514" s="2">
        <v>42214.6920717593</v>
      </c>
      <c r="C2514">
        <v>11</v>
      </c>
      <c r="D2514">
        <v>7</v>
      </c>
      <c r="E2514" t="s">
        <v>2514</v>
      </c>
    </row>
    <row r="2515" spans="1:5">
      <c r="A2515">
        <f>HYPERLINK("http://www.twitter.com/NYCParks/status/626415901571743744", "626415901571743744")</f>
        <v>0</v>
      </c>
      <c r="B2515" s="2">
        <v>42214.6500347222</v>
      </c>
      <c r="C2515">
        <v>9</v>
      </c>
      <c r="D2515">
        <v>11</v>
      </c>
      <c r="E2515" t="s">
        <v>2515</v>
      </c>
    </row>
    <row r="2516" spans="1:5">
      <c r="A2516">
        <f>HYPERLINK("http://www.twitter.com/NYCParks/status/626402389684322304", "626402389684322304")</f>
        <v>0</v>
      </c>
      <c r="B2516" s="2">
        <v>42214.6127546296</v>
      </c>
      <c r="C2516">
        <v>0</v>
      </c>
      <c r="D2516">
        <v>43</v>
      </c>
      <c r="E2516" t="s">
        <v>2516</v>
      </c>
    </row>
    <row r="2517" spans="1:5">
      <c r="A2517">
        <f>HYPERLINK("http://www.twitter.com/NYCParks/status/626401058080866304", "626401058080866304")</f>
        <v>0</v>
      </c>
      <c r="B2517" s="2">
        <v>42214.6090740741</v>
      </c>
      <c r="C2517">
        <v>1</v>
      </c>
      <c r="D2517">
        <v>1</v>
      </c>
      <c r="E2517" t="s">
        <v>2517</v>
      </c>
    </row>
    <row r="2518" spans="1:5">
      <c r="A2518">
        <f>HYPERLINK("http://www.twitter.com/NYCParks/status/626142801047240704", "626142801047240704")</f>
        <v>0</v>
      </c>
      <c r="B2518" s="2">
        <v>42213.8964236111</v>
      </c>
      <c r="C2518">
        <v>2</v>
      </c>
      <c r="D2518">
        <v>0</v>
      </c>
      <c r="E2518" t="s">
        <v>2518</v>
      </c>
    </row>
    <row r="2519" spans="1:5">
      <c r="A2519">
        <f>HYPERLINK("http://www.twitter.com/NYCParks/status/626112891561885696", "626112891561885696")</f>
        <v>0</v>
      </c>
      <c r="B2519" s="2">
        <v>42213.8138888889</v>
      </c>
      <c r="C2519">
        <v>5</v>
      </c>
      <c r="D2519">
        <v>8</v>
      </c>
      <c r="E2519" t="s">
        <v>2519</v>
      </c>
    </row>
    <row r="2520" spans="1:5">
      <c r="A2520">
        <f>HYPERLINK("http://www.twitter.com/NYCParks/status/626094457021140992", "626094457021140992")</f>
        <v>0</v>
      </c>
      <c r="B2520" s="2">
        <v>42213.7630208333</v>
      </c>
      <c r="C2520">
        <v>56</v>
      </c>
      <c r="D2520">
        <v>45</v>
      </c>
      <c r="E2520" t="s">
        <v>2520</v>
      </c>
    </row>
    <row r="2521" spans="1:5">
      <c r="A2521">
        <f>HYPERLINK("http://www.twitter.com/NYCParks/status/626084005167824896", "626084005167824896")</f>
        <v>0</v>
      </c>
      <c r="B2521" s="2">
        <v>42213.7341782407</v>
      </c>
      <c r="C2521">
        <v>1</v>
      </c>
      <c r="D2521">
        <v>0</v>
      </c>
      <c r="E2521" t="s">
        <v>2521</v>
      </c>
    </row>
    <row r="2522" spans="1:5">
      <c r="A2522">
        <f>HYPERLINK("http://www.twitter.com/NYCParks/status/626079294314446848", "626079294314446848")</f>
        <v>0</v>
      </c>
      <c r="B2522" s="2">
        <v>42213.7211805556</v>
      </c>
      <c r="C2522">
        <v>12</v>
      </c>
      <c r="D2522">
        <v>6</v>
      </c>
      <c r="E2522" t="s">
        <v>2522</v>
      </c>
    </row>
    <row r="2523" spans="1:5">
      <c r="A2523">
        <f>HYPERLINK("http://www.twitter.com/NYCParks/status/626063350485647360", "626063350485647360")</f>
        <v>0</v>
      </c>
      <c r="B2523" s="2">
        <v>42213.6771875</v>
      </c>
      <c r="C2523">
        <v>12</v>
      </c>
      <c r="D2523">
        <v>12</v>
      </c>
      <c r="E2523" t="s">
        <v>2523</v>
      </c>
    </row>
    <row r="2524" spans="1:5">
      <c r="A2524">
        <f>HYPERLINK("http://www.twitter.com/NYCParks/status/626048965025374209", "626048965025374209")</f>
        <v>0</v>
      </c>
      <c r="B2524" s="2">
        <v>42213.6374884259</v>
      </c>
      <c r="C2524">
        <v>46</v>
      </c>
      <c r="D2524">
        <v>53</v>
      </c>
      <c r="E2524" t="s">
        <v>2524</v>
      </c>
    </row>
    <row r="2525" spans="1:5">
      <c r="A2525">
        <f>HYPERLINK("http://www.twitter.com/NYCParks/status/626033765912080384", "626033765912080384")</f>
        <v>0</v>
      </c>
      <c r="B2525" s="2">
        <v>42213.5955439815</v>
      </c>
      <c r="C2525">
        <v>0</v>
      </c>
      <c r="D2525">
        <v>54</v>
      </c>
      <c r="E2525" t="s">
        <v>2525</v>
      </c>
    </row>
    <row r="2526" spans="1:5">
      <c r="A2526">
        <f>HYPERLINK("http://www.twitter.com/NYCParks/status/625754541435289600", "625754541435289600")</f>
        <v>0</v>
      </c>
      <c r="B2526" s="2">
        <v>42212.8250347222</v>
      </c>
      <c r="C2526">
        <v>33</v>
      </c>
      <c r="D2526">
        <v>26</v>
      </c>
      <c r="E2526" t="s">
        <v>2526</v>
      </c>
    </row>
    <row r="2527" spans="1:5">
      <c r="A2527">
        <f>HYPERLINK("http://www.twitter.com/NYCParks/status/625736169809149952", "625736169809149952")</f>
        <v>0</v>
      </c>
      <c r="B2527" s="2">
        <v>42212.7743402778</v>
      </c>
      <c r="C2527">
        <v>23</v>
      </c>
      <c r="D2527">
        <v>27</v>
      </c>
      <c r="E2527" t="s">
        <v>2527</v>
      </c>
    </row>
    <row r="2528" spans="1:5">
      <c r="A2528">
        <f>HYPERLINK("http://www.twitter.com/NYCParks/status/625720602054295552", "625720602054295552")</f>
        <v>0</v>
      </c>
      <c r="B2528" s="2">
        <v>42212.7313773148</v>
      </c>
      <c r="C2528">
        <v>0</v>
      </c>
      <c r="D2528">
        <v>11</v>
      </c>
      <c r="E2528" t="s">
        <v>2528</v>
      </c>
    </row>
    <row r="2529" spans="1:5">
      <c r="A2529">
        <f>HYPERLINK("http://www.twitter.com/NYCParks/status/625710927883726852", "625710927883726852")</f>
        <v>0</v>
      </c>
      <c r="B2529" s="2">
        <v>42212.7046875</v>
      </c>
      <c r="C2529">
        <v>13</v>
      </c>
      <c r="D2529">
        <v>8</v>
      </c>
      <c r="E2529" t="s">
        <v>2529</v>
      </c>
    </row>
    <row r="2530" spans="1:5">
      <c r="A2530">
        <f>HYPERLINK("http://www.twitter.com/NYCParks/status/625703703241228292", "625703703241228292")</f>
        <v>0</v>
      </c>
      <c r="B2530" s="2">
        <v>42212.6847453704</v>
      </c>
      <c r="C2530">
        <v>0</v>
      </c>
      <c r="D2530">
        <v>0</v>
      </c>
      <c r="E2530" t="s">
        <v>2530</v>
      </c>
    </row>
    <row r="2531" spans="1:5">
      <c r="A2531">
        <f>HYPERLINK("http://www.twitter.com/NYCParks/status/625696057687711744", "625696057687711744")</f>
        <v>0</v>
      </c>
      <c r="B2531" s="2">
        <v>42212.6636458333</v>
      </c>
      <c r="C2531">
        <v>15</v>
      </c>
      <c r="D2531">
        <v>13</v>
      </c>
      <c r="E2531" t="s">
        <v>2531</v>
      </c>
    </row>
    <row r="2532" spans="1:5">
      <c r="A2532">
        <f>HYPERLINK("http://www.twitter.com/NYCParks/status/625677987128721408", "625677987128721408")</f>
        <v>0</v>
      </c>
      <c r="B2532" s="2">
        <v>42212.6137847222</v>
      </c>
      <c r="C2532">
        <v>11</v>
      </c>
      <c r="D2532">
        <v>8</v>
      </c>
      <c r="E2532" t="s">
        <v>2532</v>
      </c>
    </row>
    <row r="2533" spans="1:5">
      <c r="A2533">
        <f>HYPERLINK("http://www.twitter.com/NYCParks/status/624674815878762496", "624674815878762496")</f>
        <v>0</v>
      </c>
      <c r="B2533" s="2">
        <v>42209.8455555556</v>
      </c>
      <c r="C2533">
        <v>8</v>
      </c>
      <c r="D2533">
        <v>4</v>
      </c>
      <c r="E2533" t="s">
        <v>2533</v>
      </c>
    </row>
    <row r="2534" spans="1:5">
      <c r="A2534">
        <f>HYPERLINK("http://www.twitter.com/NYCParks/status/624658742425059328", "624658742425059328")</f>
        <v>0</v>
      </c>
      <c r="B2534" s="2">
        <v>42209.8012037037</v>
      </c>
      <c r="C2534">
        <v>5</v>
      </c>
      <c r="D2534">
        <v>3</v>
      </c>
      <c r="E2534" t="s">
        <v>2534</v>
      </c>
    </row>
    <row r="2535" spans="1:5">
      <c r="A2535">
        <f>HYPERLINK("http://www.twitter.com/NYCParks/status/624641047973490692", "624641047973490692")</f>
        <v>0</v>
      </c>
      <c r="B2535" s="2">
        <v>42209.7523726852</v>
      </c>
      <c r="C2535">
        <v>21</v>
      </c>
      <c r="D2535">
        <v>19</v>
      </c>
      <c r="E2535" t="s">
        <v>2535</v>
      </c>
    </row>
    <row r="2536" spans="1:5">
      <c r="A2536">
        <f>HYPERLINK("http://www.twitter.com/NYCParks/status/624622912000016384", "624622912000016384")</f>
        <v>0</v>
      </c>
      <c r="B2536" s="2">
        <v>42209.7023263889</v>
      </c>
      <c r="C2536">
        <v>5</v>
      </c>
      <c r="D2536">
        <v>7</v>
      </c>
      <c r="E2536" t="s">
        <v>2536</v>
      </c>
    </row>
    <row r="2537" spans="1:5">
      <c r="A2537">
        <f>HYPERLINK("http://www.twitter.com/NYCParks/status/624607312674553857", "624607312674553857")</f>
        <v>0</v>
      </c>
      <c r="B2537" s="2">
        <v>42209.6592824074</v>
      </c>
      <c r="C2537">
        <v>17</v>
      </c>
      <c r="D2537">
        <v>8</v>
      </c>
      <c r="E2537" t="s">
        <v>2537</v>
      </c>
    </row>
    <row r="2538" spans="1:5">
      <c r="A2538">
        <f>HYPERLINK("http://www.twitter.com/NYCParks/status/624592012453412864", "624592012453412864")</f>
        <v>0</v>
      </c>
      <c r="B2538" s="2">
        <v>42209.6170601852</v>
      </c>
      <c r="C2538">
        <v>11</v>
      </c>
      <c r="D2538">
        <v>10</v>
      </c>
      <c r="E2538" t="s">
        <v>2538</v>
      </c>
    </row>
    <row r="2539" spans="1:5">
      <c r="A2539">
        <f>HYPERLINK("http://www.twitter.com/NYCParks/status/624591920472297473", "624591920472297473")</f>
        <v>0</v>
      </c>
      <c r="B2539" s="2">
        <v>42209.6168055556</v>
      </c>
      <c r="C2539">
        <v>0</v>
      </c>
      <c r="D2539">
        <v>0</v>
      </c>
      <c r="E2539" t="s">
        <v>2539</v>
      </c>
    </row>
    <row r="2540" spans="1:5">
      <c r="A2540">
        <f>HYPERLINK("http://www.twitter.com/NYCParks/status/624334943460720647", "624334943460720647")</f>
        <v>0</v>
      </c>
      <c r="B2540" s="2">
        <v>42208.9076851852</v>
      </c>
      <c r="C2540">
        <v>0</v>
      </c>
      <c r="D2540">
        <v>0</v>
      </c>
      <c r="E2540" t="s">
        <v>2540</v>
      </c>
    </row>
    <row r="2541" spans="1:5">
      <c r="A2541">
        <f>HYPERLINK("http://www.twitter.com/NYCParks/status/624314663086370820", "624314663086370820")</f>
        <v>0</v>
      </c>
      <c r="B2541" s="2">
        <v>42208.851724537</v>
      </c>
      <c r="C2541">
        <v>7</v>
      </c>
      <c r="D2541">
        <v>10</v>
      </c>
      <c r="E2541" t="s">
        <v>2541</v>
      </c>
    </row>
    <row r="2542" spans="1:5">
      <c r="A2542">
        <f>HYPERLINK("http://www.twitter.com/NYCParks/status/624303587351490560", "624303587351490560")</f>
        <v>0</v>
      </c>
      <c r="B2542" s="2">
        <v>42208.8211574074</v>
      </c>
      <c r="C2542">
        <v>5</v>
      </c>
      <c r="D2542">
        <v>4</v>
      </c>
      <c r="E2542" t="s">
        <v>2542</v>
      </c>
    </row>
    <row r="2543" spans="1:5">
      <c r="A2543">
        <f>HYPERLINK("http://www.twitter.com/NYCParks/status/624297770766233600", "624297770766233600")</f>
        <v>0</v>
      </c>
      <c r="B2543" s="2">
        <v>42208.8051157407</v>
      </c>
      <c r="C2543">
        <v>0</v>
      </c>
      <c r="D2543">
        <v>0</v>
      </c>
      <c r="E2543" t="s">
        <v>2543</v>
      </c>
    </row>
    <row r="2544" spans="1:5">
      <c r="A2544">
        <f>HYPERLINK("http://www.twitter.com/NYCParks/status/624296670612824069", "624296670612824069")</f>
        <v>0</v>
      </c>
      <c r="B2544" s="2">
        <v>42208.8020717593</v>
      </c>
      <c r="C2544">
        <v>1</v>
      </c>
      <c r="D2544">
        <v>0</v>
      </c>
      <c r="E2544" t="s">
        <v>2544</v>
      </c>
    </row>
    <row r="2545" spans="1:5">
      <c r="A2545">
        <f>HYPERLINK("http://www.twitter.com/NYCParks/status/624293493465288704", "624293493465288704")</f>
        <v>0</v>
      </c>
      <c r="B2545" s="2">
        <v>42208.7933101852</v>
      </c>
      <c r="C2545">
        <v>0</v>
      </c>
      <c r="D2545">
        <v>1</v>
      </c>
      <c r="E2545" t="s">
        <v>2545</v>
      </c>
    </row>
    <row r="2546" spans="1:5">
      <c r="A2546">
        <f>HYPERLINK("http://www.twitter.com/NYCParks/status/624289123172487169", "624289123172487169")</f>
        <v>0</v>
      </c>
      <c r="B2546" s="2">
        <v>42208.78125</v>
      </c>
      <c r="C2546">
        <v>32</v>
      </c>
      <c r="D2546">
        <v>38</v>
      </c>
      <c r="E2546" t="s">
        <v>2546</v>
      </c>
    </row>
    <row r="2547" spans="1:5">
      <c r="A2547">
        <f>HYPERLINK("http://www.twitter.com/NYCParks/status/624288720062148608", "624288720062148608")</f>
        <v>0</v>
      </c>
      <c r="B2547" s="2">
        <v>42208.7801388889</v>
      </c>
      <c r="C2547">
        <v>0</v>
      </c>
      <c r="D2547">
        <v>0</v>
      </c>
      <c r="E2547" t="s">
        <v>2547</v>
      </c>
    </row>
    <row r="2548" spans="1:5">
      <c r="A2548">
        <f>HYPERLINK("http://www.twitter.com/NYCParks/status/624271617011658752", "624271617011658752")</f>
        <v>0</v>
      </c>
      <c r="B2548" s="2">
        <v>42208.7329398148</v>
      </c>
      <c r="C2548">
        <v>4</v>
      </c>
      <c r="D2548">
        <v>10</v>
      </c>
      <c r="E2548" t="s">
        <v>2548</v>
      </c>
    </row>
    <row r="2549" spans="1:5">
      <c r="A2549">
        <f>HYPERLINK("http://www.twitter.com/NYCParks/status/624255959528026113", "624255959528026113")</f>
        <v>0</v>
      </c>
      <c r="B2549" s="2">
        <v>42208.6897337963</v>
      </c>
      <c r="C2549">
        <v>22</v>
      </c>
      <c r="D2549">
        <v>13</v>
      </c>
      <c r="E2549" t="s">
        <v>2549</v>
      </c>
    </row>
    <row r="2550" spans="1:5">
      <c r="A2550">
        <f>HYPERLINK("http://www.twitter.com/NYCParks/status/624244390849064960", "624244390849064960")</f>
        <v>0</v>
      </c>
      <c r="B2550" s="2">
        <v>42208.6578125</v>
      </c>
      <c r="C2550">
        <v>0</v>
      </c>
      <c r="D2550">
        <v>40</v>
      </c>
      <c r="E2550" t="s">
        <v>2550</v>
      </c>
    </row>
    <row r="2551" spans="1:5">
      <c r="A2551">
        <f>HYPERLINK("http://www.twitter.com/NYCParks/status/624230452002463744", "624230452002463744")</f>
        <v>0</v>
      </c>
      <c r="B2551" s="2">
        <v>42208.6193518518</v>
      </c>
      <c r="C2551">
        <v>14</v>
      </c>
      <c r="D2551">
        <v>12</v>
      </c>
      <c r="E2551" t="s">
        <v>2551</v>
      </c>
    </row>
    <row r="2552" spans="1:5">
      <c r="A2552">
        <f>HYPERLINK("http://www.twitter.com/NYCParks/status/623947829380284416", "623947829380284416")</f>
        <v>0</v>
      </c>
      <c r="B2552" s="2">
        <v>42207.8394560185</v>
      </c>
      <c r="C2552">
        <v>8</v>
      </c>
      <c r="D2552">
        <v>8</v>
      </c>
      <c r="E2552" t="s">
        <v>2552</v>
      </c>
    </row>
    <row r="2553" spans="1:5">
      <c r="A2553">
        <f>HYPERLINK("http://www.twitter.com/NYCParks/status/623927458832760832", "623927458832760832")</f>
        <v>0</v>
      </c>
      <c r="B2553" s="2">
        <v>42207.7832407407</v>
      </c>
      <c r="C2553">
        <v>21</v>
      </c>
      <c r="D2553">
        <v>10</v>
      </c>
      <c r="E2553" t="s">
        <v>2553</v>
      </c>
    </row>
    <row r="2554" spans="1:5">
      <c r="A2554">
        <f>HYPERLINK("http://www.twitter.com/NYCParks/status/623903562028961792", "623903562028961792")</f>
        <v>0</v>
      </c>
      <c r="B2554" s="2">
        <v>42207.7173032407</v>
      </c>
      <c r="C2554">
        <v>11</v>
      </c>
      <c r="D2554">
        <v>9</v>
      </c>
      <c r="E2554" t="s">
        <v>2554</v>
      </c>
    </row>
    <row r="2555" spans="1:5">
      <c r="A2555">
        <f>HYPERLINK("http://www.twitter.com/NYCParks/status/623885785171914752", "623885785171914752")</f>
        <v>0</v>
      </c>
      <c r="B2555" s="2">
        <v>42207.6682523148</v>
      </c>
      <c r="C2555">
        <v>2</v>
      </c>
      <c r="D2555">
        <v>6</v>
      </c>
      <c r="E2555" t="s">
        <v>2555</v>
      </c>
    </row>
    <row r="2556" spans="1:5">
      <c r="A2556">
        <f>HYPERLINK("http://www.twitter.com/NYCParks/status/623869406410612737", "623869406410612737")</f>
        <v>0</v>
      </c>
      <c r="B2556" s="2">
        <v>42207.6230555556</v>
      </c>
      <c r="C2556">
        <v>0</v>
      </c>
      <c r="D2556">
        <v>0</v>
      </c>
      <c r="E2556" t="s">
        <v>2556</v>
      </c>
    </row>
    <row r="2557" spans="1:5">
      <c r="A2557">
        <f>HYPERLINK("http://www.twitter.com/NYCParks/status/623869154400038912", "623869154400038912")</f>
        <v>0</v>
      </c>
      <c r="B2557" s="2">
        <v>42207.622349537</v>
      </c>
      <c r="C2557">
        <v>11</v>
      </c>
      <c r="D2557">
        <v>9</v>
      </c>
      <c r="E2557" t="s">
        <v>2557</v>
      </c>
    </row>
    <row r="2558" spans="1:5">
      <c r="A2558">
        <f>HYPERLINK("http://www.twitter.com/NYCParks/status/623585372371554304", "623585372371554304")</f>
        <v>0</v>
      </c>
      <c r="B2558" s="2">
        <v>42206.8392708333</v>
      </c>
      <c r="C2558">
        <v>44</v>
      </c>
      <c r="D2558">
        <v>55</v>
      </c>
      <c r="E2558" t="s">
        <v>2558</v>
      </c>
    </row>
    <row r="2559" spans="1:5">
      <c r="A2559">
        <f>HYPERLINK("http://www.twitter.com/NYCParks/status/623569563247054848", "623569563247054848")</f>
        <v>0</v>
      </c>
      <c r="B2559" s="2">
        <v>42206.7956365741</v>
      </c>
      <c r="C2559">
        <v>11</v>
      </c>
      <c r="D2559">
        <v>8</v>
      </c>
      <c r="E2559" t="s">
        <v>2559</v>
      </c>
    </row>
    <row r="2560" spans="1:5">
      <c r="A2560">
        <f>HYPERLINK("http://www.twitter.com/NYCParks/status/623554149578354688", "623554149578354688")</f>
        <v>0</v>
      </c>
      <c r="B2560" s="2">
        <v>42206.7531018518</v>
      </c>
      <c r="C2560">
        <v>0</v>
      </c>
      <c r="D2560">
        <v>25</v>
      </c>
      <c r="E2560" t="s">
        <v>2560</v>
      </c>
    </row>
    <row r="2561" spans="1:5">
      <c r="A2561">
        <f>HYPERLINK("http://www.twitter.com/NYCParks/status/623542130187870208", "623542130187870208")</f>
        <v>0</v>
      </c>
      <c r="B2561" s="2">
        <v>42206.7199421296</v>
      </c>
      <c r="C2561">
        <v>2</v>
      </c>
      <c r="D2561">
        <v>0</v>
      </c>
      <c r="E2561" t="s">
        <v>2561</v>
      </c>
    </row>
    <row r="2562" spans="1:5">
      <c r="A2562">
        <f>HYPERLINK("http://www.twitter.com/NYCParks/status/623540508271476736", "623540508271476736")</f>
        <v>0</v>
      </c>
      <c r="B2562" s="2">
        <v>42206.715462963</v>
      </c>
      <c r="C2562">
        <v>9</v>
      </c>
      <c r="D2562">
        <v>8</v>
      </c>
      <c r="E2562" t="s">
        <v>2562</v>
      </c>
    </row>
    <row r="2563" spans="1:5">
      <c r="A2563">
        <f>HYPERLINK("http://www.twitter.com/NYCParks/status/623524435543367680", "623524435543367680")</f>
        <v>0</v>
      </c>
      <c r="B2563" s="2">
        <v>42206.6711111111</v>
      </c>
      <c r="C2563">
        <v>0</v>
      </c>
      <c r="D2563">
        <v>13</v>
      </c>
      <c r="E2563" t="s">
        <v>2563</v>
      </c>
    </row>
    <row r="2564" spans="1:5">
      <c r="A2564">
        <f>HYPERLINK("http://www.twitter.com/NYCParks/status/623508582974287872", "623508582974287872")</f>
        <v>0</v>
      </c>
      <c r="B2564" s="2">
        <v>42206.6273726852</v>
      </c>
      <c r="C2564">
        <v>62</v>
      </c>
      <c r="D2564">
        <v>49</v>
      </c>
      <c r="E2564" t="s">
        <v>2564</v>
      </c>
    </row>
    <row r="2565" spans="1:5">
      <c r="A2565">
        <f>HYPERLINK("http://www.twitter.com/NYCParks/status/623495245796376578", "623495245796376578")</f>
        <v>0</v>
      </c>
      <c r="B2565" s="2">
        <v>42206.5905671296</v>
      </c>
      <c r="C2565">
        <v>0</v>
      </c>
      <c r="D2565">
        <v>30</v>
      </c>
      <c r="E2565" t="s">
        <v>2565</v>
      </c>
    </row>
    <row r="2566" spans="1:5">
      <c r="A2566">
        <f>HYPERLINK("http://www.twitter.com/NYCParks/status/623254343362445313", "623254343362445313")</f>
        <v>0</v>
      </c>
      <c r="B2566" s="2">
        <v>42205.9257986111</v>
      </c>
      <c r="C2566">
        <v>19</v>
      </c>
      <c r="D2566">
        <v>12</v>
      </c>
      <c r="E2566" t="s">
        <v>2566</v>
      </c>
    </row>
    <row r="2567" spans="1:5">
      <c r="A2567">
        <f>HYPERLINK("http://www.twitter.com/NYCParks/status/623238329237155840", "623238329237155840")</f>
        <v>0</v>
      </c>
      <c r="B2567" s="2">
        <v>42205.8816087963</v>
      </c>
      <c r="C2567">
        <v>0</v>
      </c>
      <c r="D2567">
        <v>43</v>
      </c>
      <c r="E2567" t="s">
        <v>2567</v>
      </c>
    </row>
    <row r="2568" spans="1:5">
      <c r="A2568">
        <f>HYPERLINK("http://www.twitter.com/NYCParks/status/623213236935110656", "623213236935110656")</f>
        <v>0</v>
      </c>
      <c r="B2568" s="2">
        <v>42205.8123726852</v>
      </c>
      <c r="C2568">
        <v>12</v>
      </c>
      <c r="D2568">
        <v>9</v>
      </c>
      <c r="E2568" t="s">
        <v>2568</v>
      </c>
    </row>
    <row r="2569" spans="1:5">
      <c r="A2569">
        <f>HYPERLINK("http://www.twitter.com/NYCParks/status/623198026069344256", "623198026069344256")</f>
        <v>0</v>
      </c>
      <c r="B2569" s="2">
        <v>42205.7703935185</v>
      </c>
      <c r="C2569">
        <v>2</v>
      </c>
      <c r="D2569">
        <v>0</v>
      </c>
      <c r="E2569" t="s">
        <v>2569</v>
      </c>
    </row>
    <row r="2570" spans="1:5">
      <c r="A2570">
        <f>HYPERLINK("http://www.twitter.com/NYCParks/status/623194648253714432", "623194648253714432")</f>
        <v>0</v>
      </c>
      <c r="B2570" s="2">
        <v>42205.7610763889</v>
      </c>
      <c r="C2570">
        <v>22</v>
      </c>
      <c r="D2570">
        <v>25</v>
      </c>
      <c r="E2570" t="s">
        <v>2570</v>
      </c>
    </row>
    <row r="2571" spans="1:5">
      <c r="A2571">
        <f>HYPERLINK("http://www.twitter.com/NYCParks/status/623181522514915328", "623181522514915328")</f>
        <v>0</v>
      </c>
      <c r="B2571" s="2">
        <v>42205.724849537</v>
      </c>
      <c r="C2571">
        <v>5</v>
      </c>
      <c r="D2571">
        <v>10</v>
      </c>
      <c r="E2571" t="s">
        <v>2571</v>
      </c>
    </row>
    <row r="2572" spans="1:5">
      <c r="A2572">
        <f>HYPERLINK("http://www.twitter.com/NYCParks/status/623178050813972480", "623178050813972480")</f>
        <v>0</v>
      </c>
      <c r="B2572" s="2">
        <v>42205.7152777778</v>
      </c>
      <c r="C2572">
        <v>0</v>
      </c>
      <c r="D2572">
        <v>1</v>
      </c>
      <c r="E2572" t="s">
        <v>2572</v>
      </c>
    </row>
    <row r="2573" spans="1:5">
      <c r="A2573">
        <f>HYPERLINK("http://www.twitter.com/NYCParks/status/623165358774571008", "623165358774571008")</f>
        <v>0</v>
      </c>
      <c r="B2573" s="2">
        <v>42205.6802546296</v>
      </c>
      <c r="C2573">
        <v>1</v>
      </c>
      <c r="D2573">
        <v>0</v>
      </c>
      <c r="E2573" t="s">
        <v>2573</v>
      </c>
    </row>
    <row r="2574" spans="1:5">
      <c r="A2574">
        <f>HYPERLINK("http://www.twitter.com/NYCParks/status/623165183893110784", "623165183893110784")</f>
        <v>0</v>
      </c>
      <c r="B2574" s="2">
        <v>42205.6797685185</v>
      </c>
      <c r="C2574">
        <v>0</v>
      </c>
      <c r="D2574">
        <v>0</v>
      </c>
      <c r="E2574" t="s">
        <v>2574</v>
      </c>
    </row>
    <row r="2575" spans="1:5">
      <c r="A2575">
        <f>HYPERLINK("http://www.twitter.com/NYCParks/status/623164951230812161", "623164951230812161")</f>
        <v>0</v>
      </c>
      <c r="B2575" s="2">
        <v>42205.6791203704</v>
      </c>
      <c r="C2575">
        <v>16</v>
      </c>
      <c r="D2575">
        <v>21</v>
      </c>
      <c r="E2575" t="s">
        <v>2575</v>
      </c>
    </row>
    <row r="2576" spans="1:5">
      <c r="A2576">
        <f>HYPERLINK("http://www.twitter.com/NYCParks/status/623156483287465984", "623156483287465984")</f>
        <v>0</v>
      </c>
      <c r="B2576" s="2">
        <v>42205.6557523148</v>
      </c>
      <c r="C2576">
        <v>0</v>
      </c>
      <c r="D2576">
        <v>21</v>
      </c>
      <c r="E2576" t="s">
        <v>2576</v>
      </c>
    </row>
    <row r="2577" spans="1:5">
      <c r="A2577">
        <f>HYPERLINK("http://www.twitter.com/NYCParks/status/623147896804896768", "623147896804896768")</f>
        <v>0</v>
      </c>
      <c r="B2577" s="2">
        <v>42205.6320601852</v>
      </c>
      <c r="C2577">
        <v>0</v>
      </c>
      <c r="D2577">
        <v>0</v>
      </c>
      <c r="E2577" t="s">
        <v>2577</v>
      </c>
    </row>
    <row r="2578" spans="1:5">
      <c r="A2578">
        <f>HYPERLINK("http://www.twitter.com/NYCParks/status/623143295418503168", "623143295418503168")</f>
        <v>0</v>
      </c>
      <c r="B2578" s="2">
        <v>42205.6193634259</v>
      </c>
      <c r="C2578">
        <v>33</v>
      </c>
      <c r="D2578">
        <v>30</v>
      </c>
      <c r="E2578" t="s">
        <v>2578</v>
      </c>
    </row>
    <row r="2579" spans="1:5">
      <c r="A2579">
        <f>HYPERLINK("http://www.twitter.com/NYCParks/status/622146316219621378", "622146316219621378")</f>
        <v>0</v>
      </c>
      <c r="B2579" s="2">
        <v>42202.8682291667</v>
      </c>
      <c r="C2579">
        <v>16</v>
      </c>
      <c r="D2579">
        <v>13</v>
      </c>
      <c r="E2579" t="s">
        <v>2579</v>
      </c>
    </row>
    <row r="2580" spans="1:5">
      <c r="A2580">
        <f>HYPERLINK("http://www.twitter.com/NYCParks/status/622124514843992065", "622124514843992065")</f>
        <v>0</v>
      </c>
      <c r="B2580" s="2">
        <v>42202.8080671296</v>
      </c>
      <c r="C2580">
        <v>1</v>
      </c>
      <c r="D2580">
        <v>0</v>
      </c>
      <c r="E2580" t="s">
        <v>2580</v>
      </c>
    </row>
    <row r="2581" spans="1:5">
      <c r="A2581">
        <f>HYPERLINK("http://www.twitter.com/NYCParks/status/622118713379147776", "622118713379147776")</f>
        <v>0</v>
      </c>
      <c r="B2581" s="2">
        <v>42202.7920601852</v>
      </c>
      <c r="C2581">
        <v>19</v>
      </c>
      <c r="D2581">
        <v>16</v>
      </c>
      <c r="E2581" t="s">
        <v>2581</v>
      </c>
    </row>
    <row r="2582" spans="1:5">
      <c r="A2582">
        <f>HYPERLINK("http://www.twitter.com/NYCParks/status/622106022262505472", "622106022262505472")</f>
        <v>0</v>
      </c>
      <c r="B2582" s="2">
        <v>42202.757037037</v>
      </c>
      <c r="C2582">
        <v>0</v>
      </c>
      <c r="D2582">
        <v>35</v>
      </c>
      <c r="E2582" t="s">
        <v>2582</v>
      </c>
    </row>
    <row r="2583" spans="1:5">
      <c r="A2583">
        <f>HYPERLINK("http://www.twitter.com/NYCParks/status/622091349869887488", "622091349869887488")</f>
        <v>0</v>
      </c>
      <c r="B2583" s="2">
        <v>42202.7165509259</v>
      </c>
      <c r="C2583">
        <v>10</v>
      </c>
      <c r="D2583">
        <v>8</v>
      </c>
      <c r="E2583" t="s">
        <v>2583</v>
      </c>
    </row>
    <row r="2584" spans="1:5">
      <c r="A2584">
        <f>HYPERLINK("http://www.twitter.com/NYCParks/status/622067549262475264", "622067549262475264")</f>
        <v>0</v>
      </c>
      <c r="B2584" s="2">
        <v>42202.6508680556</v>
      </c>
      <c r="C2584">
        <v>16</v>
      </c>
      <c r="D2584">
        <v>11</v>
      </c>
      <c r="E2584" t="s">
        <v>2584</v>
      </c>
    </row>
    <row r="2585" spans="1:5">
      <c r="A2585">
        <f>HYPERLINK("http://www.twitter.com/NYCParks/status/622048395448963072", "622048395448963072")</f>
        <v>0</v>
      </c>
      <c r="B2585" s="2">
        <v>42202.5980208333</v>
      </c>
      <c r="C2585">
        <v>24</v>
      </c>
      <c r="D2585">
        <v>8</v>
      </c>
      <c r="E2585" t="s">
        <v>2585</v>
      </c>
    </row>
    <row r="2586" spans="1:5">
      <c r="A2586">
        <f>HYPERLINK("http://www.twitter.com/NYCParks/status/621804170471952384", "621804170471952384")</f>
        <v>0</v>
      </c>
      <c r="B2586" s="2">
        <v>42201.9240856481</v>
      </c>
      <c r="C2586">
        <v>1</v>
      </c>
      <c r="D2586">
        <v>1</v>
      </c>
      <c r="E2586" t="s">
        <v>2586</v>
      </c>
    </row>
    <row r="2587" spans="1:5">
      <c r="A2587">
        <f>HYPERLINK("http://www.twitter.com/NYCParks/status/621780002703585280", "621780002703585280")</f>
        <v>0</v>
      </c>
      <c r="B2587" s="2">
        <v>42201.8573958333</v>
      </c>
      <c r="C2587">
        <v>22</v>
      </c>
      <c r="D2587">
        <v>19</v>
      </c>
      <c r="E2587" t="s">
        <v>2587</v>
      </c>
    </row>
    <row r="2588" spans="1:5">
      <c r="A2588">
        <f>HYPERLINK("http://www.twitter.com/NYCParks/status/621762479476051968", "621762479476051968")</f>
        <v>0</v>
      </c>
      <c r="B2588" s="2">
        <v>42201.8090393519</v>
      </c>
      <c r="C2588">
        <v>5</v>
      </c>
      <c r="D2588">
        <v>4</v>
      </c>
      <c r="E2588" t="s">
        <v>2588</v>
      </c>
    </row>
    <row r="2589" spans="1:5">
      <c r="A2589">
        <f>HYPERLINK("http://www.twitter.com/NYCParks/status/621747819477647360", "621747819477647360")</f>
        <v>0</v>
      </c>
      <c r="B2589" s="2">
        <v>42201.768587963</v>
      </c>
      <c r="C2589">
        <v>1</v>
      </c>
      <c r="D2589">
        <v>1</v>
      </c>
      <c r="E2589" t="s">
        <v>2589</v>
      </c>
    </row>
    <row r="2590" spans="1:5">
      <c r="A2590">
        <f>HYPERLINK("http://www.twitter.com/NYCParks/status/621746847326015488", "621746847326015488")</f>
        <v>0</v>
      </c>
      <c r="B2590" s="2">
        <v>42201.7659027778</v>
      </c>
      <c r="C2590">
        <v>8</v>
      </c>
      <c r="D2590">
        <v>10</v>
      </c>
      <c r="E2590" t="s">
        <v>2590</v>
      </c>
    </row>
    <row r="2591" spans="1:5">
      <c r="A2591">
        <f>HYPERLINK("http://www.twitter.com/NYCParks/status/621730163332653056", "621730163332653056")</f>
        <v>0</v>
      </c>
      <c r="B2591" s="2">
        <v>42201.7198611111</v>
      </c>
      <c r="C2591">
        <v>23</v>
      </c>
      <c r="D2591">
        <v>13</v>
      </c>
      <c r="E2591" t="s">
        <v>2591</v>
      </c>
    </row>
    <row r="2592" spans="1:5">
      <c r="A2592">
        <f>HYPERLINK("http://www.twitter.com/NYCParks/status/621709572869357569", "621709572869357569")</f>
        <v>0</v>
      </c>
      <c r="B2592" s="2">
        <v>42201.6630439815</v>
      </c>
      <c r="C2592">
        <v>10</v>
      </c>
      <c r="D2592">
        <v>8</v>
      </c>
      <c r="E2592" t="s">
        <v>2592</v>
      </c>
    </row>
    <row r="2593" spans="1:5">
      <c r="A2593">
        <f>HYPERLINK("http://www.twitter.com/NYCParks/status/621694239613812737", "621694239613812737")</f>
        <v>0</v>
      </c>
      <c r="B2593" s="2">
        <v>42201.6207291667</v>
      </c>
      <c r="C2593">
        <v>30</v>
      </c>
      <c r="D2593">
        <v>17</v>
      </c>
      <c r="E2593" t="s">
        <v>2593</v>
      </c>
    </row>
    <row r="2594" spans="1:5">
      <c r="A2594">
        <f>HYPERLINK("http://www.twitter.com/NYCParks/status/621433540710932480", "621433540710932480")</f>
        <v>0</v>
      </c>
      <c r="B2594" s="2">
        <v>42200.9013425926</v>
      </c>
      <c r="C2594">
        <v>1</v>
      </c>
      <c r="D2594">
        <v>0</v>
      </c>
      <c r="E2594" t="s">
        <v>2594</v>
      </c>
    </row>
    <row r="2595" spans="1:5">
      <c r="A2595">
        <f>HYPERLINK("http://www.twitter.com/NYCParks/status/621414874283945984", "621414874283945984")</f>
        <v>0</v>
      </c>
      <c r="B2595" s="2">
        <v>42200.849837963</v>
      </c>
      <c r="C2595">
        <v>13</v>
      </c>
      <c r="D2595">
        <v>8</v>
      </c>
      <c r="E2595" t="s">
        <v>2595</v>
      </c>
    </row>
    <row r="2596" spans="1:5">
      <c r="A2596">
        <f>HYPERLINK("http://www.twitter.com/NYCParks/status/621398795042078720", "621398795042078720")</f>
        <v>0</v>
      </c>
      <c r="B2596" s="2">
        <v>42200.805462963</v>
      </c>
      <c r="C2596">
        <v>17</v>
      </c>
      <c r="D2596">
        <v>13</v>
      </c>
      <c r="E2596" t="s">
        <v>2596</v>
      </c>
    </row>
    <row r="2597" spans="1:5">
      <c r="A2597">
        <f>HYPERLINK("http://www.twitter.com/NYCParks/status/621384273371729921", "621384273371729921")</f>
        <v>0</v>
      </c>
      <c r="B2597" s="2">
        <v>42200.7653935185</v>
      </c>
      <c r="C2597">
        <v>21</v>
      </c>
      <c r="D2597">
        <v>14</v>
      </c>
      <c r="E2597" t="s">
        <v>2597</v>
      </c>
    </row>
    <row r="2598" spans="1:5">
      <c r="A2598">
        <f>HYPERLINK("http://www.twitter.com/NYCParks/status/621376892910862336", "621376892910862336")</f>
        <v>0</v>
      </c>
      <c r="B2598" s="2">
        <v>42200.7450231481</v>
      </c>
      <c r="C2598">
        <v>1</v>
      </c>
      <c r="D2598">
        <v>0</v>
      </c>
      <c r="E2598" t="s">
        <v>2598</v>
      </c>
    </row>
    <row r="2599" spans="1:5">
      <c r="A2599">
        <f>HYPERLINK("http://www.twitter.com/NYCParks/status/621369760836665344", "621369760836665344")</f>
        <v>0</v>
      </c>
      <c r="B2599" s="2">
        <v>42200.7253472222</v>
      </c>
      <c r="C2599">
        <v>11</v>
      </c>
      <c r="D2599">
        <v>7</v>
      </c>
      <c r="E2599" t="s">
        <v>2599</v>
      </c>
    </row>
    <row r="2600" spans="1:5">
      <c r="A2600">
        <f>HYPERLINK("http://www.twitter.com/NYCParks/status/621354153294622720", "621354153294622720")</f>
        <v>0</v>
      </c>
      <c r="B2600" s="2">
        <v>42200.6822800926</v>
      </c>
      <c r="C2600">
        <v>29</v>
      </c>
      <c r="D2600">
        <v>22</v>
      </c>
      <c r="E2600" t="s">
        <v>2600</v>
      </c>
    </row>
    <row r="2601" spans="1:5">
      <c r="A2601">
        <f>HYPERLINK("http://www.twitter.com/NYCParks/status/621339687018450946", "621339687018450946")</f>
        <v>0</v>
      </c>
      <c r="B2601" s="2">
        <v>42200.642349537</v>
      </c>
      <c r="C2601">
        <v>4</v>
      </c>
      <c r="D2601">
        <v>5</v>
      </c>
      <c r="E2601" t="s">
        <v>2601</v>
      </c>
    </row>
    <row r="2602" spans="1:5">
      <c r="A2602">
        <f>HYPERLINK("http://www.twitter.com/NYCParks/status/621324361618825216", "621324361618825216")</f>
        <v>0</v>
      </c>
      <c r="B2602" s="2">
        <v>42200.6000694444</v>
      </c>
      <c r="C2602">
        <v>8</v>
      </c>
      <c r="D2602">
        <v>5</v>
      </c>
      <c r="E2602" t="s">
        <v>2602</v>
      </c>
    </row>
    <row r="2603" spans="1:5">
      <c r="A2603">
        <f>HYPERLINK("http://www.twitter.com/NYCParks/status/621058586505019392", "621058586505019392")</f>
        <v>0</v>
      </c>
      <c r="B2603" s="2">
        <v>42199.8666666667</v>
      </c>
      <c r="C2603">
        <v>12</v>
      </c>
      <c r="D2603">
        <v>5</v>
      </c>
      <c r="E2603" t="s">
        <v>2603</v>
      </c>
    </row>
    <row r="2604" spans="1:5">
      <c r="A2604">
        <f>HYPERLINK("http://www.twitter.com/NYCParks/status/621045103268864000", "621045103268864000")</f>
        <v>0</v>
      </c>
      <c r="B2604" s="2">
        <v>42199.8294560185</v>
      </c>
      <c r="C2604">
        <v>18</v>
      </c>
      <c r="D2604">
        <v>15</v>
      </c>
      <c r="E2604" t="s">
        <v>2604</v>
      </c>
    </row>
    <row r="2605" spans="1:5">
      <c r="A2605">
        <f>HYPERLINK("http://www.twitter.com/NYCParks/status/621000112622407680", "621000112622407680")</f>
        <v>0</v>
      </c>
      <c r="B2605" s="2">
        <v>42199.7053125</v>
      </c>
      <c r="C2605">
        <v>7</v>
      </c>
      <c r="D2605">
        <v>7</v>
      </c>
      <c r="E2605" t="s">
        <v>2605</v>
      </c>
    </row>
    <row r="2606" spans="1:5">
      <c r="A2606">
        <f>HYPERLINK("http://www.twitter.com/NYCParks/status/620988193429716992", "620988193429716992")</f>
        <v>0</v>
      </c>
      <c r="B2606" s="2">
        <v>42199.6724189815</v>
      </c>
      <c r="C2606">
        <v>6</v>
      </c>
      <c r="D2606">
        <v>6</v>
      </c>
      <c r="E2606" t="s">
        <v>2606</v>
      </c>
    </row>
    <row r="2607" spans="1:5">
      <c r="A2607">
        <f>HYPERLINK("http://www.twitter.com/NYCParks/status/620967008306352128", "620967008306352128")</f>
        <v>0</v>
      </c>
      <c r="B2607" s="2">
        <v>42199.6139583333</v>
      </c>
      <c r="C2607">
        <v>9</v>
      </c>
      <c r="D2607">
        <v>8</v>
      </c>
      <c r="E2607" t="s">
        <v>2607</v>
      </c>
    </row>
    <row r="2608" spans="1:5">
      <c r="A2608">
        <f>HYPERLINK("http://www.twitter.com/NYCParks/status/620693341597007872", "620693341597007872")</f>
        <v>0</v>
      </c>
      <c r="B2608" s="2">
        <v>42198.8587847222</v>
      </c>
      <c r="C2608">
        <v>15</v>
      </c>
      <c r="D2608">
        <v>21</v>
      </c>
      <c r="E2608" t="s">
        <v>2608</v>
      </c>
    </row>
    <row r="2609" spans="1:5">
      <c r="A2609">
        <f>HYPERLINK("http://www.twitter.com/NYCParks/status/620667162412339201", "620667162412339201")</f>
        <v>0</v>
      </c>
      <c r="B2609" s="2">
        <v>42198.7865393519</v>
      </c>
      <c r="C2609">
        <v>11</v>
      </c>
      <c r="D2609">
        <v>10</v>
      </c>
      <c r="E2609" t="s">
        <v>2609</v>
      </c>
    </row>
    <row r="2610" spans="1:5">
      <c r="A2610">
        <f>HYPERLINK("http://www.twitter.com/NYCParks/status/620651169598320640", "620651169598320640")</f>
        <v>0</v>
      </c>
      <c r="B2610" s="2">
        <v>42198.7424074074</v>
      </c>
      <c r="C2610">
        <v>5</v>
      </c>
      <c r="D2610">
        <v>8</v>
      </c>
      <c r="E2610" t="s">
        <v>2610</v>
      </c>
    </row>
    <row r="2611" spans="1:5">
      <c r="A2611">
        <f>HYPERLINK("http://www.twitter.com/NYCParks/status/620634666203246592", "620634666203246592")</f>
        <v>0</v>
      </c>
      <c r="B2611" s="2">
        <v>42198.6968634259</v>
      </c>
      <c r="C2611">
        <v>17</v>
      </c>
      <c r="D2611">
        <v>6</v>
      </c>
      <c r="E2611" t="s">
        <v>2611</v>
      </c>
    </row>
    <row r="2612" spans="1:5">
      <c r="A2612">
        <f>HYPERLINK("http://www.twitter.com/NYCParks/status/620617239503482880", "620617239503482880")</f>
        <v>0</v>
      </c>
      <c r="B2612" s="2">
        <v>42198.6487847222</v>
      </c>
      <c r="C2612">
        <v>0</v>
      </c>
      <c r="D2612">
        <v>49</v>
      </c>
      <c r="E2612" t="s">
        <v>2612</v>
      </c>
    </row>
    <row r="2613" spans="1:5">
      <c r="A2613">
        <f>HYPERLINK("http://www.twitter.com/NYCParks/status/620603996949094400", "620603996949094400")</f>
        <v>0</v>
      </c>
      <c r="B2613" s="2">
        <v>42198.6122337963</v>
      </c>
      <c r="C2613">
        <v>11</v>
      </c>
      <c r="D2613">
        <v>9</v>
      </c>
      <c r="E2613" t="s">
        <v>2613</v>
      </c>
    </row>
    <row r="2614" spans="1:5">
      <c r="A2614">
        <f>HYPERLINK("http://www.twitter.com/NYCParks/status/619612200995565568", "619612200995565568")</f>
        <v>0</v>
      </c>
      <c r="B2614" s="2">
        <v>42195.8754050926</v>
      </c>
      <c r="C2614">
        <v>7</v>
      </c>
      <c r="D2614">
        <v>10</v>
      </c>
      <c r="E2614" t="s">
        <v>2614</v>
      </c>
    </row>
    <row r="2615" spans="1:5">
      <c r="A2615">
        <f>HYPERLINK("http://www.twitter.com/NYCParks/status/619597014754570240", "619597014754570240")</f>
        <v>0</v>
      </c>
      <c r="B2615" s="2">
        <v>42195.8334953704</v>
      </c>
      <c r="C2615">
        <v>8</v>
      </c>
      <c r="D2615">
        <v>7</v>
      </c>
      <c r="E2615" t="s">
        <v>2615</v>
      </c>
    </row>
    <row r="2616" spans="1:5">
      <c r="A2616">
        <f>HYPERLINK("http://www.twitter.com/NYCParks/status/619579245212364800", "619579245212364800")</f>
        <v>0</v>
      </c>
      <c r="B2616" s="2">
        <v>42195.7844560185</v>
      </c>
      <c r="C2616">
        <v>7</v>
      </c>
      <c r="D2616">
        <v>6</v>
      </c>
      <c r="E2616" t="s">
        <v>2616</v>
      </c>
    </row>
    <row r="2617" spans="1:5">
      <c r="A2617">
        <f>HYPERLINK("http://www.twitter.com/NYCParks/status/619562396751953920", "619562396751953920")</f>
        <v>0</v>
      </c>
      <c r="B2617" s="2">
        <v>42195.737962963</v>
      </c>
      <c r="C2617">
        <v>15</v>
      </c>
      <c r="D2617">
        <v>7</v>
      </c>
      <c r="E2617" t="s">
        <v>2617</v>
      </c>
    </row>
    <row r="2618" spans="1:5">
      <c r="A2618">
        <f>HYPERLINK("http://www.twitter.com/NYCParks/status/619549020436987904", "619549020436987904")</f>
        <v>0</v>
      </c>
      <c r="B2618" s="2">
        <v>42195.7010532407</v>
      </c>
      <c r="C2618">
        <v>3</v>
      </c>
      <c r="D2618">
        <v>7</v>
      </c>
      <c r="E2618" t="s">
        <v>2618</v>
      </c>
    </row>
    <row r="2619" spans="1:5">
      <c r="A2619">
        <f>HYPERLINK("http://www.twitter.com/NYCParks/status/619531740328140800", "619531740328140800")</f>
        <v>0</v>
      </c>
      <c r="B2619" s="2">
        <v>42195.6533680556</v>
      </c>
      <c r="C2619">
        <v>18</v>
      </c>
      <c r="D2619">
        <v>16</v>
      </c>
      <c r="E2619" t="s">
        <v>2619</v>
      </c>
    </row>
    <row r="2620" spans="1:5">
      <c r="A2620">
        <f>HYPERLINK("http://www.twitter.com/NYCParks/status/619516286050140160", "619516286050140160")</f>
        <v>0</v>
      </c>
      <c r="B2620" s="2">
        <v>42195.6107291667</v>
      </c>
      <c r="C2620">
        <v>4</v>
      </c>
      <c r="D2620">
        <v>4</v>
      </c>
      <c r="E2620" t="s">
        <v>2620</v>
      </c>
    </row>
    <row r="2621" spans="1:5">
      <c r="A2621">
        <f>HYPERLINK("http://www.twitter.com/NYCParks/status/619244286832291841", "619244286832291841")</f>
        <v>0</v>
      </c>
      <c r="B2621" s="2">
        <v>42194.860150463</v>
      </c>
      <c r="C2621">
        <v>6</v>
      </c>
      <c r="D2621">
        <v>7</v>
      </c>
      <c r="E2621" t="s">
        <v>2621</v>
      </c>
    </row>
    <row r="2622" spans="1:5">
      <c r="A2622">
        <f>HYPERLINK("http://www.twitter.com/NYCParks/status/619230539128655874", "619230539128655874")</f>
        <v>0</v>
      </c>
      <c r="B2622" s="2">
        <v>42194.8222106481</v>
      </c>
      <c r="C2622">
        <v>6</v>
      </c>
      <c r="D2622">
        <v>6</v>
      </c>
      <c r="E2622" t="s">
        <v>2622</v>
      </c>
    </row>
    <row r="2623" spans="1:5">
      <c r="A2623">
        <f>HYPERLINK("http://www.twitter.com/NYCParks/status/619215901552967680", "619215901552967680")</f>
        <v>0</v>
      </c>
      <c r="B2623" s="2">
        <v>42194.7818287037</v>
      </c>
      <c r="C2623">
        <v>0</v>
      </c>
      <c r="D2623">
        <v>9</v>
      </c>
      <c r="E2623" t="s">
        <v>2623</v>
      </c>
    </row>
    <row r="2624" spans="1:5">
      <c r="A2624">
        <f>HYPERLINK("http://www.twitter.com/NYCParks/status/619199661967048704", "619199661967048704")</f>
        <v>0</v>
      </c>
      <c r="B2624" s="2">
        <v>42194.7370138889</v>
      </c>
      <c r="C2624">
        <v>7</v>
      </c>
      <c r="D2624">
        <v>5</v>
      </c>
      <c r="E2624" t="s">
        <v>2624</v>
      </c>
    </row>
    <row r="2625" spans="1:5">
      <c r="A2625">
        <f>HYPERLINK("http://www.twitter.com/NYCParks/status/619186638124634112", "619186638124634112")</f>
        <v>0</v>
      </c>
      <c r="B2625" s="2">
        <v>42194.7010763889</v>
      </c>
      <c r="C2625">
        <v>4</v>
      </c>
      <c r="D2625">
        <v>8</v>
      </c>
      <c r="E2625" t="s">
        <v>2625</v>
      </c>
    </row>
    <row r="2626" spans="1:5">
      <c r="A2626">
        <f>HYPERLINK("http://www.twitter.com/NYCParks/status/619171590375374848", "619171590375374848")</f>
        <v>0</v>
      </c>
      <c r="B2626" s="2">
        <v>42194.6595486111</v>
      </c>
      <c r="C2626">
        <v>16</v>
      </c>
      <c r="D2626">
        <v>11</v>
      </c>
      <c r="E2626" t="s">
        <v>2626</v>
      </c>
    </row>
    <row r="2627" spans="1:5">
      <c r="A2627">
        <f>HYPERLINK("http://www.twitter.com/NYCParks/status/619155053589495808", "619155053589495808")</f>
        <v>0</v>
      </c>
      <c r="B2627" s="2">
        <v>42194.613912037</v>
      </c>
      <c r="C2627">
        <v>12</v>
      </c>
      <c r="D2627">
        <v>9</v>
      </c>
      <c r="E2627" t="s">
        <v>2627</v>
      </c>
    </row>
    <row r="2628" spans="1:5">
      <c r="A2628">
        <f>HYPERLINK("http://www.twitter.com/NYCParks/status/618870960679161856", "618870960679161856")</f>
        <v>0</v>
      </c>
      <c r="B2628" s="2">
        <v>42193.8299652778</v>
      </c>
      <c r="C2628">
        <v>15</v>
      </c>
      <c r="D2628">
        <v>10</v>
      </c>
      <c r="E2628" t="s">
        <v>2628</v>
      </c>
    </row>
    <row r="2629" spans="1:5">
      <c r="A2629">
        <f>HYPERLINK("http://www.twitter.com/NYCParks/status/618855455931125760", "618855455931125760")</f>
        <v>0</v>
      </c>
      <c r="B2629" s="2">
        <v>42193.7871875</v>
      </c>
      <c r="C2629">
        <v>19</v>
      </c>
      <c r="D2629">
        <v>16</v>
      </c>
      <c r="E2629" t="s">
        <v>2629</v>
      </c>
    </row>
    <row r="2630" spans="1:5">
      <c r="A2630">
        <f>HYPERLINK("http://www.twitter.com/NYCParks/status/618840191701254144", "618840191701254144")</f>
        <v>0</v>
      </c>
      <c r="B2630" s="2">
        <v>42193.7450578704</v>
      </c>
      <c r="C2630">
        <v>7</v>
      </c>
      <c r="D2630">
        <v>6</v>
      </c>
      <c r="E2630" t="s">
        <v>2630</v>
      </c>
    </row>
    <row r="2631" spans="1:5">
      <c r="A2631">
        <f>HYPERLINK("http://www.twitter.com/NYCParks/status/618824851801960448", "618824851801960448")</f>
        <v>0</v>
      </c>
      <c r="B2631" s="2">
        <v>42193.7027314815</v>
      </c>
      <c r="C2631">
        <v>13</v>
      </c>
      <c r="D2631">
        <v>14</v>
      </c>
      <c r="E2631" t="s">
        <v>2631</v>
      </c>
    </row>
    <row r="2632" spans="1:5">
      <c r="A2632">
        <f>HYPERLINK("http://www.twitter.com/NYCParks/status/618811416187928576", "618811416187928576")</f>
        <v>0</v>
      </c>
      <c r="B2632" s="2">
        <v>42193.6656597222</v>
      </c>
      <c r="C2632">
        <v>15</v>
      </c>
      <c r="D2632">
        <v>19</v>
      </c>
      <c r="E2632" t="s">
        <v>2632</v>
      </c>
    </row>
    <row r="2633" spans="1:5">
      <c r="A2633">
        <f>HYPERLINK("http://www.twitter.com/NYCParks/status/618796294174285824", "618796294174285824")</f>
        <v>0</v>
      </c>
      <c r="B2633" s="2">
        <v>42193.6239236111</v>
      </c>
      <c r="C2633">
        <v>11</v>
      </c>
      <c r="D2633">
        <v>8</v>
      </c>
      <c r="E2633" t="s">
        <v>2633</v>
      </c>
    </row>
    <row r="2634" spans="1:5">
      <c r="A2634">
        <f>HYPERLINK("http://www.twitter.com/NYCParks/status/618508913617600513", "618508913617600513")</f>
        <v>0</v>
      </c>
      <c r="B2634" s="2">
        <v>42192.8309143518</v>
      </c>
      <c r="C2634">
        <v>17</v>
      </c>
      <c r="D2634">
        <v>9</v>
      </c>
      <c r="E2634" t="s">
        <v>2634</v>
      </c>
    </row>
    <row r="2635" spans="1:5">
      <c r="A2635">
        <f>HYPERLINK("http://www.twitter.com/NYCParks/status/618499914205691904", "618499914205691904")</f>
        <v>0</v>
      </c>
      <c r="B2635" s="2">
        <v>42192.8060763889</v>
      </c>
      <c r="C2635">
        <v>0</v>
      </c>
      <c r="D2635">
        <v>26</v>
      </c>
      <c r="E2635" t="s">
        <v>2635</v>
      </c>
    </row>
    <row r="2636" spans="1:5">
      <c r="A2636">
        <f>HYPERLINK("http://www.twitter.com/NYCParks/status/618487601390034944", "618487601390034944")</f>
        <v>0</v>
      </c>
      <c r="B2636" s="2">
        <v>42192.7720949074</v>
      </c>
      <c r="C2636">
        <v>0</v>
      </c>
      <c r="D2636">
        <v>0</v>
      </c>
      <c r="E2636" t="s">
        <v>2636</v>
      </c>
    </row>
    <row r="2637" spans="1:5">
      <c r="A2637">
        <f>HYPERLINK("http://www.twitter.com/NYCParks/status/618486962073247744", "618486962073247744")</f>
        <v>0</v>
      </c>
      <c r="B2637" s="2">
        <v>42192.7703356482</v>
      </c>
      <c r="C2637">
        <v>1</v>
      </c>
      <c r="D2637">
        <v>0</v>
      </c>
      <c r="E2637" t="s">
        <v>2637</v>
      </c>
    </row>
    <row r="2638" spans="1:5">
      <c r="A2638">
        <f>HYPERLINK("http://www.twitter.com/NYCParks/status/618482042498646016", "618482042498646016")</f>
        <v>0</v>
      </c>
      <c r="B2638" s="2">
        <v>42192.7567592593</v>
      </c>
      <c r="C2638">
        <v>5</v>
      </c>
      <c r="D2638">
        <v>8</v>
      </c>
      <c r="E2638" t="s">
        <v>2638</v>
      </c>
    </row>
    <row r="2639" spans="1:5">
      <c r="A2639">
        <f>HYPERLINK("http://www.twitter.com/NYCParks/status/618465895183200256", "618465895183200256")</f>
        <v>0</v>
      </c>
      <c r="B2639" s="2">
        <v>42192.7121990741</v>
      </c>
      <c r="C2639">
        <v>31</v>
      </c>
      <c r="D2639">
        <v>14</v>
      </c>
      <c r="E2639" t="s">
        <v>2639</v>
      </c>
    </row>
    <row r="2640" spans="1:5">
      <c r="A2640">
        <f>HYPERLINK("http://www.twitter.com/NYCParks/status/618448804996640769", "618448804996640769")</f>
        <v>0</v>
      </c>
      <c r="B2640" s="2">
        <v>42192.6650347222</v>
      </c>
      <c r="C2640">
        <v>8</v>
      </c>
      <c r="D2640">
        <v>3</v>
      </c>
      <c r="E2640" t="s">
        <v>2640</v>
      </c>
    </row>
    <row r="2641" spans="1:5">
      <c r="A2641">
        <f>HYPERLINK("http://www.twitter.com/NYCParks/status/618446976384913409", "618446976384913409")</f>
        <v>0</v>
      </c>
      <c r="B2641" s="2">
        <v>42192.66</v>
      </c>
      <c r="C2641">
        <v>1</v>
      </c>
      <c r="D2641">
        <v>1</v>
      </c>
      <c r="E2641" t="s">
        <v>2641</v>
      </c>
    </row>
    <row r="2642" spans="1:5">
      <c r="A2642">
        <f>HYPERLINK("http://www.twitter.com/NYCParks/status/618446913722011648", "618446913722011648")</f>
        <v>0</v>
      </c>
      <c r="B2642" s="2">
        <v>42192.6598263889</v>
      </c>
      <c r="C2642">
        <v>3</v>
      </c>
      <c r="D2642">
        <v>1</v>
      </c>
      <c r="E2642" t="s">
        <v>2642</v>
      </c>
    </row>
    <row r="2643" spans="1:5">
      <c r="A2643">
        <f>HYPERLINK("http://www.twitter.com/NYCParks/status/618430705199153152", "618430705199153152")</f>
        <v>0</v>
      </c>
      <c r="B2643" s="2">
        <v>42192.6150925926</v>
      </c>
      <c r="C2643">
        <v>6</v>
      </c>
      <c r="D2643">
        <v>8</v>
      </c>
      <c r="E2643" t="s">
        <v>2643</v>
      </c>
    </row>
    <row r="2644" spans="1:5">
      <c r="A2644">
        <f>HYPERLINK("http://www.twitter.com/NYCParks/status/618166508603211778", "618166508603211778")</f>
        <v>0</v>
      </c>
      <c r="B2644" s="2">
        <v>42191.8860532407</v>
      </c>
      <c r="C2644">
        <v>0</v>
      </c>
      <c r="D2644">
        <v>2</v>
      </c>
      <c r="E2644" t="s">
        <v>2644</v>
      </c>
    </row>
    <row r="2645" spans="1:5">
      <c r="A2645">
        <f>HYPERLINK("http://www.twitter.com/NYCParks/status/618158407678361600", "618158407678361600")</f>
        <v>0</v>
      </c>
      <c r="B2645" s="2">
        <v>42191.8636921296</v>
      </c>
      <c r="C2645">
        <v>0</v>
      </c>
      <c r="D2645">
        <v>0</v>
      </c>
      <c r="E2645" t="s">
        <v>2645</v>
      </c>
    </row>
    <row r="2646" spans="1:5">
      <c r="A2646">
        <f>HYPERLINK("http://www.twitter.com/NYCParks/status/618158364481163265", "618158364481163265")</f>
        <v>0</v>
      </c>
      <c r="B2646" s="2">
        <v>42191.8635763889</v>
      </c>
      <c r="C2646">
        <v>0</v>
      </c>
      <c r="D2646">
        <v>0</v>
      </c>
      <c r="E2646" t="s">
        <v>2646</v>
      </c>
    </row>
    <row r="2647" spans="1:5">
      <c r="A2647">
        <f>HYPERLINK("http://www.twitter.com/NYCParks/status/618138352236298240", "618138352236298240")</f>
        <v>0</v>
      </c>
      <c r="B2647" s="2">
        <v>42191.8083564815</v>
      </c>
      <c r="C2647">
        <v>0</v>
      </c>
      <c r="D2647">
        <v>7</v>
      </c>
      <c r="E2647" t="s">
        <v>2647</v>
      </c>
    </row>
    <row r="2648" spans="1:5">
      <c r="A2648">
        <f>HYPERLINK("http://www.twitter.com/NYCParks/status/618121120185761792", "618121120185761792")</f>
        <v>0</v>
      </c>
      <c r="B2648" s="2">
        <v>42191.7607986111</v>
      </c>
      <c r="C2648">
        <v>12</v>
      </c>
      <c r="D2648">
        <v>11</v>
      </c>
      <c r="E2648" t="s">
        <v>2648</v>
      </c>
    </row>
    <row r="2649" spans="1:5">
      <c r="A2649">
        <f>HYPERLINK("http://www.twitter.com/NYCParks/status/618106361000382464", "618106361000382464")</f>
        <v>0</v>
      </c>
      <c r="B2649" s="2">
        <v>42191.7200694444</v>
      </c>
      <c r="C2649">
        <v>6</v>
      </c>
      <c r="D2649">
        <v>4</v>
      </c>
      <c r="E2649" t="s">
        <v>2649</v>
      </c>
    </row>
    <row r="2650" spans="1:5">
      <c r="A2650">
        <f>HYPERLINK("http://www.twitter.com/NYCParks/status/618087682607067136", "618087682607067136")</f>
        <v>0</v>
      </c>
      <c r="B2650" s="2">
        <v>42191.6685300926</v>
      </c>
      <c r="C2650">
        <v>16</v>
      </c>
      <c r="D2650">
        <v>10</v>
      </c>
      <c r="E2650" t="s">
        <v>2650</v>
      </c>
    </row>
    <row r="2651" spans="1:5">
      <c r="A2651">
        <f>HYPERLINK("http://www.twitter.com/NYCParks/status/618071526894665728", "618071526894665728")</f>
        <v>0</v>
      </c>
      <c r="B2651" s="2">
        <v>42191.6239467593</v>
      </c>
      <c r="C2651">
        <v>39</v>
      </c>
      <c r="D2651">
        <v>35</v>
      </c>
      <c r="E2651" t="s">
        <v>2651</v>
      </c>
    </row>
    <row r="2652" spans="1:5">
      <c r="A2652">
        <f>HYPERLINK("http://www.twitter.com/NYCParks/status/617049818481995776", "617049818481995776")</f>
        <v>0</v>
      </c>
      <c r="B2652" s="2">
        <v>42188.8045717593</v>
      </c>
      <c r="C2652">
        <v>8</v>
      </c>
      <c r="D2652">
        <v>6</v>
      </c>
      <c r="E2652" t="s">
        <v>2652</v>
      </c>
    </row>
    <row r="2653" spans="1:5">
      <c r="A2653">
        <f>HYPERLINK("http://www.twitter.com/NYCParks/status/617019433526104064", "617019433526104064")</f>
        <v>0</v>
      </c>
      <c r="B2653" s="2">
        <v>42188.7207291667</v>
      </c>
      <c r="C2653">
        <v>0</v>
      </c>
      <c r="D2653">
        <v>8</v>
      </c>
      <c r="E2653" t="s">
        <v>2653</v>
      </c>
    </row>
    <row r="2654" spans="1:5">
      <c r="A2654">
        <f>HYPERLINK("http://www.twitter.com/NYCParks/status/617003568059576320", "617003568059576320")</f>
        <v>0</v>
      </c>
      <c r="B2654" s="2">
        <v>42188.6769444444</v>
      </c>
      <c r="C2654">
        <v>18</v>
      </c>
      <c r="D2654">
        <v>10</v>
      </c>
      <c r="E2654" t="s">
        <v>2654</v>
      </c>
    </row>
    <row r="2655" spans="1:5">
      <c r="A2655">
        <f>HYPERLINK("http://www.twitter.com/NYCParks/status/616989271103287296", "616989271103287296")</f>
        <v>0</v>
      </c>
      <c r="B2655" s="2">
        <v>42188.6374884259</v>
      </c>
      <c r="C2655">
        <v>7</v>
      </c>
      <c r="D2655">
        <v>8</v>
      </c>
      <c r="E2655" t="s">
        <v>2655</v>
      </c>
    </row>
    <row r="2656" spans="1:5">
      <c r="A2656">
        <f>HYPERLINK("http://www.twitter.com/NYCParks/status/616700674504421376", "616700674504421376")</f>
        <v>0</v>
      </c>
      <c r="B2656" s="2">
        <v>42187.8411226852</v>
      </c>
      <c r="C2656">
        <v>10</v>
      </c>
      <c r="D2656">
        <v>6</v>
      </c>
      <c r="E2656" t="s">
        <v>2656</v>
      </c>
    </row>
    <row r="2657" spans="1:5">
      <c r="A2657">
        <f>HYPERLINK("http://www.twitter.com/NYCParks/status/616683046507540480", "616683046507540480")</f>
        <v>0</v>
      </c>
      <c r="B2657" s="2">
        <v>42187.7924768518</v>
      </c>
      <c r="C2657">
        <v>14</v>
      </c>
      <c r="D2657">
        <v>9</v>
      </c>
      <c r="E2657" t="s">
        <v>2657</v>
      </c>
    </row>
    <row r="2658" spans="1:5">
      <c r="A2658">
        <f>HYPERLINK("http://www.twitter.com/NYCParks/status/616665613759578113", "616665613759578113")</f>
        <v>0</v>
      </c>
      <c r="B2658" s="2">
        <v>42187.744375</v>
      </c>
      <c r="C2658">
        <v>18</v>
      </c>
      <c r="D2658">
        <v>25</v>
      </c>
      <c r="E2658" t="s">
        <v>2658</v>
      </c>
    </row>
    <row r="2659" spans="1:5">
      <c r="A2659">
        <f>HYPERLINK("http://www.twitter.com/NYCParks/status/616646844651843586", "616646844651843586")</f>
        <v>0</v>
      </c>
      <c r="B2659" s="2">
        <v>42187.6925810185</v>
      </c>
      <c r="C2659">
        <v>9</v>
      </c>
      <c r="D2659">
        <v>6</v>
      </c>
      <c r="E2659" t="s">
        <v>2659</v>
      </c>
    </row>
    <row r="2660" spans="1:5">
      <c r="A2660">
        <f>HYPERLINK("http://www.twitter.com/NYCParks/status/616632927468822528", "616632927468822528")</f>
        <v>0</v>
      </c>
      <c r="B2660" s="2">
        <v>42187.6541782407</v>
      </c>
      <c r="C2660">
        <v>15</v>
      </c>
      <c r="D2660">
        <v>9</v>
      </c>
      <c r="E2660" t="s">
        <v>2660</v>
      </c>
    </row>
    <row r="2661" spans="1:5">
      <c r="A2661">
        <f>HYPERLINK("http://www.twitter.com/NYCParks/status/616619620565417984", "616619620565417984")</f>
        <v>0</v>
      </c>
      <c r="B2661" s="2">
        <v>42187.6174537037</v>
      </c>
      <c r="C2661">
        <v>0</v>
      </c>
      <c r="D2661">
        <v>3</v>
      </c>
      <c r="E2661" t="s">
        <v>2661</v>
      </c>
    </row>
    <row r="2662" spans="1:5">
      <c r="A2662">
        <f>HYPERLINK("http://www.twitter.com/NYCParks/status/616345698586501120", "616345698586501120")</f>
        <v>0</v>
      </c>
      <c r="B2662" s="2">
        <v>42186.8615740741</v>
      </c>
      <c r="C2662">
        <v>11</v>
      </c>
      <c r="D2662">
        <v>8</v>
      </c>
      <c r="E2662" t="s">
        <v>2662</v>
      </c>
    </row>
    <row r="2663" spans="1:5">
      <c r="A2663">
        <f>HYPERLINK("http://www.twitter.com/NYCParks/status/616329162740080640", "616329162740080640")</f>
        <v>0</v>
      </c>
      <c r="B2663" s="2">
        <v>42186.8159375</v>
      </c>
      <c r="C2663">
        <v>22</v>
      </c>
      <c r="D2663">
        <v>23</v>
      </c>
      <c r="E2663" t="s">
        <v>2663</v>
      </c>
    </row>
    <row r="2664" spans="1:5">
      <c r="A2664">
        <f>HYPERLINK("http://www.twitter.com/NYCParks/status/616310548427358208", "616310548427358208")</f>
        <v>0</v>
      </c>
      <c r="B2664" s="2">
        <v>42186.7645717593</v>
      </c>
      <c r="C2664">
        <v>5</v>
      </c>
      <c r="D2664">
        <v>3</v>
      </c>
      <c r="E2664" t="s">
        <v>2664</v>
      </c>
    </row>
    <row r="2665" spans="1:5">
      <c r="A2665">
        <f>HYPERLINK("http://www.twitter.com/NYCParks/status/616293943962136576", "616293943962136576")</f>
        <v>0</v>
      </c>
      <c r="B2665" s="2">
        <v>42186.7187615741</v>
      </c>
      <c r="C2665">
        <v>12</v>
      </c>
      <c r="D2665">
        <v>6</v>
      </c>
      <c r="E2665" t="s">
        <v>2665</v>
      </c>
    </row>
    <row r="2666" spans="1:5">
      <c r="A2666">
        <f>HYPERLINK("http://www.twitter.com/NYCParks/status/616279244746960896", "616279244746960896")</f>
        <v>0</v>
      </c>
      <c r="B2666" s="2">
        <v>42186.6781944444</v>
      </c>
      <c r="C2666">
        <v>12</v>
      </c>
      <c r="D2666">
        <v>10</v>
      </c>
      <c r="E2666" t="s">
        <v>2666</v>
      </c>
    </row>
    <row r="2667" spans="1:5">
      <c r="A2667">
        <f>HYPERLINK("http://www.twitter.com/NYCParks/status/616263678179078144", "616263678179078144")</f>
        <v>0</v>
      </c>
      <c r="B2667" s="2">
        <v>42186.6352430556</v>
      </c>
      <c r="C2667">
        <v>10</v>
      </c>
      <c r="D2667">
        <v>7</v>
      </c>
      <c r="E2667" t="s">
        <v>2667</v>
      </c>
    </row>
    <row r="2668" spans="1:5">
      <c r="A2668">
        <f>HYPERLINK("http://www.twitter.com/NYCParks/status/616251059380584448", "616251059380584448")</f>
        <v>0</v>
      </c>
      <c r="B2668" s="2">
        <v>42186.6004166667</v>
      </c>
      <c r="C2668">
        <v>0</v>
      </c>
      <c r="D2668">
        <v>24</v>
      </c>
      <c r="E2668" t="s">
        <v>2668</v>
      </c>
    </row>
    <row r="2669" spans="1:5">
      <c r="A2669">
        <f>HYPERLINK("http://www.twitter.com/NYCParks/status/615987186681425920", "615987186681425920")</f>
        <v>0</v>
      </c>
      <c r="B2669" s="2">
        <v>42185.8722685185</v>
      </c>
      <c r="C2669">
        <v>6</v>
      </c>
      <c r="D2669">
        <v>7</v>
      </c>
      <c r="E2669" t="s">
        <v>2669</v>
      </c>
    </row>
    <row r="2670" spans="1:5">
      <c r="A2670">
        <f>HYPERLINK("http://www.twitter.com/NYCParks/status/615969897420582912", "615969897420582912")</f>
        <v>0</v>
      </c>
      <c r="B2670" s="2">
        <v>42185.8245601852</v>
      </c>
      <c r="C2670">
        <v>24</v>
      </c>
      <c r="D2670">
        <v>14</v>
      </c>
      <c r="E2670" t="s">
        <v>2670</v>
      </c>
    </row>
    <row r="2671" spans="1:5">
      <c r="A2671">
        <f>HYPERLINK("http://www.twitter.com/NYCParks/status/615948050444480512", "615948050444480512")</f>
        <v>0</v>
      </c>
      <c r="B2671" s="2">
        <v>42185.7642708333</v>
      </c>
      <c r="C2671">
        <v>8</v>
      </c>
      <c r="D2671">
        <v>4</v>
      </c>
      <c r="E2671" t="s">
        <v>2671</v>
      </c>
    </row>
    <row r="2672" spans="1:5">
      <c r="A2672">
        <f>HYPERLINK("http://www.twitter.com/NYCParks/status/615930247733735424", "615930247733735424")</f>
        <v>0</v>
      </c>
      <c r="B2672" s="2">
        <v>42185.715150463</v>
      </c>
      <c r="C2672">
        <v>14</v>
      </c>
      <c r="D2672">
        <v>18</v>
      </c>
      <c r="E2672" t="s">
        <v>2672</v>
      </c>
    </row>
    <row r="2673" spans="1:5">
      <c r="A2673">
        <f>HYPERLINK("http://www.twitter.com/NYCParks/status/615916004686884864", "615916004686884864")</f>
        <v>0</v>
      </c>
      <c r="B2673" s="2">
        <v>42185.6758449074</v>
      </c>
      <c r="C2673">
        <v>17</v>
      </c>
      <c r="D2673">
        <v>27</v>
      </c>
      <c r="E2673" t="s">
        <v>2673</v>
      </c>
    </row>
    <row r="2674" spans="1:5">
      <c r="A2674">
        <f>HYPERLINK("http://www.twitter.com/NYCParks/status/615912614376439808", "615912614376439808")</f>
        <v>0</v>
      </c>
      <c r="B2674" s="2">
        <v>42185.6664930556</v>
      </c>
      <c r="C2674">
        <v>1</v>
      </c>
      <c r="D2674">
        <v>0</v>
      </c>
      <c r="E2674" t="s">
        <v>2674</v>
      </c>
    </row>
    <row r="2675" spans="1:5">
      <c r="A2675">
        <f>HYPERLINK("http://www.twitter.com/NYCParks/status/615897191903850496", "615897191903850496")</f>
        <v>0</v>
      </c>
      <c r="B2675" s="2">
        <v>42185.6239351852</v>
      </c>
      <c r="C2675">
        <v>4</v>
      </c>
      <c r="D2675">
        <v>13</v>
      </c>
      <c r="E2675" t="s">
        <v>2675</v>
      </c>
    </row>
    <row r="2676" spans="1:5">
      <c r="A2676">
        <f>HYPERLINK("http://www.twitter.com/NYCParks/status/615598935353225216", "615598935353225216")</f>
        <v>0</v>
      </c>
      <c r="B2676" s="2">
        <v>42184.8009027778</v>
      </c>
      <c r="C2676">
        <v>8</v>
      </c>
      <c r="D2676">
        <v>8</v>
      </c>
      <c r="E2676" t="s">
        <v>2676</v>
      </c>
    </row>
    <row r="2677" spans="1:5">
      <c r="A2677">
        <f>HYPERLINK("http://www.twitter.com/NYCParks/status/615584786258731009", "615584786258731009")</f>
        <v>0</v>
      </c>
      <c r="B2677" s="2">
        <v>42184.7618518519</v>
      </c>
      <c r="C2677">
        <v>5</v>
      </c>
      <c r="D2677">
        <v>3</v>
      </c>
      <c r="E2677" t="s">
        <v>2677</v>
      </c>
    </row>
    <row r="2678" spans="1:5">
      <c r="A2678">
        <f>HYPERLINK("http://www.twitter.com/NYCParks/status/615580423658307584", "615580423658307584")</f>
        <v>0</v>
      </c>
      <c r="B2678" s="2">
        <v>42184.7498148148</v>
      </c>
      <c r="C2678">
        <v>0</v>
      </c>
      <c r="D2678">
        <v>20</v>
      </c>
      <c r="E2678" t="s">
        <v>2678</v>
      </c>
    </row>
    <row r="2679" spans="1:5">
      <c r="A2679">
        <f>HYPERLINK("http://www.twitter.com/NYCParks/status/615566257157443585", "615566257157443585")</f>
        <v>0</v>
      </c>
      <c r="B2679" s="2">
        <v>42184.7107291667</v>
      </c>
      <c r="C2679">
        <v>18</v>
      </c>
      <c r="D2679">
        <v>28</v>
      </c>
      <c r="E2679" t="s">
        <v>2679</v>
      </c>
    </row>
    <row r="2680" spans="1:5">
      <c r="A2680">
        <f>HYPERLINK("http://www.twitter.com/NYCParks/status/615553467466317828", "615553467466317828")</f>
        <v>0</v>
      </c>
      <c r="B2680" s="2">
        <v>42184.6754282407</v>
      </c>
      <c r="C2680">
        <v>100</v>
      </c>
      <c r="D2680">
        <v>70</v>
      </c>
      <c r="E2680" t="s">
        <v>2680</v>
      </c>
    </row>
    <row r="2681" spans="1:5">
      <c r="A2681">
        <f>HYPERLINK("http://www.twitter.com/NYCParks/status/615535293496733696", "615535293496733696")</f>
        <v>0</v>
      </c>
      <c r="B2681" s="2">
        <v>42184.6252777778</v>
      </c>
      <c r="C2681">
        <v>12</v>
      </c>
      <c r="D2681">
        <v>12</v>
      </c>
      <c r="E2681" t="s">
        <v>2681</v>
      </c>
    </row>
    <row r="2682" spans="1:5">
      <c r="A2682">
        <f>HYPERLINK("http://www.twitter.com/NYCParks/status/614528634745786368", "614528634745786368")</f>
        <v>0</v>
      </c>
      <c r="B2682" s="2">
        <v>42181.8474305556</v>
      </c>
      <c r="C2682">
        <v>6</v>
      </c>
      <c r="D2682">
        <v>6</v>
      </c>
      <c r="E2682" t="s">
        <v>2682</v>
      </c>
    </row>
    <row r="2683" spans="1:5">
      <c r="A2683">
        <f>HYPERLINK("http://www.twitter.com/NYCParks/status/614505488097636352", "614505488097636352")</f>
        <v>0</v>
      </c>
      <c r="B2683" s="2">
        <v>42181.7835532407</v>
      </c>
      <c r="C2683">
        <v>30</v>
      </c>
      <c r="D2683">
        <v>15</v>
      </c>
      <c r="E2683" t="s">
        <v>2683</v>
      </c>
    </row>
    <row r="2684" spans="1:5">
      <c r="A2684">
        <f>HYPERLINK("http://www.twitter.com/NYCParks/status/614488538751574016", "614488538751574016")</f>
        <v>0</v>
      </c>
      <c r="B2684" s="2">
        <v>42181.7367824074</v>
      </c>
      <c r="C2684">
        <v>0</v>
      </c>
      <c r="D2684">
        <v>0</v>
      </c>
      <c r="E2684" t="s">
        <v>2684</v>
      </c>
    </row>
    <row r="2685" spans="1:5">
      <c r="A2685">
        <f>HYPERLINK("http://www.twitter.com/NYCParks/status/614487365478952960", "614487365478952960")</f>
        <v>0</v>
      </c>
      <c r="B2685" s="2">
        <v>42181.7335532407</v>
      </c>
      <c r="C2685">
        <v>16</v>
      </c>
      <c r="D2685">
        <v>20</v>
      </c>
      <c r="E2685" t="s">
        <v>2685</v>
      </c>
    </row>
    <row r="2686" spans="1:5">
      <c r="A2686">
        <f>HYPERLINK("http://www.twitter.com/NYCParks/status/614469241060859904", "614469241060859904")</f>
        <v>0</v>
      </c>
      <c r="B2686" s="2">
        <v>42181.6835416667</v>
      </c>
      <c r="C2686">
        <v>7</v>
      </c>
      <c r="D2686">
        <v>5</v>
      </c>
      <c r="E2686" t="s">
        <v>2686</v>
      </c>
    </row>
    <row r="2687" spans="1:5">
      <c r="A2687">
        <f>HYPERLINK("http://www.twitter.com/NYCParks/status/614452125771407360", "614452125771407360")</f>
        <v>0</v>
      </c>
      <c r="B2687" s="2">
        <v>42181.6363078704</v>
      </c>
      <c r="C2687">
        <v>17</v>
      </c>
      <c r="D2687">
        <v>6</v>
      </c>
      <c r="E2687" t="s">
        <v>2687</v>
      </c>
    </row>
    <row r="2688" spans="1:5">
      <c r="A2688">
        <f>HYPERLINK("http://www.twitter.com/NYCParks/status/614435691234238464", "614435691234238464")</f>
        <v>0</v>
      </c>
      <c r="B2688" s="2">
        <v>42181.5909606482</v>
      </c>
      <c r="C2688">
        <v>37</v>
      </c>
      <c r="D2688">
        <v>26</v>
      </c>
      <c r="E2688" t="s">
        <v>2688</v>
      </c>
    </row>
    <row r="2689" spans="1:5">
      <c r="A2689">
        <f>HYPERLINK("http://www.twitter.com/NYCParks/status/614167453166399489", "614167453166399489")</f>
        <v>0</v>
      </c>
      <c r="B2689" s="2">
        <v>42180.8507638889</v>
      </c>
      <c r="C2689">
        <v>11</v>
      </c>
      <c r="D2689">
        <v>11</v>
      </c>
      <c r="E2689" t="s">
        <v>2689</v>
      </c>
    </row>
    <row r="2690" spans="1:5">
      <c r="A2690">
        <f>HYPERLINK("http://www.twitter.com/NYCParks/status/614152076088733696", "614152076088733696")</f>
        <v>0</v>
      </c>
      <c r="B2690" s="2">
        <v>42180.8083217593</v>
      </c>
      <c r="C2690">
        <v>17</v>
      </c>
      <c r="D2690">
        <v>11</v>
      </c>
      <c r="E2690" t="s">
        <v>2690</v>
      </c>
    </row>
    <row r="2691" spans="1:5">
      <c r="A2691">
        <f>HYPERLINK("http://www.twitter.com/NYCParks/status/614151363908489217", "614151363908489217")</f>
        <v>0</v>
      </c>
      <c r="B2691" s="2">
        <v>42180.8063657407</v>
      </c>
      <c r="C2691">
        <v>0</v>
      </c>
      <c r="D2691">
        <v>0</v>
      </c>
      <c r="E2691" t="s">
        <v>2691</v>
      </c>
    </row>
    <row r="2692" spans="1:5">
      <c r="A2692">
        <f>HYPERLINK("http://www.twitter.com/NYCParks/status/614132151827726336", "614132151827726336")</f>
        <v>0</v>
      </c>
      <c r="B2692" s="2">
        <v>42180.7533449074</v>
      </c>
      <c r="C2692">
        <v>14</v>
      </c>
      <c r="D2692">
        <v>8</v>
      </c>
      <c r="E2692" t="s">
        <v>2692</v>
      </c>
    </row>
    <row r="2693" spans="1:5">
      <c r="A2693">
        <f>HYPERLINK("http://www.twitter.com/NYCParks/status/614115900594241536", "614115900594241536")</f>
        <v>0</v>
      </c>
      <c r="B2693" s="2">
        <v>42180.7085069444</v>
      </c>
      <c r="C2693">
        <v>17</v>
      </c>
      <c r="D2693">
        <v>14</v>
      </c>
      <c r="E2693" t="s">
        <v>2693</v>
      </c>
    </row>
    <row r="2694" spans="1:5">
      <c r="A2694">
        <f>HYPERLINK("http://www.twitter.com/NYCParks/status/614101149562601472", "614101149562601472")</f>
        <v>0</v>
      </c>
      <c r="B2694" s="2">
        <v>42180.6678009259</v>
      </c>
      <c r="C2694">
        <v>11</v>
      </c>
      <c r="D2694">
        <v>9</v>
      </c>
      <c r="E2694" t="s">
        <v>2694</v>
      </c>
    </row>
    <row r="2695" spans="1:5">
      <c r="A2695">
        <f>HYPERLINK("http://www.twitter.com/NYCParks/status/614086811158192128", "614086811158192128")</f>
        <v>0</v>
      </c>
      <c r="B2695" s="2">
        <v>42180.6282291667</v>
      </c>
      <c r="C2695">
        <v>1</v>
      </c>
      <c r="D2695">
        <v>1</v>
      </c>
      <c r="E2695" t="s">
        <v>2695</v>
      </c>
    </row>
    <row r="2696" spans="1:5">
      <c r="A2696">
        <f>HYPERLINK("http://www.twitter.com/NYCParks/status/614073595812298752", "614073595812298752")</f>
        <v>0</v>
      </c>
      <c r="B2696" s="2">
        <v>42180.5917592593</v>
      </c>
      <c r="C2696">
        <v>0</v>
      </c>
      <c r="D2696">
        <v>23</v>
      </c>
      <c r="E2696" t="s">
        <v>2696</v>
      </c>
    </row>
    <row r="2697" spans="1:5">
      <c r="A2697">
        <f>HYPERLINK("http://www.twitter.com/NYCParks/status/613802937006096384", "613802937006096384")</f>
        <v>0</v>
      </c>
      <c r="B2697" s="2">
        <v>42179.8448842593</v>
      </c>
      <c r="C2697">
        <v>10</v>
      </c>
      <c r="D2697">
        <v>6</v>
      </c>
      <c r="E2697" t="s">
        <v>2697</v>
      </c>
    </row>
    <row r="2698" spans="1:5">
      <c r="A2698">
        <f>HYPERLINK("http://www.twitter.com/NYCParks/status/613784719340257280", "613784719340257280")</f>
        <v>0</v>
      </c>
      <c r="B2698" s="2">
        <v>42179.7946180556</v>
      </c>
      <c r="C2698">
        <v>13</v>
      </c>
      <c r="D2698">
        <v>13</v>
      </c>
      <c r="E2698" t="s">
        <v>2698</v>
      </c>
    </row>
    <row r="2699" spans="1:5">
      <c r="A2699">
        <f>HYPERLINK("http://www.twitter.com/NYCParks/status/613770444395687936", "613770444395687936")</f>
        <v>0</v>
      </c>
      <c r="B2699" s="2">
        <v>42179.7552199074</v>
      </c>
      <c r="C2699">
        <v>7</v>
      </c>
      <c r="D2699">
        <v>7</v>
      </c>
      <c r="E2699" t="s">
        <v>2699</v>
      </c>
    </row>
    <row r="2700" spans="1:5">
      <c r="A2700">
        <f>HYPERLINK("http://www.twitter.com/NYCParks/status/613753508890808320", "613753508890808320")</f>
        <v>0</v>
      </c>
      <c r="B2700" s="2">
        <v>42179.7084953704</v>
      </c>
      <c r="C2700">
        <v>10</v>
      </c>
      <c r="D2700">
        <v>8</v>
      </c>
      <c r="E2700" t="s">
        <v>2700</v>
      </c>
    </row>
    <row r="2701" spans="1:5">
      <c r="A2701">
        <f>HYPERLINK("http://www.twitter.com/NYCParks/status/613736240484085760", "613736240484085760")</f>
        <v>0</v>
      </c>
      <c r="B2701" s="2">
        <v>42179.6608449074</v>
      </c>
      <c r="C2701">
        <v>9</v>
      </c>
      <c r="D2701">
        <v>13</v>
      </c>
      <c r="E2701" t="s">
        <v>2701</v>
      </c>
    </row>
    <row r="2702" spans="1:5">
      <c r="A2702">
        <f>HYPERLINK("http://www.twitter.com/NYCParks/status/613720641926242307", "613720641926242307")</f>
        <v>0</v>
      </c>
      <c r="B2702" s="2">
        <v>42179.6178009259</v>
      </c>
      <c r="C2702">
        <v>26</v>
      </c>
      <c r="D2702">
        <v>15</v>
      </c>
      <c r="E2702" t="s">
        <v>2702</v>
      </c>
    </row>
    <row r="2703" spans="1:5">
      <c r="A2703">
        <f>HYPERLINK("http://www.twitter.com/NYCParks/status/613448867082829824", "613448867082829824")</f>
        <v>0</v>
      </c>
      <c r="B2703" s="2">
        <v>42178.8678356481</v>
      </c>
      <c r="C2703">
        <v>22</v>
      </c>
      <c r="D2703">
        <v>13</v>
      </c>
      <c r="E2703" t="s">
        <v>2703</v>
      </c>
    </row>
    <row r="2704" spans="1:5">
      <c r="A2704">
        <f>HYPERLINK("http://www.twitter.com/NYCParks/status/613427422004953088", "613427422004953088")</f>
        <v>0</v>
      </c>
      <c r="B2704" s="2">
        <v>42178.8086574074</v>
      </c>
      <c r="C2704">
        <v>20</v>
      </c>
      <c r="D2704">
        <v>20</v>
      </c>
      <c r="E2704" t="s">
        <v>2704</v>
      </c>
    </row>
    <row r="2705" spans="1:5">
      <c r="A2705">
        <f>HYPERLINK("http://www.twitter.com/NYCParks/status/613409454348963840", "613409454348963840")</f>
        <v>0</v>
      </c>
      <c r="B2705" s="2">
        <v>42178.7590856481</v>
      </c>
      <c r="C2705">
        <v>13</v>
      </c>
      <c r="D2705">
        <v>10</v>
      </c>
      <c r="E2705" t="s">
        <v>2705</v>
      </c>
    </row>
    <row r="2706" spans="1:5">
      <c r="A2706">
        <f>HYPERLINK("http://www.twitter.com/NYCParks/status/613394732157374464", "613394732157374464")</f>
        <v>0</v>
      </c>
      <c r="B2706" s="2">
        <v>42178.7184606481</v>
      </c>
      <c r="C2706">
        <v>10</v>
      </c>
      <c r="D2706">
        <v>12</v>
      </c>
      <c r="E2706" t="s">
        <v>2706</v>
      </c>
    </row>
    <row r="2707" spans="1:5">
      <c r="A2707">
        <f>HYPERLINK("http://www.twitter.com/NYCParks/status/613391909931872256", "613391909931872256")</f>
        <v>0</v>
      </c>
      <c r="B2707" s="2">
        <v>42178.7106712963</v>
      </c>
      <c r="C2707">
        <v>1</v>
      </c>
      <c r="D2707">
        <v>1</v>
      </c>
      <c r="E2707" t="s">
        <v>2707</v>
      </c>
    </row>
    <row r="2708" spans="1:5">
      <c r="A2708">
        <f>HYPERLINK("http://www.twitter.com/NYCParks/status/613379477985476609", "613379477985476609")</f>
        <v>0</v>
      </c>
      <c r="B2708" s="2">
        <v>42178.6763657407</v>
      </c>
      <c r="C2708">
        <v>62</v>
      </c>
      <c r="D2708">
        <v>60</v>
      </c>
      <c r="E2708" t="s">
        <v>2708</v>
      </c>
    </row>
    <row r="2709" spans="1:5">
      <c r="A2709">
        <f>HYPERLINK("http://www.twitter.com/NYCParks/status/613358882665140224", "613358882665140224")</f>
        <v>0</v>
      </c>
      <c r="B2709" s="2">
        <v>42178.619525463</v>
      </c>
      <c r="C2709">
        <v>17</v>
      </c>
      <c r="D2709">
        <v>24</v>
      </c>
      <c r="E2709" t="s">
        <v>2709</v>
      </c>
    </row>
    <row r="2710" spans="1:5">
      <c r="A2710">
        <f>HYPERLINK("http://www.twitter.com/NYCParks/status/613076767486705664", "613076767486705664")</f>
        <v>0</v>
      </c>
      <c r="B2710" s="2">
        <v>42177.8410416667</v>
      </c>
      <c r="C2710">
        <v>4</v>
      </c>
      <c r="D2710">
        <v>7</v>
      </c>
      <c r="E2710" t="s">
        <v>2710</v>
      </c>
    </row>
    <row r="2711" spans="1:5">
      <c r="A2711">
        <f>HYPERLINK("http://www.twitter.com/NYCParks/status/613062442529226752", "613062442529226752")</f>
        <v>0</v>
      </c>
      <c r="B2711" s="2">
        <v>42177.8015162037</v>
      </c>
      <c r="C2711">
        <v>5</v>
      </c>
      <c r="D2711">
        <v>12</v>
      </c>
      <c r="E2711" t="s">
        <v>2711</v>
      </c>
    </row>
    <row r="2712" spans="1:5">
      <c r="A2712">
        <f>HYPERLINK("http://www.twitter.com/NYCParks/status/613048370970656768", "613048370970656768")</f>
        <v>0</v>
      </c>
      <c r="B2712" s="2">
        <v>42177.7626851852</v>
      </c>
      <c r="C2712">
        <v>19</v>
      </c>
      <c r="D2712">
        <v>18</v>
      </c>
      <c r="E2712" t="s">
        <v>2712</v>
      </c>
    </row>
    <row r="2713" spans="1:5">
      <c r="A2713">
        <f>HYPERLINK("http://www.twitter.com/NYCParks/status/613047727962898432", "613047727962898432")</f>
        <v>0</v>
      </c>
      <c r="B2713" s="2">
        <v>42177.7609027778</v>
      </c>
      <c r="C2713">
        <v>1</v>
      </c>
      <c r="D2713">
        <v>0</v>
      </c>
      <c r="E2713" t="s">
        <v>2713</v>
      </c>
    </row>
    <row r="2714" spans="1:5">
      <c r="A2714">
        <f>HYPERLINK("http://www.twitter.com/NYCParks/status/613025479054991360", "613025479054991360")</f>
        <v>0</v>
      </c>
      <c r="B2714" s="2">
        <v>42177.6995138889</v>
      </c>
      <c r="C2714">
        <v>11</v>
      </c>
      <c r="D2714">
        <v>10</v>
      </c>
      <c r="E2714" t="s">
        <v>2714</v>
      </c>
    </row>
    <row r="2715" spans="1:5">
      <c r="A2715">
        <f>HYPERLINK("http://www.twitter.com/NYCParks/status/613012482672709632", "613012482672709632")</f>
        <v>0</v>
      </c>
      <c r="B2715" s="2">
        <v>42177.6636458333</v>
      </c>
      <c r="C2715">
        <v>0</v>
      </c>
      <c r="D2715">
        <v>35</v>
      </c>
      <c r="E2715" t="s">
        <v>2715</v>
      </c>
    </row>
    <row r="2716" spans="1:5">
      <c r="A2716">
        <f>HYPERLINK("http://www.twitter.com/NYCParks/status/613003736663900160", "613003736663900160")</f>
        <v>0</v>
      </c>
      <c r="B2716" s="2">
        <v>42177.6395138889</v>
      </c>
      <c r="C2716">
        <v>21</v>
      </c>
      <c r="D2716">
        <v>15</v>
      </c>
      <c r="E2716" t="s">
        <v>2716</v>
      </c>
    </row>
    <row r="2717" spans="1:5">
      <c r="A2717">
        <f>HYPERLINK("http://www.twitter.com/NYCParks/status/612988818472484864", "612988818472484864")</f>
        <v>0</v>
      </c>
      <c r="B2717" s="2">
        <v>42177.5983449074</v>
      </c>
      <c r="C2717">
        <v>12</v>
      </c>
      <c r="D2717">
        <v>13</v>
      </c>
      <c r="E2717" t="s">
        <v>2717</v>
      </c>
    </row>
    <row r="2718" spans="1:5">
      <c r="A2718">
        <f>HYPERLINK("http://www.twitter.com/NYCParks/status/612010562390728704", "612010562390728704")</f>
        <v>0</v>
      </c>
      <c r="B2718" s="2">
        <v>42174.8988773148</v>
      </c>
      <c r="C2718">
        <v>19</v>
      </c>
      <c r="D2718">
        <v>13</v>
      </c>
      <c r="E2718" t="s">
        <v>2718</v>
      </c>
    </row>
    <row r="2719" spans="1:5">
      <c r="A2719">
        <f>HYPERLINK("http://www.twitter.com/NYCParks/status/611987961714970624", "611987961714970624")</f>
        <v>0</v>
      </c>
      <c r="B2719" s="2">
        <v>42174.8365046296</v>
      </c>
      <c r="C2719">
        <v>27</v>
      </c>
      <c r="D2719">
        <v>24</v>
      </c>
      <c r="E2719" t="s">
        <v>2719</v>
      </c>
    </row>
    <row r="2720" spans="1:5">
      <c r="A2720">
        <f>HYPERLINK("http://www.twitter.com/NYCParks/status/611974112785907712", "611974112785907712")</f>
        <v>0</v>
      </c>
      <c r="B2720" s="2">
        <v>42174.7982986111</v>
      </c>
      <c r="C2720">
        <v>29</v>
      </c>
      <c r="D2720">
        <v>25</v>
      </c>
      <c r="E2720" t="s">
        <v>2720</v>
      </c>
    </row>
    <row r="2721" spans="1:5">
      <c r="A2721">
        <f>HYPERLINK("http://www.twitter.com/NYCParks/status/611956926629462016", "611956926629462016")</f>
        <v>0</v>
      </c>
      <c r="B2721" s="2">
        <v>42174.7508680556</v>
      </c>
      <c r="C2721">
        <v>13</v>
      </c>
      <c r="D2721">
        <v>13</v>
      </c>
      <c r="E2721" t="s">
        <v>2721</v>
      </c>
    </row>
    <row r="2722" spans="1:5">
      <c r="A2722">
        <f>HYPERLINK("http://www.twitter.com/NYCParks/status/611942501369413632", "611942501369413632")</f>
        <v>0</v>
      </c>
      <c r="B2722" s="2">
        <v>42174.7110648148</v>
      </c>
      <c r="C2722">
        <v>6</v>
      </c>
      <c r="D2722">
        <v>4</v>
      </c>
      <c r="E2722" t="s">
        <v>2722</v>
      </c>
    </row>
    <row r="2723" spans="1:5">
      <c r="A2723">
        <f>HYPERLINK("http://www.twitter.com/NYCParks/status/611926554466217984", "611926554466217984")</f>
        <v>0</v>
      </c>
      <c r="B2723" s="2">
        <v>42174.6670601852</v>
      </c>
      <c r="C2723">
        <v>16</v>
      </c>
      <c r="D2723">
        <v>28</v>
      </c>
      <c r="E2723" t="s">
        <v>2723</v>
      </c>
    </row>
    <row r="2724" spans="1:5">
      <c r="A2724">
        <f>HYPERLINK("http://www.twitter.com/NYCParks/status/611910829311696896", "611910829311696896")</f>
        <v>0</v>
      </c>
      <c r="B2724" s="2">
        <v>42174.6236689815</v>
      </c>
      <c r="C2724">
        <v>20</v>
      </c>
      <c r="D2724">
        <v>16</v>
      </c>
      <c r="E2724" t="s">
        <v>2724</v>
      </c>
    </row>
    <row r="2725" spans="1:5">
      <c r="A2725">
        <f>HYPERLINK("http://www.twitter.com/NYCParks/status/611634583747080192", "611634583747080192")</f>
        <v>0</v>
      </c>
      <c r="B2725" s="2">
        <v>42173.8613773148</v>
      </c>
      <c r="C2725">
        <v>5</v>
      </c>
      <c r="D2725">
        <v>9</v>
      </c>
      <c r="E2725" t="s">
        <v>2725</v>
      </c>
    </row>
    <row r="2726" spans="1:5">
      <c r="A2726">
        <f>HYPERLINK("http://www.twitter.com/NYCParks/status/611617845970108417", "611617845970108417")</f>
        <v>0</v>
      </c>
      <c r="B2726" s="2">
        <v>42173.8151851852</v>
      </c>
      <c r="C2726">
        <v>16</v>
      </c>
      <c r="D2726">
        <v>16</v>
      </c>
      <c r="E2726" t="s">
        <v>2726</v>
      </c>
    </row>
    <row r="2727" spans="1:5">
      <c r="A2727">
        <f>HYPERLINK("http://www.twitter.com/NYCParks/status/611597710370701312", "611597710370701312")</f>
        <v>0</v>
      </c>
      <c r="B2727" s="2">
        <v>42173.7596180556</v>
      </c>
      <c r="C2727">
        <v>26</v>
      </c>
      <c r="D2727">
        <v>19</v>
      </c>
      <c r="E2727" t="s">
        <v>2727</v>
      </c>
    </row>
    <row r="2728" spans="1:5">
      <c r="A2728">
        <f>HYPERLINK("http://www.twitter.com/NYCParks/status/611583952323788800", "611583952323788800")</f>
        <v>0</v>
      </c>
      <c r="B2728" s="2">
        <v>42173.7216550926</v>
      </c>
      <c r="C2728">
        <v>9</v>
      </c>
      <c r="D2728">
        <v>9</v>
      </c>
      <c r="E2728" t="s">
        <v>2728</v>
      </c>
    </row>
    <row r="2729" spans="1:5">
      <c r="A2729">
        <f>HYPERLINK("http://www.twitter.com/NYCParks/status/611569092689035264", "611569092689035264")</f>
        <v>0</v>
      </c>
      <c r="B2729" s="2">
        <v>42173.6806481481</v>
      </c>
      <c r="C2729">
        <v>9</v>
      </c>
      <c r="D2729">
        <v>13</v>
      </c>
      <c r="E2729" t="s">
        <v>2729</v>
      </c>
    </row>
    <row r="2730" spans="1:5">
      <c r="A2730">
        <f>HYPERLINK("http://www.twitter.com/NYCParks/status/611548567690432512", "611548567690432512")</f>
        <v>0</v>
      </c>
      <c r="B2730" s="2">
        <v>42173.6240162037</v>
      </c>
      <c r="C2730">
        <v>125</v>
      </c>
      <c r="D2730">
        <v>105</v>
      </c>
      <c r="E2730" t="s">
        <v>2730</v>
      </c>
    </row>
    <row r="2731" spans="1:5">
      <c r="A2731">
        <f>HYPERLINK("http://www.twitter.com/NYCParks/status/611540170421235712", "611540170421235712")</f>
        <v>0</v>
      </c>
      <c r="B2731" s="2">
        <v>42173.6008449074</v>
      </c>
      <c r="C2731">
        <v>0</v>
      </c>
      <c r="D2731">
        <v>32</v>
      </c>
      <c r="E2731" t="s">
        <v>2731</v>
      </c>
    </row>
    <row r="2732" spans="1:5">
      <c r="A2732">
        <f>HYPERLINK("http://www.twitter.com/NYCParks/status/611263090613731328", "611263090613731328")</f>
        <v>0</v>
      </c>
      <c r="B2732" s="2">
        <v>42172.83625</v>
      </c>
      <c r="C2732">
        <v>13</v>
      </c>
      <c r="D2732">
        <v>12</v>
      </c>
      <c r="E2732" t="s">
        <v>2732</v>
      </c>
    </row>
    <row r="2733" spans="1:5">
      <c r="A2733">
        <f>HYPERLINK("http://www.twitter.com/NYCParks/status/611246176671768576", "611246176671768576")</f>
        <v>0</v>
      </c>
      <c r="B2733" s="2">
        <v>42172.7895717593</v>
      </c>
      <c r="C2733">
        <v>16</v>
      </c>
      <c r="D2733">
        <v>8</v>
      </c>
      <c r="E2733" t="s">
        <v>2733</v>
      </c>
    </row>
    <row r="2734" spans="1:5">
      <c r="A2734">
        <f>HYPERLINK("http://www.twitter.com/NYCParks/status/611229619040186369", "611229619040186369")</f>
        <v>0</v>
      </c>
      <c r="B2734" s="2">
        <v>42172.7438773148</v>
      </c>
      <c r="C2734">
        <v>22</v>
      </c>
      <c r="D2734">
        <v>15</v>
      </c>
      <c r="E2734" t="s">
        <v>2734</v>
      </c>
    </row>
    <row r="2735" spans="1:5">
      <c r="A2735">
        <f>HYPERLINK("http://www.twitter.com/NYCParks/status/611212582280499201", "611212582280499201")</f>
        <v>0</v>
      </c>
      <c r="B2735" s="2">
        <v>42172.696875</v>
      </c>
      <c r="C2735">
        <v>20</v>
      </c>
      <c r="D2735">
        <v>15</v>
      </c>
      <c r="E2735" t="s">
        <v>2735</v>
      </c>
    </row>
    <row r="2736" spans="1:5">
      <c r="A2736">
        <f>HYPERLINK("http://www.twitter.com/NYCParks/status/611197741230854144", "611197741230854144")</f>
        <v>0</v>
      </c>
      <c r="B2736" s="2">
        <v>42172.6559143519</v>
      </c>
      <c r="C2736">
        <v>6</v>
      </c>
      <c r="D2736">
        <v>11</v>
      </c>
      <c r="E2736" t="s">
        <v>2736</v>
      </c>
    </row>
    <row r="2737" spans="1:5">
      <c r="A2737">
        <f>HYPERLINK("http://www.twitter.com/NYCParks/status/611182490422804480", "611182490422804480")</f>
        <v>0</v>
      </c>
      <c r="B2737" s="2">
        <v>42172.6138310185</v>
      </c>
      <c r="C2737">
        <v>36</v>
      </c>
      <c r="D2737">
        <v>34</v>
      </c>
      <c r="E2737" t="s">
        <v>2737</v>
      </c>
    </row>
    <row r="2738" spans="1:5">
      <c r="A2738">
        <f>HYPERLINK("http://www.twitter.com/NYCParks/status/610899157381844992", "610899157381844992")</f>
        <v>0</v>
      </c>
      <c r="B2738" s="2">
        <v>42171.8319791667</v>
      </c>
      <c r="C2738">
        <v>11</v>
      </c>
      <c r="D2738">
        <v>8</v>
      </c>
      <c r="E2738" t="s">
        <v>2738</v>
      </c>
    </row>
    <row r="2739" spans="1:5">
      <c r="A2739">
        <f>HYPERLINK("http://www.twitter.com/NYCParks/status/610876584048914432", "610876584048914432")</f>
        <v>0</v>
      </c>
      <c r="B2739" s="2">
        <v>42171.7696875</v>
      </c>
      <c r="C2739">
        <v>7</v>
      </c>
      <c r="D2739">
        <v>2</v>
      </c>
      <c r="E2739" t="s">
        <v>2739</v>
      </c>
    </row>
    <row r="2740" spans="1:5">
      <c r="A2740">
        <f>HYPERLINK("http://www.twitter.com/NYCParks/status/610858898900316160", "610858898900316160")</f>
        <v>0</v>
      </c>
      <c r="B2740" s="2">
        <v>42171.7208912037</v>
      </c>
      <c r="C2740">
        <v>16</v>
      </c>
      <c r="D2740">
        <v>8</v>
      </c>
      <c r="E2740" t="s">
        <v>2740</v>
      </c>
    </row>
    <row r="2741" spans="1:5">
      <c r="A2741">
        <f>HYPERLINK("http://www.twitter.com/NYCParks/status/610839027416178688", "610839027416178688")</f>
        <v>0</v>
      </c>
      <c r="B2741" s="2">
        <v>42171.6660532407</v>
      </c>
      <c r="C2741">
        <v>8</v>
      </c>
      <c r="D2741">
        <v>12</v>
      </c>
      <c r="E2741" t="s">
        <v>2741</v>
      </c>
    </row>
    <row r="2742" spans="1:5">
      <c r="A2742">
        <f>HYPERLINK("http://www.twitter.com/NYCParks/status/610820080826515456", "610820080826515456")</f>
        <v>0</v>
      </c>
      <c r="B2742" s="2">
        <v>42171.6137731482</v>
      </c>
      <c r="C2742">
        <v>4</v>
      </c>
      <c r="D2742">
        <v>5</v>
      </c>
      <c r="E2742" t="s">
        <v>2742</v>
      </c>
    </row>
    <row r="2743" spans="1:5">
      <c r="A2743">
        <f>HYPERLINK("http://www.twitter.com/NYCParks/status/610547713202122752", "610547713202122752")</f>
        <v>0</v>
      </c>
      <c r="B2743" s="2">
        <v>42170.8621759259</v>
      </c>
      <c r="C2743">
        <v>38</v>
      </c>
      <c r="D2743">
        <v>28</v>
      </c>
      <c r="E2743" t="s">
        <v>2743</v>
      </c>
    </row>
    <row r="2744" spans="1:5">
      <c r="A2744">
        <f>HYPERLINK("http://www.twitter.com/NYCParks/status/610525162795073536", "610525162795073536")</f>
        <v>0</v>
      </c>
      <c r="B2744" s="2">
        <v>42170.7999537037</v>
      </c>
      <c r="C2744">
        <v>21</v>
      </c>
      <c r="D2744">
        <v>21</v>
      </c>
      <c r="E2744" t="s">
        <v>2744</v>
      </c>
    </row>
    <row r="2745" spans="1:5">
      <c r="A2745">
        <f>HYPERLINK("http://www.twitter.com/NYCParks/status/610510675698393088", "610510675698393088")</f>
        <v>0</v>
      </c>
      <c r="B2745" s="2">
        <v>42170.7599768518</v>
      </c>
      <c r="C2745">
        <v>9</v>
      </c>
      <c r="D2745">
        <v>6</v>
      </c>
      <c r="E2745" t="s">
        <v>2745</v>
      </c>
    </row>
    <row r="2746" spans="1:5">
      <c r="A2746">
        <f>HYPERLINK("http://www.twitter.com/NYCParks/status/610494893430018048", "610494893430018048")</f>
        <v>0</v>
      </c>
      <c r="B2746" s="2">
        <v>42170.7164236111</v>
      </c>
      <c r="C2746">
        <v>6</v>
      </c>
      <c r="D2746">
        <v>1</v>
      </c>
      <c r="E2746" t="s">
        <v>2746</v>
      </c>
    </row>
    <row r="2747" spans="1:5">
      <c r="A2747">
        <f>HYPERLINK("http://www.twitter.com/NYCParks/status/610476833583333376", "610476833583333376")</f>
        <v>0</v>
      </c>
      <c r="B2747" s="2">
        <v>42170.6665856481</v>
      </c>
      <c r="C2747">
        <v>15</v>
      </c>
      <c r="D2747">
        <v>5</v>
      </c>
      <c r="E2747" t="s">
        <v>2747</v>
      </c>
    </row>
    <row r="2748" spans="1:5">
      <c r="A2748">
        <f>HYPERLINK("http://www.twitter.com/NYCParks/status/610461155786629120", "610461155786629120")</f>
        <v>0</v>
      </c>
      <c r="B2748" s="2">
        <v>42170.6233333333</v>
      </c>
      <c r="C2748">
        <v>4</v>
      </c>
      <c r="D2748">
        <v>2</v>
      </c>
      <c r="E2748" t="s">
        <v>2748</v>
      </c>
    </row>
    <row r="2749" spans="1:5">
      <c r="A2749">
        <f>HYPERLINK("http://www.twitter.com/NYCParks/status/609454168651264000", "609454168651264000")</f>
        <v>0</v>
      </c>
      <c r="B2749" s="2">
        <v>42167.8445717593</v>
      </c>
      <c r="C2749">
        <v>31</v>
      </c>
      <c r="D2749">
        <v>39</v>
      </c>
      <c r="E2749" t="s">
        <v>2749</v>
      </c>
    </row>
    <row r="2750" spans="1:5">
      <c r="A2750">
        <f>HYPERLINK("http://www.twitter.com/NYCParks/status/609452726754349056", "609452726754349056")</f>
        <v>0</v>
      </c>
      <c r="B2750" s="2">
        <v>42167.8405902778</v>
      </c>
      <c r="C2750">
        <v>1</v>
      </c>
      <c r="D2750">
        <v>2</v>
      </c>
      <c r="E2750" t="s">
        <v>2750</v>
      </c>
    </row>
    <row r="2751" spans="1:5">
      <c r="A2751">
        <f>HYPERLINK("http://www.twitter.com/NYCParks/status/609434598293024769", "609434598293024769")</f>
        <v>0</v>
      </c>
      <c r="B2751" s="2">
        <v>42167.7905671296</v>
      </c>
      <c r="C2751">
        <v>9</v>
      </c>
      <c r="D2751">
        <v>8</v>
      </c>
      <c r="E2751" t="s">
        <v>2751</v>
      </c>
    </row>
    <row r="2752" spans="1:5">
      <c r="A2752">
        <f>HYPERLINK("http://www.twitter.com/NYCParks/status/609421064653926400", "609421064653926400")</f>
        <v>0</v>
      </c>
      <c r="B2752" s="2">
        <v>42167.7532175926</v>
      </c>
      <c r="C2752">
        <v>0</v>
      </c>
      <c r="D2752">
        <v>3</v>
      </c>
      <c r="E2752" t="s">
        <v>2752</v>
      </c>
    </row>
    <row r="2753" spans="1:5">
      <c r="A2753">
        <f>HYPERLINK("http://www.twitter.com/NYCParks/status/609405084485730304", "609405084485730304")</f>
        <v>0</v>
      </c>
      <c r="B2753" s="2">
        <v>42167.7091203704</v>
      </c>
      <c r="C2753">
        <v>3</v>
      </c>
      <c r="D2753">
        <v>9</v>
      </c>
      <c r="E2753" t="s">
        <v>2753</v>
      </c>
    </row>
    <row r="2754" spans="1:5">
      <c r="A2754">
        <f>HYPERLINK("http://www.twitter.com/NYCParks/status/609386926861369344", "609386926861369344")</f>
        <v>0</v>
      </c>
      <c r="B2754" s="2">
        <v>42167.6590162037</v>
      </c>
      <c r="C2754">
        <v>2</v>
      </c>
      <c r="D2754">
        <v>5</v>
      </c>
      <c r="E2754" t="s">
        <v>2754</v>
      </c>
    </row>
    <row r="2755" spans="1:5">
      <c r="A2755">
        <f>HYPERLINK("http://www.twitter.com/NYCParks/status/609375953307992064", "609375953307992064")</f>
        <v>0</v>
      </c>
      <c r="B2755" s="2">
        <v>42167.6287384259</v>
      </c>
      <c r="C2755">
        <v>0</v>
      </c>
      <c r="D2755">
        <v>0</v>
      </c>
      <c r="E2755" t="s">
        <v>2755</v>
      </c>
    </row>
    <row r="2756" spans="1:5">
      <c r="A2756">
        <f>HYPERLINK("http://www.twitter.com/NYCParks/status/609368555734343680", "609368555734343680")</f>
        <v>0</v>
      </c>
      <c r="B2756" s="2">
        <v>42167.6083217593</v>
      </c>
      <c r="C2756">
        <v>4</v>
      </c>
      <c r="D2756">
        <v>9</v>
      </c>
      <c r="E2756" t="s">
        <v>2756</v>
      </c>
    </row>
    <row r="2757" spans="1:5">
      <c r="A2757">
        <f>HYPERLINK("http://www.twitter.com/NYCParks/status/609087553816399872", "609087553816399872")</f>
        <v>0</v>
      </c>
      <c r="B2757" s="2">
        <v>42166.8329050926</v>
      </c>
      <c r="C2757">
        <v>49</v>
      </c>
      <c r="D2757">
        <v>39</v>
      </c>
      <c r="E2757" t="s">
        <v>2757</v>
      </c>
    </row>
    <row r="2758" spans="1:5">
      <c r="A2758">
        <f>HYPERLINK("http://www.twitter.com/NYCParks/status/609073428646273024", "609073428646273024")</f>
        <v>0</v>
      </c>
      <c r="B2758" s="2">
        <v>42166.7939351852</v>
      </c>
      <c r="C2758">
        <v>3</v>
      </c>
      <c r="D2758">
        <v>8</v>
      </c>
      <c r="E2758" t="s">
        <v>2758</v>
      </c>
    </row>
    <row r="2759" spans="1:5">
      <c r="A2759">
        <f>HYPERLINK("http://www.twitter.com/NYCParks/status/609054775213174784", "609054775213174784")</f>
        <v>0</v>
      </c>
      <c r="B2759" s="2">
        <v>42166.7424537037</v>
      </c>
      <c r="C2759">
        <v>29</v>
      </c>
      <c r="D2759">
        <v>24</v>
      </c>
      <c r="E2759" t="s">
        <v>2759</v>
      </c>
    </row>
    <row r="2760" spans="1:5">
      <c r="A2760">
        <f>HYPERLINK("http://www.twitter.com/NYCParks/status/609041409849630720", "609041409849630720")</f>
        <v>0</v>
      </c>
      <c r="B2760" s="2">
        <v>42166.7055787037</v>
      </c>
      <c r="C2760">
        <v>6</v>
      </c>
      <c r="D2760">
        <v>7</v>
      </c>
      <c r="E2760" t="s">
        <v>2760</v>
      </c>
    </row>
    <row r="2761" spans="1:5">
      <c r="A2761">
        <f>HYPERLINK("http://www.twitter.com/NYCParks/status/609023100718579712", "609023100718579712")</f>
        <v>0</v>
      </c>
      <c r="B2761" s="2">
        <v>42166.6550462963</v>
      </c>
      <c r="C2761">
        <v>10</v>
      </c>
      <c r="D2761">
        <v>6</v>
      </c>
      <c r="E2761" t="s">
        <v>2761</v>
      </c>
    </row>
    <row r="2762" spans="1:5">
      <c r="A2762">
        <f>HYPERLINK("http://www.twitter.com/NYCParks/status/609009242968891392", "609009242968891392")</f>
        <v>0</v>
      </c>
      <c r="B2762" s="2">
        <v>42166.6168171296</v>
      </c>
      <c r="C2762">
        <v>17</v>
      </c>
      <c r="D2762">
        <v>2</v>
      </c>
      <c r="E2762" t="s">
        <v>2762</v>
      </c>
    </row>
    <row r="2763" spans="1:5">
      <c r="A2763">
        <f>HYPERLINK("http://www.twitter.com/NYCParks/status/609003379327688706", "609003379327688706")</f>
        <v>0</v>
      </c>
      <c r="B2763" s="2">
        <v>42166.6006365741</v>
      </c>
      <c r="C2763">
        <v>1</v>
      </c>
      <c r="D2763">
        <v>0</v>
      </c>
      <c r="E2763" t="s">
        <v>2763</v>
      </c>
    </row>
    <row r="2764" spans="1:5">
      <c r="A2764">
        <f>HYPERLINK("http://www.twitter.com/NYCParks/status/608719550943735808", "608719550943735808")</f>
        <v>0</v>
      </c>
      <c r="B2764" s="2">
        <v>42165.8174189815</v>
      </c>
      <c r="C2764">
        <v>11</v>
      </c>
      <c r="D2764">
        <v>6</v>
      </c>
      <c r="E2764" t="s">
        <v>2764</v>
      </c>
    </row>
    <row r="2765" spans="1:5">
      <c r="A2765">
        <f>HYPERLINK("http://www.twitter.com/NYCParks/status/608707272731193344", "608707272731193344")</f>
        <v>0</v>
      </c>
      <c r="B2765" s="2">
        <v>42165.7835300926</v>
      </c>
      <c r="C2765">
        <v>6</v>
      </c>
      <c r="D2765">
        <v>5</v>
      </c>
      <c r="E2765" t="s">
        <v>2765</v>
      </c>
    </row>
    <row r="2766" spans="1:5">
      <c r="A2766">
        <f>HYPERLINK("http://www.twitter.com/NYCParks/status/608691801130708993", "608691801130708993")</f>
        <v>0</v>
      </c>
      <c r="B2766" s="2">
        <v>42165.7408333333</v>
      </c>
      <c r="C2766">
        <v>40</v>
      </c>
      <c r="D2766">
        <v>20</v>
      </c>
      <c r="E2766" t="s">
        <v>2766</v>
      </c>
    </row>
    <row r="2767" spans="1:5">
      <c r="A2767">
        <f>HYPERLINK("http://www.twitter.com/NYCParks/status/608676698658365443", "608676698658365443")</f>
        <v>0</v>
      </c>
      <c r="B2767" s="2">
        <v>42165.6991666667</v>
      </c>
      <c r="C2767">
        <v>24</v>
      </c>
      <c r="D2767">
        <v>28</v>
      </c>
      <c r="E2767" t="s">
        <v>2767</v>
      </c>
    </row>
    <row r="2768" spans="1:5">
      <c r="A2768">
        <f>HYPERLINK("http://www.twitter.com/NYCParks/status/608660894776741888", "608660894776741888")</f>
        <v>0</v>
      </c>
      <c r="B2768" s="2">
        <v>42165.6555555556</v>
      </c>
      <c r="C2768">
        <v>7</v>
      </c>
      <c r="D2768">
        <v>5</v>
      </c>
      <c r="E2768" t="s">
        <v>2768</v>
      </c>
    </row>
    <row r="2769" spans="1:5">
      <c r="A2769">
        <f>HYPERLINK("http://www.twitter.com/NYCParks/status/608643450360197121", "608643450360197121")</f>
        <v>0</v>
      </c>
      <c r="B2769" s="2">
        <v>42165.6074189815</v>
      </c>
      <c r="C2769">
        <v>26</v>
      </c>
      <c r="D2769">
        <v>19</v>
      </c>
      <c r="E2769" t="s">
        <v>2769</v>
      </c>
    </row>
    <row r="2770" spans="1:5">
      <c r="A2770">
        <f>HYPERLINK("http://www.twitter.com/NYCParks/status/608365115654742016", "608365115654742016")</f>
        <v>0</v>
      </c>
      <c r="B2770" s="2">
        <v>42164.8393634259</v>
      </c>
      <c r="C2770">
        <v>0</v>
      </c>
      <c r="D2770">
        <v>32</v>
      </c>
      <c r="E2770" t="s">
        <v>2770</v>
      </c>
    </row>
    <row r="2771" spans="1:5">
      <c r="A2771">
        <f>HYPERLINK("http://www.twitter.com/NYCParks/status/608351154964176896", "608351154964176896")</f>
        <v>0</v>
      </c>
      <c r="B2771" s="2">
        <v>42164.8008333333</v>
      </c>
      <c r="C2771">
        <v>14</v>
      </c>
      <c r="D2771">
        <v>10</v>
      </c>
      <c r="E2771" t="s">
        <v>2771</v>
      </c>
    </row>
    <row r="2772" spans="1:5">
      <c r="A2772">
        <f>HYPERLINK("http://www.twitter.com/NYCParks/status/608334333636714496", "608334333636714496")</f>
        <v>0</v>
      </c>
      <c r="B2772" s="2">
        <v>42164.7544212963</v>
      </c>
      <c r="C2772">
        <v>4</v>
      </c>
      <c r="D2772">
        <v>5</v>
      </c>
      <c r="E2772" t="s">
        <v>2772</v>
      </c>
    </row>
    <row r="2773" spans="1:5">
      <c r="A2773">
        <f>HYPERLINK("http://www.twitter.com/NYCParks/status/608328183339991040", "608328183339991040")</f>
        <v>0</v>
      </c>
      <c r="B2773" s="2">
        <v>42164.7374421296</v>
      </c>
      <c r="C2773">
        <v>0</v>
      </c>
      <c r="D2773">
        <v>0</v>
      </c>
      <c r="E2773" t="s">
        <v>2773</v>
      </c>
    </row>
    <row r="2774" spans="1:5">
      <c r="A2774">
        <f>HYPERLINK("http://www.twitter.com/NYCParks/status/608317615153545217", "608317615153545217")</f>
        <v>0</v>
      </c>
      <c r="B2774" s="2">
        <v>42164.708287037</v>
      </c>
      <c r="C2774">
        <v>28</v>
      </c>
      <c r="D2774">
        <v>29</v>
      </c>
      <c r="E2774" t="s">
        <v>2774</v>
      </c>
    </row>
    <row r="2775" spans="1:5">
      <c r="A2775">
        <f>HYPERLINK("http://www.twitter.com/NYCParks/status/608300351180181505", "608300351180181505")</f>
        <v>0</v>
      </c>
      <c r="B2775" s="2">
        <v>42164.6606481482</v>
      </c>
      <c r="C2775">
        <v>144</v>
      </c>
      <c r="D2775">
        <v>140</v>
      </c>
      <c r="E2775" t="s">
        <v>2775</v>
      </c>
    </row>
    <row r="2776" spans="1:5">
      <c r="A2776">
        <f>HYPERLINK("http://www.twitter.com/NYCParks/status/608285358309146624", "608285358309146624")</f>
        <v>0</v>
      </c>
      <c r="B2776" s="2">
        <v>42164.6192708333</v>
      </c>
      <c r="C2776">
        <v>11</v>
      </c>
      <c r="D2776">
        <v>4</v>
      </c>
      <c r="E2776" t="s">
        <v>2776</v>
      </c>
    </row>
    <row r="2777" spans="1:5">
      <c r="A2777">
        <f>HYPERLINK("http://www.twitter.com/NYCParks/status/608004703415353344", "608004703415353344")</f>
        <v>0</v>
      </c>
      <c r="B2777" s="2">
        <v>42163.8448148148</v>
      </c>
      <c r="C2777">
        <v>19</v>
      </c>
      <c r="D2777">
        <v>10</v>
      </c>
      <c r="E2777" t="s">
        <v>2777</v>
      </c>
    </row>
    <row r="2778" spans="1:5">
      <c r="A2778">
        <f>HYPERLINK("http://www.twitter.com/NYCParks/status/607993013265178625", "607993013265178625")</f>
        <v>0</v>
      </c>
      <c r="B2778" s="2">
        <v>42163.8125462963</v>
      </c>
      <c r="C2778">
        <v>1</v>
      </c>
      <c r="D2778">
        <v>0</v>
      </c>
      <c r="E2778" t="s">
        <v>2778</v>
      </c>
    </row>
    <row r="2779" spans="1:5">
      <c r="A2779">
        <f>HYPERLINK("http://www.twitter.com/NYCParks/status/607987202216357888", "607987202216357888")</f>
        <v>0</v>
      </c>
      <c r="B2779" s="2">
        <v>42163.7965162037</v>
      </c>
      <c r="C2779">
        <v>112</v>
      </c>
      <c r="D2779">
        <v>110</v>
      </c>
      <c r="E2779" t="s">
        <v>2779</v>
      </c>
    </row>
    <row r="2780" spans="1:5">
      <c r="A2780">
        <f>HYPERLINK("http://www.twitter.com/NYCParks/status/607972497099759617", "607972497099759617")</f>
        <v>0</v>
      </c>
      <c r="B2780" s="2">
        <v>42163.7559375</v>
      </c>
      <c r="C2780">
        <v>11</v>
      </c>
      <c r="D2780">
        <v>6</v>
      </c>
      <c r="E2780" t="s">
        <v>2780</v>
      </c>
    </row>
    <row r="2781" spans="1:5">
      <c r="A2781">
        <f>HYPERLINK("http://www.twitter.com/NYCParks/status/607951085718896640", "607951085718896640")</f>
        <v>0</v>
      </c>
      <c r="B2781" s="2">
        <v>42163.6968518519</v>
      </c>
      <c r="C2781">
        <v>5</v>
      </c>
      <c r="D2781">
        <v>9</v>
      </c>
      <c r="E2781" t="s">
        <v>2781</v>
      </c>
    </row>
    <row r="2782" spans="1:5">
      <c r="A2782">
        <f>HYPERLINK("http://www.twitter.com/NYCParks/status/607936799898484737", "607936799898484737")</f>
        <v>0</v>
      </c>
      <c r="B2782" s="2">
        <v>42163.6574305556</v>
      </c>
      <c r="C2782">
        <v>11</v>
      </c>
      <c r="D2782">
        <v>6</v>
      </c>
      <c r="E2782" t="s">
        <v>2782</v>
      </c>
    </row>
    <row r="2783" spans="1:5">
      <c r="A2783">
        <f>HYPERLINK("http://www.twitter.com/NYCParks/status/607920375167655936", "607920375167655936")</f>
        <v>0</v>
      </c>
      <c r="B2783" s="2">
        <v>42163.6121064815</v>
      </c>
      <c r="C2783">
        <v>9</v>
      </c>
      <c r="D2783">
        <v>3</v>
      </c>
      <c r="E2783" t="s">
        <v>2783</v>
      </c>
    </row>
    <row r="2784" spans="1:5">
      <c r="A2784">
        <f>HYPERLINK("http://www.twitter.com/NYCParks/status/606925160457728000", "606925160457728000")</f>
        <v>0</v>
      </c>
      <c r="B2784" s="2">
        <v>42160.8658449074</v>
      </c>
      <c r="C2784">
        <v>9</v>
      </c>
      <c r="D2784">
        <v>9</v>
      </c>
      <c r="E2784" t="s">
        <v>2784</v>
      </c>
    </row>
    <row r="2785" spans="1:5">
      <c r="A2785">
        <f>HYPERLINK("http://www.twitter.com/NYCParks/status/606905376961908736", "606905376961908736")</f>
        <v>0</v>
      </c>
      <c r="B2785" s="2">
        <v>42160.81125</v>
      </c>
      <c r="C2785">
        <v>23</v>
      </c>
      <c r="D2785">
        <v>24</v>
      </c>
      <c r="E2785" t="s">
        <v>2785</v>
      </c>
    </row>
    <row r="2786" spans="1:5">
      <c r="A2786">
        <f>HYPERLINK("http://www.twitter.com/NYCParks/status/606883334321545216", "606883334321545216")</f>
        <v>0</v>
      </c>
      <c r="B2786" s="2">
        <v>42160.7504166667</v>
      </c>
      <c r="C2786">
        <v>8</v>
      </c>
      <c r="D2786">
        <v>12</v>
      </c>
      <c r="E2786" t="s">
        <v>2786</v>
      </c>
    </row>
    <row r="2787" spans="1:5">
      <c r="A2787">
        <f>HYPERLINK("http://www.twitter.com/NYCParks/status/606868189302112257", "606868189302112257")</f>
        <v>0</v>
      </c>
      <c r="B2787" s="2">
        <v>42160.7086342593</v>
      </c>
      <c r="C2787">
        <v>19</v>
      </c>
      <c r="D2787">
        <v>17</v>
      </c>
      <c r="E2787" t="s">
        <v>2787</v>
      </c>
    </row>
    <row r="2788" spans="1:5">
      <c r="A2788">
        <f>HYPERLINK("http://www.twitter.com/NYCParks/status/606852912279638017", "606852912279638017")</f>
        <v>0</v>
      </c>
      <c r="B2788" s="2">
        <v>42160.6664699074</v>
      </c>
      <c r="C2788">
        <v>17</v>
      </c>
      <c r="D2788">
        <v>19</v>
      </c>
      <c r="E2788" t="s">
        <v>2788</v>
      </c>
    </row>
    <row r="2789" spans="1:5">
      <c r="A2789">
        <f>HYPERLINK("http://www.twitter.com/NYCParks/status/606837756514455552", "606837756514455552")</f>
        <v>0</v>
      </c>
      <c r="B2789" s="2">
        <v>42160.6246527778</v>
      </c>
      <c r="C2789">
        <v>24</v>
      </c>
      <c r="D2789">
        <v>19</v>
      </c>
      <c r="E2789" t="s">
        <v>2789</v>
      </c>
    </row>
    <row r="2790" spans="1:5">
      <c r="A2790">
        <f>HYPERLINK("http://www.twitter.com/NYCParks/status/606550098567262209", "606550098567262209")</f>
        <v>0</v>
      </c>
      <c r="B2790" s="2">
        <v>42159.8308680556</v>
      </c>
      <c r="C2790">
        <v>21</v>
      </c>
      <c r="D2790">
        <v>22</v>
      </c>
      <c r="E2790" t="s">
        <v>2790</v>
      </c>
    </row>
    <row r="2791" spans="1:5">
      <c r="A2791">
        <f>HYPERLINK("http://www.twitter.com/NYCParks/status/606532519496970241", "606532519496970241")</f>
        <v>0</v>
      </c>
      <c r="B2791" s="2">
        <v>42159.7823611111</v>
      </c>
      <c r="C2791">
        <v>13</v>
      </c>
      <c r="D2791">
        <v>11</v>
      </c>
      <c r="E2791" t="s">
        <v>2791</v>
      </c>
    </row>
    <row r="2792" spans="1:5">
      <c r="A2792">
        <f>HYPERLINK("http://www.twitter.com/NYCParks/status/606516234792902656", "606516234792902656")</f>
        <v>0</v>
      </c>
      <c r="B2792" s="2">
        <v>42159.7374189815</v>
      </c>
      <c r="C2792">
        <v>12</v>
      </c>
      <c r="D2792">
        <v>16</v>
      </c>
      <c r="E2792" t="s">
        <v>2792</v>
      </c>
    </row>
    <row r="2793" spans="1:5">
      <c r="A2793">
        <f>HYPERLINK("http://www.twitter.com/NYCParks/status/606497273653116928", "606497273653116928")</f>
        <v>0</v>
      </c>
      <c r="B2793" s="2">
        <v>42159.6850925926</v>
      </c>
      <c r="C2793">
        <v>23</v>
      </c>
      <c r="D2793">
        <v>25</v>
      </c>
      <c r="E2793" t="s">
        <v>2793</v>
      </c>
    </row>
    <row r="2794" spans="1:5">
      <c r="A2794">
        <f>HYPERLINK("http://www.twitter.com/NYCParks/status/606475555307978753", "606475555307978753")</f>
        <v>0</v>
      </c>
      <c r="B2794" s="2">
        <v>42159.625162037</v>
      </c>
      <c r="C2794">
        <v>16</v>
      </c>
      <c r="D2794">
        <v>12</v>
      </c>
      <c r="E2794" t="s">
        <v>2794</v>
      </c>
    </row>
    <row r="2795" spans="1:5">
      <c r="A2795">
        <f>HYPERLINK("http://www.twitter.com/NYCParks/status/606459206762414080", "606459206762414080")</f>
        <v>0</v>
      </c>
      <c r="B2795" s="2">
        <v>42159.5800578704</v>
      </c>
      <c r="C2795">
        <v>0</v>
      </c>
      <c r="D2795">
        <v>10</v>
      </c>
      <c r="E2795" t="s">
        <v>2795</v>
      </c>
    </row>
    <row r="2796" spans="1:5">
      <c r="A2796">
        <f>HYPERLINK("http://www.twitter.com/NYCParks/status/606446149579456514", "606446149579456514")</f>
        <v>0</v>
      </c>
      <c r="B2796" s="2">
        <v>42159.5440162037</v>
      </c>
      <c r="C2796">
        <v>31</v>
      </c>
      <c r="D2796">
        <v>9</v>
      </c>
      <c r="E2796" t="s">
        <v>2796</v>
      </c>
    </row>
    <row r="2797" spans="1:5">
      <c r="A2797">
        <f>HYPERLINK("http://www.twitter.com/NYCParks/status/606202961614782464", "606202961614782464")</f>
        <v>0</v>
      </c>
      <c r="B2797" s="2">
        <v>42158.8729513889</v>
      </c>
      <c r="C2797">
        <v>15</v>
      </c>
      <c r="D2797">
        <v>9</v>
      </c>
      <c r="E2797" t="s">
        <v>2797</v>
      </c>
    </row>
    <row r="2798" spans="1:5">
      <c r="A2798">
        <f>HYPERLINK("http://www.twitter.com/NYCParks/status/606187449673515009", "606187449673515009")</f>
        <v>0</v>
      </c>
      <c r="B2798" s="2">
        <v>42158.830150463</v>
      </c>
      <c r="C2798">
        <v>16</v>
      </c>
      <c r="D2798">
        <v>6</v>
      </c>
      <c r="E2798" t="s">
        <v>2798</v>
      </c>
    </row>
    <row r="2799" spans="1:5">
      <c r="A2799">
        <f>HYPERLINK("http://www.twitter.com/NYCParks/status/606163636260847616", "606163636260847616")</f>
        <v>0</v>
      </c>
      <c r="B2799" s="2">
        <v>42158.7644328704</v>
      </c>
      <c r="C2799">
        <v>9</v>
      </c>
      <c r="D2799">
        <v>2</v>
      </c>
      <c r="E2799" t="s">
        <v>2799</v>
      </c>
    </row>
    <row r="2800" spans="1:5">
      <c r="A2800">
        <f>HYPERLINK("http://www.twitter.com/NYCParks/status/606147947756191744", "606147947756191744")</f>
        <v>0</v>
      </c>
      <c r="B2800" s="2">
        <v>42158.7211458333</v>
      </c>
      <c r="C2800">
        <v>15</v>
      </c>
      <c r="D2800">
        <v>6</v>
      </c>
      <c r="E2800" t="s">
        <v>2800</v>
      </c>
    </row>
    <row r="2801" spans="1:5">
      <c r="A2801">
        <f>HYPERLINK("http://www.twitter.com/NYCParks/status/606132028384387072", "606132028384387072")</f>
        <v>0</v>
      </c>
      <c r="B2801" s="2">
        <v>42158.6772106482</v>
      </c>
      <c r="C2801">
        <v>13</v>
      </c>
      <c r="D2801">
        <v>7</v>
      </c>
      <c r="E2801" t="s">
        <v>2801</v>
      </c>
    </row>
    <row r="2802" spans="1:5">
      <c r="A2802">
        <f>HYPERLINK("http://www.twitter.com/NYCParks/status/606116768504025088", "606116768504025088")</f>
        <v>0</v>
      </c>
      <c r="B2802" s="2">
        <v>42158.6351041667</v>
      </c>
      <c r="C2802">
        <v>18</v>
      </c>
      <c r="D2802">
        <v>17</v>
      </c>
      <c r="E2802" t="s">
        <v>2802</v>
      </c>
    </row>
    <row r="2803" spans="1:5">
      <c r="A2803">
        <f>HYPERLINK("http://www.twitter.com/NYCParks/status/605822280577318912", "605822280577318912")</f>
        <v>0</v>
      </c>
      <c r="B2803" s="2">
        <v>42157.8224652778</v>
      </c>
      <c r="C2803">
        <v>0</v>
      </c>
      <c r="D2803">
        <v>1</v>
      </c>
      <c r="E2803" t="s">
        <v>2803</v>
      </c>
    </row>
    <row r="2804" spans="1:5">
      <c r="A2804">
        <f>HYPERLINK("http://www.twitter.com/NYCParks/status/605816950229319681", "605816950229319681")</f>
        <v>0</v>
      </c>
      <c r="B2804" s="2">
        <v>42157.8077662037</v>
      </c>
      <c r="C2804">
        <v>3</v>
      </c>
      <c r="D2804">
        <v>4</v>
      </c>
      <c r="E2804" t="s">
        <v>2804</v>
      </c>
    </row>
    <row r="2805" spans="1:5">
      <c r="A2805">
        <f>HYPERLINK("http://www.twitter.com/NYCParks/status/605801668907655170", "605801668907655170")</f>
        <v>0</v>
      </c>
      <c r="B2805" s="2">
        <v>42157.7655902778</v>
      </c>
      <c r="C2805">
        <v>0</v>
      </c>
      <c r="D2805">
        <v>0</v>
      </c>
      <c r="E2805" t="s">
        <v>2805</v>
      </c>
    </row>
    <row r="2806" spans="1:5">
      <c r="A2806">
        <f>HYPERLINK("http://www.twitter.com/NYCParks/status/605797765516369921", "605797765516369921")</f>
        <v>0</v>
      </c>
      <c r="B2806" s="2">
        <v>42157.7548263889</v>
      </c>
      <c r="C2806">
        <v>17</v>
      </c>
      <c r="D2806">
        <v>12</v>
      </c>
      <c r="E2806" t="s">
        <v>2806</v>
      </c>
    </row>
    <row r="2807" spans="1:5">
      <c r="A2807">
        <f>HYPERLINK("http://www.twitter.com/NYCParks/status/605783396254519297", "605783396254519297")</f>
        <v>0</v>
      </c>
      <c r="B2807" s="2">
        <v>42157.7151736111</v>
      </c>
      <c r="C2807">
        <v>16</v>
      </c>
      <c r="D2807">
        <v>11</v>
      </c>
      <c r="E2807" t="s">
        <v>2807</v>
      </c>
    </row>
    <row r="2808" spans="1:5">
      <c r="A2808">
        <f>HYPERLINK("http://www.twitter.com/NYCParks/status/605763151489998848", "605763151489998848")</f>
        <v>0</v>
      </c>
      <c r="B2808" s="2">
        <v>42157.6593055556</v>
      </c>
      <c r="C2808">
        <v>6</v>
      </c>
      <c r="D2808">
        <v>6</v>
      </c>
      <c r="E2808" t="s">
        <v>2808</v>
      </c>
    </row>
    <row r="2809" spans="1:5">
      <c r="A2809">
        <f>HYPERLINK("http://www.twitter.com/NYCParks/status/605748082148536320", "605748082148536320")</f>
        <v>0</v>
      </c>
      <c r="B2809" s="2">
        <v>42157.6177199074</v>
      </c>
      <c r="C2809">
        <v>23</v>
      </c>
      <c r="D2809">
        <v>24</v>
      </c>
      <c r="E2809" t="s">
        <v>2809</v>
      </c>
    </row>
    <row r="2810" spans="1:5">
      <c r="A2810">
        <f>HYPERLINK("http://www.twitter.com/NYCParks/status/605494244665663489", "605494244665663489")</f>
        <v>0</v>
      </c>
      <c r="B2810" s="2">
        <v>42156.9172685185</v>
      </c>
      <c r="C2810">
        <v>1</v>
      </c>
      <c r="D2810">
        <v>0</v>
      </c>
      <c r="E2810" t="s">
        <v>2810</v>
      </c>
    </row>
    <row r="2811" spans="1:5">
      <c r="A2811">
        <f>HYPERLINK("http://www.twitter.com/NYCParks/status/605469810420527105", "605469810420527105")</f>
        <v>0</v>
      </c>
      <c r="B2811" s="2">
        <v>42156.849837963</v>
      </c>
      <c r="C2811">
        <v>2</v>
      </c>
      <c r="D2811">
        <v>1</v>
      </c>
      <c r="E2811" t="s">
        <v>2811</v>
      </c>
    </row>
    <row r="2812" spans="1:5">
      <c r="A2812">
        <f>HYPERLINK("http://www.twitter.com/NYCParks/status/605466787824697344", "605466787824697344")</f>
        <v>0</v>
      </c>
      <c r="B2812" s="2">
        <v>42156.8414930556</v>
      </c>
      <c r="C2812">
        <v>10</v>
      </c>
      <c r="D2812">
        <v>4</v>
      </c>
      <c r="E2812" t="s">
        <v>2812</v>
      </c>
    </row>
    <row r="2813" spans="1:5">
      <c r="A2813">
        <f>HYPERLINK("http://www.twitter.com/NYCParks/status/605453716053991424", "605453716053991424")</f>
        <v>0</v>
      </c>
      <c r="B2813" s="2">
        <v>42156.8054282407</v>
      </c>
      <c r="C2813">
        <v>17</v>
      </c>
      <c r="D2813">
        <v>8</v>
      </c>
      <c r="E2813" t="s">
        <v>2813</v>
      </c>
    </row>
    <row r="2814" spans="1:5">
      <c r="A2814">
        <f>HYPERLINK("http://www.twitter.com/NYCParks/status/605437379663540224", "605437379663540224")</f>
        <v>0</v>
      </c>
      <c r="B2814" s="2">
        <v>42156.7603472222</v>
      </c>
      <c r="C2814">
        <v>17</v>
      </c>
      <c r="D2814">
        <v>12</v>
      </c>
      <c r="E2814" t="s">
        <v>2814</v>
      </c>
    </row>
    <row r="2815" spans="1:5">
      <c r="A2815">
        <f>HYPERLINK("http://www.twitter.com/NYCParks/status/605415655832231936", "605415655832231936")</f>
        <v>0</v>
      </c>
      <c r="B2815" s="2">
        <v>42156.7004050926</v>
      </c>
      <c r="C2815">
        <v>12</v>
      </c>
      <c r="D2815">
        <v>12</v>
      </c>
      <c r="E2815" t="s">
        <v>2815</v>
      </c>
    </row>
    <row r="2816" spans="1:5">
      <c r="A2816">
        <f>HYPERLINK("http://www.twitter.com/NYCParks/status/605399129737601024", "605399129737601024")</f>
        <v>0</v>
      </c>
      <c r="B2816" s="2">
        <v>42156.6547916667</v>
      </c>
      <c r="C2816">
        <v>19</v>
      </c>
      <c r="D2816">
        <v>15</v>
      </c>
      <c r="E2816" t="s">
        <v>2816</v>
      </c>
    </row>
    <row r="2817" spans="1:5">
      <c r="A2817">
        <f>HYPERLINK("http://www.twitter.com/NYCParks/status/605385630714052608", "605385630714052608")</f>
        <v>0</v>
      </c>
      <c r="B2817" s="2">
        <v>42156.6175462963</v>
      </c>
      <c r="C2817">
        <v>9</v>
      </c>
      <c r="D2817">
        <v>18</v>
      </c>
      <c r="E2817" t="s">
        <v>2817</v>
      </c>
    </row>
    <row r="2818" spans="1:5">
      <c r="A2818">
        <f>HYPERLINK("http://www.twitter.com/NYCParks/status/605131560996732930", "605131560996732930")</f>
        <v>0</v>
      </c>
      <c r="B2818" s="2">
        <v>42155.9164467593</v>
      </c>
      <c r="C2818">
        <v>0</v>
      </c>
      <c r="D2818">
        <v>46</v>
      </c>
      <c r="E2818" t="s">
        <v>2818</v>
      </c>
    </row>
    <row r="2819" spans="1:5">
      <c r="A2819">
        <f>HYPERLINK("http://www.twitter.com/NYCParks/status/604364902900322305", "604364902900322305")</f>
        <v>0</v>
      </c>
      <c r="B2819" s="2">
        <v>42153.8008796296</v>
      </c>
      <c r="C2819">
        <v>15</v>
      </c>
      <c r="D2819">
        <v>18</v>
      </c>
      <c r="E2819" t="s">
        <v>2819</v>
      </c>
    </row>
    <row r="2820" spans="1:5">
      <c r="A2820">
        <f>HYPERLINK("http://www.twitter.com/NYCParks/status/604348460301733889", "604348460301733889")</f>
        <v>0</v>
      </c>
      <c r="B2820" s="2">
        <v>42153.7554976852</v>
      </c>
      <c r="C2820">
        <v>18</v>
      </c>
      <c r="D2820">
        <v>11</v>
      </c>
      <c r="E2820" t="s">
        <v>2820</v>
      </c>
    </row>
    <row r="2821" spans="1:5">
      <c r="A2821">
        <f>HYPERLINK("http://www.twitter.com/NYCParks/status/604331987604750336", "604331987604750336")</f>
        <v>0</v>
      </c>
      <c r="B2821" s="2">
        <v>42153.7100462963</v>
      </c>
      <c r="C2821">
        <v>0</v>
      </c>
      <c r="D2821">
        <v>24</v>
      </c>
      <c r="E2821" t="s">
        <v>2821</v>
      </c>
    </row>
    <row r="2822" spans="1:5">
      <c r="A2822">
        <f>HYPERLINK("http://www.twitter.com/NYCParks/status/604317328466145280", "604317328466145280")</f>
        <v>0</v>
      </c>
      <c r="B2822" s="2">
        <v>42153.6695949074</v>
      </c>
      <c r="C2822">
        <v>7</v>
      </c>
      <c r="D2822">
        <v>2</v>
      </c>
      <c r="E2822" t="s">
        <v>2822</v>
      </c>
    </row>
    <row r="2823" spans="1:5">
      <c r="A2823">
        <f>HYPERLINK("http://www.twitter.com/NYCParks/status/604315492615098370", "604315492615098370")</f>
        <v>0</v>
      </c>
      <c r="B2823" s="2">
        <v>42153.664525463</v>
      </c>
      <c r="C2823">
        <v>2</v>
      </c>
      <c r="D2823">
        <v>2</v>
      </c>
      <c r="E2823" t="s">
        <v>2823</v>
      </c>
    </row>
    <row r="2824" spans="1:5">
      <c r="A2824">
        <f>HYPERLINK("http://www.twitter.com/NYCParks/status/604300473110241280", "604300473110241280")</f>
        <v>0</v>
      </c>
      <c r="B2824" s="2">
        <v>42153.6230787037</v>
      </c>
      <c r="C2824">
        <v>11</v>
      </c>
      <c r="D2824">
        <v>15</v>
      </c>
      <c r="E2824" t="s">
        <v>2824</v>
      </c>
    </row>
    <row r="2825" spans="1:5">
      <c r="A2825">
        <f>HYPERLINK("http://www.twitter.com/NYCParks/status/604296820852953088", "604296820852953088")</f>
        <v>0</v>
      </c>
      <c r="B2825" s="2">
        <v>42153.6130092593</v>
      </c>
      <c r="C2825">
        <v>0</v>
      </c>
      <c r="D2825">
        <v>0</v>
      </c>
      <c r="E2825" t="s">
        <v>2825</v>
      </c>
    </row>
    <row r="2826" spans="1:5">
      <c r="A2826">
        <f>HYPERLINK("http://www.twitter.com/NYCParks/status/604010560636739584", "604010560636739584")</f>
        <v>0</v>
      </c>
      <c r="B2826" s="2">
        <v>42152.8230787037</v>
      </c>
      <c r="C2826">
        <v>13</v>
      </c>
      <c r="D2826">
        <v>13</v>
      </c>
      <c r="E2826" t="s">
        <v>2826</v>
      </c>
    </row>
    <row r="2827" spans="1:5">
      <c r="A2827">
        <f>HYPERLINK("http://www.twitter.com/NYCParks/status/603992563868147712", "603992563868147712")</f>
        <v>0</v>
      </c>
      <c r="B2827" s="2">
        <v>42152.7734143519</v>
      </c>
      <c r="C2827">
        <v>39</v>
      </c>
      <c r="D2827">
        <v>30</v>
      </c>
      <c r="E2827" t="s">
        <v>2827</v>
      </c>
    </row>
    <row r="2828" spans="1:5">
      <c r="A2828">
        <f>HYPERLINK("http://www.twitter.com/NYCParks/status/603981689862365184", "603981689862365184")</f>
        <v>0</v>
      </c>
      <c r="B2828" s="2">
        <v>42152.7434027778</v>
      </c>
      <c r="C2828">
        <v>12</v>
      </c>
      <c r="D2828">
        <v>5</v>
      </c>
      <c r="E2828" t="s">
        <v>2828</v>
      </c>
    </row>
    <row r="2829" spans="1:5">
      <c r="A2829">
        <f>HYPERLINK("http://www.twitter.com/NYCParks/status/603965062768889857", "603965062768889857")</f>
        <v>0</v>
      </c>
      <c r="B2829" s="2">
        <v>42152.6975231481</v>
      </c>
      <c r="C2829">
        <v>16</v>
      </c>
      <c r="D2829">
        <v>13</v>
      </c>
      <c r="E2829" t="s">
        <v>2829</v>
      </c>
    </row>
    <row r="2830" spans="1:5">
      <c r="A2830">
        <f>HYPERLINK("http://www.twitter.com/NYCParks/status/603950423662288896", "603950423662288896")</f>
        <v>0</v>
      </c>
      <c r="B2830" s="2">
        <v>42152.6571296296</v>
      </c>
      <c r="C2830">
        <v>22</v>
      </c>
      <c r="D2830">
        <v>16</v>
      </c>
      <c r="E2830" t="s">
        <v>2830</v>
      </c>
    </row>
    <row r="2831" spans="1:5">
      <c r="A2831">
        <f>HYPERLINK("http://www.twitter.com/NYCParks/status/603936244725325824", "603936244725325824")</f>
        <v>0</v>
      </c>
      <c r="B2831" s="2">
        <v>42152.6179976852</v>
      </c>
      <c r="C2831">
        <v>18</v>
      </c>
      <c r="D2831">
        <v>17</v>
      </c>
      <c r="E2831" t="s">
        <v>2831</v>
      </c>
    </row>
    <row r="2832" spans="1:5">
      <c r="A2832">
        <f>HYPERLINK("http://www.twitter.com/NYCParks/status/603652643802783744", "603652643802783744")</f>
        <v>0</v>
      </c>
      <c r="B2832" s="2">
        <v>42151.8354166667</v>
      </c>
      <c r="C2832">
        <v>6</v>
      </c>
      <c r="D2832">
        <v>0</v>
      </c>
      <c r="E2832" t="s">
        <v>2832</v>
      </c>
    </row>
    <row r="2833" spans="1:5">
      <c r="A2833">
        <f>HYPERLINK("http://www.twitter.com/NYCParks/status/603637810906673152", "603637810906673152")</f>
        <v>0</v>
      </c>
      <c r="B2833" s="2">
        <v>42151.7944791667</v>
      </c>
      <c r="C2833">
        <v>8</v>
      </c>
      <c r="D2833">
        <v>7</v>
      </c>
      <c r="E2833" t="s">
        <v>2833</v>
      </c>
    </row>
    <row r="2834" spans="1:5">
      <c r="A2834">
        <f>HYPERLINK("http://www.twitter.com/NYCParks/status/603620840110960641", "603620840110960641")</f>
        <v>0</v>
      </c>
      <c r="B2834" s="2">
        <v>42151.747650463</v>
      </c>
      <c r="C2834">
        <v>0</v>
      </c>
      <c r="D2834">
        <v>55</v>
      </c>
      <c r="E2834" t="s">
        <v>2834</v>
      </c>
    </row>
    <row r="2835" spans="1:5">
      <c r="A2835">
        <f>HYPERLINK("http://www.twitter.com/NYCParks/status/603618837779603456", "603618837779603456")</f>
        <v>0</v>
      </c>
      <c r="B2835" s="2">
        <v>42151.7421296296</v>
      </c>
      <c r="C2835">
        <v>0</v>
      </c>
      <c r="D2835">
        <v>0</v>
      </c>
      <c r="E2835" t="s">
        <v>2835</v>
      </c>
    </row>
    <row r="2836" spans="1:5">
      <c r="A2836">
        <f>HYPERLINK("http://www.twitter.com/NYCParks/status/603614286741667841", "603614286741667841")</f>
        <v>0</v>
      </c>
      <c r="B2836" s="2">
        <v>42151.7295717593</v>
      </c>
      <c r="C2836">
        <v>0</v>
      </c>
      <c r="D2836">
        <v>0</v>
      </c>
      <c r="E2836" t="s">
        <v>2836</v>
      </c>
    </row>
    <row r="2837" spans="1:5">
      <c r="A2837">
        <f>HYPERLINK("http://www.twitter.com/NYCParks/status/603604651615899648", "603604651615899648")</f>
        <v>0</v>
      </c>
      <c r="B2837" s="2">
        <v>42151.7029861111</v>
      </c>
      <c r="C2837">
        <v>7</v>
      </c>
      <c r="D2837">
        <v>11</v>
      </c>
      <c r="E2837" t="s">
        <v>2837</v>
      </c>
    </row>
    <row r="2838" spans="1:5">
      <c r="A2838">
        <f>HYPERLINK("http://www.twitter.com/NYCParks/status/603589177398194176", "603589177398194176")</f>
        <v>0</v>
      </c>
      <c r="B2838" s="2">
        <v>42151.6602777778</v>
      </c>
      <c r="C2838">
        <v>1</v>
      </c>
      <c r="D2838">
        <v>4</v>
      </c>
      <c r="E2838" t="s">
        <v>2838</v>
      </c>
    </row>
    <row r="2839" spans="1:5">
      <c r="A2839">
        <f>HYPERLINK("http://www.twitter.com/NYCParks/status/603573586868236288", "603573586868236288")</f>
        <v>0</v>
      </c>
      <c r="B2839" s="2">
        <v>42151.6172569444</v>
      </c>
      <c r="C2839">
        <v>16</v>
      </c>
      <c r="D2839">
        <v>9</v>
      </c>
      <c r="E2839" t="s">
        <v>2839</v>
      </c>
    </row>
    <row r="2840" spans="1:5">
      <c r="A2840">
        <f>HYPERLINK("http://www.twitter.com/NYCParks/status/603294806387851265", "603294806387851265")</f>
        <v>0</v>
      </c>
      <c r="B2840" s="2">
        <v>42150.847974537</v>
      </c>
      <c r="C2840">
        <v>21</v>
      </c>
      <c r="D2840">
        <v>10</v>
      </c>
      <c r="E2840" t="s">
        <v>2840</v>
      </c>
    </row>
    <row r="2841" spans="1:5">
      <c r="A2841">
        <f>HYPERLINK("http://www.twitter.com/NYCParks/status/603277491873153024", "603277491873153024")</f>
        <v>0</v>
      </c>
      <c r="B2841" s="2">
        <v>42150.8001967593</v>
      </c>
      <c r="C2841">
        <v>3</v>
      </c>
      <c r="D2841">
        <v>4</v>
      </c>
      <c r="E2841" t="s">
        <v>2841</v>
      </c>
    </row>
    <row r="2842" spans="1:5">
      <c r="A2842">
        <f>HYPERLINK("http://www.twitter.com/NYCParks/status/603260868424523776", "603260868424523776")</f>
        <v>0</v>
      </c>
      <c r="B2842" s="2">
        <v>42150.7543171296</v>
      </c>
      <c r="C2842">
        <v>13</v>
      </c>
      <c r="D2842">
        <v>8</v>
      </c>
      <c r="E2842" t="s">
        <v>2842</v>
      </c>
    </row>
    <row r="2843" spans="1:5">
      <c r="A2843">
        <f>HYPERLINK("http://www.twitter.com/NYCParks/status/603243081002053632", "603243081002053632")</f>
        <v>0</v>
      </c>
      <c r="B2843" s="2">
        <v>42150.7052314815</v>
      </c>
      <c r="C2843">
        <v>13</v>
      </c>
      <c r="D2843">
        <v>8</v>
      </c>
      <c r="E2843" t="s">
        <v>2843</v>
      </c>
    </row>
    <row r="2844" spans="1:5">
      <c r="A2844">
        <f>HYPERLINK("http://www.twitter.com/NYCParks/status/603230293416407040", "603230293416407040")</f>
        <v>0</v>
      </c>
      <c r="B2844" s="2">
        <v>42150.6699537037</v>
      </c>
      <c r="C2844">
        <v>10</v>
      </c>
      <c r="D2844">
        <v>2</v>
      </c>
      <c r="E2844" t="s">
        <v>2844</v>
      </c>
    </row>
    <row r="2845" spans="1:5">
      <c r="A2845">
        <f>HYPERLINK("http://www.twitter.com/NYCParks/status/603218048904990720", "603218048904990720")</f>
        <v>0</v>
      </c>
      <c r="B2845" s="2">
        <v>42150.6361574074</v>
      </c>
      <c r="C2845">
        <v>17</v>
      </c>
      <c r="D2845">
        <v>22</v>
      </c>
      <c r="E2845" t="s">
        <v>2845</v>
      </c>
    </row>
    <row r="2846" spans="1:5">
      <c r="A2846">
        <f>HYPERLINK("http://www.twitter.com/NYCParks/status/603209274215530497", "603209274215530497")</f>
        <v>0</v>
      </c>
      <c r="B2846" s="2">
        <v>42150.6119444444</v>
      </c>
      <c r="C2846">
        <v>0</v>
      </c>
      <c r="D2846">
        <v>0</v>
      </c>
      <c r="E2846" t="s">
        <v>2846</v>
      </c>
    </row>
    <row r="2847" spans="1:5">
      <c r="A2847">
        <f>HYPERLINK("http://www.twitter.com/NYCParks/status/602119543000059904", "602119543000059904")</f>
        <v>0</v>
      </c>
      <c r="B2847" s="2">
        <v>42147.6048611111</v>
      </c>
      <c r="C2847">
        <v>87</v>
      </c>
      <c r="D2847">
        <v>80</v>
      </c>
      <c r="E2847" t="s">
        <v>2847</v>
      </c>
    </row>
    <row r="2848" spans="1:5">
      <c r="A2848">
        <f>HYPERLINK("http://www.twitter.com/NYCParks/status/602112796285894656", "602112796285894656")</f>
        <v>0</v>
      </c>
      <c r="B2848" s="2">
        <v>42147.58625</v>
      </c>
      <c r="C2848">
        <v>6</v>
      </c>
      <c r="D2848">
        <v>7</v>
      </c>
      <c r="E2848" t="s">
        <v>2848</v>
      </c>
    </row>
    <row r="2849" spans="1:5">
      <c r="A2849">
        <f>HYPERLINK("http://www.twitter.com/NYCParks/status/601853433239461888", "601853433239461888")</f>
        <v>0</v>
      </c>
      <c r="B2849" s="2">
        <v>42146.8705439815</v>
      </c>
      <c r="C2849">
        <v>0</v>
      </c>
      <c r="D2849">
        <v>5</v>
      </c>
      <c r="E2849" t="s">
        <v>2849</v>
      </c>
    </row>
    <row r="2850" spans="1:5">
      <c r="A2850">
        <f>HYPERLINK("http://www.twitter.com/NYCParks/status/601835654692139008", "601835654692139008")</f>
        <v>0</v>
      </c>
      <c r="B2850" s="2">
        <v>42146.8214814815</v>
      </c>
      <c r="C2850">
        <v>0</v>
      </c>
      <c r="D2850">
        <v>12</v>
      </c>
      <c r="E2850" t="s">
        <v>2850</v>
      </c>
    </row>
    <row r="2851" spans="1:5">
      <c r="A2851">
        <f>HYPERLINK("http://www.twitter.com/NYCParks/status/601822205031403522", "601822205031403522")</f>
        <v>0</v>
      </c>
      <c r="B2851" s="2">
        <v>42146.7843634259</v>
      </c>
      <c r="C2851">
        <v>17</v>
      </c>
      <c r="D2851">
        <v>6</v>
      </c>
      <c r="E2851" t="s">
        <v>2851</v>
      </c>
    </row>
    <row r="2852" spans="1:5">
      <c r="A2852">
        <f>HYPERLINK("http://www.twitter.com/NYCParks/status/601803895002791936", "601803895002791936")</f>
        <v>0</v>
      </c>
      <c r="B2852" s="2">
        <v>42146.7338425926</v>
      </c>
      <c r="C2852">
        <v>25</v>
      </c>
      <c r="D2852">
        <v>16</v>
      </c>
      <c r="E2852" t="s">
        <v>2852</v>
      </c>
    </row>
    <row r="2853" spans="1:5">
      <c r="A2853">
        <f>HYPERLINK("http://www.twitter.com/NYCParks/status/601788455165796352", "601788455165796352")</f>
        <v>0</v>
      </c>
      <c r="B2853" s="2">
        <v>42146.6912384259</v>
      </c>
      <c r="C2853">
        <v>16</v>
      </c>
      <c r="D2853">
        <v>9</v>
      </c>
      <c r="E2853" t="s">
        <v>2853</v>
      </c>
    </row>
    <row r="2854" spans="1:5">
      <c r="A2854">
        <f>HYPERLINK("http://www.twitter.com/NYCParks/status/601770193468203009", "601770193468203009")</f>
        <v>0</v>
      </c>
      <c r="B2854" s="2">
        <v>42146.6408449074</v>
      </c>
      <c r="C2854">
        <v>6</v>
      </c>
      <c r="D2854">
        <v>4</v>
      </c>
      <c r="E2854" t="s">
        <v>2854</v>
      </c>
    </row>
    <row r="2855" spans="1:5">
      <c r="A2855">
        <f>HYPERLINK("http://www.twitter.com/NYCParks/status/601752906333818882", "601752906333818882")</f>
        <v>0</v>
      </c>
      <c r="B2855" s="2">
        <v>42146.5931365741</v>
      </c>
      <c r="C2855">
        <v>19</v>
      </c>
      <c r="D2855">
        <v>16</v>
      </c>
      <c r="E2855" t="s">
        <v>2855</v>
      </c>
    </row>
    <row r="2856" spans="1:5">
      <c r="A2856">
        <f>HYPERLINK("http://www.twitter.com/NYCParks/status/601466331993518082", "601466331993518082")</f>
        <v>0</v>
      </c>
      <c r="B2856" s="2">
        <v>42145.802337963</v>
      </c>
      <c r="C2856">
        <v>25</v>
      </c>
      <c r="D2856">
        <v>22</v>
      </c>
      <c r="E2856" t="s">
        <v>2856</v>
      </c>
    </row>
    <row r="2857" spans="1:5">
      <c r="A2857">
        <f>HYPERLINK("http://www.twitter.com/NYCParks/status/601451526515658752", "601451526515658752")</f>
        <v>0</v>
      </c>
      <c r="B2857" s="2">
        <v>42145.7614930556</v>
      </c>
      <c r="C2857">
        <v>12</v>
      </c>
      <c r="D2857">
        <v>7</v>
      </c>
      <c r="E2857" t="s">
        <v>2857</v>
      </c>
    </row>
    <row r="2858" spans="1:5">
      <c r="A2858">
        <f>HYPERLINK("http://www.twitter.com/NYCParks/status/601447171553034240", "601447171553034240")</f>
        <v>0</v>
      </c>
      <c r="B2858" s="2">
        <v>42145.7494675926</v>
      </c>
      <c r="C2858">
        <v>0</v>
      </c>
      <c r="D2858">
        <v>0</v>
      </c>
      <c r="E2858" t="s">
        <v>2858</v>
      </c>
    </row>
    <row r="2859" spans="1:5">
      <c r="A2859">
        <f>HYPERLINK("http://www.twitter.com/NYCParks/status/601432972617723904", "601432972617723904")</f>
        <v>0</v>
      </c>
      <c r="B2859" s="2">
        <v>42145.7102893519</v>
      </c>
      <c r="C2859">
        <v>5</v>
      </c>
      <c r="D2859">
        <v>2</v>
      </c>
      <c r="E2859" t="s">
        <v>2859</v>
      </c>
    </row>
    <row r="2860" spans="1:5">
      <c r="A2860">
        <f>HYPERLINK("http://www.twitter.com/NYCParks/status/601415993982869504", "601415993982869504")</f>
        <v>0</v>
      </c>
      <c r="B2860" s="2">
        <v>42145.6634375</v>
      </c>
      <c r="C2860">
        <v>8</v>
      </c>
      <c r="D2860">
        <v>10</v>
      </c>
      <c r="E2860" t="s">
        <v>2860</v>
      </c>
    </row>
    <row r="2861" spans="1:5">
      <c r="A2861">
        <f>HYPERLINK("http://www.twitter.com/NYCParks/status/601402464382930944", "601402464382930944")</f>
        <v>0</v>
      </c>
      <c r="B2861" s="2">
        <v>42145.626099537</v>
      </c>
      <c r="C2861">
        <v>6</v>
      </c>
      <c r="D2861">
        <v>6</v>
      </c>
      <c r="E2861" t="s">
        <v>2861</v>
      </c>
    </row>
    <row r="2862" spans="1:5">
      <c r="A2862">
        <f>HYPERLINK("http://www.twitter.com/NYCParks/status/601140774869323776", "601140774869323776")</f>
        <v>0</v>
      </c>
      <c r="B2862" s="2">
        <v>42144.9039814815</v>
      </c>
      <c r="C2862">
        <v>18</v>
      </c>
      <c r="D2862">
        <v>7</v>
      </c>
      <c r="E2862" t="s">
        <v>2862</v>
      </c>
    </row>
    <row r="2863" spans="1:5">
      <c r="A2863">
        <f>HYPERLINK("http://www.twitter.com/NYCParks/status/601126790141243393", "601126790141243393")</f>
        <v>0</v>
      </c>
      <c r="B2863" s="2">
        <v>42144.8653819444</v>
      </c>
      <c r="C2863">
        <v>0</v>
      </c>
      <c r="D2863">
        <v>0</v>
      </c>
      <c r="E2863" t="s">
        <v>2863</v>
      </c>
    </row>
    <row r="2864" spans="1:5">
      <c r="A2864">
        <f>HYPERLINK("http://www.twitter.com/NYCParks/status/601121545495412738", "601121545495412738")</f>
        <v>0</v>
      </c>
      <c r="B2864" s="2">
        <v>42144.8509143519</v>
      </c>
      <c r="C2864">
        <v>28</v>
      </c>
      <c r="D2864">
        <v>15</v>
      </c>
      <c r="E2864" t="s">
        <v>2864</v>
      </c>
    </row>
    <row r="2865" spans="1:5">
      <c r="A2865">
        <f>HYPERLINK("http://www.twitter.com/NYCParks/status/601102672075292672", "601102672075292672")</f>
        <v>0</v>
      </c>
      <c r="B2865" s="2">
        <v>42144.7988310185</v>
      </c>
      <c r="C2865">
        <v>29</v>
      </c>
      <c r="D2865">
        <v>15</v>
      </c>
      <c r="E2865" t="s">
        <v>2865</v>
      </c>
    </row>
    <row r="2866" spans="1:5">
      <c r="A2866">
        <f>HYPERLINK("http://www.twitter.com/NYCParks/status/601086584558092288", "601086584558092288")</f>
        <v>0</v>
      </c>
      <c r="B2866" s="2">
        <v>42144.7544444444</v>
      </c>
      <c r="C2866">
        <v>13</v>
      </c>
      <c r="D2866">
        <v>14</v>
      </c>
      <c r="E2866" t="s">
        <v>2866</v>
      </c>
    </row>
    <row r="2867" spans="1:5">
      <c r="A2867">
        <f>HYPERLINK("http://www.twitter.com/NYCParks/status/601068428015828992", "601068428015828992")</f>
        <v>0</v>
      </c>
      <c r="B2867" s="2">
        <v>42144.7043402778</v>
      </c>
      <c r="C2867">
        <v>51</v>
      </c>
      <c r="D2867">
        <v>23</v>
      </c>
      <c r="E2867" t="s">
        <v>2867</v>
      </c>
    </row>
    <row r="2868" spans="1:5">
      <c r="A2868">
        <f>HYPERLINK("http://www.twitter.com/NYCParks/status/601051670592802816", "601051670592802816")</f>
        <v>0</v>
      </c>
      <c r="B2868" s="2">
        <v>42144.6580902778</v>
      </c>
      <c r="C2868">
        <v>9</v>
      </c>
      <c r="D2868">
        <v>6</v>
      </c>
      <c r="E2868" t="s">
        <v>2868</v>
      </c>
    </row>
    <row r="2869" spans="1:5">
      <c r="A2869">
        <f>HYPERLINK("http://www.twitter.com/NYCParks/status/601039471799377921", "601039471799377921")</f>
        <v>0</v>
      </c>
      <c r="B2869" s="2">
        <v>42144.6244328704</v>
      </c>
      <c r="C2869">
        <v>1</v>
      </c>
      <c r="D2869">
        <v>0</v>
      </c>
      <c r="E2869" t="s">
        <v>2869</v>
      </c>
    </row>
    <row r="2870" spans="1:5">
      <c r="A2870">
        <f>HYPERLINK("http://www.twitter.com/NYCParks/status/601036437740515328", "601036437740515328")</f>
        <v>0</v>
      </c>
      <c r="B2870" s="2">
        <v>42144.6160648148</v>
      </c>
      <c r="C2870">
        <v>21</v>
      </c>
      <c r="D2870">
        <v>21</v>
      </c>
      <c r="E2870" t="s">
        <v>2870</v>
      </c>
    </row>
    <row r="2871" spans="1:5">
      <c r="A2871">
        <f>HYPERLINK("http://www.twitter.com/NYCParks/status/600767713573793792", "600767713573793792")</f>
        <v>0</v>
      </c>
      <c r="B2871" s="2">
        <v>42143.874525463</v>
      </c>
      <c r="C2871">
        <v>25</v>
      </c>
      <c r="D2871">
        <v>15</v>
      </c>
      <c r="E2871" t="s">
        <v>2871</v>
      </c>
    </row>
    <row r="2872" spans="1:5">
      <c r="A2872">
        <f>HYPERLINK("http://www.twitter.com/NYCParks/status/600753913537507331", "600753913537507331")</f>
        <v>0</v>
      </c>
      <c r="B2872" s="2">
        <v>42143.8364467593</v>
      </c>
      <c r="C2872">
        <v>26</v>
      </c>
      <c r="D2872">
        <v>8</v>
      </c>
      <c r="E2872" t="s">
        <v>2872</v>
      </c>
    </row>
    <row r="2873" spans="1:5">
      <c r="A2873">
        <f>HYPERLINK("http://www.twitter.com/NYCParks/status/600737958157754369", "600737958157754369")</f>
        <v>0</v>
      </c>
      <c r="B2873" s="2">
        <v>42143.7924189815</v>
      </c>
      <c r="C2873">
        <v>18</v>
      </c>
      <c r="D2873">
        <v>10</v>
      </c>
      <c r="E2873" t="s">
        <v>2873</v>
      </c>
    </row>
    <row r="2874" spans="1:5">
      <c r="A2874">
        <f>HYPERLINK("http://www.twitter.com/NYCParks/status/600720574273482752", "600720574273482752")</f>
        <v>0</v>
      </c>
      <c r="B2874" s="2">
        <v>42143.7444444444</v>
      </c>
      <c r="C2874">
        <v>8</v>
      </c>
      <c r="D2874">
        <v>15</v>
      </c>
      <c r="E2874" t="s">
        <v>2874</v>
      </c>
    </row>
    <row r="2875" spans="1:5">
      <c r="A2875">
        <f>HYPERLINK("http://www.twitter.com/NYCParks/status/600695198734262272", "600695198734262272")</f>
        <v>0</v>
      </c>
      <c r="B2875" s="2">
        <v>42143.6744212963</v>
      </c>
      <c r="C2875">
        <v>20</v>
      </c>
      <c r="D2875">
        <v>14</v>
      </c>
      <c r="E2875" t="s">
        <v>2875</v>
      </c>
    </row>
    <row r="2876" spans="1:5">
      <c r="A2876">
        <f>HYPERLINK("http://www.twitter.com/NYCParks/status/600677429179449344", "600677429179449344")</f>
        <v>0</v>
      </c>
      <c r="B2876" s="2">
        <v>42143.6253819444</v>
      </c>
      <c r="C2876">
        <v>26</v>
      </c>
      <c r="D2876">
        <v>22</v>
      </c>
      <c r="E2876" t="s">
        <v>2876</v>
      </c>
    </row>
    <row r="2877" spans="1:5">
      <c r="A2877">
        <f>HYPERLINK("http://www.twitter.com/NYCParks/status/600382089138176000", "600382089138176000")</f>
        <v>0</v>
      </c>
      <c r="B2877" s="2">
        <v>42142.8104050926</v>
      </c>
      <c r="C2877">
        <v>11</v>
      </c>
      <c r="D2877">
        <v>9</v>
      </c>
      <c r="E2877" t="s">
        <v>2877</v>
      </c>
    </row>
    <row r="2878" spans="1:5">
      <c r="A2878">
        <f>HYPERLINK("http://www.twitter.com/NYCParks/status/600368470853853184", "600368470853853184")</f>
        <v>0</v>
      </c>
      <c r="B2878" s="2">
        <v>42142.7728240741</v>
      </c>
      <c r="C2878">
        <v>2</v>
      </c>
      <c r="D2878">
        <v>0</v>
      </c>
      <c r="E2878" t="s">
        <v>2878</v>
      </c>
    </row>
    <row r="2879" spans="1:5">
      <c r="A2879">
        <f>HYPERLINK("http://www.twitter.com/NYCParks/status/600359211575410688", "600359211575410688")</f>
        <v>0</v>
      </c>
      <c r="B2879" s="2">
        <v>42142.7472685185</v>
      </c>
      <c r="C2879">
        <v>11</v>
      </c>
      <c r="D2879">
        <v>7</v>
      </c>
      <c r="E2879" t="s">
        <v>2879</v>
      </c>
    </row>
    <row r="2880" spans="1:5">
      <c r="A2880">
        <f>HYPERLINK("http://www.twitter.com/NYCParks/status/600339715888406528", "600339715888406528")</f>
        <v>0</v>
      </c>
      <c r="B2880" s="2">
        <v>42142.6934722222</v>
      </c>
      <c r="C2880">
        <v>0</v>
      </c>
      <c r="D2880">
        <v>33</v>
      </c>
      <c r="E2880" t="s">
        <v>2880</v>
      </c>
    </row>
    <row r="2881" spans="1:5">
      <c r="A2881">
        <f>HYPERLINK("http://www.twitter.com/NYCParks/status/600327076927905792", "600327076927905792")</f>
        <v>0</v>
      </c>
      <c r="B2881" s="2">
        <v>42142.658599537</v>
      </c>
      <c r="C2881">
        <v>7</v>
      </c>
      <c r="D2881">
        <v>7</v>
      </c>
      <c r="E2881" t="s">
        <v>2881</v>
      </c>
    </row>
    <row r="2882" spans="1:5">
      <c r="A2882">
        <f>HYPERLINK("http://www.twitter.com/NYCParks/status/600307593253408768", "600307593253408768")</f>
        <v>0</v>
      </c>
      <c r="B2882" s="2">
        <v>42142.604837963</v>
      </c>
      <c r="C2882">
        <v>0</v>
      </c>
      <c r="D2882">
        <v>22</v>
      </c>
      <c r="E2882" t="s">
        <v>2882</v>
      </c>
    </row>
    <row r="2883" spans="1:5">
      <c r="A2883">
        <f>HYPERLINK("http://www.twitter.com/NYCParks/status/599310760217575425", "599310760217575425")</f>
        <v>0</v>
      </c>
      <c r="B2883" s="2">
        <v>42139.8540972222</v>
      </c>
      <c r="C2883">
        <v>5</v>
      </c>
      <c r="D2883">
        <v>5</v>
      </c>
      <c r="E2883" t="s">
        <v>2883</v>
      </c>
    </row>
    <row r="2884" spans="1:5">
      <c r="A2884">
        <f>HYPERLINK("http://www.twitter.com/NYCParks/status/599291810612121600", "599291810612121600")</f>
        <v>0</v>
      </c>
      <c r="B2884" s="2">
        <v>42139.8018055556</v>
      </c>
      <c r="C2884">
        <v>1</v>
      </c>
      <c r="D2884">
        <v>0</v>
      </c>
      <c r="E2884" t="s">
        <v>2884</v>
      </c>
    </row>
    <row r="2885" spans="1:5">
      <c r="A2885">
        <f>HYPERLINK("http://www.twitter.com/NYCParks/status/599289144888717312", "599289144888717312")</f>
        <v>0</v>
      </c>
      <c r="B2885" s="2">
        <v>42139.7944560185</v>
      </c>
      <c r="C2885">
        <v>5</v>
      </c>
      <c r="D2885">
        <v>6</v>
      </c>
      <c r="E2885" t="s">
        <v>2885</v>
      </c>
    </row>
    <row r="2886" spans="1:5">
      <c r="A2886">
        <f>HYPERLINK("http://www.twitter.com/NYCParks/status/599269293868580864", "599269293868580864")</f>
        <v>0</v>
      </c>
      <c r="B2886" s="2">
        <v>42139.7396759259</v>
      </c>
      <c r="C2886">
        <v>14</v>
      </c>
      <c r="D2886">
        <v>14</v>
      </c>
      <c r="E2886" t="s">
        <v>2886</v>
      </c>
    </row>
    <row r="2887" spans="1:5">
      <c r="A2887">
        <f>HYPERLINK("http://www.twitter.com/NYCParks/status/599253121366384641", "599253121366384641")</f>
        <v>0</v>
      </c>
      <c r="B2887" s="2">
        <v>42139.6950462963</v>
      </c>
      <c r="C2887">
        <v>27</v>
      </c>
      <c r="D2887">
        <v>23</v>
      </c>
      <c r="E2887" t="s">
        <v>2887</v>
      </c>
    </row>
    <row r="2888" spans="1:5">
      <c r="A2888">
        <f>HYPERLINK("http://www.twitter.com/NYCParks/status/599238723667173376", "599238723667173376")</f>
        <v>0</v>
      </c>
      <c r="B2888" s="2">
        <v>42139.6553125</v>
      </c>
      <c r="C2888">
        <v>19</v>
      </c>
      <c r="D2888">
        <v>12</v>
      </c>
      <c r="E2888" t="s">
        <v>2888</v>
      </c>
    </row>
    <row r="2889" spans="1:5">
      <c r="A2889">
        <f>HYPERLINK("http://www.twitter.com/NYCParks/status/599225071148933120", "599225071148933120")</f>
        <v>0</v>
      </c>
      <c r="B2889" s="2">
        <v>42139.6176388889</v>
      </c>
      <c r="C2889">
        <v>8</v>
      </c>
      <c r="D2889">
        <v>10</v>
      </c>
      <c r="E2889" t="s">
        <v>2889</v>
      </c>
    </row>
    <row r="2890" spans="1:5">
      <c r="A2890">
        <f>HYPERLINK("http://www.twitter.com/NYCParks/status/598936504031911936", "598936504031911936")</f>
        <v>0</v>
      </c>
      <c r="B2890" s="2">
        <v>42138.8213425926</v>
      </c>
      <c r="C2890">
        <v>4</v>
      </c>
      <c r="D2890">
        <v>2</v>
      </c>
      <c r="E2890" t="s">
        <v>2890</v>
      </c>
    </row>
    <row r="2891" spans="1:5">
      <c r="A2891">
        <f>HYPERLINK("http://www.twitter.com/NYCParks/status/598921951663550464", "598921951663550464")</f>
        <v>0</v>
      </c>
      <c r="B2891" s="2">
        <v>42138.7811921296</v>
      </c>
      <c r="C2891">
        <v>6</v>
      </c>
      <c r="D2891">
        <v>4</v>
      </c>
      <c r="E2891" t="s">
        <v>2891</v>
      </c>
    </row>
    <row r="2892" spans="1:5">
      <c r="A2892">
        <f>HYPERLINK("http://www.twitter.com/NYCParks/status/598904014470815744", "598904014470815744")</f>
        <v>0</v>
      </c>
      <c r="B2892" s="2">
        <v>42138.7316898148</v>
      </c>
      <c r="C2892">
        <v>14</v>
      </c>
      <c r="D2892">
        <v>8</v>
      </c>
      <c r="E2892" t="s">
        <v>2892</v>
      </c>
    </row>
    <row r="2893" spans="1:5">
      <c r="A2893">
        <f>HYPERLINK("http://www.twitter.com/NYCParks/status/598888087041769473", "598888087041769473")</f>
        <v>0</v>
      </c>
      <c r="B2893" s="2">
        <v>42138.6877430556</v>
      </c>
      <c r="C2893">
        <v>13</v>
      </c>
      <c r="D2893">
        <v>13</v>
      </c>
      <c r="E2893" t="s">
        <v>2893</v>
      </c>
    </row>
    <row r="2894" spans="1:5">
      <c r="A2894">
        <f>HYPERLINK("http://www.twitter.com/NYCParks/status/598872450143809536", "598872450143809536")</f>
        <v>0</v>
      </c>
      <c r="B2894" s="2">
        <v>42138.6445949074</v>
      </c>
      <c r="C2894">
        <v>16</v>
      </c>
      <c r="D2894">
        <v>16</v>
      </c>
      <c r="E2894" t="s">
        <v>2894</v>
      </c>
    </row>
    <row r="2895" spans="1:5">
      <c r="A2895">
        <f>HYPERLINK("http://www.twitter.com/NYCParks/status/598859592949506049", "598859592949506049")</f>
        <v>0</v>
      </c>
      <c r="B2895" s="2">
        <v>42138.6091087963</v>
      </c>
      <c r="C2895">
        <v>10</v>
      </c>
      <c r="D2895">
        <v>8</v>
      </c>
      <c r="E2895" t="s">
        <v>2895</v>
      </c>
    </row>
    <row r="2896" spans="1:5">
      <c r="A2896">
        <f>HYPERLINK("http://www.twitter.com/NYCParks/status/598579142200840194", "598579142200840194")</f>
        <v>0</v>
      </c>
      <c r="B2896" s="2">
        <v>42137.8352199074</v>
      </c>
      <c r="C2896">
        <v>3</v>
      </c>
      <c r="D2896">
        <v>6</v>
      </c>
      <c r="E2896" t="s">
        <v>2896</v>
      </c>
    </row>
    <row r="2897" spans="1:5">
      <c r="A2897">
        <f>HYPERLINK("http://www.twitter.com/NYCParks/status/598565483923820547", "598565483923820547")</f>
        <v>0</v>
      </c>
      <c r="B2897" s="2">
        <v>42137.7975231481</v>
      </c>
      <c r="C2897">
        <v>22</v>
      </c>
      <c r="D2897">
        <v>24</v>
      </c>
      <c r="E2897" t="s">
        <v>2897</v>
      </c>
    </row>
    <row r="2898" spans="1:5">
      <c r="A2898">
        <f>HYPERLINK("http://www.twitter.com/NYCParks/status/598544933100748800", "598544933100748800")</f>
        <v>0</v>
      </c>
      <c r="B2898" s="2">
        <v>42137.7408217593</v>
      </c>
      <c r="C2898">
        <v>22</v>
      </c>
      <c r="D2898">
        <v>17</v>
      </c>
      <c r="E2898" t="s">
        <v>2898</v>
      </c>
    </row>
    <row r="2899" spans="1:5">
      <c r="A2899">
        <f>HYPERLINK("http://www.twitter.com/NYCParks/status/598527207192055808", "598527207192055808")</f>
        <v>0</v>
      </c>
      <c r="B2899" s="2">
        <v>42137.6918981482</v>
      </c>
      <c r="C2899">
        <v>3</v>
      </c>
      <c r="D2899">
        <v>5</v>
      </c>
      <c r="E2899" t="s">
        <v>2899</v>
      </c>
    </row>
    <row r="2900" spans="1:5">
      <c r="A2900">
        <f>HYPERLINK("http://www.twitter.com/NYCParks/status/598510645865218049", "598510645865218049")</f>
        <v>0</v>
      </c>
      <c r="B2900" s="2">
        <v>42137.6462037037</v>
      </c>
      <c r="C2900">
        <v>2</v>
      </c>
      <c r="D2900">
        <v>2</v>
      </c>
      <c r="E2900" t="s">
        <v>2900</v>
      </c>
    </row>
    <row r="2901" spans="1:5">
      <c r="A2901">
        <f>HYPERLINK("http://www.twitter.com/NYCParks/status/598495577060548609", "598495577060548609")</f>
        <v>0</v>
      </c>
      <c r="B2901" s="2">
        <v>42137.6046180556</v>
      </c>
      <c r="C2901">
        <v>14</v>
      </c>
      <c r="D2901">
        <v>12</v>
      </c>
      <c r="E2901" t="s">
        <v>2901</v>
      </c>
    </row>
    <row r="2902" spans="1:5">
      <c r="A2902">
        <f>HYPERLINK("http://www.twitter.com/NYCParks/status/598224108254588928", "598224108254588928")</f>
        <v>0</v>
      </c>
      <c r="B2902" s="2">
        <v>42136.8555092593</v>
      </c>
      <c r="C2902">
        <v>11</v>
      </c>
      <c r="D2902">
        <v>7</v>
      </c>
      <c r="E2902" t="s">
        <v>2902</v>
      </c>
    </row>
    <row r="2903" spans="1:5">
      <c r="A2903">
        <f>HYPERLINK("http://www.twitter.com/NYCParks/status/598209325904039937", "598209325904039937")</f>
        <v>0</v>
      </c>
      <c r="B2903" s="2">
        <v>42136.8147222222</v>
      </c>
      <c r="C2903">
        <v>0</v>
      </c>
      <c r="D2903">
        <v>12</v>
      </c>
      <c r="E2903" t="s">
        <v>2903</v>
      </c>
    </row>
    <row r="2904" spans="1:5">
      <c r="A2904">
        <f>HYPERLINK("http://www.twitter.com/NYCParks/status/598193118710779905", "598193118710779905")</f>
        <v>0</v>
      </c>
      <c r="B2904" s="2">
        <v>42136.77</v>
      </c>
      <c r="C2904">
        <v>18</v>
      </c>
      <c r="D2904">
        <v>3</v>
      </c>
      <c r="E2904" t="s">
        <v>2904</v>
      </c>
    </row>
    <row r="2905" spans="1:5">
      <c r="A2905">
        <f>HYPERLINK("http://www.twitter.com/NYCParks/status/598191467597844480", "598191467597844480")</f>
        <v>0</v>
      </c>
      <c r="B2905" s="2">
        <v>42136.7654398148</v>
      </c>
      <c r="C2905">
        <v>19</v>
      </c>
      <c r="D2905">
        <v>19</v>
      </c>
      <c r="E2905" t="s">
        <v>2905</v>
      </c>
    </row>
    <row r="2906" spans="1:5">
      <c r="A2906">
        <f>HYPERLINK("http://www.twitter.com/NYCParks/status/598184489307766784", "598184489307766784")</f>
        <v>0</v>
      </c>
      <c r="B2906" s="2">
        <v>42136.7461805556</v>
      </c>
      <c r="C2906">
        <v>4</v>
      </c>
      <c r="D2906">
        <v>2</v>
      </c>
      <c r="E2906" t="s">
        <v>2906</v>
      </c>
    </row>
    <row r="2907" spans="1:5">
      <c r="A2907">
        <f>HYPERLINK("http://www.twitter.com/NYCParks/status/598176082655838208", "598176082655838208")</f>
        <v>0</v>
      </c>
      <c r="B2907" s="2">
        <v>42136.7229861111</v>
      </c>
      <c r="C2907">
        <v>11</v>
      </c>
      <c r="D2907">
        <v>9</v>
      </c>
      <c r="E2907" t="s">
        <v>2907</v>
      </c>
    </row>
    <row r="2908" spans="1:5">
      <c r="A2908">
        <f>HYPERLINK("http://www.twitter.com/NYCParks/status/598155428430774272", "598155428430774272")</f>
        <v>0</v>
      </c>
      <c r="B2908" s="2">
        <v>42136.6659837963</v>
      </c>
      <c r="C2908">
        <v>16</v>
      </c>
      <c r="D2908">
        <v>6</v>
      </c>
      <c r="E2908" t="s">
        <v>2908</v>
      </c>
    </row>
    <row r="2909" spans="1:5">
      <c r="A2909">
        <f>HYPERLINK("http://www.twitter.com/NYCParks/status/598154599808290817", "598154599808290817")</f>
        <v>0</v>
      </c>
      <c r="B2909" s="2">
        <v>42136.6637037037</v>
      </c>
      <c r="C2909">
        <v>9</v>
      </c>
      <c r="D2909">
        <v>5</v>
      </c>
      <c r="E2909" t="s">
        <v>2909</v>
      </c>
    </row>
    <row r="2910" spans="1:5">
      <c r="A2910">
        <f>HYPERLINK("http://www.twitter.com/NYCParks/status/598136991327334400", "598136991327334400")</f>
        <v>0</v>
      </c>
      <c r="B2910" s="2">
        <v>42136.6151157407</v>
      </c>
      <c r="C2910">
        <v>17</v>
      </c>
      <c r="D2910">
        <v>17</v>
      </c>
      <c r="E2910" t="s">
        <v>2910</v>
      </c>
    </row>
    <row r="2911" spans="1:5">
      <c r="A2911">
        <f>HYPERLINK("http://www.twitter.com/NYCParks/status/597869034131054592", "597869034131054592")</f>
        <v>0</v>
      </c>
      <c r="B2911" s="2">
        <v>42135.8756944444</v>
      </c>
      <c r="C2911">
        <v>0</v>
      </c>
      <c r="D2911">
        <v>8</v>
      </c>
      <c r="E2911" t="s">
        <v>2911</v>
      </c>
    </row>
    <row r="2912" spans="1:5">
      <c r="A2912">
        <f>HYPERLINK("http://www.twitter.com/NYCParks/status/597840411244236800", "597840411244236800")</f>
        <v>0</v>
      </c>
      <c r="B2912" s="2">
        <v>42135.796712963</v>
      </c>
      <c r="C2912">
        <v>10</v>
      </c>
      <c r="D2912">
        <v>8</v>
      </c>
      <c r="E2912" t="s">
        <v>2912</v>
      </c>
    </row>
    <row r="2913" spans="1:5">
      <c r="A2913">
        <f>HYPERLINK("http://www.twitter.com/NYCParks/status/597825605527277569", "597825605527277569")</f>
        <v>0</v>
      </c>
      <c r="B2913" s="2">
        <v>42135.7558564815</v>
      </c>
      <c r="C2913">
        <v>2</v>
      </c>
      <c r="D2913">
        <v>5</v>
      </c>
      <c r="E2913" t="s">
        <v>2913</v>
      </c>
    </row>
    <row r="2914" spans="1:5">
      <c r="A2914">
        <f>HYPERLINK("http://www.twitter.com/NYCParks/status/597806220418879489", "597806220418879489")</f>
        <v>0</v>
      </c>
      <c r="B2914" s="2">
        <v>42135.7023611111</v>
      </c>
      <c r="C2914">
        <v>20</v>
      </c>
      <c r="D2914">
        <v>13</v>
      </c>
      <c r="E2914" t="s">
        <v>2914</v>
      </c>
    </row>
    <row r="2915" spans="1:5">
      <c r="A2915">
        <f>HYPERLINK("http://www.twitter.com/NYCParks/status/597791647708147712", "597791647708147712")</f>
        <v>0</v>
      </c>
      <c r="B2915" s="2">
        <v>42135.6621412037</v>
      </c>
      <c r="C2915">
        <v>16</v>
      </c>
      <c r="D2915">
        <v>6</v>
      </c>
      <c r="E2915" t="s">
        <v>2915</v>
      </c>
    </row>
    <row r="2916" spans="1:5">
      <c r="A2916">
        <f>HYPERLINK("http://www.twitter.com/NYCParks/status/597769890347536384", "597769890347536384")</f>
        <v>0</v>
      </c>
      <c r="B2916" s="2">
        <v>42135.6021064815</v>
      </c>
      <c r="C2916">
        <v>54</v>
      </c>
      <c r="D2916">
        <v>31</v>
      </c>
      <c r="E2916" t="s">
        <v>2916</v>
      </c>
    </row>
    <row r="2917" spans="1:5">
      <c r="A2917">
        <f>HYPERLINK("http://www.twitter.com/NYCParks/status/596778881786478592", "596778881786478592")</f>
        <v>0</v>
      </c>
      <c r="B2917" s="2">
        <v>42132.8674421296</v>
      </c>
      <c r="C2917">
        <v>15</v>
      </c>
      <c r="D2917">
        <v>11</v>
      </c>
      <c r="E2917" t="s">
        <v>2917</v>
      </c>
    </row>
    <row r="2918" spans="1:5">
      <c r="A2918">
        <f>HYPERLINK("http://www.twitter.com/NYCParks/status/596758258804760577", "596758258804760577")</f>
        <v>0</v>
      </c>
      <c r="B2918" s="2">
        <v>42132.8105324074</v>
      </c>
      <c r="C2918">
        <v>2</v>
      </c>
      <c r="D2918">
        <v>0</v>
      </c>
      <c r="E2918" t="s">
        <v>2918</v>
      </c>
    </row>
    <row r="2919" spans="1:5">
      <c r="A2919">
        <f>HYPERLINK("http://www.twitter.com/NYCParks/status/596753234330591234", "596753234330591234")</f>
        <v>0</v>
      </c>
      <c r="B2919" s="2">
        <v>42132.7966666667</v>
      </c>
      <c r="C2919">
        <v>32</v>
      </c>
      <c r="D2919">
        <v>21</v>
      </c>
      <c r="E2919" t="s">
        <v>2919</v>
      </c>
    </row>
    <row r="2920" spans="1:5">
      <c r="A2920">
        <f>HYPERLINK("http://www.twitter.com/NYCParks/status/596743217841864704", "596743217841864704")</f>
        <v>0</v>
      </c>
      <c r="B2920" s="2">
        <v>42132.7690277778</v>
      </c>
      <c r="C2920">
        <v>0</v>
      </c>
      <c r="D2920">
        <v>0</v>
      </c>
      <c r="E2920" t="s">
        <v>2920</v>
      </c>
    </row>
    <row r="2921" spans="1:5">
      <c r="A2921">
        <f>HYPERLINK("http://www.twitter.com/NYCParks/status/596736966886072320", "596736966886072320")</f>
        <v>0</v>
      </c>
      <c r="B2921" s="2">
        <v>42132.7517824074</v>
      </c>
      <c r="C2921">
        <v>6</v>
      </c>
      <c r="D2921">
        <v>5</v>
      </c>
      <c r="E2921" t="s">
        <v>2921</v>
      </c>
    </row>
    <row r="2922" spans="1:5">
      <c r="A2922">
        <f>HYPERLINK("http://www.twitter.com/NYCParks/status/596721303966588928", "596721303966588928")</f>
        <v>0</v>
      </c>
      <c r="B2922" s="2">
        <v>42132.7085648148</v>
      </c>
      <c r="C2922">
        <v>28</v>
      </c>
      <c r="D2922">
        <v>29</v>
      </c>
      <c r="E2922" t="s">
        <v>2922</v>
      </c>
    </row>
    <row r="2923" spans="1:5">
      <c r="A2923">
        <f>HYPERLINK("http://www.twitter.com/NYCParks/status/596703404979843073", "596703404979843073")</f>
        <v>0</v>
      </c>
      <c r="B2923" s="2">
        <v>42132.6591666667</v>
      </c>
      <c r="C2923">
        <v>21</v>
      </c>
      <c r="D2923">
        <v>15</v>
      </c>
      <c r="E2923" t="s">
        <v>2923</v>
      </c>
    </row>
    <row r="2924" spans="1:5">
      <c r="A2924">
        <f>HYPERLINK("http://www.twitter.com/NYCParks/status/596688657613983745", "596688657613983745")</f>
        <v>0</v>
      </c>
      <c r="B2924" s="2">
        <v>42132.6184722222</v>
      </c>
      <c r="C2924">
        <v>15</v>
      </c>
      <c r="D2924">
        <v>21</v>
      </c>
      <c r="E2924" t="s">
        <v>2924</v>
      </c>
    </row>
    <row r="2925" spans="1:5">
      <c r="A2925">
        <f>HYPERLINK("http://www.twitter.com/NYCParks/status/596386329891643392", "596386329891643392")</f>
        <v>0</v>
      </c>
      <c r="B2925" s="2">
        <v>42131.784212963</v>
      </c>
      <c r="C2925">
        <v>5</v>
      </c>
      <c r="D2925">
        <v>5</v>
      </c>
      <c r="E2925" t="s">
        <v>2925</v>
      </c>
    </row>
    <row r="2926" spans="1:5">
      <c r="A2926">
        <f>HYPERLINK("http://www.twitter.com/NYCParks/status/596366536207634434", "596366536207634434")</f>
        <v>0</v>
      </c>
      <c r="B2926" s="2">
        <v>42131.7295833333</v>
      </c>
      <c r="C2926">
        <v>10</v>
      </c>
      <c r="D2926">
        <v>10</v>
      </c>
      <c r="E2926" t="s">
        <v>2926</v>
      </c>
    </row>
    <row r="2927" spans="1:5">
      <c r="A2927">
        <f>HYPERLINK("http://www.twitter.com/NYCParks/status/596352874822664192", "596352874822664192")</f>
        <v>0</v>
      </c>
      <c r="B2927" s="2">
        <v>42131.6918865741</v>
      </c>
      <c r="C2927">
        <v>4</v>
      </c>
      <c r="D2927">
        <v>5</v>
      </c>
      <c r="E2927" t="s">
        <v>2927</v>
      </c>
    </row>
    <row r="2928" spans="1:5">
      <c r="A2928">
        <f>HYPERLINK("http://www.twitter.com/NYCParks/status/596332093984133120", "596332093984133120")</f>
        <v>0</v>
      </c>
      <c r="B2928" s="2">
        <v>42131.6345486111</v>
      </c>
      <c r="C2928">
        <v>5</v>
      </c>
      <c r="D2928">
        <v>3</v>
      </c>
      <c r="E2928" t="s">
        <v>2928</v>
      </c>
    </row>
    <row r="2929" spans="1:5">
      <c r="A2929">
        <f>HYPERLINK("http://www.twitter.com/NYCParks/status/596316890915577857", "596316890915577857")</f>
        <v>0</v>
      </c>
      <c r="B2929" s="2">
        <v>42131.5925925926</v>
      </c>
      <c r="C2929">
        <v>0</v>
      </c>
      <c r="D2929">
        <v>4</v>
      </c>
      <c r="E2929" t="s">
        <v>2929</v>
      </c>
    </row>
    <row r="2930" spans="1:5">
      <c r="A2930">
        <f>HYPERLINK("http://www.twitter.com/NYCParks/status/596086588070895617", "596086588070895617")</f>
        <v>0</v>
      </c>
      <c r="B2930" s="2">
        <v>42130.9570833333</v>
      </c>
      <c r="C2930">
        <v>9</v>
      </c>
      <c r="D2930">
        <v>4</v>
      </c>
      <c r="E2930" t="s">
        <v>2930</v>
      </c>
    </row>
    <row r="2931" spans="1:5">
      <c r="A2931">
        <f>HYPERLINK("http://www.twitter.com/NYCParks/status/596052517873672192", "596052517873672192")</f>
        <v>0</v>
      </c>
      <c r="B2931" s="2">
        <v>42130.8630671296</v>
      </c>
      <c r="C2931">
        <v>0</v>
      </c>
      <c r="D2931">
        <v>0</v>
      </c>
      <c r="E2931" t="s">
        <v>2931</v>
      </c>
    </row>
    <row r="2932" spans="1:5">
      <c r="A2932">
        <f>HYPERLINK("http://www.twitter.com/NYCParks/status/596040566971965442", "596040566971965442")</f>
        <v>0</v>
      </c>
      <c r="B2932" s="2">
        <v>42130.8300810185</v>
      </c>
      <c r="C2932">
        <v>20</v>
      </c>
      <c r="D2932">
        <v>25</v>
      </c>
      <c r="E2932" t="s">
        <v>2932</v>
      </c>
    </row>
    <row r="2933" spans="1:5">
      <c r="A2933">
        <f>HYPERLINK("http://www.twitter.com/NYCParks/status/596026002502979584", "596026002502979584")</f>
        <v>0</v>
      </c>
      <c r="B2933" s="2">
        <v>42130.7898958333</v>
      </c>
      <c r="C2933">
        <v>9</v>
      </c>
      <c r="D2933">
        <v>12</v>
      </c>
      <c r="E2933" t="s">
        <v>2933</v>
      </c>
    </row>
    <row r="2934" spans="1:5">
      <c r="A2934">
        <f>HYPERLINK("http://www.twitter.com/NYCParks/status/596007667174383616", "596007667174383616")</f>
        <v>0</v>
      </c>
      <c r="B2934" s="2">
        <v>42130.7392939815</v>
      </c>
      <c r="C2934">
        <v>7</v>
      </c>
      <c r="D2934">
        <v>3</v>
      </c>
      <c r="E2934" t="s">
        <v>2934</v>
      </c>
    </row>
    <row r="2935" spans="1:5">
      <c r="A2935">
        <f>HYPERLINK("http://www.twitter.com/NYCParks/status/595988441206259713", "595988441206259713")</f>
        <v>0</v>
      </c>
      <c r="B2935" s="2">
        <v>42130.6862384259</v>
      </c>
      <c r="C2935">
        <v>12</v>
      </c>
      <c r="D2935">
        <v>14</v>
      </c>
      <c r="E2935" t="s">
        <v>2935</v>
      </c>
    </row>
    <row r="2936" spans="1:5">
      <c r="A2936">
        <f>HYPERLINK("http://www.twitter.com/NYCParks/status/595972055289442305", "595972055289442305")</f>
        <v>0</v>
      </c>
      <c r="B2936" s="2">
        <v>42130.6410300926</v>
      </c>
      <c r="C2936">
        <v>21</v>
      </c>
      <c r="D2936">
        <v>22</v>
      </c>
      <c r="E2936" t="s">
        <v>2936</v>
      </c>
    </row>
    <row r="2937" spans="1:5">
      <c r="A2937">
        <f>HYPERLINK("http://www.twitter.com/NYCParks/status/595953484341649408", "595953484341649408")</f>
        <v>0</v>
      </c>
      <c r="B2937" s="2">
        <v>42130.5897800926</v>
      </c>
      <c r="C2937">
        <v>22</v>
      </c>
      <c r="D2937">
        <v>11</v>
      </c>
      <c r="E2937" t="s">
        <v>2937</v>
      </c>
    </row>
    <row r="2938" spans="1:5">
      <c r="A2938">
        <f>HYPERLINK("http://www.twitter.com/NYCParks/status/595681089047416832", "595681089047416832")</f>
        <v>0</v>
      </c>
      <c r="B2938" s="2">
        <v>42129.8381134259</v>
      </c>
      <c r="C2938">
        <v>24</v>
      </c>
      <c r="D2938">
        <v>26</v>
      </c>
      <c r="E2938" t="s">
        <v>2938</v>
      </c>
    </row>
    <row r="2939" spans="1:5">
      <c r="A2939">
        <f>HYPERLINK("http://www.twitter.com/NYCParks/status/595661625740414976", "595661625740414976")</f>
        <v>0</v>
      </c>
      <c r="B2939" s="2">
        <v>42129.7844097222</v>
      </c>
      <c r="C2939">
        <v>25</v>
      </c>
      <c r="D2939">
        <v>9</v>
      </c>
      <c r="E2939" t="s">
        <v>2939</v>
      </c>
    </row>
    <row r="2940" spans="1:5">
      <c r="A2940">
        <f>HYPERLINK("http://www.twitter.com/NYCParks/status/595637170825728003", "595637170825728003")</f>
        <v>0</v>
      </c>
      <c r="B2940" s="2">
        <v>42129.7169212963</v>
      </c>
      <c r="C2940">
        <v>15</v>
      </c>
      <c r="D2940">
        <v>17</v>
      </c>
      <c r="E2940" t="s">
        <v>2940</v>
      </c>
    </row>
    <row r="2941" spans="1:5">
      <c r="A2941">
        <f>HYPERLINK("http://www.twitter.com/NYCParks/status/595618375067377664", "595618375067377664")</f>
        <v>0</v>
      </c>
      <c r="B2941" s="2">
        <v>42129.6650578704</v>
      </c>
      <c r="C2941">
        <v>24</v>
      </c>
      <c r="D2941">
        <v>20</v>
      </c>
      <c r="E2941" t="s">
        <v>2941</v>
      </c>
    </row>
    <row r="2942" spans="1:5">
      <c r="A2942">
        <f>HYPERLINK("http://www.twitter.com/NYCParks/status/595603997635026944", "595603997635026944")</f>
        <v>0</v>
      </c>
      <c r="B2942" s="2">
        <v>42129.6253819444</v>
      </c>
      <c r="C2942">
        <v>12</v>
      </c>
      <c r="D2942">
        <v>10</v>
      </c>
      <c r="E2942" t="s">
        <v>2942</v>
      </c>
    </row>
    <row r="2943" spans="1:5">
      <c r="A2943">
        <f>HYPERLINK("http://www.twitter.com/NYCParks/status/595269129327771648", "595269129327771648")</f>
        <v>0</v>
      </c>
      <c r="B2943" s="2">
        <v>42128.7013194444</v>
      </c>
      <c r="C2943">
        <v>25</v>
      </c>
      <c r="D2943">
        <v>9</v>
      </c>
      <c r="E2943" t="s">
        <v>2943</v>
      </c>
    </row>
    <row r="2944" spans="1:5">
      <c r="A2944">
        <f>HYPERLINK("http://www.twitter.com/NYCParks/status/595252338543239169", "595252338543239169")</f>
        <v>0</v>
      </c>
      <c r="B2944" s="2">
        <v>42128.6549884259</v>
      </c>
      <c r="C2944">
        <v>22</v>
      </c>
      <c r="D2944">
        <v>12</v>
      </c>
      <c r="E2944" t="s">
        <v>2944</v>
      </c>
    </row>
    <row r="2945" spans="1:5">
      <c r="A2945">
        <f>HYPERLINK("http://www.twitter.com/NYCParks/status/595238636305522688", "595238636305522688")</f>
        <v>0</v>
      </c>
      <c r="B2945" s="2">
        <v>42128.6171759259</v>
      </c>
      <c r="C2945">
        <v>4</v>
      </c>
      <c r="D2945">
        <v>4</v>
      </c>
      <c r="E2945" t="s">
        <v>2945</v>
      </c>
    </row>
    <row r="2946" spans="1:5">
      <c r="A2946">
        <f>HYPERLINK("http://www.twitter.com/NYCParks/status/594231116875313152", "594231116875313152")</f>
        <v>0</v>
      </c>
      <c r="B2946" s="2">
        <v>42125.8369560185</v>
      </c>
      <c r="C2946">
        <v>15</v>
      </c>
      <c r="D2946">
        <v>21</v>
      </c>
      <c r="E2946" t="s">
        <v>2946</v>
      </c>
    </row>
    <row r="2947" spans="1:5">
      <c r="A2947">
        <f>HYPERLINK("http://www.twitter.com/NYCParks/status/594217242952343552", "594217242952343552")</f>
        <v>0</v>
      </c>
      <c r="B2947" s="2">
        <v>42125.7986689815</v>
      </c>
      <c r="C2947">
        <v>14</v>
      </c>
      <c r="D2947">
        <v>12</v>
      </c>
      <c r="E2947" t="s">
        <v>2947</v>
      </c>
    </row>
    <row r="2948" spans="1:5">
      <c r="A2948">
        <f>HYPERLINK("http://www.twitter.com/NYCParks/status/594200058586861568", "594200058586861568")</f>
        <v>0</v>
      </c>
      <c r="B2948" s="2">
        <v>42125.75125</v>
      </c>
      <c r="C2948">
        <v>15</v>
      </c>
      <c r="D2948">
        <v>14</v>
      </c>
      <c r="E2948" t="s">
        <v>2948</v>
      </c>
    </row>
    <row r="2949" spans="1:5">
      <c r="A2949">
        <f>HYPERLINK("http://www.twitter.com/NYCParks/status/594184637330681856", "594184637330681856")</f>
        <v>0</v>
      </c>
      <c r="B2949" s="2">
        <v>42125.7086921296</v>
      </c>
      <c r="C2949">
        <v>23</v>
      </c>
      <c r="D2949">
        <v>16</v>
      </c>
      <c r="E2949" t="s">
        <v>2949</v>
      </c>
    </row>
    <row r="2950" spans="1:5">
      <c r="A2950">
        <f>HYPERLINK("http://www.twitter.com/NYCParks/status/594167957317627904", "594167957317627904")</f>
        <v>0</v>
      </c>
      <c r="B2950" s="2">
        <v>42125.662662037</v>
      </c>
      <c r="C2950">
        <v>22</v>
      </c>
      <c r="D2950">
        <v>20</v>
      </c>
      <c r="E2950" t="s">
        <v>2950</v>
      </c>
    </row>
    <row r="2951" spans="1:5">
      <c r="A2951">
        <f>HYPERLINK("http://www.twitter.com/NYCParks/status/594153063142838272", "594153063142838272")</f>
        <v>0</v>
      </c>
      <c r="B2951" s="2">
        <v>42125.6215625</v>
      </c>
      <c r="C2951">
        <v>15</v>
      </c>
      <c r="D2951">
        <v>12</v>
      </c>
      <c r="E2951" t="s">
        <v>2951</v>
      </c>
    </row>
    <row r="2952" spans="1:5">
      <c r="A2952">
        <f>HYPERLINK("http://www.twitter.com/NYCParks/status/593884605171773440", "593884605171773440")</f>
        <v>0</v>
      </c>
      <c r="B2952" s="2">
        <v>42124.8807638889</v>
      </c>
      <c r="C2952">
        <v>19</v>
      </c>
      <c r="D2952">
        <v>16</v>
      </c>
      <c r="E2952" t="s">
        <v>2952</v>
      </c>
    </row>
    <row r="2953" spans="1:5">
      <c r="A2953">
        <f>HYPERLINK("http://www.twitter.com/NYCParks/status/593855929445134337", "593855929445134337")</f>
        <v>0</v>
      </c>
      <c r="B2953" s="2">
        <v>42124.8016319444</v>
      </c>
      <c r="C2953">
        <v>30</v>
      </c>
      <c r="D2953">
        <v>23</v>
      </c>
      <c r="E2953" t="s">
        <v>2953</v>
      </c>
    </row>
    <row r="2954" spans="1:5">
      <c r="A2954">
        <f>HYPERLINK("http://www.twitter.com/NYCParks/status/593837874379935746", "593837874379935746")</f>
        <v>0</v>
      </c>
      <c r="B2954" s="2">
        <v>42124.7518055556</v>
      </c>
      <c r="C2954">
        <v>19</v>
      </c>
      <c r="D2954">
        <v>10</v>
      </c>
      <c r="E2954" t="s">
        <v>2954</v>
      </c>
    </row>
    <row r="2955" spans="1:5">
      <c r="A2955">
        <f>HYPERLINK("http://www.twitter.com/NYCParks/status/593824169080582144", "593824169080582144")</f>
        <v>0</v>
      </c>
      <c r="B2955" s="2">
        <v>42124.7139930556</v>
      </c>
      <c r="C2955">
        <v>24</v>
      </c>
      <c r="D2955">
        <v>27</v>
      </c>
      <c r="E2955" t="s">
        <v>2955</v>
      </c>
    </row>
    <row r="2956" spans="1:5">
      <c r="A2956">
        <f>HYPERLINK("http://www.twitter.com/NYCParks/status/593808316649893888", "593808316649893888")</f>
        <v>0</v>
      </c>
      <c r="B2956" s="2">
        <v>42124.6702430556</v>
      </c>
      <c r="C2956">
        <v>14</v>
      </c>
      <c r="D2956">
        <v>7</v>
      </c>
      <c r="E2956" t="s">
        <v>2956</v>
      </c>
    </row>
    <row r="2957" spans="1:5">
      <c r="A2957">
        <f>HYPERLINK("http://www.twitter.com/NYCParks/status/593792110765207552", "593792110765207552")</f>
        <v>0</v>
      </c>
      <c r="B2957" s="2">
        <v>42124.6255208333</v>
      </c>
      <c r="C2957">
        <v>8</v>
      </c>
      <c r="D2957">
        <v>7</v>
      </c>
      <c r="E2957" t="s">
        <v>2957</v>
      </c>
    </row>
    <row r="2958" spans="1:5">
      <c r="A2958">
        <f>HYPERLINK("http://www.twitter.com/NYCParks/status/593519307247595520", "593519307247595520")</f>
        <v>0</v>
      </c>
      <c r="B2958" s="2">
        <v>42123.8727314815</v>
      </c>
      <c r="C2958">
        <v>66</v>
      </c>
      <c r="D2958">
        <v>37</v>
      </c>
      <c r="E2958" t="s">
        <v>2958</v>
      </c>
    </row>
    <row r="2959" spans="1:5">
      <c r="A2959">
        <f>HYPERLINK("http://www.twitter.com/NYCParks/status/593507403385057280", "593507403385057280")</f>
        <v>0</v>
      </c>
      <c r="B2959" s="2">
        <v>42123.8398842593</v>
      </c>
      <c r="C2959">
        <v>0</v>
      </c>
      <c r="D2959">
        <v>50</v>
      </c>
      <c r="E2959" t="s">
        <v>2959</v>
      </c>
    </row>
    <row r="2960" spans="1:5">
      <c r="A2960">
        <f>HYPERLINK("http://www.twitter.com/NYCParks/status/593460010102956033", "593460010102956033")</f>
        <v>0</v>
      </c>
      <c r="B2960" s="2">
        <v>42123.7091087963</v>
      </c>
      <c r="C2960">
        <v>14</v>
      </c>
      <c r="D2960">
        <v>11</v>
      </c>
      <c r="E2960" t="s">
        <v>2960</v>
      </c>
    </row>
    <row r="2961" spans="1:5">
      <c r="A2961">
        <f>HYPERLINK("http://www.twitter.com/NYCParks/status/593448226587615233", "593448226587615233")</f>
        <v>0</v>
      </c>
      <c r="B2961" s="2">
        <v>42123.6765856482</v>
      </c>
      <c r="C2961">
        <v>0</v>
      </c>
      <c r="D2961">
        <v>1</v>
      </c>
      <c r="E2961" t="s">
        <v>2961</v>
      </c>
    </row>
    <row r="2962" spans="1:5">
      <c r="A2962">
        <f>HYPERLINK("http://www.twitter.com/NYCParks/status/593446022992519168", "593446022992519168")</f>
        <v>0</v>
      </c>
      <c r="B2962" s="2">
        <v>42123.6705092593</v>
      </c>
      <c r="C2962">
        <v>8</v>
      </c>
      <c r="D2962">
        <v>4</v>
      </c>
      <c r="E2962" t="s">
        <v>2962</v>
      </c>
    </row>
    <row r="2963" spans="1:5">
      <c r="A2963">
        <f>HYPERLINK("http://www.twitter.com/NYCParks/status/593428432551342080", "593428432551342080")</f>
        <v>0</v>
      </c>
      <c r="B2963" s="2">
        <v>42123.6219675926</v>
      </c>
      <c r="C2963">
        <v>6</v>
      </c>
      <c r="D2963">
        <v>5</v>
      </c>
      <c r="E2963" t="s">
        <v>2963</v>
      </c>
    </row>
    <row r="2964" spans="1:5">
      <c r="A2964">
        <f>HYPERLINK("http://www.twitter.com/NYCParks/status/593141655299043328", "593141655299043328")</f>
        <v>0</v>
      </c>
      <c r="B2964" s="2">
        <v>42122.8306134259</v>
      </c>
      <c r="C2964">
        <v>19</v>
      </c>
      <c r="D2964">
        <v>10</v>
      </c>
      <c r="E2964" t="s">
        <v>2964</v>
      </c>
    </row>
    <row r="2965" spans="1:5">
      <c r="A2965">
        <f>HYPERLINK("http://www.twitter.com/NYCParks/status/593124559978700802", "593124559978700802")</f>
        <v>0</v>
      </c>
      <c r="B2965" s="2">
        <v>42122.7834375</v>
      </c>
      <c r="C2965">
        <v>14</v>
      </c>
      <c r="D2965">
        <v>12</v>
      </c>
      <c r="E2965" t="s">
        <v>2965</v>
      </c>
    </row>
    <row r="2966" spans="1:5">
      <c r="A2966">
        <f>HYPERLINK("http://www.twitter.com/NYCParks/status/593110882999218176", "593110882999218176")</f>
        <v>0</v>
      </c>
      <c r="B2966" s="2">
        <v>42122.7456944444</v>
      </c>
      <c r="C2966">
        <v>25</v>
      </c>
      <c r="D2966">
        <v>15</v>
      </c>
      <c r="E2966" t="s">
        <v>2966</v>
      </c>
    </row>
    <row r="2967" spans="1:5">
      <c r="A2967">
        <f>HYPERLINK("http://www.twitter.com/NYCParks/status/593094194081734657", "593094194081734657")</f>
        <v>0</v>
      </c>
      <c r="B2967" s="2">
        <v>42122.6996412037</v>
      </c>
      <c r="C2967">
        <v>46</v>
      </c>
      <c r="D2967">
        <v>40</v>
      </c>
      <c r="E2967" t="s">
        <v>2967</v>
      </c>
    </row>
    <row r="2968" spans="1:5">
      <c r="A2968">
        <f>HYPERLINK("http://www.twitter.com/NYCParks/status/593081339802460160", "593081339802460160")</f>
        <v>0</v>
      </c>
      <c r="B2968" s="2">
        <v>42122.6641666667</v>
      </c>
      <c r="C2968">
        <v>0</v>
      </c>
      <c r="D2968">
        <v>0</v>
      </c>
      <c r="E2968" t="s">
        <v>2968</v>
      </c>
    </row>
    <row r="2969" spans="1:5">
      <c r="A2969">
        <f>HYPERLINK("http://www.twitter.com/NYCParks/status/593079466684997633", "593079466684997633")</f>
        <v>0</v>
      </c>
      <c r="B2969" s="2">
        <v>42122.6590046296</v>
      </c>
      <c r="C2969">
        <v>13</v>
      </c>
      <c r="D2969">
        <v>4</v>
      </c>
      <c r="E2969" t="s">
        <v>2969</v>
      </c>
    </row>
    <row r="2970" spans="1:5">
      <c r="A2970">
        <f>HYPERLINK("http://www.twitter.com/NYCParks/status/593062681713745921", "593062681713745921")</f>
        <v>0</v>
      </c>
      <c r="B2970" s="2">
        <v>42122.6126851852</v>
      </c>
      <c r="C2970">
        <v>22</v>
      </c>
      <c r="D2970">
        <v>18</v>
      </c>
      <c r="E2970" t="s">
        <v>2970</v>
      </c>
    </row>
    <row r="2971" spans="1:5">
      <c r="A2971">
        <f>HYPERLINK("http://www.twitter.com/NYCParks/status/593045970365116416", "593045970365116416")</f>
        <v>0</v>
      </c>
      <c r="B2971" s="2">
        <v>42122.5665740741</v>
      </c>
      <c r="C2971">
        <v>0</v>
      </c>
      <c r="D2971">
        <v>20</v>
      </c>
      <c r="E2971" t="s">
        <v>2971</v>
      </c>
    </row>
    <row r="2972" spans="1:5">
      <c r="A2972">
        <f>HYPERLINK("http://www.twitter.com/NYCParks/status/592772163150684160", "592772163150684160")</f>
        <v>0</v>
      </c>
      <c r="B2972" s="2">
        <v>42121.8110069444</v>
      </c>
      <c r="C2972">
        <v>9</v>
      </c>
      <c r="D2972">
        <v>7</v>
      </c>
      <c r="E2972" t="s">
        <v>2972</v>
      </c>
    </row>
    <row r="2973" spans="1:5">
      <c r="A2973">
        <f>HYPERLINK("http://www.twitter.com/NYCParks/status/592755710414495746", "592755710414495746")</f>
        <v>0</v>
      </c>
      <c r="B2973" s="2">
        <v>42121.7656018519</v>
      </c>
      <c r="C2973">
        <v>23</v>
      </c>
      <c r="D2973">
        <v>17</v>
      </c>
      <c r="E2973" t="s">
        <v>2973</v>
      </c>
    </row>
    <row r="2974" spans="1:5">
      <c r="A2974">
        <f>HYPERLINK("http://www.twitter.com/NYCParks/status/592742163462660096", "592742163462660096")</f>
        <v>0</v>
      </c>
      <c r="B2974" s="2">
        <v>42121.7282291667</v>
      </c>
      <c r="C2974">
        <v>0</v>
      </c>
      <c r="D2974">
        <v>22</v>
      </c>
      <c r="E2974" t="s">
        <v>2974</v>
      </c>
    </row>
    <row r="2975" spans="1:5">
      <c r="A2975">
        <f>HYPERLINK("http://www.twitter.com/NYCParks/status/592726230887182337", "592726230887182337")</f>
        <v>0</v>
      </c>
      <c r="B2975" s="2">
        <v>42121.6842592593</v>
      </c>
      <c r="C2975">
        <v>2</v>
      </c>
      <c r="D2975">
        <v>4</v>
      </c>
      <c r="E2975" t="s">
        <v>2975</v>
      </c>
    </row>
    <row r="2976" spans="1:5">
      <c r="A2976">
        <f>HYPERLINK("http://www.twitter.com/NYCParks/status/592719650431066113", "592719650431066113")</f>
        <v>0</v>
      </c>
      <c r="B2976" s="2">
        <v>42121.666099537</v>
      </c>
      <c r="C2976">
        <v>1</v>
      </c>
      <c r="D2976">
        <v>0</v>
      </c>
      <c r="E2976" t="s">
        <v>2976</v>
      </c>
    </row>
    <row r="2977" spans="1:5">
      <c r="A2977">
        <f>HYPERLINK("http://www.twitter.com/NYCParks/status/592712663886594053", "592712663886594053")</f>
        <v>0</v>
      </c>
      <c r="B2977" s="2">
        <v>42121.6468171296</v>
      </c>
      <c r="C2977">
        <v>11</v>
      </c>
      <c r="D2977">
        <v>8</v>
      </c>
      <c r="E2977" t="s">
        <v>2977</v>
      </c>
    </row>
    <row r="2978" spans="1:5">
      <c r="A2978">
        <f>HYPERLINK("http://www.twitter.com/NYCParks/status/592053423064928256", "592053423064928256")</f>
        <v>0</v>
      </c>
      <c r="B2978" s="2">
        <v>42119.827662037</v>
      </c>
      <c r="C2978">
        <v>0</v>
      </c>
      <c r="D2978">
        <v>7</v>
      </c>
      <c r="E2978" t="s">
        <v>2978</v>
      </c>
    </row>
    <row r="2979" spans="1:5">
      <c r="A2979">
        <f>HYPERLINK("http://www.twitter.com/NYCParks/status/591703637824507904", "591703637824507904")</f>
        <v>0</v>
      </c>
      <c r="B2979" s="2">
        <v>42118.8624421296</v>
      </c>
      <c r="C2979">
        <v>0</v>
      </c>
      <c r="D2979">
        <v>31</v>
      </c>
      <c r="E2979" t="s">
        <v>2979</v>
      </c>
    </row>
    <row r="2980" spans="1:5">
      <c r="A2980">
        <f>HYPERLINK("http://www.twitter.com/NYCParks/status/591681778328465410", "591681778328465410")</f>
        <v>0</v>
      </c>
      <c r="B2980" s="2">
        <v>42118.8021180556</v>
      </c>
      <c r="C2980">
        <v>16</v>
      </c>
      <c r="D2980">
        <v>15</v>
      </c>
      <c r="E2980" t="s">
        <v>2980</v>
      </c>
    </row>
    <row r="2981" spans="1:5">
      <c r="A2981">
        <f>HYPERLINK("http://www.twitter.com/NYCParks/status/591666962167681024", "591666962167681024")</f>
        <v>0</v>
      </c>
      <c r="B2981" s="2">
        <v>42118.7612384259</v>
      </c>
      <c r="C2981">
        <v>10</v>
      </c>
      <c r="D2981">
        <v>7</v>
      </c>
      <c r="E2981" t="s">
        <v>2981</v>
      </c>
    </row>
    <row r="2982" spans="1:5">
      <c r="A2982">
        <f>HYPERLINK("http://www.twitter.com/NYCParks/status/591644377853915136", "591644377853915136")</f>
        <v>0</v>
      </c>
      <c r="B2982" s="2">
        <v>42118.698912037</v>
      </c>
      <c r="C2982">
        <v>52</v>
      </c>
      <c r="D2982">
        <v>22</v>
      </c>
      <c r="E2982" t="s">
        <v>2982</v>
      </c>
    </row>
    <row r="2983" spans="1:5">
      <c r="A2983">
        <f>HYPERLINK("http://www.twitter.com/NYCParks/status/591625354399330304", "591625354399330304")</f>
        <v>0</v>
      </c>
      <c r="B2983" s="2">
        <v>42118.6464236111</v>
      </c>
      <c r="C2983">
        <v>0</v>
      </c>
      <c r="D2983">
        <v>0</v>
      </c>
      <c r="E2983" t="s">
        <v>2983</v>
      </c>
    </row>
    <row r="2984" spans="1:5">
      <c r="A2984">
        <f>HYPERLINK("http://www.twitter.com/NYCParks/status/591620446057078786", "591620446057078786")</f>
        <v>0</v>
      </c>
      <c r="B2984" s="2">
        <v>42118.6328703704</v>
      </c>
      <c r="C2984">
        <v>14</v>
      </c>
      <c r="D2984">
        <v>20</v>
      </c>
      <c r="E2984" t="s">
        <v>2984</v>
      </c>
    </row>
    <row r="2985" spans="1:5">
      <c r="A2985">
        <f>HYPERLINK("http://www.twitter.com/NYCParks/status/591611873235185664", "591611873235185664")</f>
        <v>0</v>
      </c>
      <c r="B2985" s="2">
        <v>42118.609212963</v>
      </c>
      <c r="C2985">
        <v>0</v>
      </c>
      <c r="D2985">
        <v>0</v>
      </c>
      <c r="E2985" t="s">
        <v>2985</v>
      </c>
    </row>
    <row r="2986" spans="1:5">
      <c r="A2986">
        <f>HYPERLINK("http://www.twitter.com/NYCParks/status/591611412788707328", "591611412788707328")</f>
        <v>0</v>
      </c>
      <c r="B2986" s="2">
        <v>42118.6079513889</v>
      </c>
      <c r="C2986">
        <v>0</v>
      </c>
      <c r="D2986">
        <v>1</v>
      </c>
      <c r="E2986" t="s">
        <v>2986</v>
      </c>
    </row>
    <row r="2987" spans="1:5">
      <c r="A2987">
        <f>HYPERLINK("http://www.twitter.com/NYCParks/status/591606525141082113", "591606525141082113")</f>
        <v>0</v>
      </c>
      <c r="B2987" s="2">
        <v>42118.5944560185</v>
      </c>
      <c r="C2987">
        <v>18</v>
      </c>
      <c r="D2987">
        <v>8</v>
      </c>
      <c r="E2987" t="s">
        <v>2987</v>
      </c>
    </row>
    <row r="2988" spans="1:5">
      <c r="A2988">
        <f>HYPERLINK("http://www.twitter.com/NYCParks/status/591325581922291712", "591325581922291712")</f>
        <v>0</v>
      </c>
      <c r="B2988" s="2">
        <v>42117.8192013889</v>
      </c>
      <c r="C2988">
        <v>9</v>
      </c>
      <c r="D2988">
        <v>6</v>
      </c>
      <c r="E2988" t="s">
        <v>2988</v>
      </c>
    </row>
    <row r="2989" spans="1:5">
      <c r="A2989">
        <f>HYPERLINK("http://www.twitter.com/NYCParks/status/591316946995523584", "591316946995523584")</f>
        <v>0</v>
      </c>
      <c r="B2989" s="2">
        <v>42117.7953703704</v>
      </c>
      <c r="C2989">
        <v>1</v>
      </c>
      <c r="D2989">
        <v>0</v>
      </c>
      <c r="E2989" t="s">
        <v>2989</v>
      </c>
    </row>
    <row r="2990" spans="1:5">
      <c r="A2990">
        <f>HYPERLINK("http://www.twitter.com/NYCParks/status/591309145061650434", "591309145061650434")</f>
        <v>0</v>
      </c>
      <c r="B2990" s="2">
        <v>42117.7738425926</v>
      </c>
      <c r="C2990">
        <v>38</v>
      </c>
      <c r="D2990">
        <v>24</v>
      </c>
      <c r="E2990" t="s">
        <v>2990</v>
      </c>
    </row>
    <row r="2991" spans="1:5">
      <c r="A2991">
        <f>HYPERLINK("http://www.twitter.com/NYCParks/status/591292690949636096", "591292690949636096")</f>
        <v>0</v>
      </c>
      <c r="B2991" s="2">
        <v>42117.7284375</v>
      </c>
      <c r="C2991">
        <v>7</v>
      </c>
      <c r="D2991">
        <v>11</v>
      </c>
      <c r="E2991" t="s">
        <v>2991</v>
      </c>
    </row>
    <row r="2992" spans="1:5">
      <c r="A2992">
        <f>HYPERLINK("http://www.twitter.com/NYCParks/status/591271067357945856", "591271067357945856")</f>
        <v>0</v>
      </c>
      <c r="B2992" s="2">
        <v>42117.6687731482</v>
      </c>
      <c r="C2992">
        <v>159</v>
      </c>
      <c r="D2992">
        <v>129</v>
      </c>
      <c r="E2992" t="s">
        <v>2992</v>
      </c>
    </row>
    <row r="2993" spans="1:5">
      <c r="A2993">
        <f>HYPERLINK("http://www.twitter.com/NYCParks/status/591255725428604930", "591255725428604930")</f>
        <v>0</v>
      </c>
      <c r="B2993" s="2">
        <v>42117.6264351852</v>
      </c>
      <c r="C2993">
        <v>17</v>
      </c>
      <c r="D2993">
        <v>9</v>
      </c>
      <c r="E2993" t="s">
        <v>2993</v>
      </c>
    </row>
    <row r="2994" spans="1:5">
      <c r="A2994">
        <f>HYPERLINK("http://www.twitter.com/NYCParks/status/590970371119120385", "590970371119120385")</f>
        <v>0</v>
      </c>
      <c r="B2994" s="2">
        <v>42116.8390046296</v>
      </c>
      <c r="C2994">
        <v>11</v>
      </c>
      <c r="D2994">
        <v>6</v>
      </c>
      <c r="E2994" t="s">
        <v>2994</v>
      </c>
    </row>
    <row r="2995" spans="1:5">
      <c r="A2995">
        <f>HYPERLINK("http://www.twitter.com/NYCParks/status/590952022322651136", "590952022322651136")</f>
        <v>0</v>
      </c>
      <c r="B2995" s="2">
        <v>42116.7883796296</v>
      </c>
      <c r="C2995">
        <v>27</v>
      </c>
      <c r="D2995">
        <v>42</v>
      </c>
      <c r="E2995" t="s">
        <v>2995</v>
      </c>
    </row>
    <row r="2996" spans="1:5">
      <c r="A2996">
        <f>HYPERLINK("http://www.twitter.com/NYCParks/status/590936149335617538", "590936149335617538")</f>
        <v>0</v>
      </c>
      <c r="B2996" s="2">
        <v>42116.7445717593</v>
      </c>
      <c r="C2996">
        <v>12</v>
      </c>
      <c r="D2996">
        <v>8</v>
      </c>
      <c r="E2996" t="s">
        <v>2996</v>
      </c>
    </row>
    <row r="2997" spans="1:5">
      <c r="A2997">
        <f>HYPERLINK("http://www.twitter.com/NYCParks/status/590922127425064961", "590922127425064961")</f>
        <v>0</v>
      </c>
      <c r="B2997" s="2">
        <v>42116.7058796296</v>
      </c>
      <c r="C2997">
        <v>9</v>
      </c>
      <c r="D2997">
        <v>10</v>
      </c>
      <c r="E2997" t="s">
        <v>2997</v>
      </c>
    </row>
    <row r="2998" spans="1:5">
      <c r="A2998">
        <f>HYPERLINK("http://www.twitter.com/NYCParks/status/590908095158685697", "590908095158685697")</f>
        <v>0</v>
      </c>
      <c r="B2998" s="2">
        <v>42116.6671643518</v>
      </c>
      <c r="C2998">
        <v>0</v>
      </c>
      <c r="D2998">
        <v>16</v>
      </c>
      <c r="E2998" t="s">
        <v>2998</v>
      </c>
    </row>
    <row r="2999" spans="1:5">
      <c r="A2999">
        <f>HYPERLINK("http://www.twitter.com/NYCParks/status/590885985321353217", "590885985321353217")</f>
        <v>0</v>
      </c>
      <c r="B2999" s="2">
        <v>42116.6061458333</v>
      </c>
      <c r="C2999">
        <v>16</v>
      </c>
      <c r="D2999">
        <v>19</v>
      </c>
      <c r="E2999" t="s">
        <v>2999</v>
      </c>
    </row>
    <row r="3000" spans="1:5">
      <c r="A3000">
        <f>HYPERLINK("http://www.twitter.com/NYCParks/status/590598589463842816", "590598589463842816")</f>
        <v>0</v>
      </c>
      <c r="B3000" s="2">
        <v>42115.8130902778</v>
      </c>
      <c r="C3000">
        <v>14</v>
      </c>
      <c r="D3000">
        <v>23</v>
      </c>
      <c r="E3000" t="s">
        <v>3000</v>
      </c>
    </row>
    <row r="3001" spans="1:5">
      <c r="A3001">
        <f>HYPERLINK("http://www.twitter.com/NYCParks/status/590580509866074113", "590580509866074113")</f>
        <v>0</v>
      </c>
      <c r="B3001" s="2">
        <v>42115.7631944444</v>
      </c>
      <c r="C3001">
        <v>17</v>
      </c>
      <c r="D3001">
        <v>12</v>
      </c>
      <c r="E3001" t="s">
        <v>3001</v>
      </c>
    </row>
    <row r="3002" spans="1:5">
      <c r="A3002">
        <f>HYPERLINK("http://www.twitter.com/NYCParks/status/590560681247821824", "590560681247821824")</f>
        <v>0</v>
      </c>
      <c r="B3002" s="2">
        <v>42115.7084837963</v>
      </c>
      <c r="C3002">
        <v>48</v>
      </c>
      <c r="D3002">
        <v>48</v>
      </c>
      <c r="E3002" t="s">
        <v>3002</v>
      </c>
    </row>
    <row r="3003" spans="1:5">
      <c r="A3003">
        <f>HYPERLINK("http://www.twitter.com/NYCParks/status/590543849707216896", "590543849707216896")</f>
        <v>0</v>
      </c>
      <c r="B3003" s="2">
        <v>42115.662037037</v>
      </c>
      <c r="C3003">
        <v>25</v>
      </c>
      <c r="D3003">
        <v>18</v>
      </c>
      <c r="E3003" t="s">
        <v>3003</v>
      </c>
    </row>
    <row r="3004" spans="1:5">
      <c r="A3004">
        <f>HYPERLINK("http://www.twitter.com/NYCParks/status/590527658485768192", "590527658485768192")</f>
        <v>0</v>
      </c>
      <c r="B3004" s="2">
        <v>42115.617349537</v>
      </c>
      <c r="C3004">
        <v>12</v>
      </c>
      <c r="D3004">
        <v>14</v>
      </c>
      <c r="E3004" t="s">
        <v>3004</v>
      </c>
    </row>
    <row r="3005" spans="1:5">
      <c r="A3005">
        <f>HYPERLINK("http://www.twitter.com/NYCParks/status/590244930238468096", "590244930238468096")</f>
        <v>0</v>
      </c>
      <c r="B3005" s="2">
        <v>42114.8371759259</v>
      </c>
      <c r="C3005">
        <v>27</v>
      </c>
      <c r="D3005">
        <v>22</v>
      </c>
      <c r="E3005" t="s">
        <v>3005</v>
      </c>
    </row>
    <row r="3006" spans="1:5">
      <c r="A3006">
        <f>HYPERLINK("http://www.twitter.com/NYCParks/status/590229779711971328", "590229779711971328")</f>
        <v>0</v>
      </c>
      <c r="B3006" s="2">
        <v>42114.7953703704</v>
      </c>
      <c r="C3006">
        <v>6</v>
      </c>
      <c r="D3006">
        <v>7</v>
      </c>
      <c r="E3006" t="s">
        <v>3006</v>
      </c>
    </row>
    <row r="3007" spans="1:5">
      <c r="A3007">
        <f>HYPERLINK("http://www.twitter.com/NYCParks/status/590212061080248321", "590212061080248321")</f>
        <v>0</v>
      </c>
      <c r="B3007" s="2">
        <v>42114.7464699074</v>
      </c>
      <c r="C3007">
        <v>8</v>
      </c>
      <c r="D3007">
        <v>11</v>
      </c>
      <c r="E3007" t="s">
        <v>3007</v>
      </c>
    </row>
    <row r="3008" spans="1:5">
      <c r="A3008">
        <f>HYPERLINK("http://www.twitter.com/NYCParks/status/590197780662067200", "590197780662067200")</f>
        <v>0</v>
      </c>
      <c r="B3008" s="2">
        <v>42114.7070601852</v>
      </c>
      <c r="C3008">
        <v>14</v>
      </c>
      <c r="D3008">
        <v>13</v>
      </c>
      <c r="E3008" t="s">
        <v>3008</v>
      </c>
    </row>
    <row r="3009" spans="1:5">
      <c r="A3009">
        <f>HYPERLINK("http://www.twitter.com/NYCParks/status/590181462432964609", "590181462432964609")</f>
        <v>0</v>
      </c>
      <c r="B3009" s="2">
        <v>42114.662037037</v>
      </c>
      <c r="C3009">
        <v>5</v>
      </c>
      <c r="D3009">
        <v>4</v>
      </c>
      <c r="E3009" t="s">
        <v>3009</v>
      </c>
    </row>
    <row r="3010" spans="1:5">
      <c r="A3010">
        <f>HYPERLINK("http://www.twitter.com/NYCParks/status/590165343856893953", "590165343856893953")</f>
        <v>0</v>
      </c>
      <c r="B3010" s="2">
        <v>42114.6175578704</v>
      </c>
      <c r="C3010">
        <v>20</v>
      </c>
      <c r="D3010">
        <v>10</v>
      </c>
      <c r="E3010" t="s">
        <v>3010</v>
      </c>
    </row>
    <row r="3011" spans="1:5">
      <c r="A3011">
        <f>HYPERLINK("http://www.twitter.com/NYCParks/status/589886776254324737", "589886776254324737")</f>
        <v>0</v>
      </c>
      <c r="B3011" s="2">
        <v>42113.8488541667</v>
      </c>
      <c r="C3011">
        <v>0</v>
      </c>
      <c r="D3011">
        <v>22</v>
      </c>
      <c r="E3011" t="s">
        <v>3011</v>
      </c>
    </row>
    <row r="3012" spans="1:5">
      <c r="A3012">
        <f>HYPERLINK("http://www.twitter.com/NYCParks/status/589157729580797953", "589157729580797953")</f>
        <v>0</v>
      </c>
      <c r="B3012" s="2">
        <v>42111.8370717593</v>
      </c>
      <c r="C3012">
        <v>7</v>
      </c>
      <c r="D3012">
        <v>4</v>
      </c>
      <c r="E3012" t="s">
        <v>3012</v>
      </c>
    </row>
    <row r="3013" spans="1:5">
      <c r="A3013">
        <f>HYPERLINK("http://www.twitter.com/NYCParks/status/589142714475745284", "589142714475745284")</f>
        <v>0</v>
      </c>
      <c r="B3013" s="2">
        <v>42111.7956365741</v>
      </c>
      <c r="C3013">
        <v>0</v>
      </c>
      <c r="D3013">
        <v>21</v>
      </c>
      <c r="E3013" t="s">
        <v>3013</v>
      </c>
    </row>
    <row r="3014" spans="1:5">
      <c r="A3014">
        <f>HYPERLINK("http://www.twitter.com/NYCParks/status/589127814579941376", "589127814579941376")</f>
        <v>0</v>
      </c>
      <c r="B3014" s="2">
        <v>42111.754525463</v>
      </c>
      <c r="C3014">
        <v>12</v>
      </c>
      <c r="D3014">
        <v>9</v>
      </c>
      <c r="E3014" t="s">
        <v>3014</v>
      </c>
    </row>
    <row r="3015" spans="1:5">
      <c r="A3015">
        <f>HYPERLINK("http://www.twitter.com/NYCParks/status/589113118535655424", "589113118535655424")</f>
        <v>0</v>
      </c>
      <c r="B3015" s="2">
        <v>42111.7139699074</v>
      </c>
      <c r="C3015">
        <v>8</v>
      </c>
      <c r="D3015">
        <v>12</v>
      </c>
      <c r="E3015" t="s">
        <v>3015</v>
      </c>
    </row>
    <row r="3016" spans="1:5">
      <c r="A3016">
        <f>HYPERLINK("http://www.twitter.com/NYCParks/status/589094743373647872", "589094743373647872")</f>
        <v>0</v>
      </c>
      <c r="B3016" s="2">
        <v>42111.6632638889</v>
      </c>
      <c r="C3016">
        <v>16</v>
      </c>
      <c r="D3016">
        <v>9</v>
      </c>
      <c r="E3016" t="s">
        <v>3016</v>
      </c>
    </row>
    <row r="3017" spans="1:5">
      <c r="A3017">
        <f>HYPERLINK("http://www.twitter.com/NYCParks/status/589082920754814976", "589082920754814976")</f>
        <v>0</v>
      </c>
      <c r="B3017" s="2">
        <v>42111.6306365741</v>
      </c>
      <c r="C3017">
        <v>1</v>
      </c>
      <c r="D3017">
        <v>0</v>
      </c>
      <c r="E3017" t="s">
        <v>3017</v>
      </c>
    </row>
    <row r="3018" spans="1:5">
      <c r="A3018">
        <f>HYPERLINK("http://www.twitter.com/NYCParks/status/589078022625583104", "589078022625583104")</f>
        <v>0</v>
      </c>
      <c r="B3018" s="2">
        <v>42111.6171180556</v>
      </c>
      <c r="C3018">
        <v>14</v>
      </c>
      <c r="D3018">
        <v>11</v>
      </c>
      <c r="E3018" t="s">
        <v>3018</v>
      </c>
    </row>
    <row r="3019" spans="1:5">
      <c r="A3019">
        <f>HYPERLINK("http://www.twitter.com/NYCParks/status/588778147614744576", "588778147614744576")</f>
        <v>0</v>
      </c>
      <c r="B3019" s="2">
        <v>42110.7896296296</v>
      </c>
      <c r="C3019">
        <v>7</v>
      </c>
      <c r="D3019">
        <v>2</v>
      </c>
      <c r="E3019" t="s">
        <v>3019</v>
      </c>
    </row>
    <row r="3020" spans="1:5">
      <c r="A3020">
        <f>HYPERLINK("http://www.twitter.com/NYCParks/status/588763682978553856", "588763682978553856")</f>
        <v>0</v>
      </c>
      <c r="B3020" s="2">
        <v>42110.7497106481</v>
      </c>
      <c r="C3020">
        <v>19</v>
      </c>
      <c r="D3020">
        <v>16</v>
      </c>
      <c r="E3020" t="s">
        <v>3020</v>
      </c>
    </row>
    <row r="3021" spans="1:5">
      <c r="A3021">
        <f>HYPERLINK("http://www.twitter.com/NYCParks/status/588747335884271616", "588747335884271616")</f>
        <v>0</v>
      </c>
      <c r="B3021" s="2">
        <v>42110.7045949074</v>
      </c>
      <c r="C3021">
        <v>20</v>
      </c>
      <c r="D3021">
        <v>22</v>
      </c>
      <c r="E3021" t="s">
        <v>3021</v>
      </c>
    </row>
    <row r="3022" spans="1:5">
      <c r="A3022">
        <f>HYPERLINK("http://www.twitter.com/NYCParks/status/588731190850560000", "588731190850560000")</f>
        <v>0</v>
      </c>
      <c r="B3022" s="2">
        <v>42110.6600462963</v>
      </c>
      <c r="C3022">
        <v>15</v>
      </c>
      <c r="D3022">
        <v>13</v>
      </c>
      <c r="E3022" t="s">
        <v>3022</v>
      </c>
    </row>
    <row r="3023" spans="1:5">
      <c r="A3023">
        <f>HYPERLINK("http://www.twitter.com/NYCParks/status/588718354380234752", "588718354380234752")</f>
        <v>0</v>
      </c>
      <c r="B3023" s="2">
        <v>42110.6246296296</v>
      </c>
      <c r="C3023">
        <v>0</v>
      </c>
      <c r="D3023">
        <v>0</v>
      </c>
      <c r="E3023" t="s">
        <v>3023</v>
      </c>
    </row>
    <row r="3024" spans="1:5">
      <c r="A3024">
        <f>HYPERLINK("http://www.twitter.com/NYCParks/status/588715256500879360", "588715256500879360")</f>
        <v>0</v>
      </c>
      <c r="B3024" s="2">
        <v>42110.6160763889</v>
      </c>
      <c r="C3024">
        <v>24</v>
      </c>
      <c r="D3024">
        <v>15</v>
      </c>
      <c r="E3024" t="s">
        <v>3024</v>
      </c>
    </row>
    <row r="3025" spans="1:5">
      <c r="A3025">
        <f>HYPERLINK("http://www.twitter.com/NYCParks/status/588455057332391936", "588455057332391936")</f>
        <v>0</v>
      </c>
      <c r="B3025" s="2">
        <v>42109.8980671296</v>
      </c>
      <c r="C3025">
        <v>2</v>
      </c>
      <c r="D3025">
        <v>3</v>
      </c>
      <c r="E3025" t="s">
        <v>3025</v>
      </c>
    </row>
    <row r="3026" spans="1:5">
      <c r="A3026">
        <f>HYPERLINK("http://www.twitter.com/NYCParks/status/588440023231373312", "588440023231373312")</f>
        <v>0</v>
      </c>
      <c r="B3026" s="2">
        <v>42109.8565740741</v>
      </c>
      <c r="C3026">
        <v>16</v>
      </c>
      <c r="D3026">
        <v>10</v>
      </c>
      <c r="E3026" t="s">
        <v>3026</v>
      </c>
    </row>
    <row r="3027" spans="1:5">
      <c r="A3027">
        <f>HYPERLINK("http://www.twitter.com/NYCParks/status/588424165490880512", "588424165490880512")</f>
        <v>0</v>
      </c>
      <c r="B3027" s="2">
        <v>42109.8128240741</v>
      </c>
      <c r="C3027">
        <v>13</v>
      </c>
      <c r="D3027">
        <v>7</v>
      </c>
      <c r="E3027" t="s">
        <v>3027</v>
      </c>
    </row>
    <row r="3028" spans="1:5">
      <c r="A3028">
        <f>HYPERLINK("http://www.twitter.com/NYCParks/status/588408604564267008", "588408604564267008")</f>
        <v>0</v>
      </c>
      <c r="B3028" s="2">
        <v>42109.7698842593</v>
      </c>
      <c r="C3028">
        <v>20</v>
      </c>
      <c r="D3028">
        <v>18</v>
      </c>
      <c r="E3028" t="s">
        <v>3028</v>
      </c>
    </row>
    <row r="3029" spans="1:5">
      <c r="A3029">
        <f>HYPERLINK("http://www.twitter.com/NYCParks/status/588388434726760449", "588388434726760449")</f>
        <v>0</v>
      </c>
      <c r="B3029" s="2">
        <v>42109.714224537</v>
      </c>
      <c r="C3029">
        <v>5</v>
      </c>
      <c r="D3029">
        <v>4</v>
      </c>
      <c r="E3029" t="s">
        <v>3029</v>
      </c>
    </row>
    <row r="3030" spans="1:5">
      <c r="A3030">
        <f>HYPERLINK("http://www.twitter.com/NYCParks/status/588384632053243904", "588384632053243904")</f>
        <v>0</v>
      </c>
      <c r="B3030" s="2">
        <v>42109.7037268519</v>
      </c>
      <c r="C3030">
        <v>0</v>
      </c>
      <c r="D3030">
        <v>0</v>
      </c>
      <c r="E3030" t="s">
        <v>3030</v>
      </c>
    </row>
    <row r="3031" spans="1:5">
      <c r="A3031">
        <f>HYPERLINK("http://www.twitter.com/NYCParks/status/588370469914550272", "588370469914550272")</f>
        <v>0</v>
      </c>
      <c r="B3031" s="2">
        <v>42109.6646527778</v>
      </c>
      <c r="C3031">
        <v>22</v>
      </c>
      <c r="D3031">
        <v>15</v>
      </c>
      <c r="E3031" t="s">
        <v>3031</v>
      </c>
    </row>
    <row r="3032" spans="1:5">
      <c r="A3032">
        <f>HYPERLINK("http://www.twitter.com/NYCParks/status/588351443796631552", "588351443796631552")</f>
        <v>0</v>
      </c>
      <c r="B3032" s="2">
        <v>42109.6121412037</v>
      </c>
      <c r="C3032">
        <v>19</v>
      </c>
      <c r="D3032">
        <v>19</v>
      </c>
      <c r="E3032" t="s">
        <v>3032</v>
      </c>
    </row>
    <row r="3033" spans="1:5">
      <c r="A3033">
        <f>HYPERLINK("http://www.twitter.com/NYCParks/status/588076815178199041", "588076815178199041")</f>
        <v>0</v>
      </c>
      <c r="B3033" s="2">
        <v>42108.8543171296</v>
      </c>
      <c r="C3033">
        <v>13</v>
      </c>
      <c r="D3033">
        <v>13</v>
      </c>
      <c r="E3033" t="s">
        <v>3033</v>
      </c>
    </row>
    <row r="3034" spans="1:5">
      <c r="A3034">
        <f>HYPERLINK("http://www.twitter.com/NYCParks/status/588063031944445952", "588063031944445952")</f>
        <v>0</v>
      </c>
      <c r="B3034" s="2">
        <v>42108.8162847222</v>
      </c>
      <c r="C3034">
        <v>6</v>
      </c>
      <c r="D3034">
        <v>4</v>
      </c>
      <c r="E3034" t="s">
        <v>3034</v>
      </c>
    </row>
    <row r="3035" spans="1:5">
      <c r="A3035">
        <f>HYPERLINK("http://www.twitter.com/NYCParks/status/588040015982235648", "588040015982235648")</f>
        <v>0</v>
      </c>
      <c r="B3035" s="2">
        <v>42108.7527662037</v>
      </c>
      <c r="C3035">
        <v>19</v>
      </c>
      <c r="D3035">
        <v>13</v>
      </c>
      <c r="E3035" t="s">
        <v>3035</v>
      </c>
    </row>
    <row r="3036" spans="1:5">
      <c r="A3036">
        <f>HYPERLINK("http://www.twitter.com/NYCParks/status/588021410951475200", "588021410951475200")</f>
        <v>0</v>
      </c>
      <c r="B3036" s="2">
        <v>42108.7014236111</v>
      </c>
      <c r="C3036">
        <v>8</v>
      </c>
      <c r="D3036">
        <v>11</v>
      </c>
      <c r="E3036" t="s">
        <v>3036</v>
      </c>
    </row>
    <row r="3037" spans="1:5">
      <c r="A3037">
        <f>HYPERLINK("http://www.twitter.com/NYCParks/status/588003573973266433", "588003573973266433")</f>
        <v>0</v>
      </c>
      <c r="B3037" s="2">
        <v>42108.6522106481</v>
      </c>
      <c r="C3037">
        <v>12</v>
      </c>
      <c r="D3037">
        <v>15</v>
      </c>
      <c r="E3037" t="s">
        <v>3037</v>
      </c>
    </row>
    <row r="3038" spans="1:5">
      <c r="A3038">
        <f>HYPERLINK("http://www.twitter.com/NYCParks/status/587988128754970624", "587988128754970624")</f>
        <v>0</v>
      </c>
      <c r="B3038" s="2">
        <v>42108.6095833333</v>
      </c>
      <c r="C3038">
        <v>8</v>
      </c>
      <c r="D3038">
        <v>8</v>
      </c>
      <c r="E3038" t="s">
        <v>3038</v>
      </c>
    </row>
    <row r="3039" spans="1:5">
      <c r="A3039">
        <f>HYPERLINK("http://www.twitter.com/NYCParks/status/587720869365075968", "587720869365075968")</f>
        <v>0</v>
      </c>
      <c r="B3039" s="2">
        <v>42107.8720949074</v>
      </c>
      <c r="C3039">
        <v>30</v>
      </c>
      <c r="D3039">
        <v>23</v>
      </c>
      <c r="E3039" t="s">
        <v>3039</v>
      </c>
    </row>
    <row r="3040" spans="1:5">
      <c r="A3040">
        <f>HYPERLINK("http://www.twitter.com/NYCParks/status/587702965408030721", "587702965408030721")</f>
        <v>0</v>
      </c>
      <c r="B3040" s="2">
        <v>42107.8226851852</v>
      </c>
      <c r="C3040">
        <v>17</v>
      </c>
      <c r="D3040">
        <v>18</v>
      </c>
      <c r="E3040" t="s">
        <v>3040</v>
      </c>
    </row>
    <row r="3041" spans="1:5">
      <c r="A3041">
        <f>HYPERLINK("http://www.twitter.com/NYCParks/status/587684900813279232", "587684900813279232")</f>
        <v>0</v>
      </c>
      <c r="B3041" s="2">
        <v>42107.7728356481</v>
      </c>
      <c r="C3041">
        <v>24</v>
      </c>
      <c r="D3041">
        <v>26</v>
      </c>
      <c r="E3041" t="s">
        <v>3041</v>
      </c>
    </row>
    <row r="3042" spans="1:5">
      <c r="A3042">
        <f>HYPERLINK("http://www.twitter.com/NYCParks/status/587660035817345024", "587660035817345024")</f>
        <v>0</v>
      </c>
      <c r="B3042" s="2">
        <v>42107.704224537</v>
      </c>
      <c r="C3042">
        <v>1</v>
      </c>
      <c r="D3042">
        <v>1</v>
      </c>
      <c r="E3042" t="s">
        <v>3042</v>
      </c>
    </row>
    <row r="3043" spans="1:5">
      <c r="A3043">
        <f>HYPERLINK("http://www.twitter.com/NYCParks/status/587657574171996160", "587657574171996160")</f>
        <v>0</v>
      </c>
      <c r="B3043" s="2">
        <v>42107.6974305556</v>
      </c>
      <c r="C3043">
        <v>15</v>
      </c>
      <c r="D3043">
        <v>13</v>
      </c>
      <c r="E3043" t="s">
        <v>3043</v>
      </c>
    </row>
    <row r="3044" spans="1:5">
      <c r="A3044">
        <f>HYPERLINK("http://www.twitter.com/NYCParks/status/587641682755198976", "587641682755198976")</f>
        <v>0</v>
      </c>
      <c r="B3044" s="2">
        <v>42107.6535763889</v>
      </c>
      <c r="C3044">
        <v>11</v>
      </c>
      <c r="D3044">
        <v>7</v>
      </c>
      <c r="E3044" t="s">
        <v>3044</v>
      </c>
    </row>
    <row r="3045" spans="1:5">
      <c r="A3045">
        <f>HYPERLINK("http://www.twitter.com/NYCParks/status/587626484019437570", "587626484019437570")</f>
        <v>0</v>
      </c>
      <c r="B3045" s="2">
        <v>42107.6116435185</v>
      </c>
      <c r="C3045">
        <v>19</v>
      </c>
      <c r="D3045">
        <v>38</v>
      </c>
      <c r="E3045" t="s">
        <v>3045</v>
      </c>
    </row>
    <row r="3046" spans="1:5">
      <c r="A3046">
        <f>HYPERLINK("http://www.twitter.com/NYCParks/status/586618005653757952", "586618005653757952")</f>
        <v>0</v>
      </c>
      <c r="B3046" s="2">
        <v>42104.8287731481</v>
      </c>
      <c r="C3046">
        <v>30</v>
      </c>
      <c r="D3046">
        <v>40</v>
      </c>
      <c r="E3046" t="s">
        <v>3046</v>
      </c>
    </row>
    <row r="3047" spans="1:5">
      <c r="A3047">
        <f>HYPERLINK("http://www.twitter.com/NYCParks/status/586601292350550016", "586601292350550016")</f>
        <v>0</v>
      </c>
      <c r="B3047" s="2">
        <v>42104.782650463</v>
      </c>
      <c r="C3047">
        <v>10</v>
      </c>
      <c r="D3047">
        <v>8</v>
      </c>
      <c r="E3047" t="s">
        <v>3047</v>
      </c>
    </row>
    <row r="3048" spans="1:5">
      <c r="A3048">
        <f>HYPERLINK("http://www.twitter.com/NYCParks/status/586594724875788289", "586594724875788289")</f>
        <v>0</v>
      </c>
      <c r="B3048" s="2">
        <v>42104.764525463</v>
      </c>
      <c r="C3048">
        <v>2</v>
      </c>
      <c r="D3048">
        <v>1</v>
      </c>
      <c r="E3048" t="s">
        <v>3048</v>
      </c>
    </row>
    <row r="3049" spans="1:5">
      <c r="A3049">
        <f>HYPERLINK("http://www.twitter.com/NYCParks/status/586587291403026432", "586587291403026432")</f>
        <v>0</v>
      </c>
      <c r="B3049" s="2">
        <v>42104.7440162037</v>
      </c>
      <c r="C3049">
        <v>4</v>
      </c>
      <c r="D3049">
        <v>9</v>
      </c>
      <c r="E3049" t="s">
        <v>3049</v>
      </c>
    </row>
    <row r="3050" spans="1:5">
      <c r="A3050">
        <f>HYPERLINK("http://www.twitter.com/NYCParks/status/586555565029089281", "586555565029089281")</f>
        <v>0</v>
      </c>
      <c r="B3050" s="2">
        <v>42104.6564699074</v>
      </c>
      <c r="C3050">
        <v>28</v>
      </c>
      <c r="D3050">
        <v>19</v>
      </c>
      <c r="E3050" t="s">
        <v>3050</v>
      </c>
    </row>
    <row r="3051" spans="1:5">
      <c r="A3051">
        <f>HYPERLINK("http://www.twitter.com/NYCParks/status/586537509796057089", "586537509796057089")</f>
        <v>0</v>
      </c>
      <c r="B3051" s="2">
        <v>42104.6066435185</v>
      </c>
      <c r="C3051">
        <v>12</v>
      </c>
      <c r="D3051">
        <v>10</v>
      </c>
      <c r="E3051" t="s">
        <v>3051</v>
      </c>
    </row>
    <row r="3052" spans="1:5">
      <c r="A3052">
        <f>HYPERLINK("http://www.twitter.com/NYCParks/status/586261192232083456", "586261192232083456")</f>
        <v>0</v>
      </c>
      <c r="B3052" s="2">
        <v>42103.8441550926</v>
      </c>
      <c r="C3052">
        <v>42</v>
      </c>
      <c r="D3052">
        <v>37</v>
      </c>
      <c r="E3052" t="s">
        <v>3052</v>
      </c>
    </row>
    <row r="3053" spans="1:5">
      <c r="A3053">
        <f>HYPERLINK("http://www.twitter.com/NYCParks/status/586244274007764996", "586244274007764996")</f>
        <v>0</v>
      </c>
      <c r="B3053" s="2">
        <v>42103.7974652778</v>
      </c>
      <c r="C3053">
        <v>11</v>
      </c>
      <c r="D3053">
        <v>16</v>
      </c>
      <c r="E3053" t="s">
        <v>3053</v>
      </c>
    </row>
    <row r="3054" spans="1:5">
      <c r="A3054">
        <f>HYPERLINK("http://www.twitter.com/NYCParks/status/586226015279718402", "586226015279718402")</f>
        <v>0</v>
      </c>
      <c r="B3054" s="2">
        <v>42103.7470833333</v>
      </c>
      <c r="C3054">
        <v>11</v>
      </c>
      <c r="D3054">
        <v>7</v>
      </c>
      <c r="E3054" t="s">
        <v>3054</v>
      </c>
    </row>
    <row r="3055" spans="1:5">
      <c r="A3055">
        <f>HYPERLINK("http://www.twitter.com/NYCParks/status/586210280276959232", "586210280276959232")</f>
        <v>0</v>
      </c>
      <c r="B3055" s="2">
        <v>42103.7036574074</v>
      </c>
      <c r="C3055">
        <v>12</v>
      </c>
      <c r="D3055">
        <v>3</v>
      </c>
      <c r="E3055" t="s">
        <v>3055</v>
      </c>
    </row>
    <row r="3056" spans="1:5">
      <c r="A3056">
        <f>HYPERLINK("http://www.twitter.com/NYCParks/status/586194882118733824", "586194882118733824")</f>
        <v>0</v>
      </c>
      <c r="B3056" s="2">
        <v>42103.6611689815</v>
      </c>
      <c r="C3056">
        <v>17</v>
      </c>
      <c r="D3056">
        <v>12</v>
      </c>
      <c r="E3056" t="s">
        <v>3056</v>
      </c>
    </row>
    <row r="3057" spans="1:5">
      <c r="A3057">
        <f>HYPERLINK("http://www.twitter.com/NYCParks/status/586178176667226112", "586178176667226112")</f>
        <v>0</v>
      </c>
      <c r="B3057" s="2">
        <v>42103.6150694444</v>
      </c>
      <c r="C3057">
        <v>18</v>
      </c>
      <c r="D3057">
        <v>19</v>
      </c>
      <c r="E3057" t="s">
        <v>3057</v>
      </c>
    </row>
    <row r="3058" spans="1:5">
      <c r="A3058">
        <f>HYPERLINK("http://www.twitter.com/NYCParks/status/585890767949979648", "585890767949979648")</f>
        <v>0</v>
      </c>
      <c r="B3058" s="2">
        <v>42102.8219791667</v>
      </c>
      <c r="C3058">
        <v>9</v>
      </c>
      <c r="D3058">
        <v>8</v>
      </c>
      <c r="E3058" t="s">
        <v>3058</v>
      </c>
    </row>
    <row r="3059" spans="1:5">
      <c r="A3059">
        <f>HYPERLINK("http://www.twitter.com/NYCParks/status/585875409394343937", "585875409394343937")</f>
        <v>0</v>
      </c>
      <c r="B3059" s="2">
        <v>42102.7795949074</v>
      </c>
      <c r="C3059">
        <v>16</v>
      </c>
      <c r="D3059">
        <v>14</v>
      </c>
      <c r="E3059" t="s">
        <v>3059</v>
      </c>
    </row>
    <row r="3060" spans="1:5">
      <c r="A3060">
        <f>HYPERLINK("http://www.twitter.com/NYCParks/status/585850157595525120", "585850157595525120")</f>
        <v>0</v>
      </c>
      <c r="B3060" s="2">
        <v>42102.7099074074</v>
      </c>
      <c r="C3060">
        <v>5</v>
      </c>
      <c r="D3060">
        <v>7</v>
      </c>
      <c r="E3060" t="s">
        <v>3060</v>
      </c>
    </row>
    <row r="3061" spans="1:5">
      <c r="A3061">
        <f>HYPERLINK("http://www.twitter.com/NYCParks/status/585834416657797120", "585834416657797120")</f>
        <v>0</v>
      </c>
      <c r="B3061" s="2">
        <v>42102.6664699074</v>
      </c>
      <c r="C3061">
        <v>7</v>
      </c>
      <c r="D3061">
        <v>3</v>
      </c>
      <c r="E3061" t="s">
        <v>3061</v>
      </c>
    </row>
    <row r="3062" spans="1:5">
      <c r="A3062">
        <f>HYPERLINK("http://www.twitter.com/NYCParks/status/585810333715079168", "585810333715079168")</f>
        <v>0</v>
      </c>
      <c r="B3062" s="2">
        <v>42102.6000231481</v>
      </c>
      <c r="C3062">
        <v>9</v>
      </c>
      <c r="D3062">
        <v>8</v>
      </c>
      <c r="E3062" t="s">
        <v>3062</v>
      </c>
    </row>
    <row r="3063" spans="1:5">
      <c r="A3063">
        <f>HYPERLINK("http://www.twitter.com/NYCParks/status/585518102705745920", "585518102705745920")</f>
        <v>0</v>
      </c>
      <c r="B3063" s="2">
        <v>42101.7936111111</v>
      </c>
      <c r="C3063">
        <v>0</v>
      </c>
      <c r="D3063">
        <v>28</v>
      </c>
      <c r="E3063" t="s">
        <v>3063</v>
      </c>
    </row>
    <row r="3064" spans="1:5">
      <c r="A3064">
        <f>HYPERLINK("http://www.twitter.com/NYCParks/status/585506516331077632", "585506516331077632")</f>
        <v>0</v>
      </c>
      <c r="B3064" s="2">
        <v>42101.7616435185</v>
      </c>
      <c r="C3064">
        <v>6</v>
      </c>
      <c r="D3064">
        <v>6</v>
      </c>
      <c r="E3064" t="s">
        <v>3064</v>
      </c>
    </row>
    <row r="3065" spans="1:5">
      <c r="A3065">
        <f>HYPERLINK("http://www.twitter.com/NYCParks/status/585488278595436545", "585488278595436545")</f>
        <v>0</v>
      </c>
      <c r="B3065" s="2">
        <v>42101.7113194444</v>
      </c>
      <c r="C3065">
        <v>0</v>
      </c>
      <c r="D3065">
        <v>16</v>
      </c>
      <c r="E3065" t="s">
        <v>3065</v>
      </c>
    </row>
    <row r="3066" spans="1:5">
      <c r="A3066">
        <f>HYPERLINK("http://www.twitter.com/NYCParks/status/585474514852696065", "585474514852696065")</f>
        <v>0</v>
      </c>
      <c r="B3066" s="2">
        <v>42101.6733333333</v>
      </c>
      <c r="C3066">
        <v>6</v>
      </c>
      <c r="D3066">
        <v>6</v>
      </c>
      <c r="E3066" t="s">
        <v>3066</v>
      </c>
    </row>
    <row r="3067" spans="1:5">
      <c r="A3067">
        <f>HYPERLINK("http://www.twitter.com/NYCParks/status/585459297439580160", "585459297439580160")</f>
        <v>0</v>
      </c>
      <c r="B3067" s="2">
        <v>42101.6313425926</v>
      </c>
      <c r="C3067">
        <v>63</v>
      </c>
      <c r="D3067">
        <v>29</v>
      </c>
      <c r="E3067" t="s">
        <v>3067</v>
      </c>
    </row>
    <row r="3068" spans="1:5">
      <c r="A3068">
        <f>HYPERLINK("http://www.twitter.com/NYCParks/status/585158052216754176", "585158052216754176")</f>
        <v>0</v>
      </c>
      <c r="B3068" s="2">
        <v>42100.8000694444</v>
      </c>
      <c r="C3068">
        <v>18</v>
      </c>
      <c r="D3068">
        <v>16</v>
      </c>
      <c r="E3068" t="s">
        <v>3068</v>
      </c>
    </row>
    <row r="3069" spans="1:5">
      <c r="A3069">
        <f>HYPERLINK("http://www.twitter.com/NYCParks/status/585141516164804608", "585141516164804608")</f>
        <v>0</v>
      </c>
      <c r="B3069" s="2">
        <v>42100.7544328704</v>
      </c>
      <c r="C3069">
        <v>6</v>
      </c>
      <c r="D3069">
        <v>12</v>
      </c>
      <c r="E3069" t="s">
        <v>3069</v>
      </c>
    </row>
    <row r="3070" spans="1:5">
      <c r="A3070">
        <f>HYPERLINK("http://www.twitter.com/NYCParks/status/585122706150055936", "585122706150055936")</f>
        <v>0</v>
      </c>
      <c r="B3070" s="2">
        <v>42100.7025231481</v>
      </c>
      <c r="C3070">
        <v>6</v>
      </c>
      <c r="D3070">
        <v>6</v>
      </c>
      <c r="E3070" t="s">
        <v>3070</v>
      </c>
    </row>
    <row r="3071" spans="1:5">
      <c r="A3071">
        <f>HYPERLINK("http://www.twitter.com/NYCParks/status/585111951346429952", "585111951346429952")</f>
        <v>0</v>
      </c>
      <c r="B3071" s="2">
        <v>42100.6728472222</v>
      </c>
      <c r="C3071">
        <v>6</v>
      </c>
      <c r="D3071">
        <v>7</v>
      </c>
      <c r="E3071" t="s">
        <v>3071</v>
      </c>
    </row>
    <row r="3072" spans="1:5">
      <c r="A3072">
        <f>HYPERLINK("http://www.twitter.com/NYCParks/status/585093229655285761", "585093229655285761")</f>
        <v>0</v>
      </c>
      <c r="B3072" s="2">
        <v>42100.6211921296</v>
      </c>
      <c r="C3072">
        <v>0</v>
      </c>
      <c r="D3072">
        <v>0</v>
      </c>
      <c r="E3072" t="s">
        <v>3072</v>
      </c>
    </row>
    <row r="3073" spans="1:5">
      <c r="A3073">
        <f>HYPERLINK("http://www.twitter.com/NYCParks/status/585092610924118016", "585092610924118016")</f>
        <v>0</v>
      </c>
      <c r="B3073" s="2">
        <v>42100.6194791667</v>
      </c>
      <c r="C3073">
        <v>28</v>
      </c>
      <c r="D3073">
        <v>27</v>
      </c>
      <c r="E3073" t="s">
        <v>3073</v>
      </c>
    </row>
    <row r="3074" spans="1:5">
      <c r="A3074">
        <f>HYPERLINK("http://www.twitter.com/NYCParks/status/584112127935438848", "584112127935438848")</f>
        <v>0</v>
      </c>
      <c r="B3074" s="2">
        <v>42097.9138657407</v>
      </c>
      <c r="C3074">
        <v>0</v>
      </c>
      <c r="D3074">
        <v>11</v>
      </c>
      <c r="E3074" t="s">
        <v>3074</v>
      </c>
    </row>
    <row r="3075" spans="1:5">
      <c r="A3075">
        <f>HYPERLINK("http://www.twitter.com/NYCParks/status/584074866162278402", "584074866162278402")</f>
        <v>0</v>
      </c>
      <c r="B3075" s="2">
        <v>42097.8110416667</v>
      </c>
      <c r="C3075">
        <v>8</v>
      </c>
      <c r="D3075">
        <v>10</v>
      </c>
      <c r="E3075" t="s">
        <v>3075</v>
      </c>
    </row>
    <row r="3076" spans="1:5">
      <c r="A3076">
        <f>HYPERLINK("http://www.twitter.com/NYCParks/status/584059349473091584", "584059349473091584")</f>
        <v>0</v>
      </c>
      <c r="B3076" s="2">
        <v>42097.7682175926</v>
      </c>
      <c r="C3076">
        <v>9</v>
      </c>
      <c r="D3076">
        <v>4</v>
      </c>
      <c r="E3076" t="s">
        <v>3076</v>
      </c>
    </row>
    <row r="3077" spans="1:5">
      <c r="A3077">
        <f>HYPERLINK("http://www.twitter.com/NYCParks/status/584035010455416832", "584035010455416832")</f>
        <v>0</v>
      </c>
      <c r="B3077" s="2">
        <v>42097.7010532407</v>
      </c>
      <c r="C3077">
        <v>11</v>
      </c>
      <c r="D3077">
        <v>5</v>
      </c>
      <c r="E3077" t="s">
        <v>3077</v>
      </c>
    </row>
    <row r="3078" spans="1:5">
      <c r="A3078">
        <f>HYPERLINK("http://www.twitter.com/NYCParks/status/584017284206895105", "584017284206895105")</f>
        <v>0</v>
      </c>
      <c r="B3078" s="2">
        <v>42097.6521412037</v>
      </c>
      <c r="C3078">
        <v>23</v>
      </c>
      <c r="D3078">
        <v>22</v>
      </c>
      <c r="E3078" t="s">
        <v>3078</v>
      </c>
    </row>
    <row r="3079" spans="1:5">
      <c r="A3079">
        <f>HYPERLINK("http://www.twitter.com/NYCParks/status/584000685223636992", "584000685223636992")</f>
        <v>0</v>
      </c>
      <c r="B3079" s="2">
        <v>42097.6063425926</v>
      </c>
      <c r="C3079">
        <v>5</v>
      </c>
      <c r="D3079">
        <v>12</v>
      </c>
      <c r="E3079" t="s">
        <v>3079</v>
      </c>
    </row>
    <row r="3080" spans="1:5">
      <c r="A3080">
        <f>HYPERLINK("http://www.twitter.com/NYCParks/status/583734631700238337", "583734631700238337")</f>
        <v>0</v>
      </c>
      <c r="B3080" s="2">
        <v>42096.8721759259</v>
      </c>
      <c r="C3080">
        <v>29</v>
      </c>
      <c r="D3080">
        <v>22</v>
      </c>
      <c r="E3080" t="s">
        <v>3080</v>
      </c>
    </row>
    <row r="3081" spans="1:5">
      <c r="A3081">
        <f>HYPERLINK("http://www.twitter.com/NYCParks/status/583714947118604288", "583714947118604288")</f>
        <v>0</v>
      </c>
      <c r="B3081" s="2">
        <v>42096.8178472222</v>
      </c>
      <c r="C3081">
        <v>13</v>
      </c>
      <c r="D3081">
        <v>7</v>
      </c>
      <c r="E3081" t="s">
        <v>3081</v>
      </c>
    </row>
    <row r="3082" spans="1:5">
      <c r="A3082">
        <f>HYPERLINK("http://www.twitter.com/NYCParks/status/583698791464886272", "583698791464886272")</f>
        <v>0</v>
      </c>
      <c r="B3082" s="2">
        <v>42096.773275463</v>
      </c>
      <c r="C3082">
        <v>16</v>
      </c>
      <c r="D3082">
        <v>11</v>
      </c>
      <c r="E3082" t="s">
        <v>3082</v>
      </c>
    </row>
    <row r="3083" spans="1:5">
      <c r="A3083">
        <f>HYPERLINK("http://www.twitter.com/NYCParks/status/583682475177746432", "583682475177746432")</f>
        <v>0</v>
      </c>
      <c r="B3083" s="2">
        <v>42096.7282523148</v>
      </c>
      <c r="C3083">
        <v>6</v>
      </c>
      <c r="D3083">
        <v>1</v>
      </c>
      <c r="E3083" t="s">
        <v>3083</v>
      </c>
    </row>
    <row r="3084" spans="1:5">
      <c r="A3084">
        <f>HYPERLINK("http://www.twitter.com/NYCParks/status/583666107950747648", "583666107950747648")</f>
        <v>0</v>
      </c>
      <c r="B3084" s="2">
        <v>42096.6830787037</v>
      </c>
      <c r="C3084">
        <v>12</v>
      </c>
      <c r="D3084">
        <v>11</v>
      </c>
      <c r="E3084" t="s">
        <v>3084</v>
      </c>
    </row>
    <row r="3085" spans="1:5">
      <c r="A3085">
        <f>HYPERLINK("http://www.twitter.com/NYCParks/status/583659858907504640", "583659858907504640")</f>
        <v>0</v>
      </c>
      <c r="B3085" s="2">
        <v>42096.6658333333</v>
      </c>
      <c r="C3085">
        <v>0</v>
      </c>
      <c r="D3085">
        <v>0</v>
      </c>
      <c r="E3085" t="s">
        <v>3085</v>
      </c>
    </row>
    <row r="3086" spans="1:5">
      <c r="A3086">
        <f>HYPERLINK("http://www.twitter.com/NYCParks/status/583650896959123457", "583650896959123457")</f>
        <v>0</v>
      </c>
      <c r="B3086" s="2">
        <v>42096.6411111111</v>
      </c>
      <c r="C3086">
        <v>0</v>
      </c>
      <c r="D3086">
        <v>2</v>
      </c>
      <c r="E3086" t="s">
        <v>3086</v>
      </c>
    </row>
    <row r="3087" spans="1:5">
      <c r="A3087">
        <f>HYPERLINK("http://www.twitter.com/NYCParks/status/583633788460216320", "583633788460216320")</f>
        <v>0</v>
      </c>
      <c r="B3087" s="2">
        <v>42096.593900463</v>
      </c>
      <c r="C3087">
        <v>37</v>
      </c>
      <c r="D3087">
        <v>35</v>
      </c>
      <c r="E3087" t="s">
        <v>3087</v>
      </c>
    </row>
    <row r="3088" spans="1:5">
      <c r="A3088">
        <f>HYPERLINK("http://www.twitter.com/NYCParks/status/583376654489284608", "583376654489284608")</f>
        <v>0</v>
      </c>
      <c r="B3088" s="2">
        <v>42095.8843402778</v>
      </c>
      <c r="C3088">
        <v>7</v>
      </c>
      <c r="D3088">
        <v>8</v>
      </c>
      <c r="E3088" t="s">
        <v>3088</v>
      </c>
    </row>
    <row r="3089" spans="1:5">
      <c r="A3089">
        <f>HYPERLINK("http://www.twitter.com/NYCParks/status/583368052194017280", "583368052194017280")</f>
        <v>0</v>
      </c>
      <c r="B3089" s="2">
        <v>42095.8606018519</v>
      </c>
      <c r="C3089">
        <v>0</v>
      </c>
      <c r="D3089">
        <v>0</v>
      </c>
      <c r="E3089" t="s">
        <v>3089</v>
      </c>
    </row>
    <row r="3090" spans="1:5">
      <c r="A3090">
        <f>HYPERLINK("http://www.twitter.com/NYCParks/status/583358308041519104", "583358308041519104")</f>
        <v>0</v>
      </c>
      <c r="B3090" s="2">
        <v>42095.8337152778</v>
      </c>
      <c r="C3090">
        <v>0</v>
      </c>
      <c r="D3090">
        <v>0</v>
      </c>
      <c r="E3090" t="s">
        <v>3090</v>
      </c>
    </row>
    <row r="3091" spans="1:5">
      <c r="A3091">
        <f>HYPERLINK("http://www.twitter.com/NYCParks/status/583345079747780608", "583345079747780608")</f>
        <v>0</v>
      </c>
      <c r="B3091" s="2">
        <v>42095.7972106481</v>
      </c>
      <c r="C3091">
        <v>47</v>
      </c>
      <c r="D3091">
        <v>41</v>
      </c>
      <c r="E3091" t="s">
        <v>3091</v>
      </c>
    </row>
    <row r="3092" spans="1:5">
      <c r="A3092">
        <f>HYPERLINK("http://www.twitter.com/NYCParks/status/583322052796514305", "583322052796514305")</f>
        <v>0</v>
      </c>
      <c r="B3092" s="2">
        <v>42095.7336689815</v>
      </c>
      <c r="C3092">
        <v>3</v>
      </c>
      <c r="D3092">
        <v>3</v>
      </c>
      <c r="E3092" t="s">
        <v>3092</v>
      </c>
    </row>
    <row r="3093" spans="1:5">
      <c r="A3093">
        <f>HYPERLINK("http://www.twitter.com/NYCParks/status/583304070687035392", "583304070687035392")</f>
        <v>0</v>
      </c>
      <c r="B3093" s="2">
        <v>42095.6840509259</v>
      </c>
      <c r="C3093">
        <v>4</v>
      </c>
      <c r="D3093">
        <v>3</v>
      </c>
      <c r="E3093" t="s">
        <v>3093</v>
      </c>
    </row>
    <row r="3094" spans="1:5">
      <c r="A3094">
        <f>HYPERLINK("http://www.twitter.com/NYCParks/status/583282163187056640", "583282163187056640")</f>
        <v>0</v>
      </c>
      <c r="B3094" s="2">
        <v>42095.623599537</v>
      </c>
      <c r="C3094">
        <v>12</v>
      </c>
      <c r="D3094">
        <v>5</v>
      </c>
      <c r="E3094" t="s">
        <v>3094</v>
      </c>
    </row>
    <row r="3095" spans="1:5">
      <c r="A3095">
        <f>HYPERLINK("http://www.twitter.com/NYCParks/status/582997777572962304", "582997777572962304")</f>
        <v>0</v>
      </c>
      <c r="B3095" s="2">
        <v>42094.8388425926</v>
      </c>
      <c r="C3095">
        <v>6</v>
      </c>
      <c r="D3095">
        <v>9</v>
      </c>
      <c r="E3095" t="s">
        <v>3095</v>
      </c>
    </row>
    <row r="3096" spans="1:5">
      <c r="A3096">
        <f>HYPERLINK("http://www.twitter.com/NYCParks/status/582974009354113024", "582974009354113024")</f>
        <v>0</v>
      </c>
      <c r="B3096" s="2">
        <v>42094.7732523148</v>
      </c>
      <c r="C3096">
        <v>10</v>
      </c>
      <c r="D3096">
        <v>3</v>
      </c>
      <c r="E3096" t="s">
        <v>3096</v>
      </c>
    </row>
    <row r="3097" spans="1:5">
      <c r="A3097">
        <f>HYPERLINK("http://www.twitter.com/NYCParks/status/582957589799002112", "582957589799002112")</f>
        <v>0</v>
      </c>
      <c r="B3097" s="2">
        <v>42094.7279398148</v>
      </c>
      <c r="C3097">
        <v>6</v>
      </c>
      <c r="D3097">
        <v>4</v>
      </c>
      <c r="E3097" t="s">
        <v>3097</v>
      </c>
    </row>
    <row r="3098" spans="1:5">
      <c r="A3098">
        <f>HYPERLINK("http://www.twitter.com/NYCParks/status/582945568407814144", "582945568407814144")</f>
        <v>0</v>
      </c>
      <c r="B3098" s="2">
        <v>42094.6947685185</v>
      </c>
      <c r="C3098">
        <v>8</v>
      </c>
      <c r="D3098">
        <v>5</v>
      </c>
      <c r="E3098" t="s">
        <v>3098</v>
      </c>
    </row>
    <row r="3099" spans="1:5">
      <c r="A3099">
        <f>HYPERLINK("http://www.twitter.com/NYCParks/status/582929031257059328", "582929031257059328")</f>
        <v>0</v>
      </c>
      <c r="B3099" s="2">
        <v>42094.6491435185</v>
      </c>
      <c r="C3099">
        <v>20</v>
      </c>
      <c r="D3099">
        <v>16</v>
      </c>
      <c r="E3099" t="s">
        <v>3099</v>
      </c>
    </row>
    <row r="3100" spans="1:5">
      <c r="A3100">
        <f>HYPERLINK("http://www.twitter.com/NYCParks/status/582912631490670592", "582912631490670592")</f>
        <v>0</v>
      </c>
      <c r="B3100" s="2">
        <v>42094.6038773148</v>
      </c>
      <c r="C3100">
        <v>10</v>
      </c>
      <c r="D3100">
        <v>10</v>
      </c>
      <c r="E3100" t="s">
        <v>3100</v>
      </c>
    </row>
    <row r="3101" spans="1:5">
      <c r="A3101">
        <f>HYPERLINK("http://www.twitter.com/NYCParks/status/582629401210273793", "582629401210273793")</f>
        <v>0</v>
      </c>
      <c r="B3101" s="2">
        <v>42093.8223148148</v>
      </c>
      <c r="C3101">
        <v>18</v>
      </c>
      <c r="D3101">
        <v>12</v>
      </c>
      <c r="E3101" t="s">
        <v>3101</v>
      </c>
    </row>
    <row r="3102" spans="1:5">
      <c r="A3102">
        <f>HYPERLINK("http://www.twitter.com/NYCParks/status/582609982333538304", "582609982333538304")</f>
        <v>0</v>
      </c>
      <c r="B3102" s="2">
        <v>42093.7687268518</v>
      </c>
      <c r="C3102">
        <v>4</v>
      </c>
      <c r="D3102">
        <v>1</v>
      </c>
      <c r="E3102" t="s">
        <v>3102</v>
      </c>
    </row>
    <row r="3103" spans="1:5">
      <c r="A3103">
        <f>HYPERLINK("http://www.twitter.com/NYCParks/status/582589032732852225", "582589032732852225")</f>
        <v>0</v>
      </c>
      <c r="B3103" s="2">
        <v>42093.7109259259</v>
      </c>
      <c r="C3103">
        <v>5</v>
      </c>
      <c r="D3103">
        <v>6</v>
      </c>
      <c r="E3103" t="s">
        <v>3103</v>
      </c>
    </row>
    <row r="3104" spans="1:5">
      <c r="A3104">
        <f>HYPERLINK("http://www.twitter.com/NYCParks/status/582570886315831296", "582570886315831296")</f>
        <v>0</v>
      </c>
      <c r="B3104" s="2">
        <v>42093.6608449074</v>
      </c>
      <c r="C3104">
        <v>9</v>
      </c>
      <c r="D3104">
        <v>8</v>
      </c>
      <c r="E3104" t="s">
        <v>3104</v>
      </c>
    </row>
    <row r="3105" spans="1:5">
      <c r="A3105">
        <f>HYPERLINK("http://www.twitter.com/NYCParks/status/582555125073448960", "582555125073448960")</f>
        <v>0</v>
      </c>
      <c r="B3105" s="2">
        <v>42093.617349537</v>
      </c>
      <c r="C3105">
        <v>4</v>
      </c>
      <c r="D3105">
        <v>5</v>
      </c>
      <c r="E3105" t="s">
        <v>3105</v>
      </c>
    </row>
    <row r="3106" spans="1:5">
      <c r="A3106">
        <f>HYPERLINK("http://www.twitter.com/NYCParks/status/581575194369622016", "581575194369622016")</f>
        <v>0</v>
      </c>
      <c r="B3106" s="2">
        <v>42090.9132638889</v>
      </c>
      <c r="C3106">
        <v>0</v>
      </c>
      <c r="D3106">
        <v>12</v>
      </c>
      <c r="E3106" t="s">
        <v>3106</v>
      </c>
    </row>
    <row r="3107" spans="1:5">
      <c r="A3107">
        <f>HYPERLINK("http://www.twitter.com/NYCParks/status/581549546490200064", "581549546490200064")</f>
        <v>0</v>
      </c>
      <c r="B3107" s="2">
        <v>42090.8424884259</v>
      </c>
      <c r="C3107">
        <v>10</v>
      </c>
      <c r="D3107">
        <v>7</v>
      </c>
      <c r="E3107" t="s">
        <v>3107</v>
      </c>
    </row>
    <row r="3108" spans="1:5">
      <c r="A3108">
        <f>HYPERLINK("http://www.twitter.com/NYCParks/status/581527426926321664", "581527426926321664")</f>
        <v>0</v>
      </c>
      <c r="B3108" s="2">
        <v>42090.7814467593</v>
      </c>
      <c r="C3108">
        <v>10</v>
      </c>
      <c r="D3108">
        <v>10</v>
      </c>
      <c r="E3108" t="s">
        <v>3108</v>
      </c>
    </row>
    <row r="3109" spans="1:5">
      <c r="A3109">
        <f>HYPERLINK("http://www.twitter.com/NYCParks/status/581512071948435456", "581512071948435456")</f>
        <v>0</v>
      </c>
      <c r="B3109" s="2">
        <v>42090.7390740741</v>
      </c>
      <c r="C3109">
        <v>2</v>
      </c>
      <c r="D3109">
        <v>1</v>
      </c>
      <c r="E3109" t="s">
        <v>3109</v>
      </c>
    </row>
    <row r="3110" spans="1:5">
      <c r="A3110">
        <f>HYPERLINK("http://www.twitter.com/NYCParks/status/581493799098195968", "581493799098195968")</f>
        <v>0</v>
      </c>
      <c r="B3110" s="2">
        <v>42090.6886458333</v>
      </c>
      <c r="C3110">
        <v>0</v>
      </c>
      <c r="D3110">
        <v>5</v>
      </c>
      <c r="E3110" t="s">
        <v>3110</v>
      </c>
    </row>
    <row r="3111" spans="1:5">
      <c r="A3111">
        <f>HYPERLINK("http://www.twitter.com/NYCParks/status/581475488364929024", "581475488364929024")</f>
        <v>0</v>
      </c>
      <c r="B3111" s="2">
        <v>42090.638125</v>
      </c>
      <c r="C3111">
        <v>12</v>
      </c>
      <c r="D3111">
        <v>8</v>
      </c>
      <c r="E3111" t="s">
        <v>3111</v>
      </c>
    </row>
    <row r="3112" spans="1:5">
      <c r="A3112">
        <f>HYPERLINK("http://www.twitter.com/NYCParks/status/581199575068835840", "581199575068835840")</f>
        <v>0</v>
      </c>
      <c r="B3112" s="2">
        <v>42089.8767476852</v>
      </c>
      <c r="C3112">
        <v>0</v>
      </c>
      <c r="D3112">
        <v>119</v>
      </c>
      <c r="E3112" t="s">
        <v>3112</v>
      </c>
    </row>
    <row r="3113" spans="1:5">
      <c r="A3113">
        <f>HYPERLINK("http://www.twitter.com/NYCParks/status/581174508175941633", "581174508175941633")</f>
        <v>0</v>
      </c>
      <c r="B3113" s="2">
        <v>42089.8075810185</v>
      </c>
      <c r="C3113">
        <v>5</v>
      </c>
      <c r="D3113">
        <v>9</v>
      </c>
      <c r="E3113" t="s">
        <v>3113</v>
      </c>
    </row>
    <row r="3114" spans="1:5">
      <c r="A3114">
        <f>HYPERLINK("http://www.twitter.com/NYCParks/status/581157812585279488", "581157812585279488")</f>
        <v>0</v>
      </c>
      <c r="B3114" s="2">
        <v>42089.7615046296</v>
      </c>
      <c r="C3114">
        <v>24</v>
      </c>
      <c r="D3114">
        <v>11</v>
      </c>
      <c r="E3114" t="s">
        <v>3114</v>
      </c>
    </row>
    <row r="3115" spans="1:5">
      <c r="A3115">
        <f>HYPERLINK("http://www.twitter.com/NYCParks/status/581136976415469568", "581136976415469568")</f>
        <v>0</v>
      </c>
      <c r="B3115" s="2">
        <v>42089.7040046296</v>
      </c>
      <c r="C3115">
        <v>3</v>
      </c>
      <c r="D3115">
        <v>2</v>
      </c>
      <c r="E3115" t="s">
        <v>3115</v>
      </c>
    </row>
    <row r="3116" spans="1:5">
      <c r="A3116">
        <f>HYPERLINK("http://www.twitter.com/NYCParks/status/581121908906844160", "581121908906844160")</f>
        <v>0</v>
      </c>
      <c r="B3116" s="2">
        <v>42089.6624305556</v>
      </c>
      <c r="C3116">
        <v>5</v>
      </c>
      <c r="D3116">
        <v>0</v>
      </c>
      <c r="E3116" t="s">
        <v>3116</v>
      </c>
    </row>
    <row r="3117" spans="1:5">
      <c r="A3117">
        <f>HYPERLINK("http://www.twitter.com/NYCParks/status/581105385244889088", "581105385244889088")</f>
        <v>0</v>
      </c>
      <c r="B3117" s="2">
        <v>42089.6168287037</v>
      </c>
      <c r="C3117">
        <v>17</v>
      </c>
      <c r="D3117">
        <v>15</v>
      </c>
      <c r="E3117" t="s">
        <v>3117</v>
      </c>
    </row>
    <row r="3118" spans="1:5">
      <c r="A3118">
        <f>HYPERLINK("http://www.twitter.com/NYCParks/status/580812571319623680", "580812571319623680")</f>
        <v>0</v>
      </c>
      <c r="B3118" s="2">
        <v>42088.8088194444</v>
      </c>
      <c r="C3118">
        <v>14</v>
      </c>
      <c r="D3118">
        <v>14</v>
      </c>
      <c r="E3118" t="s">
        <v>3118</v>
      </c>
    </row>
    <row r="3119" spans="1:5">
      <c r="A3119">
        <f>HYPERLINK("http://www.twitter.com/NYCParks/status/580798075129696256", "580798075129696256")</f>
        <v>0</v>
      </c>
      <c r="B3119" s="2">
        <v>42088.7688194444</v>
      </c>
      <c r="C3119">
        <v>5</v>
      </c>
      <c r="D3119">
        <v>1</v>
      </c>
      <c r="E3119" t="s">
        <v>3119</v>
      </c>
    </row>
    <row r="3120" spans="1:5">
      <c r="A3120">
        <f>HYPERLINK("http://www.twitter.com/NYCParks/status/580776217583980544", "580776217583980544")</f>
        <v>0</v>
      </c>
      <c r="B3120" s="2">
        <v>42088.7085069444</v>
      </c>
      <c r="C3120">
        <v>6</v>
      </c>
      <c r="D3120">
        <v>4</v>
      </c>
      <c r="E3120" t="s">
        <v>3120</v>
      </c>
    </row>
    <row r="3121" spans="1:5">
      <c r="A3121">
        <f>HYPERLINK("http://www.twitter.com/NYCParks/status/580759572811513856", "580759572811513856")</f>
        <v>0</v>
      </c>
      <c r="B3121" s="2">
        <v>42088.6625694444</v>
      </c>
      <c r="C3121">
        <v>4</v>
      </c>
      <c r="D3121">
        <v>5</v>
      </c>
      <c r="E3121" t="s">
        <v>3121</v>
      </c>
    </row>
    <row r="3122" spans="1:5">
      <c r="A3122">
        <f>HYPERLINK("http://www.twitter.com/NYCParks/status/580743195774029824", "580743195774029824")</f>
        <v>0</v>
      </c>
      <c r="B3122" s="2">
        <v>42088.6173842593</v>
      </c>
      <c r="C3122">
        <v>14</v>
      </c>
      <c r="D3122">
        <v>10</v>
      </c>
      <c r="E3122" t="s">
        <v>3122</v>
      </c>
    </row>
    <row r="3123" spans="1:5">
      <c r="A3123">
        <f>HYPERLINK("http://www.twitter.com/NYCParks/status/580456787209490433", "580456787209490433")</f>
        <v>0</v>
      </c>
      <c r="B3123" s="2">
        <v>42087.8270486111</v>
      </c>
      <c r="C3123">
        <v>4</v>
      </c>
      <c r="D3123">
        <v>3</v>
      </c>
      <c r="E3123" t="s">
        <v>3123</v>
      </c>
    </row>
    <row r="3124" spans="1:5">
      <c r="A3124">
        <f>HYPERLINK("http://www.twitter.com/NYCParks/status/580440393227083776", "580440393227083776")</f>
        <v>0</v>
      </c>
      <c r="B3124" s="2">
        <v>42087.7818055556</v>
      </c>
      <c r="C3124">
        <v>18</v>
      </c>
      <c r="D3124">
        <v>16</v>
      </c>
      <c r="E3124" t="s">
        <v>3124</v>
      </c>
    </row>
    <row r="3125" spans="1:5">
      <c r="A3125">
        <f>HYPERLINK("http://www.twitter.com/NYCParks/status/580424094656659456", "580424094656659456")</f>
        <v>0</v>
      </c>
      <c r="B3125" s="2">
        <v>42087.7368287037</v>
      </c>
      <c r="C3125">
        <v>7</v>
      </c>
      <c r="D3125">
        <v>5</v>
      </c>
      <c r="E3125" t="s">
        <v>3125</v>
      </c>
    </row>
    <row r="3126" spans="1:5">
      <c r="A3126">
        <f>HYPERLINK("http://www.twitter.com/NYCParks/status/580398903306166272", "580398903306166272")</f>
        <v>0</v>
      </c>
      <c r="B3126" s="2">
        <v>42087.6673148148</v>
      </c>
      <c r="C3126">
        <v>10</v>
      </c>
      <c r="D3126">
        <v>5</v>
      </c>
      <c r="E3126" t="s">
        <v>3126</v>
      </c>
    </row>
    <row r="3127" spans="1:5">
      <c r="A3127">
        <f>HYPERLINK("http://www.twitter.com/NYCParks/status/580383956249477120", "580383956249477120")</f>
        <v>0</v>
      </c>
      <c r="B3127" s="2">
        <v>42087.6260648148</v>
      </c>
      <c r="C3127">
        <v>14</v>
      </c>
      <c r="D3127">
        <v>11</v>
      </c>
      <c r="E3127" t="s">
        <v>3127</v>
      </c>
    </row>
    <row r="3128" spans="1:5">
      <c r="A3128">
        <f>HYPERLINK("http://www.twitter.com/NYCParks/status/580099968293330944", "580099968293330944")</f>
        <v>0</v>
      </c>
      <c r="B3128" s="2">
        <v>42086.8424074074</v>
      </c>
      <c r="C3128">
        <v>56</v>
      </c>
      <c r="D3128">
        <v>27</v>
      </c>
      <c r="E3128" t="s">
        <v>3128</v>
      </c>
    </row>
    <row r="3129" spans="1:5">
      <c r="A3129">
        <f>HYPERLINK("http://www.twitter.com/NYCParks/status/580087722766934016", "580087722766934016")</f>
        <v>0</v>
      </c>
      <c r="B3129" s="2">
        <v>42086.8086226852</v>
      </c>
      <c r="C3129">
        <v>16</v>
      </c>
      <c r="D3129">
        <v>16</v>
      </c>
      <c r="E3129" t="s">
        <v>3129</v>
      </c>
    </row>
    <row r="3130" spans="1:5">
      <c r="A3130">
        <f>HYPERLINK("http://www.twitter.com/NYCParks/status/580066431066353664", "580066431066353664")</f>
        <v>0</v>
      </c>
      <c r="B3130" s="2">
        <v>42086.7498611111</v>
      </c>
      <c r="C3130">
        <v>0</v>
      </c>
      <c r="D3130">
        <v>17</v>
      </c>
      <c r="E3130" t="s">
        <v>3130</v>
      </c>
    </row>
    <row r="3131" spans="1:5">
      <c r="A3131">
        <f>HYPERLINK("http://www.twitter.com/NYCParks/status/580052955098968064", "580052955098968064")</f>
        <v>0</v>
      </c>
      <c r="B3131" s="2">
        <v>42086.7126851852</v>
      </c>
      <c r="C3131">
        <v>14</v>
      </c>
      <c r="D3131">
        <v>13</v>
      </c>
      <c r="E3131" t="s">
        <v>3131</v>
      </c>
    </row>
    <row r="3132" spans="1:5">
      <c r="A3132">
        <f>HYPERLINK("http://www.twitter.com/NYCParks/status/580038067907596290", "580038067907596290")</f>
        <v>0</v>
      </c>
      <c r="B3132" s="2">
        <v>42086.6715972222</v>
      </c>
      <c r="C3132">
        <v>4</v>
      </c>
      <c r="D3132">
        <v>5</v>
      </c>
      <c r="E3132" t="s">
        <v>3132</v>
      </c>
    </row>
    <row r="3133" spans="1:5">
      <c r="A3133">
        <f>HYPERLINK("http://www.twitter.com/NYCParks/status/580022015354118144", "580022015354118144")</f>
        <v>0</v>
      </c>
      <c r="B3133" s="2">
        <v>42086.6273032407</v>
      </c>
      <c r="C3133">
        <v>0</v>
      </c>
      <c r="D3133">
        <v>9</v>
      </c>
      <c r="E3133" t="s">
        <v>3133</v>
      </c>
    </row>
    <row r="3134" spans="1:5">
      <c r="A3134">
        <f>HYPERLINK("http://www.twitter.com/NYCParks/status/578995056692109313", "578995056692109313")</f>
        <v>0</v>
      </c>
      <c r="B3134" s="2">
        <v>42083.7934375</v>
      </c>
      <c r="C3134">
        <v>3</v>
      </c>
      <c r="D3134">
        <v>5</v>
      </c>
      <c r="E3134" t="s">
        <v>3134</v>
      </c>
    </row>
    <row r="3135" spans="1:5">
      <c r="A3135">
        <f>HYPERLINK("http://www.twitter.com/NYCParks/status/578971413035556864", "578971413035556864")</f>
        <v>0</v>
      </c>
      <c r="B3135" s="2">
        <v>42083.7281944444</v>
      </c>
      <c r="C3135">
        <v>10</v>
      </c>
      <c r="D3135">
        <v>10</v>
      </c>
      <c r="E3135" t="s">
        <v>3135</v>
      </c>
    </row>
    <row r="3136" spans="1:5">
      <c r="A3136">
        <f>HYPERLINK("http://www.twitter.com/NYCParks/status/578956969500917760", "578956969500917760")</f>
        <v>0</v>
      </c>
      <c r="B3136" s="2">
        <v>42083.6883333333</v>
      </c>
      <c r="C3136">
        <v>18</v>
      </c>
      <c r="D3136">
        <v>14</v>
      </c>
      <c r="E3136" t="s">
        <v>3136</v>
      </c>
    </row>
    <row r="3137" spans="1:5">
      <c r="A3137">
        <f>HYPERLINK("http://www.twitter.com/NYCParks/status/578941960368574464", "578941960368574464")</f>
        <v>0</v>
      </c>
      <c r="B3137" s="2">
        <v>42083.6469212963</v>
      </c>
      <c r="C3137">
        <v>3</v>
      </c>
      <c r="D3137">
        <v>7</v>
      </c>
      <c r="E3137" t="s">
        <v>3137</v>
      </c>
    </row>
    <row r="3138" spans="1:5">
      <c r="A3138">
        <f>HYPERLINK("http://www.twitter.com/NYCParks/status/578649095763525632", "578649095763525632")</f>
        <v>0</v>
      </c>
      <c r="B3138" s="2">
        <v>42082.8387615741</v>
      </c>
      <c r="C3138">
        <v>8</v>
      </c>
      <c r="D3138">
        <v>8</v>
      </c>
      <c r="E3138" t="s">
        <v>3138</v>
      </c>
    </row>
    <row r="3139" spans="1:5">
      <c r="A3139">
        <f>HYPERLINK("http://www.twitter.com/NYCParks/status/578636814132600833", "578636814132600833")</f>
        <v>0</v>
      </c>
      <c r="B3139" s="2">
        <v>42082.8048726852</v>
      </c>
      <c r="C3139">
        <v>16</v>
      </c>
      <c r="D3139">
        <v>18</v>
      </c>
      <c r="E3139" t="s">
        <v>3139</v>
      </c>
    </row>
    <row r="3140" spans="1:5">
      <c r="A3140">
        <f>HYPERLINK("http://www.twitter.com/NYCParks/status/578621390623997954", "578621390623997954")</f>
        <v>0</v>
      </c>
      <c r="B3140" s="2">
        <v>42082.7623148148</v>
      </c>
      <c r="C3140">
        <v>26</v>
      </c>
      <c r="D3140">
        <v>14</v>
      </c>
      <c r="E3140" t="s">
        <v>3140</v>
      </c>
    </row>
    <row r="3141" spans="1:5">
      <c r="A3141">
        <f>HYPERLINK("http://www.twitter.com/NYCParks/status/578616821877747712", "578616821877747712")</f>
        <v>0</v>
      </c>
      <c r="B3141" s="2">
        <v>42082.7497106481</v>
      </c>
      <c r="C3141">
        <v>0</v>
      </c>
      <c r="D3141">
        <v>0</v>
      </c>
      <c r="E3141" t="s">
        <v>3141</v>
      </c>
    </row>
    <row r="3142" spans="1:5">
      <c r="A3142">
        <f>HYPERLINK("http://www.twitter.com/NYCParks/status/578596968567549952", "578596968567549952")</f>
        <v>0</v>
      </c>
      <c r="B3142" s="2">
        <v>42082.6949189815</v>
      </c>
      <c r="C3142">
        <v>7</v>
      </c>
      <c r="D3142">
        <v>10</v>
      </c>
      <c r="E3142" t="s">
        <v>3142</v>
      </c>
    </row>
    <row r="3143" spans="1:5">
      <c r="A3143">
        <f>HYPERLINK("http://www.twitter.com/NYCParks/status/578580421308465152", "578580421308465152")</f>
        <v>0</v>
      </c>
      <c r="B3143" s="2">
        <v>42082.6492592593</v>
      </c>
      <c r="C3143">
        <v>14</v>
      </c>
      <c r="D3143">
        <v>8</v>
      </c>
      <c r="E3143" t="s">
        <v>3143</v>
      </c>
    </row>
    <row r="3144" spans="1:5">
      <c r="A3144">
        <f>HYPERLINK("http://www.twitter.com/NYCParks/status/578286232742060032", "578286232742060032")</f>
        <v>0</v>
      </c>
      <c r="B3144" s="2">
        <v>42081.8374537037</v>
      </c>
      <c r="C3144">
        <v>10</v>
      </c>
      <c r="D3144">
        <v>9</v>
      </c>
      <c r="E3144" t="s">
        <v>3144</v>
      </c>
    </row>
    <row r="3145" spans="1:5">
      <c r="A3145">
        <f>HYPERLINK("http://www.twitter.com/NYCParks/status/578273186569158656", "578273186569158656")</f>
        <v>0</v>
      </c>
      <c r="B3145" s="2">
        <v>42081.8014583333</v>
      </c>
      <c r="C3145">
        <v>13</v>
      </c>
      <c r="D3145">
        <v>18</v>
      </c>
      <c r="E3145" t="s">
        <v>3145</v>
      </c>
    </row>
    <row r="3146" spans="1:5">
      <c r="A3146">
        <f>HYPERLINK("http://www.twitter.com/NYCParks/status/578259933885554688", "578259933885554688")</f>
        <v>0</v>
      </c>
      <c r="B3146" s="2">
        <v>42081.7648842593</v>
      </c>
      <c r="C3146">
        <v>0</v>
      </c>
      <c r="D3146">
        <v>1</v>
      </c>
      <c r="E3146" t="s">
        <v>3146</v>
      </c>
    </row>
    <row r="3147" spans="1:5">
      <c r="A3147">
        <f>HYPERLINK("http://www.twitter.com/NYCParks/status/578258490621313024", "578258490621313024")</f>
        <v>0</v>
      </c>
      <c r="B3147" s="2">
        <v>42081.7609027778</v>
      </c>
      <c r="C3147">
        <v>3</v>
      </c>
      <c r="D3147">
        <v>7</v>
      </c>
      <c r="E3147" t="s">
        <v>3147</v>
      </c>
    </row>
    <row r="3148" spans="1:5">
      <c r="A3148">
        <f>HYPERLINK("http://www.twitter.com/NYCParks/status/578243260369481728", "578243260369481728")</f>
        <v>0</v>
      </c>
      <c r="B3148" s="2">
        <v>42081.7188773148</v>
      </c>
      <c r="C3148">
        <v>18</v>
      </c>
      <c r="D3148">
        <v>11</v>
      </c>
      <c r="E3148" t="s">
        <v>3148</v>
      </c>
    </row>
    <row r="3149" spans="1:5">
      <c r="A3149">
        <f>HYPERLINK("http://www.twitter.com/NYCParks/status/578229346793594881", "578229346793594881")</f>
        <v>0</v>
      </c>
      <c r="B3149" s="2">
        <v>42081.680474537</v>
      </c>
      <c r="C3149">
        <v>4</v>
      </c>
      <c r="D3149">
        <v>15</v>
      </c>
      <c r="E3149" t="s">
        <v>3149</v>
      </c>
    </row>
    <row r="3150" spans="1:5">
      <c r="A3150">
        <f>HYPERLINK("http://www.twitter.com/NYCParks/status/578210616646701056", "578210616646701056")</f>
        <v>0</v>
      </c>
      <c r="B3150" s="2">
        <v>42081.6287962963</v>
      </c>
      <c r="C3150">
        <v>0</v>
      </c>
      <c r="D3150">
        <v>23</v>
      </c>
      <c r="E3150" t="s">
        <v>3150</v>
      </c>
    </row>
    <row r="3151" spans="1:5">
      <c r="A3151">
        <f>HYPERLINK("http://www.twitter.com/NYCParks/status/577923958269485056", "577923958269485056")</f>
        <v>0</v>
      </c>
      <c r="B3151" s="2">
        <v>42080.8377662037</v>
      </c>
      <c r="C3151">
        <v>33</v>
      </c>
      <c r="D3151">
        <v>26</v>
      </c>
      <c r="E3151" t="s">
        <v>3151</v>
      </c>
    </row>
    <row r="3152" spans="1:5">
      <c r="A3152">
        <f>HYPERLINK("http://www.twitter.com/NYCParks/status/577908717183717376", "577908717183717376")</f>
        <v>0</v>
      </c>
      <c r="B3152" s="2">
        <v>42080.7957060185</v>
      </c>
      <c r="C3152">
        <v>14</v>
      </c>
      <c r="D3152">
        <v>11</v>
      </c>
      <c r="E3152" t="s">
        <v>3152</v>
      </c>
    </row>
    <row r="3153" spans="1:5">
      <c r="A3153">
        <f>HYPERLINK("http://www.twitter.com/NYCParks/status/577895027092938754", "577895027092938754")</f>
        <v>0</v>
      </c>
      <c r="B3153" s="2">
        <v>42080.7579282407</v>
      </c>
      <c r="C3153">
        <v>21</v>
      </c>
      <c r="D3153">
        <v>29</v>
      </c>
      <c r="E3153" t="s">
        <v>3153</v>
      </c>
    </row>
    <row r="3154" spans="1:5">
      <c r="A3154">
        <f>HYPERLINK("http://www.twitter.com/NYCParks/status/577877550019559425", "577877550019559425")</f>
        <v>0</v>
      </c>
      <c r="B3154" s="2">
        <v>42080.7097106481</v>
      </c>
      <c r="C3154">
        <v>8</v>
      </c>
      <c r="D3154">
        <v>10</v>
      </c>
      <c r="E3154" t="s">
        <v>3154</v>
      </c>
    </row>
    <row r="3155" spans="1:5">
      <c r="A3155">
        <f>HYPERLINK("http://www.twitter.com/NYCParks/status/577863802055720960", "577863802055720960")</f>
        <v>0</v>
      </c>
      <c r="B3155" s="2">
        <v>42080.6717708333</v>
      </c>
      <c r="C3155">
        <v>37</v>
      </c>
      <c r="D3155">
        <v>57</v>
      </c>
      <c r="E3155" t="s">
        <v>3155</v>
      </c>
    </row>
    <row r="3156" spans="1:5">
      <c r="A3156">
        <f>HYPERLINK("http://www.twitter.com/NYCParks/status/577848457970520064", "577848457970520064")</f>
        <v>0</v>
      </c>
      <c r="B3156" s="2">
        <v>42080.6294212963</v>
      </c>
      <c r="C3156">
        <v>0</v>
      </c>
      <c r="D3156">
        <v>64</v>
      </c>
      <c r="E3156" t="s">
        <v>3156</v>
      </c>
    </row>
    <row r="3157" spans="1:5">
      <c r="A3157">
        <f>HYPERLINK("http://www.twitter.com/NYCParks/status/577836203891941376", "577836203891941376")</f>
        <v>0</v>
      </c>
      <c r="B3157" s="2">
        <v>42080.5956134259</v>
      </c>
      <c r="C3157">
        <v>1</v>
      </c>
      <c r="D3157">
        <v>0</v>
      </c>
      <c r="E3157" t="s">
        <v>3157</v>
      </c>
    </row>
    <row r="3158" spans="1:5">
      <c r="A3158">
        <f>HYPERLINK("http://www.twitter.com/NYCParks/status/577576811183370240", "577576811183370240")</f>
        <v>0</v>
      </c>
      <c r="B3158" s="2">
        <v>42079.8798263889</v>
      </c>
      <c r="C3158">
        <v>0</v>
      </c>
      <c r="D3158">
        <v>39</v>
      </c>
      <c r="E3158" t="s">
        <v>3158</v>
      </c>
    </row>
    <row r="3159" spans="1:5">
      <c r="A3159">
        <f>HYPERLINK("http://www.twitter.com/NYCParks/status/577560477275836416", "577560477275836416")</f>
        <v>0</v>
      </c>
      <c r="B3159" s="2">
        <v>42079.8347453704</v>
      </c>
      <c r="C3159">
        <v>12</v>
      </c>
      <c r="D3159">
        <v>18</v>
      </c>
      <c r="E3159" t="s">
        <v>3159</v>
      </c>
    </row>
    <row r="3160" spans="1:5">
      <c r="A3160">
        <f>HYPERLINK("http://www.twitter.com/NYCParks/status/577546412055007233", "577546412055007233")</f>
        <v>0</v>
      </c>
      <c r="B3160" s="2">
        <v>42079.7959375</v>
      </c>
      <c r="C3160">
        <v>13</v>
      </c>
      <c r="D3160">
        <v>13</v>
      </c>
      <c r="E3160" t="s">
        <v>3160</v>
      </c>
    </row>
    <row r="3161" spans="1:5">
      <c r="A3161">
        <f>HYPERLINK("http://www.twitter.com/NYCParks/status/577531760113758209", "577531760113758209")</f>
        <v>0</v>
      </c>
      <c r="B3161" s="2">
        <v>42079.7555092593</v>
      </c>
      <c r="C3161">
        <v>14</v>
      </c>
      <c r="D3161">
        <v>8</v>
      </c>
      <c r="E3161" t="s">
        <v>3161</v>
      </c>
    </row>
    <row r="3162" spans="1:5">
      <c r="A3162">
        <f>HYPERLINK("http://www.twitter.com/NYCParks/status/577516290891476992", "577516290891476992")</f>
        <v>0</v>
      </c>
      <c r="B3162" s="2">
        <v>42079.7128240741</v>
      </c>
      <c r="C3162">
        <v>50</v>
      </c>
      <c r="D3162">
        <v>36</v>
      </c>
      <c r="E3162" t="s">
        <v>3162</v>
      </c>
    </row>
    <row r="3163" spans="1:5">
      <c r="A3163">
        <f>HYPERLINK("http://www.twitter.com/NYCParks/status/577487343076155392", "577487343076155392")</f>
        <v>0</v>
      </c>
      <c r="B3163" s="2">
        <v>42079.6329398148</v>
      </c>
      <c r="C3163">
        <v>6</v>
      </c>
      <c r="D3163">
        <v>5</v>
      </c>
      <c r="E3163" t="s">
        <v>3163</v>
      </c>
    </row>
    <row r="3164" spans="1:5">
      <c r="A3164">
        <f>HYPERLINK("http://www.twitter.com/NYCParks/status/576465445244534784", "576465445244534784")</f>
        <v>0</v>
      </c>
      <c r="B3164" s="2">
        <v>42076.8130439815</v>
      </c>
      <c r="C3164">
        <v>0</v>
      </c>
      <c r="D3164">
        <v>22</v>
      </c>
      <c r="E3164" t="s">
        <v>3164</v>
      </c>
    </row>
    <row r="3165" spans="1:5">
      <c r="A3165">
        <f>HYPERLINK("http://www.twitter.com/NYCParks/status/576449779925938177", "576449779925938177")</f>
        <v>0</v>
      </c>
      <c r="B3165" s="2">
        <v>42076.7698148148</v>
      </c>
      <c r="C3165">
        <v>19</v>
      </c>
      <c r="D3165">
        <v>17</v>
      </c>
      <c r="E3165" t="s">
        <v>3165</v>
      </c>
    </row>
    <row r="3166" spans="1:5">
      <c r="A3166">
        <f>HYPERLINK("http://www.twitter.com/NYCParks/status/576423901070241792", "576423901070241792")</f>
        <v>0</v>
      </c>
      <c r="B3166" s="2">
        <v>42076.6984027778</v>
      </c>
      <c r="C3166">
        <v>6</v>
      </c>
      <c r="D3166">
        <v>14</v>
      </c>
      <c r="E3166" t="s">
        <v>3166</v>
      </c>
    </row>
    <row r="3167" spans="1:5">
      <c r="A3167">
        <f>HYPERLINK("http://www.twitter.com/NYCParks/status/576409695067508736", "576409695067508736")</f>
        <v>0</v>
      </c>
      <c r="B3167" s="2">
        <v>42076.6592013889</v>
      </c>
      <c r="C3167">
        <v>18</v>
      </c>
      <c r="D3167">
        <v>28</v>
      </c>
      <c r="E3167" t="s">
        <v>3167</v>
      </c>
    </row>
    <row r="3168" spans="1:5">
      <c r="A3168">
        <f>HYPERLINK("http://www.twitter.com/NYCParks/status/576391173360734208", "576391173360734208")</f>
        <v>0</v>
      </c>
      <c r="B3168" s="2">
        <v>42076.6080902778</v>
      </c>
      <c r="C3168">
        <v>12</v>
      </c>
      <c r="D3168">
        <v>13</v>
      </c>
      <c r="E3168" t="s">
        <v>3168</v>
      </c>
    </row>
    <row r="3169" spans="1:5">
      <c r="A3169">
        <f>HYPERLINK("http://www.twitter.com/NYCParks/status/576114505144537088", "576114505144537088")</f>
        <v>0</v>
      </c>
      <c r="B3169" s="2">
        <v>42075.8446296296</v>
      </c>
      <c r="C3169">
        <v>12</v>
      </c>
      <c r="D3169">
        <v>10</v>
      </c>
      <c r="E3169" t="s">
        <v>3169</v>
      </c>
    </row>
    <row r="3170" spans="1:5">
      <c r="A3170">
        <f>HYPERLINK("http://www.twitter.com/NYCParks/status/576100279172669440", "576100279172669440")</f>
        <v>0</v>
      </c>
      <c r="B3170" s="2">
        <v>42075.8053703704</v>
      </c>
      <c r="C3170">
        <v>8</v>
      </c>
      <c r="D3170">
        <v>15</v>
      </c>
      <c r="E3170" t="s">
        <v>3170</v>
      </c>
    </row>
    <row r="3171" spans="1:5">
      <c r="A3171">
        <f>HYPERLINK("http://www.twitter.com/NYCParks/status/576084875276607488", "576084875276607488")</f>
        <v>0</v>
      </c>
      <c r="B3171" s="2">
        <v>42075.7628703704</v>
      </c>
      <c r="C3171">
        <v>6</v>
      </c>
      <c r="D3171">
        <v>7</v>
      </c>
      <c r="E3171" t="s">
        <v>3171</v>
      </c>
    </row>
    <row r="3172" spans="1:5">
      <c r="A3172">
        <f>HYPERLINK("http://www.twitter.com/NYCParks/status/576068105035780096", "576068105035780096")</f>
        <v>0</v>
      </c>
      <c r="B3172" s="2">
        <v>42075.7165856482</v>
      </c>
      <c r="C3172">
        <v>15</v>
      </c>
      <c r="D3172">
        <v>12</v>
      </c>
      <c r="E3172" t="s">
        <v>3172</v>
      </c>
    </row>
    <row r="3173" spans="1:5">
      <c r="A3173">
        <f>HYPERLINK("http://www.twitter.com/NYCParks/status/576053162559336448", "576053162559336448")</f>
        <v>0</v>
      </c>
      <c r="B3173" s="2">
        <v>42075.6753587963</v>
      </c>
      <c r="C3173">
        <v>7</v>
      </c>
      <c r="D3173">
        <v>10</v>
      </c>
      <c r="E3173" t="s">
        <v>3173</v>
      </c>
    </row>
    <row r="3174" spans="1:5">
      <c r="A3174">
        <f>HYPERLINK("http://www.twitter.com/NYCParks/status/576034039477460992", "576034039477460992")</f>
        <v>0</v>
      </c>
      <c r="B3174" s="2">
        <v>42075.6225810185</v>
      </c>
      <c r="C3174">
        <v>50</v>
      </c>
      <c r="D3174">
        <v>42</v>
      </c>
      <c r="E3174" t="s">
        <v>3174</v>
      </c>
    </row>
    <row r="3175" spans="1:5">
      <c r="A3175">
        <f>HYPERLINK("http://www.twitter.com/NYCParks/status/575750082320007168", "575750082320007168")</f>
        <v>0</v>
      </c>
      <c r="B3175" s="2">
        <v>42074.8390162037</v>
      </c>
      <c r="C3175">
        <v>21</v>
      </c>
      <c r="D3175">
        <v>28</v>
      </c>
      <c r="E3175" t="s">
        <v>3175</v>
      </c>
    </row>
    <row r="3176" spans="1:5">
      <c r="A3176">
        <f>HYPERLINK("http://www.twitter.com/NYCParks/status/575735680887865344", "575735680887865344")</f>
        <v>0</v>
      </c>
      <c r="B3176" s="2">
        <v>42074.7992708333</v>
      </c>
      <c r="C3176">
        <v>54</v>
      </c>
      <c r="D3176">
        <v>43</v>
      </c>
      <c r="E3176" t="s">
        <v>3176</v>
      </c>
    </row>
    <row r="3177" spans="1:5">
      <c r="A3177">
        <f>HYPERLINK("http://www.twitter.com/NYCParks/status/575682625379168256", "575682625379168256")</f>
        <v>0</v>
      </c>
      <c r="B3177" s="2">
        <v>42074.6528703704</v>
      </c>
      <c r="C3177">
        <v>13</v>
      </c>
      <c r="D3177">
        <v>15</v>
      </c>
      <c r="E3177" t="s">
        <v>3177</v>
      </c>
    </row>
    <row r="3178" spans="1:5">
      <c r="A3178">
        <f>HYPERLINK("http://www.twitter.com/NYCParks/status/575667092332146688", "575667092332146688")</f>
        <v>0</v>
      </c>
      <c r="B3178" s="2">
        <v>42074.61</v>
      </c>
      <c r="C3178">
        <v>17</v>
      </c>
      <c r="D3178">
        <v>12</v>
      </c>
      <c r="E3178" t="s">
        <v>3178</v>
      </c>
    </row>
    <row r="3179" spans="1:5">
      <c r="A3179">
        <f>HYPERLINK("http://www.twitter.com/NYCParks/status/575387775211470848", "575387775211470848")</f>
        <v>0</v>
      </c>
      <c r="B3179" s="2">
        <v>42073.8392361111</v>
      </c>
      <c r="C3179">
        <v>13</v>
      </c>
      <c r="D3179">
        <v>15</v>
      </c>
      <c r="E3179" t="s">
        <v>3179</v>
      </c>
    </row>
    <row r="3180" spans="1:5">
      <c r="A3180">
        <f>HYPERLINK("http://www.twitter.com/NYCParks/status/575366077019983872", "575366077019983872")</f>
        <v>0</v>
      </c>
      <c r="B3180" s="2">
        <v>42073.7793634259</v>
      </c>
      <c r="C3180">
        <v>17</v>
      </c>
      <c r="D3180">
        <v>17</v>
      </c>
      <c r="E3180" t="s">
        <v>3180</v>
      </c>
    </row>
    <row r="3181" spans="1:5">
      <c r="A3181">
        <f>HYPERLINK("http://www.twitter.com/NYCParks/status/575345330725765121", "575345330725765121")</f>
        <v>0</v>
      </c>
      <c r="B3181" s="2">
        <v>42073.7221064815</v>
      </c>
      <c r="C3181">
        <v>3</v>
      </c>
      <c r="D3181">
        <v>4</v>
      </c>
      <c r="E3181" t="s">
        <v>3181</v>
      </c>
    </row>
    <row r="3182" spans="1:5">
      <c r="A3182">
        <f>HYPERLINK("http://www.twitter.com/NYCParks/status/575329050379558912", "575329050379558912")</f>
        <v>0</v>
      </c>
      <c r="B3182" s="2">
        <v>42073.6771875</v>
      </c>
      <c r="C3182">
        <v>0</v>
      </c>
      <c r="D3182">
        <v>30</v>
      </c>
      <c r="E3182" t="s">
        <v>3182</v>
      </c>
    </row>
    <row r="3183" spans="1:5">
      <c r="A3183">
        <f>HYPERLINK("http://www.twitter.com/NYCParks/status/575315555579752448", "575315555579752448")</f>
        <v>0</v>
      </c>
      <c r="B3183" s="2">
        <v>42073.6399421296</v>
      </c>
      <c r="C3183">
        <v>0</v>
      </c>
      <c r="D3183">
        <v>14</v>
      </c>
      <c r="E3183" t="s">
        <v>3183</v>
      </c>
    </row>
    <row r="3184" spans="1:5">
      <c r="A3184">
        <f>HYPERLINK("http://www.twitter.com/NYCParks/status/575299839354880000", "575299839354880000")</f>
        <v>0</v>
      </c>
      <c r="B3184" s="2">
        <v>42073.5965740741</v>
      </c>
      <c r="C3184">
        <v>8</v>
      </c>
      <c r="D3184">
        <v>14</v>
      </c>
      <c r="E3184" t="s">
        <v>3184</v>
      </c>
    </row>
    <row r="3185" spans="1:5">
      <c r="A3185">
        <f>HYPERLINK("http://www.twitter.com/NYCParks/status/575054470377242625", "575054470377242625")</f>
        <v>0</v>
      </c>
      <c r="B3185" s="2">
        <v>42072.9194907407</v>
      </c>
      <c r="C3185">
        <v>21</v>
      </c>
      <c r="D3185">
        <v>17</v>
      </c>
      <c r="E3185" t="s">
        <v>3185</v>
      </c>
    </row>
    <row r="3186" spans="1:5">
      <c r="A3186">
        <f>HYPERLINK("http://www.twitter.com/NYCParks/status/575019472261619713", "575019472261619713")</f>
        <v>0</v>
      </c>
      <c r="B3186" s="2">
        <v>42072.8229166667</v>
      </c>
      <c r="C3186">
        <v>3</v>
      </c>
      <c r="D3186">
        <v>5</v>
      </c>
      <c r="E3186" t="s">
        <v>3186</v>
      </c>
    </row>
    <row r="3187" spans="1:5">
      <c r="A3187">
        <f>HYPERLINK("http://www.twitter.com/NYCParks/status/575002065866461184", "575002065866461184")</f>
        <v>0</v>
      </c>
      <c r="B3187" s="2">
        <v>42072.7748842593</v>
      </c>
      <c r="C3187">
        <v>4</v>
      </c>
      <c r="D3187">
        <v>2</v>
      </c>
      <c r="E3187" t="s">
        <v>3187</v>
      </c>
    </row>
    <row r="3188" spans="1:5">
      <c r="A3188">
        <f>HYPERLINK("http://www.twitter.com/NYCParks/status/574988353596231680", "574988353596231680")</f>
        <v>0</v>
      </c>
      <c r="B3188" s="2">
        <v>42072.737037037</v>
      </c>
      <c r="C3188">
        <v>6</v>
      </c>
      <c r="D3188">
        <v>8</v>
      </c>
      <c r="E3188" t="s">
        <v>3188</v>
      </c>
    </row>
    <row r="3189" spans="1:5">
      <c r="A3189">
        <f>HYPERLINK("http://www.twitter.com/NYCParks/status/574970240947392512", "574970240947392512")</f>
        <v>0</v>
      </c>
      <c r="B3189" s="2">
        <v>42072.6870601852</v>
      </c>
      <c r="C3189">
        <v>49</v>
      </c>
      <c r="D3189">
        <v>34</v>
      </c>
      <c r="E3189" t="s">
        <v>3189</v>
      </c>
    </row>
    <row r="3190" spans="1:5">
      <c r="A3190">
        <f>HYPERLINK("http://www.twitter.com/NYCParks/status/574950957097861120", "574950957097861120")</f>
        <v>0</v>
      </c>
      <c r="B3190" s="2">
        <v>42072.6338425926</v>
      </c>
      <c r="C3190">
        <v>16</v>
      </c>
      <c r="D3190">
        <v>11</v>
      </c>
      <c r="E3190" t="s">
        <v>3190</v>
      </c>
    </row>
    <row r="3191" spans="1:5">
      <c r="A3191">
        <f>HYPERLINK("http://www.twitter.com/NYCParks/status/573955811749265408", "573955811749265408")</f>
        <v>0</v>
      </c>
      <c r="B3191" s="2">
        <v>42069.8877662037</v>
      </c>
      <c r="C3191">
        <v>16</v>
      </c>
      <c r="D3191">
        <v>11</v>
      </c>
      <c r="E3191" t="s">
        <v>3191</v>
      </c>
    </row>
    <row r="3192" spans="1:5">
      <c r="A3192">
        <f>HYPERLINK("http://www.twitter.com/NYCParks/status/573941130305343488", "573941130305343488")</f>
        <v>0</v>
      </c>
      <c r="B3192" s="2">
        <v>42069.8472569444</v>
      </c>
      <c r="C3192">
        <v>12</v>
      </c>
      <c r="D3192">
        <v>16</v>
      </c>
      <c r="E3192" t="s">
        <v>3192</v>
      </c>
    </row>
    <row r="3193" spans="1:5">
      <c r="A3193">
        <f>HYPERLINK("http://www.twitter.com/NYCParks/status/573924272181231618", "573924272181231618")</f>
        <v>0</v>
      </c>
      <c r="B3193" s="2">
        <v>42069.8007407407</v>
      </c>
      <c r="C3193">
        <v>3</v>
      </c>
      <c r="D3193">
        <v>9</v>
      </c>
      <c r="E3193" t="s">
        <v>3193</v>
      </c>
    </row>
    <row r="3194" spans="1:5">
      <c r="A3194">
        <f>HYPERLINK("http://www.twitter.com/NYCParks/status/573904378702229504", "573904378702229504")</f>
        <v>0</v>
      </c>
      <c r="B3194" s="2">
        <v>42069.7458449074</v>
      </c>
      <c r="C3194">
        <v>21</v>
      </c>
      <c r="D3194">
        <v>35</v>
      </c>
      <c r="E3194" t="s">
        <v>3194</v>
      </c>
    </row>
    <row r="3195" spans="1:5">
      <c r="A3195">
        <f>HYPERLINK("http://www.twitter.com/NYCParks/status/573889981216878592", "573889981216878592")</f>
        <v>0</v>
      </c>
      <c r="B3195" s="2">
        <v>42069.7061111111</v>
      </c>
      <c r="C3195">
        <v>9</v>
      </c>
      <c r="D3195">
        <v>21</v>
      </c>
      <c r="E3195" t="s">
        <v>3195</v>
      </c>
    </row>
    <row r="3196" spans="1:5">
      <c r="A3196">
        <f>HYPERLINK("http://www.twitter.com/NYCParks/status/573873474030141442", "573873474030141442")</f>
        <v>0</v>
      </c>
      <c r="B3196" s="2">
        <v>42069.6605555556</v>
      </c>
      <c r="C3196">
        <v>9</v>
      </c>
      <c r="D3196">
        <v>28</v>
      </c>
      <c r="E3196" t="s">
        <v>3196</v>
      </c>
    </row>
    <row r="3197" spans="1:5">
      <c r="A3197">
        <f>HYPERLINK("http://www.twitter.com/NYCParks/status/573612735428231168", "573612735428231168")</f>
        <v>0</v>
      </c>
      <c r="B3197" s="2">
        <v>42068.9410532407</v>
      </c>
      <c r="C3197">
        <v>19</v>
      </c>
      <c r="D3197">
        <v>24</v>
      </c>
      <c r="E3197" t="s">
        <v>3197</v>
      </c>
    </row>
    <row r="3198" spans="1:5">
      <c r="A3198">
        <f>HYPERLINK("http://www.twitter.com/NYCParks/status/573579751140556800", "573579751140556800")</f>
        <v>0</v>
      </c>
      <c r="B3198" s="2">
        <v>42068.8500347222</v>
      </c>
      <c r="C3198">
        <v>0</v>
      </c>
      <c r="D3198">
        <v>24</v>
      </c>
      <c r="E3198" t="s">
        <v>3198</v>
      </c>
    </row>
    <row r="3199" spans="1:5">
      <c r="A3199">
        <f>HYPERLINK("http://www.twitter.com/NYCParks/status/573562211865661441", "573562211865661441")</f>
        <v>0</v>
      </c>
      <c r="B3199" s="2">
        <v>42068.8016435185</v>
      </c>
      <c r="C3199">
        <v>22</v>
      </c>
      <c r="D3199">
        <v>22</v>
      </c>
      <c r="E3199" t="s">
        <v>3199</v>
      </c>
    </row>
    <row r="3200" spans="1:5">
      <c r="A3200">
        <f>HYPERLINK("http://www.twitter.com/NYCParks/status/573548571729002496", "573548571729002496")</f>
        <v>0</v>
      </c>
      <c r="B3200" s="2">
        <v>42068.7640046296</v>
      </c>
      <c r="C3200">
        <v>8</v>
      </c>
      <c r="D3200">
        <v>18</v>
      </c>
      <c r="E3200" t="s">
        <v>3200</v>
      </c>
    </row>
    <row r="3201" spans="1:5">
      <c r="A3201">
        <f>HYPERLINK("http://www.twitter.com/NYCParks/status/573524273534537728", "573524273534537728")</f>
        <v>0</v>
      </c>
      <c r="B3201" s="2">
        <v>42068.6969560185</v>
      </c>
      <c r="C3201">
        <v>16</v>
      </c>
      <c r="D3201">
        <v>13</v>
      </c>
      <c r="E3201" t="s">
        <v>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2016-12-12T19:29:54Z</dcterms:created>
  <dcterms:modified xsi:type="dcterms:W3CDTF">2016-12-12T19:29:54Z</dcterms:modified>
</cp:coreProperties>
</file>