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<sst xmlns="http://schemas.openxmlformats.org/spreadsheetml/2006/main" count="3205" uniqueCount="3176">
  <si>
    <t>link</t>
  </si>
  <si>
    <t>created_at</t>
  </si>
  <si>
    <t>fav</t>
  </si>
  <si>
    <t>rt</t>
  </si>
  <si>
    <t>text</t>
  </si>
  <si>
    <t>Looking for you collision report? Did you know you can visit us online for that?
Have a look:… https://t.co/iY2sI0R062</t>
  </si>
  <si>
    <t>WANTED: Male, 30’s, for exposing himself on the B train near W. 86 St &amp;amp; Central Park West, Manhattan. Call… https://t.co/w9mnaLMgKT</t>
  </si>
  <si>
    <t>“She ran right up to me. I realized that this dog needed a lot of love and I have a lot of love to give.” https://t.co/hL4yvS4zuF</t>
  </si>
  <si>
    <t>Donate a gently used coat to @newyorkcares and help keep a New Yorker warm. Drop off locations at NYPD facilities:… https://t.co/4RkXEbayiA</t>
  </si>
  <si>
    <t>WANTED: Male, 45, 6’ 175lbs for attempted robbery in the Nassau St. &amp;amp; Fulton St. subway station, Manhattan. Call… https://t.co/5As8dnqvQy</t>
  </si>
  <si>
    <t>We hope you had a great weekend NYC! Your NYPD cops spent Sat. &amp;amp; Sun. taking drugs off the streets &amp;amp; connecting wit… https://t.co/xenVhsRCdi</t>
  </si>
  <si>
    <t>RT @NYPDONeill: Peter Figoski, 47, father of 4 girls. Murdered 5 yrs ago today, 0212 hours. We will #neverforget our fallen #NYPD heroes or…</t>
  </si>
  <si>
    <t>Donate a gently used coat to @newyorkcares and help keep a New Yorker warm. Drop off locations at NYPD facilities:… https://t.co/cOnE0TJCIm</t>
  </si>
  <si>
    <t>RT @nycgob: Agentes de @NYPD83Pct comparten la alegría del fin de año con la comunidad en Brooklyn. https://t.co/NbYeMZ48qD @NYPDnews #NYPD…</t>
  </si>
  <si>
    <t>Our @NYPD103Pct cops with the community spreading holiday cheer in Queens #NYPDconnecting https://t.co/7aEalDSTmb</t>
  </si>
  <si>
    <t>Our @NYPD83Pct cops with the community spreading holiday cheer in Brooklyn #NYPDconnecting https://t.co/aX9f2oFAZq</t>
  </si>
  <si>
    <t>Keeping Brooklyn safe: Guns, drugs, cash &amp;amp; ammunition recovered &amp;amp; two people arrested. Great work @NYPD81Pct… https://t.co/EgXDrKHBbK</t>
  </si>
  <si>
    <t>Our @NYPD33Pct cops with the community spreading holiday cheer in Manhattan #NYPDconnecting https://t.co/rGLXtabiFu</t>
  </si>
  <si>
    <t>Inspired By @NYPDTransit Officer’s Kindness, @Hanes Donates Hundreds Of Socks For NYC Homeless… https://t.co/7mW8q6WW3u</t>
  </si>
  <si>
    <t>#SilverAlert: Jeanmarie Theodore, 78, 5'6" 115 lbs, last seen 701 Fenimore St. Brooklyn. Call 911 if seen,… https://t.co/yqibmkkqj5</t>
  </si>
  <si>
    <t>Some of our @NYPD44Pct officers stopped by Bronx Lebanon Hospital to spread some holiday cheer. #ItsWhatWeDo… https://t.co/TEwpkTdK7U</t>
  </si>
  <si>
    <t>This is #NYPDconnecting! @NYPD109Pct &amp;amp; community members spreading holiday cheer in Queens. https://t.co/CydaYW24jZ</t>
  </si>
  <si>
    <t>RT @NYPDONeill: A huge thank you to the amazing #NYPD families who've given NYers more than we can ever repay. Happy holidays to all https:…</t>
  </si>
  <si>
    <t>Best of luck to both teams. It's more than just a football game- thank you for your service to our country.… https://t.co/spu99KYCQ2</t>
  </si>
  <si>
    <t>Looking for you collision report? Did you know you can visit us online for that?
Have a look:… https://t.co/cNSyTXHIAu</t>
  </si>
  <si>
    <t>An emergency response EXERCISE is being conducted near JFK airport. Expect an increased presence of emergency personnel until approx 3pm</t>
  </si>
  <si>
    <t>Did you know you can see just how low crime is in NYC with the NYPD's CompStat 2.0? Check out your neighborhood:… https://t.co/5YXNPFRq09</t>
  </si>
  <si>
    <t>Great job by the hard working, dedicated cops in the @NYPD84Pct who took this illegal gun off the streets of Brookl… https://t.co/m1SlWI2Q9K</t>
  </si>
  <si>
    <t>WANTED: Keon Richmond, 34, for arson. Set vehicle on fire at 514 Fountain Ave, Brooklyn. Call #800577TIPS with info. https://t.co/TixMj4ECQ9</t>
  </si>
  <si>
    <t>ARREST UPDATE: Clarence Copeland, 54, charged with this robbery in Manhattan on December 2. https://t.co/TPxxgqfdx1</t>
  </si>
  <si>
    <t>WANTED: 2 men in a Hyundai Elantra for shooting homicide of a woman (NYC Correction Ofcr) in Bklyn. Call… https://t.co/1oIHiZHcwe</t>
  </si>
  <si>
    <t>#ICYMI: NYPD Counterterrorism Cops Use Tourniquet To Save Woman https://t.co/8ZpQU13SNK https://t.co/zwisnWqbr6</t>
  </si>
  <si>
    <t>This is New York's Finest partnering with ALL communities to keep NYC so safe https://t.co/B1JdQWYe1n #NYPDconnecting</t>
  </si>
  <si>
    <t>Help ID this man WANTED for robbery on Staten Island. Call #800577TIPS with info https://t.co/ydrZVaj7it</t>
  </si>
  <si>
    <t>RT @NYPDONeill: Many thanks to @nypdcops3100, founded in 1895, &amp;amp; #NYCPoliceFoundation for the award today. It's an honor to work with all #…</t>
  </si>
  <si>
    <t>WANTED: Group of males &amp;amp; females in their teens to early twenties for robberies in the Bronx. Call #800577TIPS with… https://t.co/EPb1dNDBMx</t>
  </si>
  <si>
    <t>K9 Timoshenko definitely knows how to let Det. Colecchia know when he’s ready to start his day of keeping NYC safe. https://t.co/7kabbfF9Xn</t>
  </si>
  <si>
    <t>NYPD Counterterrorism Cops Use Tourniquet To Save Woman https://t.co/8ZpQU13SNK @NYPDCT https://t.co/Unp4kdlflU</t>
  </si>
  <si>
    <t>By now we’ve all heard that CRIME IS DOWN IN NYC. ➡️ https://t.co/K0rSvezexu
It’s due to the hard work of cops lik… https://t.co/R2oLRcm7Xh</t>
  </si>
  <si>
    <t>WANTED: 2 men in a Hyundai Elantra for shooting homicide of a woman (NYC Correction Ofcr) in Bklyn. Call… https://t.co/7OF8QaBMg4</t>
  </si>
  <si>
    <t>It’s with a heavy heart we send condolences to the @GaSouthwestern Police Dept. &amp;amp; family of Officer Jody Smith, kil… https://t.co/xEtG6mjxco</t>
  </si>
  <si>
    <t>Real or fake? It's no longer on the streets due to cops in the @NYPD9Pct
Click the link to find out more:… https://t.co/VO0nRRBBPU</t>
  </si>
  <si>
    <t>Seen this man? He's WANTED for public lewdness on the D train in the Bronx. Call #800577TIPS with info https://t.co/1lI4eQTstz @NYPDTransit</t>
  </si>
  <si>
    <t>Officer Valentin is assigned to @NYPD77Pct &amp;amp; is one of the NYPD's newest Finest that is helping to keep NYC so safe… https://t.co/LBPreIH1HP</t>
  </si>
  <si>
    <t>Help ID these teens WANTED for robbing a 16y/o boy at the W. 8 St F subway station in Brooklyn. Call #800577TIPS https://t.co/AbKyLnNF7u</t>
  </si>
  <si>
    <t>RT @NYPDChiefofDept: Congrats @NYPD121Pct for earning the Compstat Award! Our cops took 3 more guns off our streets, making #StatenIsland a…</t>
  </si>
  <si>
    <t>Sending prayers to the Americus, Ga Police Dept. &amp;amp; family of Officer Nicholas Smarr who was killed while protecting… https://t.co/ZxX9ECwcx7</t>
  </si>
  <si>
    <t>Another packed house at the @NYPD43Pct Community Council Meeting. 
Find out how to attend your local meeting:… https://t.co/NYf0vHwOBS</t>
  </si>
  <si>
    <t>ARREST: Paul Gilbert, 26, charged with murder for shooting death of a man at 1735 Madison Ave, Manhattan. Call #800577TIPS w/info on crime</t>
  </si>
  <si>
    <t>#Harlem is even safer due to the hard wok of the men and women of the @NYPD32Pct. Great job taking this gun off the… https://t.co/BBtut5REd4</t>
  </si>
  <si>
    <t>WANTED: Male, 5’10” 175lbs, for assaulting a woman inside the Canal St “J” train subway station, Manhattan. Call… https://t.co/jKJNOQxpER</t>
  </si>
  <si>
    <t>Our thoughts and prayers are with his family, friends and everyone at @NYPDauxiliary. https://t.co/CqtDx4fFEp</t>
  </si>
  <si>
    <t>.@NYPDONeill joins cops and community at the Astoria Civic Association meeting https://t.co/EI9lY9PzQH</t>
  </si>
  <si>
    <t>Have you seen him? WANTED for forcibly touching a woman inside Chambers St. 6 train subway station. Call #800577TIPS https://t.co/9S97rCVwx9</t>
  </si>
  <si>
    <t>“I don’t want him to be alone, and I’d like to make sure that there’s someone there,” Officer Finlay said. https://t.co/WrOgS3ziXj</t>
  </si>
  <si>
    <t>RT @NYPD100Pct: Honoring the lives lost during the attack at #PearlHarbor 75 years ago. #Rockaway https://t.co/NsZPiPNts1</t>
  </si>
  <si>
    <t>#SilverAlert: Charmel Allen, 67, last seen at 108 East 95 St, Bklyn. Call 911 if seen, #800577TIPS with info. https://t.co/Cf71UAR9pj</t>
  </si>
  <si>
    <t>Join us in taking a moment of silence in honor of all the lives lost during the attack at #PearlHarbor 75 years ago… https://t.co/P5CTEnIOXK</t>
  </si>
  <si>
    <t>WANTED: Individual driving a 4 door, green Toyota Corolla for a shooting assault at 455 Hegeman Ave, Brooklyn. Call… https://t.co/Cp1YkR73B1</t>
  </si>
  <si>
    <t>Help ID this man WANTED for assault in Midtown Man, made anti-Muslim statements. Call #800577TIPS with info… https://t.co/kyjjxWRvZW</t>
  </si>
  <si>
    <t>Dedicated police work by @NYPD32Pct cops resulted in this gun being taken off the streets of Manhattan… https://t.co/wZJMxzlZWs</t>
  </si>
  <si>
    <t>Join us later today at 12:55pm in taking a moment of silence in honor of the lives lost during the attack at… https://t.co/KgNJrCMuKu</t>
  </si>
  <si>
    <t>“It’s who I am- I’m a human and so is he. I genuinely cared and wanted to help him,” Officer Rodriguez said.… https://t.co/kdiPrEA276</t>
  </si>
  <si>
    <t>Peter has worked at NYPD HQ since the day it opened its doors in 1973. Thanks for your decades of service, Peter! https://t.co/AhRPqBjaYG</t>
  </si>
  <si>
    <t>Have you heard? CRIME IS DOWN IN NYC!
Overall Crime ⬇️9.9%
Robbery⬇️15%
Rape⬇️20%
Assault ⬇️6%
See how safe Nov was https://t.co/K0rSvezexu</t>
  </si>
  <si>
    <t>Help ID this man WANTED for bank robberies in Manhattan. Call #800577TIPS with info https://t.co/A7tnxlbUQB @NYPD19Pct</t>
  </si>
  <si>
    <t>RT @NYPDchaplains: Our thoughts &amp;amp; prayers are with the friends &amp;amp; family members of Trooper Frankie Williams of @NJSP. Rest in God's Peace.…</t>
  </si>
  <si>
    <t>Sending thoughts and prayers to our partners in @CorrectionNYC and the family of Officer Bryan https://t.co/R81oBFzw6u</t>
  </si>
  <si>
    <t>.@NYPDONeill explains to the #BKnewsmakers how he attends precinct community council meetings and how dedicated the… https://t.co/kgzVVgFEFn</t>
  </si>
  <si>
    <t>.@NYPDONeill discusses with the @BrooklynChamber how to get involved with your NYPD. #BKnewsmakers 
Learn more ⬇️https://t.co/hkB6CWgMhW</t>
  </si>
  <si>
    <t>"Our ability to investigate, prevent &amp;amp; respond is great," @NYPDONeill on NYPD's counterterrorism capabilities, now… https://t.co/BEYnMj8tII</t>
  </si>
  <si>
    <t>"Our Neighborhood Policing Program is the way forward," @NYPDONeill to the @BrooklynChamber #BKnewsmakers 
More ⬇️https://t.co/7lYyhcHoaQ</t>
  </si>
  <si>
    <t>#HappeningNow: @NYPDONeill speaks to New Yorkers at the @BrooklynChamber of Commerce #BKnewsmakers event about how… https://t.co/xC5OpEyb8T</t>
  </si>
  <si>
    <t>#HappeningSoon: Commissioner @NYPDONeill joins the conversation at the @BrooklynChamber of Commerce #BKnewsmakers e… https://t.co/MZCwRgVlzo</t>
  </si>
  <si>
    <t>WANTED: 2 males, 20’s, driving 2011-15 Hyundai Elantra for shooting a man &amp;amp; a woman at 163-72 Mathias Ave, Queens.… https://t.co/Ys99AELyTI</t>
  </si>
  <si>
    <t>#ICYMI: Your NYPD cops are working hard to keep You safe. More than 86 guns taken off the streets… https://t.co/Xf3O3PtwXZ</t>
  </si>
  <si>
    <t>#SilverAlert: Winston Watson/61, last seen 4:30am 12/2 near Creston Ave #Bronx. He’s 5’8, 160lbs, dreadlocks, brown jacket. Call 911 if seen</t>
  </si>
  <si>
    <t>WANTED: Two Hispanic males for armed robberies on Ward Ave, Bronx. Call #800577TIPS with info. @NYPD43Pct https://t.co/7fGrNFeR9F</t>
  </si>
  <si>
    <t>With the Finest tech in their hands @NYPDTransit Officers Delvecchio &amp;amp; Dubuisson recognized &amp;amp; apprehended a man wan… https://t.co/HZgY1JuQlc</t>
  </si>
  <si>
    <t>CRIME IS DOWN IN NYC!
Overall Crime ⬇️9.9%
Robbery⬇️15%
Rape⬇️20%
Assault ⬇️6%
Watch more on how safe Nov. was https://t.co/K0rSvezexu</t>
  </si>
  <si>
    <t>WANTED: Male for robbery, took property &amp;amp; punched woman after following into her Man. residence. Call #800577TIPS. https://t.co/Erjid79qkC</t>
  </si>
  <si>
    <t>Police Commissioner @NYPDONeill &amp;amp; @ManhattanDA Announce Indictment Of Firearm Ring For Trafficking 86 Guns… https://t.co/U2UwaO8cDu</t>
  </si>
  <si>
    <t>RT @ManhattanDA: DA Vance: Today we're announcing our latest work to dismantle the trafficking crews who flood our streets with illegal gun…</t>
  </si>
  <si>
    <t>"This is precision policing at its best," says @NYPDONeill now on the take down of firearm trafficking ring &amp;amp; dozen… https://t.co/3etTalrBb7</t>
  </si>
  <si>
    <t>#HappeningNow: @NYPDONeill and @ManhattanDA announce indictment of firearm ring and +80 guns off the streets.… https://t.co/8jNYIr9vcO</t>
  </si>
  <si>
    <t>RT @NYPDTransit: Three 'Level 3' reg sex offenders apprehended in the subways in just 2 days- Here are just 2 of the teams that make our ef…</t>
  </si>
  <si>
    <t>Officers Hametz and Szenczy from the @NYPD103Pct are just two of the reasons crime in NYC is so low. 
WATCH NOW:… https://t.co/ZIjFyLc80F</t>
  </si>
  <si>
    <t>"The low crime in NYC is due to the hard work of the men and women of the NYPD along with our Neighborhood Policing… https://t.co/wGH12Uji1c</t>
  </si>
  <si>
    <t>"It's unacceptable that Officer Aml Elsokary or anybody be treated with bigotry," @NYCMayor now. WATCH:… https://t.co/UVpoSfTWZS</t>
  </si>
  <si>
    <t>#HappeningNow: @NYCMayor &amp;amp; @NYPDONeill give update on NYC's low crime rate. WATCH LIVE from the @NYPD1Pct: https://t.co/K0rSvezexu</t>
  </si>
  <si>
    <t>#HappeningSoon: @NYCMayor and @NYPDONeill give update on the low crime rate in NYC live from the @NYPD1Pct. https://t.co/fHG3YrZ5GG</t>
  </si>
  <si>
    <t>‘Tweet Beat’: How The NYPD Is Using Twitter To Connect With The Public https://t.co/5KI5S0x0PU @NYPDBklynNorth Via:… https://t.co/21EKWqQ77P</t>
  </si>
  <si>
    <t>NYPD Neighborhood Policing is a crime fighting model: https://t.co/7lYyhcHoaQ  #NYPDprotecting #NYPDconnecting 
https://t.co/B8nAI97sin</t>
  </si>
  <si>
    <t>The NYPD’s precision policing is keeping NYC safe. #NYPDprotecting https://t.co/QfGJa5GVJT</t>
  </si>
  <si>
    <t>WANTED: Female 18-21y/o for grand larceny. Took woman’s cell phone on the A train at Utica Ave, Brooklyn. Call… https://t.co/HKFQaNR8Zv</t>
  </si>
  <si>
    <t>WANTED: Male for robbery, took property &amp;amp; punched 54y/o woman after following into her Manhattan residence. Call… https://t.co/rpMTBV7J4S</t>
  </si>
  <si>
    <t>WANTED: Male for the shooting homicide of a man at 981 Union Ave, Bronx. Call #800577TIPS with info. @NYPD42Pct https://t.co/qPf5c84N51</t>
  </si>
  <si>
    <t>Ride along with us through Brooklyn Bridge Park to see what the NYPD Smart Car can do.
More:… https://t.co/6XszNOQyFd</t>
  </si>
  <si>
    <t>WANTED: Male for robbery, took property &amp;amp; punched 54y/o woman after following into her Manhattan residence. Call… https://t.co/3pK5QC6LCY</t>
  </si>
  <si>
    <t>Spending Sunday in NYC? Plan ahead and enjoy with the NYPD’s traffic advisory https://t.co/beWn5Pt6vy</t>
  </si>
  <si>
    <t>The support shown by the families of our cops is outstanding. Today they got a look at the NYPD Police Academy in Q… https://t.co/A71U1FLgYi</t>
  </si>
  <si>
    <t>This is your #NYPDprotecting 24/7. Great job, @NYPD79Pct! https://t.co/7ZM1OCgsk0</t>
  </si>
  <si>
    <t>Take a stand with us, and pledge to combat bullying and never stay silent. https://t.co/opWf4aJq2Q @NYPDBklynNorth @STOMPOutBullyng</t>
  </si>
  <si>
    <t>NYPD Hero Honored In Queens Street Renaming Ceremony https://t.co/Q0DyjZ0dBz
We Will #NeverForget Detective Joseph… https://t.co/0GHNx9Auyx</t>
  </si>
  <si>
    <t>#ICYMI: NYPD cops &amp;amp; our law enforcement partners took $7 million worth of fake smartphones off the streets. https://t.co/XJG7l7iIxK</t>
  </si>
  <si>
    <t>Are you doing some holiday shopping today? Here's a few tips to keep you safe https://t.co/Hre7LMY0gj</t>
  </si>
  <si>
    <t>WANTED: 2 male suspects for assaulting 2 men on the 6 train platform in #EastHarlem. Call #800577TIPS with info.… https://t.co/jSyuGr3jgr</t>
  </si>
  <si>
    <t>In NYC this weekend? Plan ahead and enjoy with the NYPD's traffic advisory https://t.co/beWn5Pt6vy</t>
  </si>
  <si>
    <t>Holiday shopping this weekend? Here's a few tips to keep you safe https://t.co/Hre7LMY0gj</t>
  </si>
  <si>
    <t>WANTED: Male for armed robbery of a restaurant delivery person in the Bronx. Call #800577TIPS with info. https://t.co/wJEdYLXRIz</t>
  </si>
  <si>
    <t>This is your #NYPDprotecting. 
 @NYPD103Pct Officers Hametz and Szenczy recovered an AK-47 after they stopped a car… https://t.co/R7qbw7HmNh</t>
  </si>
  <si>
    <t>HELP ID 2 men WANTED for armed robbery in Brooklyn. Call #800577TIPS with info. https://t.co/mGnlEzipg3</t>
  </si>
  <si>
    <t>Donate a gently used coat to @newyorkcares and help keep a New Yorker warm. Drop off locations at NYPD facilities:… https://t.co/6BOu56GhqY</t>
  </si>
  <si>
    <t>RT @TalkToMe: 200+ hostage negotiators from the NYPD &amp;amp; beyond gathered to learn/practice their skills in order to help people in crisis #Ta…</t>
  </si>
  <si>
    <t>Learn more about our Neighborhood Coordination Officers (NCO) and #NYPDconnecting ➡️https://t.co/g2c1bCrMgH
https://t.co/nk0blJA5Fw</t>
  </si>
  <si>
    <t>“These products are dangerous. They are not what the manufacturer produced in a safe manner." - Chief McCarthy https://t.co/XJG7l7iIxK</t>
  </si>
  <si>
    <t>WANTED: Male for grand larceny on Staten Island. Conducted a fraudulent transaction using a stolen bank card. Call… https://t.co/hbYBCiMbLg</t>
  </si>
  <si>
    <t>There's many ways to help keep NYC safe. Learn about the NYPD Auxiliary program https://t.co/JwYDvch7BR  https://t.co/yuPfyIEgGn</t>
  </si>
  <si>
    <t>It's with a heavy heart we send our condolences to the Tacoma, WA. Police Dept. &amp;amp; the family of Officer Jake Gutier… https://t.co/C0PdKOq90u</t>
  </si>
  <si>
    <t>ELEVEN GUNS off the streets!
• Countless lives saved
• An even safer NYC
That’s #NYPDprotecting! https://t.co/MNy6ujoy6A</t>
  </si>
  <si>
    <t>Together we’ll #STOMPOutBullying!
Thanks for the partnership, @STOMPOutBullyng https://t.co/SRjIP873MY</t>
  </si>
  <si>
    <t>WANTED: Male Hispanic 5’6”, 150lbs, 50-60y/o for burglary in Midtown Man. Took 5 gallon pail containing gold worth… https://t.co/7OFWLorjk9</t>
  </si>
  <si>
    <t>Have a look at a few tips that will help keep you safe and secure on the internet and while you shop in stores. https://t.co/SXIlIL5qoL</t>
  </si>
  <si>
    <t>“Part of our job is to save lives. These people are having a medical crisis and they need our help.” https://t.co/g9GB8kIr8y</t>
  </si>
  <si>
    <t>For those getting ready to drive home, here’s three reminders. Help spread the word that #YourChoicesMatter… https://t.co/9G8FuAzJRs</t>
  </si>
  <si>
    <t>In An NYPD Minute 
Watch more videos: https://t.co/b9RTLUdDoH https://t.co/52dYImSNwq</t>
  </si>
  <si>
    <t>WANTED: Male, Hispanic for forcibly touching a woman in the elevator at Jay St./Willoughby on the "A" train station… https://t.co/VPrDUKNASo</t>
  </si>
  <si>
    <t>It's beginning to look a lot like Christmas! 
And a safe holiday season in NYC -- #NYPDProtecting… https://t.co/v2qXl09v80</t>
  </si>
  <si>
    <t>“Part of our job is to save lives- These people are having a medical crisis and they need our help.”… https://t.co/QbWulA7EtI</t>
  </si>
  <si>
    <t>RT @NYPDBklynNorth: #MANNEQUINCHALLENGE TAKE A STAND WITH US, COPS AND KIDS ALIKE, WITH A PLEDGE TO COMBAT BULLYING AND NEVER STAY SILENT @…</t>
  </si>
  <si>
    <t>RT @NYPDSpecialops: #ESU #K9 POs Murphy &amp;amp; Labrada with "Tori" &amp;amp; "Nox" are awaiting the crowds that will celebrate tonight @ the #RockCenter…</t>
  </si>
  <si>
    <t>Help ID this man WANTED for forcibly touching a woman at 110 St &amp;amp; Central Park West subway station. Call #800577TIPS https://t.co/zRqeqYsvKR</t>
  </si>
  <si>
    <t>More ways we’re keeping our cops safe ➡️https://t.co/ZdhB2KgLrm  https://t.co/tzJCJOjiaL</t>
  </si>
  <si>
    <t>It’s getting dark plus it’s raining. Be careful getting home everyone. Safety is a shared responsibility.… https://t.co/yfV1R6wpGK</t>
  </si>
  <si>
    <t>Attending the Rockefeller Christmas Tree lighting tonight? Certain streets will be closed. Plan ahead... https://t.co/G4PmZAuApe</t>
  </si>
  <si>
    <t>A packed @NYPD69Pct Community Council meeting last night. Thx to the #Canarsie community for sharing the responsibi… https://t.co/u8CIeTpuak</t>
  </si>
  <si>
    <t>Commitment to your craft, dedication to training and continual improvement are what make you the best at your work.… https://t.co/eZJlssY2Bo</t>
  </si>
  <si>
    <t>Your work might look simple to outsiders, but it’s your calm professionalism that makes you expert hostage negotiat… https://t.co/E3aB2RhXLa</t>
  </si>
  <si>
    <t>Hostage Negotiators have exceptional abilities including a remarkable aptitude for empathy and quick-thinking under… https://t.co/Oxd2w1ZHqD</t>
  </si>
  <si>
    <t>#HappeningNow: @NYPDONeill welcoming 200+ hostage negotiators from the NYPD &amp;amp; beyond for a 3-day conference.… https://t.co/g1t4FYUpBP</t>
  </si>
  <si>
    <t>“It will work, and it is working, because its primarily a crime-fighting model of policing." - @NYPDONeill (VIDEO) https://t.co/y6ZiciT2i4</t>
  </si>
  <si>
    <t>This is #NYPDprotecting: @NYPD45Pct cops are dedicated to keeping #NYC safe. A gun, cash &amp;amp; drugs taken off the stre… https://t.co/5y79BXwXok</t>
  </si>
  <si>
    <t>WANTED: Male Hispanic 5’6”, 150lbs, 50-60y/o for burglary in Midtown Man. Took 5 gallon pail containing gold worth… https://t.co/AogKYOKxWI</t>
  </si>
  <si>
    <t>Cops from the @NYPD101Pct were out spreading some cheer with young students at PS 215 in #FarRockaway… https://t.co/ENZbm5MOq2</t>
  </si>
  <si>
    <t>"It matters to me &amp;amp; they're making a difference. What they're doing is significant."
Thx for stopping by, @TimTebow https://t.co/nYUlZrQ9s3</t>
  </si>
  <si>
    <t>Help ID this man WANTED for sexually abusing a woman on the Q train in Brooklyn. Call #800577TIPS with info https://t.co/Lnx2SFliEQ</t>
  </si>
  <si>
    <t>Help ID this suspect wanted for forcibly touching a woman in Brooklyn. Call #800577TIPS with info. @NYPD66Pct https://t.co/hlBfDd4fU6</t>
  </si>
  <si>
    <t>It’s getting dark plus it’s raining. Be careful getting home everyone. Safety is a shared responsibility.… https://t.co/rDw5lGm358</t>
  </si>
  <si>
    <t>RT @NYPDONeill: Whatever your mode of transportation -- car, bike or foot -- put your phone down. It could be your own life you save #NYPD…</t>
  </si>
  <si>
    <t>NYPD Precision policing &amp;amp; #VisionZero: Targeted enforcement &amp;amp; sharing safety awareness tips. That’s #NYPDprotecting &amp;amp; #NYPDconnecting</t>
  </si>
  <si>
    <t>"There's been a double digit decrease in fatal collisions this year (10/27-11/27 '15 vs 16)," @NYPDONeill now WATCH… https://t.co/NxkiZkf3PU</t>
  </si>
  <si>
    <t>Let’s make an extra effort to be safe driving and walking. Today and every day. Spread the word that… https://t.co/blgp78Z127</t>
  </si>
  <si>
    <t>Everyone can help make NYC safer. Spread the word that #YourChoicesMatter. #VisionZero https://t.co/wl7dmN1it0</t>
  </si>
  <si>
    <t>#DontCutCorners: Turns faster than 5MPH put pedestrians at risk. 
#TurnSlowly #YourChoicesMatter #VisionZero https://t.co/LPfqzuUdxv</t>
  </si>
  <si>
    <t>#HappeningNow: @NYCMayor, @NYPDONeill, @NYC_DOT speak on traffic safety. #VisionZero #YourChoicesMatter
WATCH LIVE: https://t.co/uWyldGU1JU</t>
  </si>
  <si>
    <t>#HappeningSoon: @NYCMayor, @NYPDONeill, @NYC_DOT to speak on traffic safety for pedestrians &amp;amp; vehicles. #VisionZero… https://t.co/wI2NrSjL3u</t>
  </si>
  <si>
    <t>Police officers from the @NYPD112Pct saved two dogs running on the Grand Central Parkway and alleviated the ensuing… https://t.co/e570N4EHRg</t>
  </si>
  <si>
    <t>Drive &amp;amp; walk safely: @NYPD122Pct cops were out sharing #VisionZero safety tips for both drivers &amp;amp; pedestrians. Be a… https://t.co/zjt3fDLQBm</t>
  </si>
  <si>
    <t>WANTED: M/H/40’s for sex abuse of a female/55 on the Q train at Church Ave on 10/16. @NYPD70Pct @NYPDTransit
@Call… https://t.co/EhUhCsfGPg</t>
  </si>
  <si>
    <t>Get involved in helping keep your neighborhood safe. You can also get a reward- that’s a #WinWin… https://t.co/KjoiLDacpR</t>
  </si>
  <si>
    <t>RT @NYPDONeill: Tmrw @ 5/6/11 pm on @WCBSTV: The men and women of the #NYPD became cops to make a difference and to lead lives of significa…</t>
  </si>
  <si>
    <t>“They contacted me a little bit after and said they wanted to honor me, and I was like whoa, that’s amazing.” https://t.co/TVNjGYqe76</t>
  </si>
  <si>
    <t>Help ID this man WANTED for bank robbery on Staten Island. Call #800577TIPS with info. https://t.co/kvc7W0d52a</t>
  </si>
  <si>
    <t>Your NYPD is working 24/7 to keep the people of NYC safe. Nice job, officers! https://t.co/J4Tyr8ZjMz</t>
  </si>
  <si>
    <t>Have you seen Andre Curtis? He's wanted for questioning in regards to a homicide in the Bronx. Call #800577TIPS https://t.co/ccFD26cpaa</t>
  </si>
  <si>
    <t>Have a look at a few tips that will help keep you safe and secure on the internet during the shopping season. https://t.co/SXIlIL5qoL</t>
  </si>
  <si>
    <t>Rescued by the NYPD, Mariah can’t wait to find a loving family. More from the @ASPCA: https://t.co/BL9Icr3V0P https://t.co/qyONtFmWbb</t>
  </si>
  <si>
    <t>RT @NYPDCommAffairs: ‼️Scam Alert‼️: The NYPD wants to protect you from financial loss. Don't be a victim of phone or tax scams! #NYPDCrime…</t>
  </si>
  <si>
    <t>Standing with our partners in @SATXPolice as they lay to rest a hero, Detective Ben Marconi. #NeverForget @bftfnyc https://t.co/SL6Sx9G2WB</t>
  </si>
  <si>
    <t>Cops in Brooklyn's @NYPD79Pct were all smiles on Thanksgiving as they spent the day w/Explorers handing out turkey… https://t.co/Au8Zv1To3E</t>
  </si>
  <si>
    <t>Helpful tips to prevent being a victim: 
-Use signature option
-Give instructions on where you want packages placed  https://t.co/7VJhmmwZ8A</t>
  </si>
  <si>
    <t>Your @NYPD46Pct cops in the Bronx have been busy keeping you safe and taking guns off NYC streets. #NYPDprotecting https://t.co/ysDXwNwbcj</t>
  </si>
  <si>
    <t>WANTED: Female for grand larceny. Removed property from victims as they stood on line at 226 W. 46 St, Manhattan. C… https://t.co/Z0tIQo53Mz</t>
  </si>
  <si>
    <t>Your #NYPDprotecting Brooklyn and keeping all of NYC safe https://t.co/7TqjlWKsJW</t>
  </si>
  <si>
    <t>RT @NYPD67Pct: From the Bad Idea Files: Driving drunk is always a bad idea. Driving drunk with your illegally possessed firearm is an even…</t>
  </si>
  <si>
    <t>A car stop by @NYPD75Pct officers resulted in this illegal, loaded gun being taken off the streets of #Brooklyn.… https://t.co/TtCD5Jr8of</t>
  </si>
  <si>
    <t>WANTED: M/B for assault/firing a gun at a female/29 sitting in a vehicle on 120St in Queens at 8pm 11/22. Call… https://t.co/ZyYbkCIX9O</t>
  </si>
  <si>
    <t>WANTED: 1 of 2 males for armed robbery near Dumont Ave &amp;amp; Chester Ave, Brooklyn. Call #800577TIPS with info.… https://t.co/pNQ0rczHHX</t>
  </si>
  <si>
    <t>Bronx cops arrested man carrying an illegal handgun after he threatened a woman on the 2 train Saturday morning. https://t.co/1AHcHEJekv</t>
  </si>
  <si>
    <t>Highly trained, highly equipped, and saving lives. Great job, @NYPDHighway Officer Grosso https://t.co/DDYKqg0bcr</t>
  </si>
  <si>
    <t>If you’re still looking for a great deal today so are a few bad guys. Have a look at some tips to help keep you safe https://t.co/qHJPcpnNW7</t>
  </si>
  <si>
    <t>WANTED: M/B/15 for robbing a female/12 &amp;amp; punching her repeatedly in the face on Stillwell Ave 3:30pm 11/21. Call… https://t.co/oujZffyG9p</t>
  </si>
  <si>
    <t>NYPD And Interfaith Center Of New York Launch Multi-Faith Police Training Video https://t.co/Q8Ug4mdCa8 https://t.co/ls5JaawfTL</t>
  </si>
  <si>
    <t>The Macy’s Thanksgiving Day Parade went off without a hitch thanks to the major security efforts of the NYPD https://t.co/AiUm0EcpNf</t>
  </si>
  <si>
    <t>RT @NYPD60Pct: Seen our  #manniquinchallenge yet? Special thanks to @JimBiancotweets for graciously allowing us to use his song! https://t.…</t>
  </si>
  <si>
    <t>"I had the most interesting job in the NYPD. I don't think I would've enjoyed doing any other work." - Lt. O'Connor https://t.co/C9MaeWDmvx</t>
  </si>
  <si>
    <t>“It’s an honor being a part of a family of legacy,” NYPD Capt. O’Connell said. “It’s a privilege.”… https://t.co/dpnWEwN4yk</t>
  </si>
  <si>
    <t>WANTED: Male teen for multiple robberies in Lower Manhattan. Threatens to shoot or stab victim. Call #800577TIPS wi… https://t.co/S4SZkbbE7n</t>
  </si>
  <si>
    <t>We’re dedicated to connecting with NY’ers AND protecting NYC. Great work @NYPD79Pct @NYPD103Pct 
#NYPDprotecting… https://t.co/QeX5s5FveT</t>
  </si>
  <si>
    <t>Good morning NYC. 
For the “few” people that go shopping today, here’s some quick safety tips. Have a safe and fun… https://t.co/OMbVmNF5RA</t>
  </si>
  <si>
    <t>We're working the holiday so people can enjoy the holiday. Happy #Thanksgiving from @FDNY &amp;amp; the NYPD. (Thanks E75/L… https://t.co/GXXn1cWplE</t>
  </si>
  <si>
    <t>On Thanksgiving and every other day of the year, this is your #NYPDprotecting https://t.co/8C0HlMOKbI</t>
  </si>
  <si>
    <t>As K9 Timoshenko protected today’s Thanksgiving Day Parade he stopped by to show support for the Wounded Warrior Pr… https://t.co/ZXPkaKiupD</t>
  </si>
  <si>
    <t>Let’s help Chief of @NYPDTransit spread his message of gratitude to the men and women of the NYPD who keep NYC safe… https://t.co/axln66W8DR</t>
  </si>
  <si>
    <t>Join us in taking time this Thanksgiving to think of the family of @waynestate Officer Collin Rose, killed in the l… https://t.co/k0vddrizag</t>
  </si>
  <si>
    <t>“Thank you, everybody,” she said. “Thank you. Thank you.” https://t.co/5sASsCPE1m Via: @MichaelDalynyc</t>
  </si>
  <si>
    <t>She said yes!!!
Officer Dossi proposed to his girlfriend alongside the NYPD Band at today's @Macys Thanksgiving Da… https://t.co/FVot64Lw8V</t>
  </si>
  <si>
    <t>Don't forget to have a look at our @Macys Thanksgiving Day Parade story on @Snapchat https://t.co/oY1vH8UoVd</t>
  </si>
  <si>
    <t>Happy Thanksgiving from the NYPD's Mounted Unit! https://t.co/qWgFTL6sxl</t>
  </si>
  <si>
    <t>.@NYPDHighway proudly leads the @Macys Thanksgiving Day Parade 
Happy Thanksgiving! https://t.co/ypv79oGvJv</t>
  </si>
  <si>
    <t>On the @Macys Thanksgiving Day Parade route protecting and connecting 
#NYPDprotecting #NYPDconnecting https://t.co/DIz6PCIsux</t>
  </si>
  <si>
    <t>On two legs and four we're out here at the @Macys Thanksgiving Day Parade making sure everyone enjoys https://t.co/yKSeyisxc5</t>
  </si>
  <si>
    <t>Ready for a safe, fun @Macys Thanksgiving Day Parade to start https://t.co/Ts3W2HdC5l</t>
  </si>
  <si>
    <t>Come down and enjoy a safe @Macys Thanksgiving Day Parade! https://t.co/RpgLGbFazO</t>
  </si>
  <si>
    <t>The choice is simple tonight. Stay safe, alive and out of jail.
Don’t drink and drive! https://t.co/8Gqqy6h9UI</t>
  </si>
  <si>
    <t>Knife recovered at scene of police involved shooting tonight in the Bronx within the confines of the @NYPD41Pct https://t.co/DQHkKTs18x</t>
  </si>
  <si>
    <t>LIVE on #Periscope: Update on police involved shooting in the Bronx https://t.co/epJqhsnHmq</t>
  </si>
  <si>
    <t>There's been a police involved shooting in the Bronx within the confines of the @NYPD41Pct. More information to follow when available.</t>
  </si>
  <si>
    <t>3rd-generation NYPD officer promoted, proving he's true blue among a cop-filled kin via @NYDailyNews @Tomtracyv… https://t.co/eCXIZW2Obb</t>
  </si>
  <si>
    <t>Help us say thanks to our partners in @NYCSanitation for all they're doing to help secure the Thanksgiving Day Para… https://t.co/QnYn0xda4B</t>
  </si>
  <si>
    <t>"Thanks to the 36K uniformed members of the NYPD for what they do everyday &amp;amp; for those who'll be away from family t… https://t.co/6VIu50qCay</t>
  </si>
  <si>
    <t>This is #NYPDprotecting the people of NYC. Tune in tonight to @NBCNightlyNews with @LesterHoltNBC to see more. https://t.co/dJ0LWTAqe7</t>
  </si>
  <si>
    <t>"This is going to be a terrific event. Everybody in NYC come on down and enjoy," @NYPDONeill on the Thanksgiving Da… https://t.co/28uWbjqRgj</t>
  </si>
  <si>
    <t>"The NYPD is ready for tonight and of course for tomorrow," says @NYCMayor about Thanksgiving Day Parade WATCH:… https://t.co/DUeJz1bG5H</t>
  </si>
  <si>
    <t>#HappeningNow: The @NYCMayor &amp;amp; @NYPDONeill update New Yorkers from Thanksgiving Day Parade float inflation. WATCH: https://t.co/UHQMCsly1K</t>
  </si>
  <si>
    <t>#HappeningSoon: The @NYCMayor &amp;amp; @NYPDONeill update New Yorkers from Thanksgiving Day Parade float inflation. WATCH: https://t.co/UHQMCsly1K</t>
  </si>
  <si>
    <t>Stay tuned here as the @NYCMayor &amp;amp; @NYPDONeill update New Yorkers from the Macy's Thanksgiving Day Parade float inf… https://t.co/q3hgY5pVB9</t>
  </si>
  <si>
    <t>A great, SAFE night to come watch the the Macy's Thanksgiving Day Parade floats being inflated https://t.co/z9w3hHEYdX</t>
  </si>
  <si>
    <t>"It's very well protected. We encourage everyone to come &amp;amp; have a good time," Deputy Commissioner of Intel &amp;amp;… https://t.co/VCvTV9ZuT3</t>
  </si>
  <si>
    <t>A great example of #NYPDprotecting &amp;amp; #NYPDconnecting. Great work @NYPD112Pct 
https://t.co/k30PPwUQKG</t>
  </si>
  <si>
    <t>“It’s a crime fighting model, but we’re giving cops opportunities &amp;amp; training to make that connection,” @NYPDONeill… https://t.co/JRD3ssu8o0</t>
  </si>
  <si>
    <t>It's Thanksgiving in NYC! Plan ahead and enjoy with our traffic advisory https://t.co/0m1d9GE8FT</t>
  </si>
  <si>
    <t>RT @NYPDONeill: #NYPD thx you. "In light of recent &amp;amp; increased attacks on [police]...this bill can significantly help [keep cops] safe"- @N…</t>
  </si>
  <si>
    <t>"There is no specific or credible threat against the parade," @NYPDONeill about Thanksgiving Day Parade security to… https://t.co/77r6MAUk7D</t>
  </si>
  <si>
    <t>#NYPDconnecting between local youth &amp;amp; @NYPD123Pct cops in Staten Island https://t.co/EWPd10ZIjw</t>
  </si>
  <si>
    <t>Teamwork by @NYPD49Pct Anti-Crime cops resulted in this illegal gun taken off the streets of the #Bronx.… https://t.co/OcDgyszN17</t>
  </si>
  <si>
    <t>WANTED: M/B for stabbing a store employee on 11/12 inside 1508 Fulton St (99 Cents Store). Share information by cal… https://t.co/yW2T3Ps4S2</t>
  </si>
  <si>
    <t>This is #NYPDconnecting: @NYPD75Pct Neighborhood Coordination Officers, Community Affairs &amp;amp; students helping paint… https://t.co/0V77d6kXcd</t>
  </si>
  <si>
    <t>UPDATE: A female/20 has been arrested for murder/the shooting death of a male/19 on Southern Blvd #Bronx on 11/20 #NYPDprotecting</t>
  </si>
  <si>
    <t>Tune in at 7:20am this morning as Police Commissioner @NYPDONeill stops by @Morning_Joe</t>
  </si>
  <si>
    <t>Tune in tonight at 10:30pm as Deputy Commissioner of Intelligence and @NYPDCT John J. Miller appears on @CNNTonight with @donlemon.</t>
  </si>
  <si>
    <t>RT @NYPD52Pct: #Thanksgiving came early for one family courtesy of PO's Roman &amp;amp; Baezveras, steady sector Charlie. #Bronx #NYPD https://t.co…</t>
  </si>
  <si>
    <t>"This legislation is about keeping cops safe." - Police Commissioner @NYPDONeill 
More on keeping officers safe:… https://t.co/xGwbAlNWlu</t>
  </si>
  <si>
    <t>WANTED: 2 males for armed robbery at a jewelry store on Madison Ave, Manhattan. Call #800577TIPS with info. https://t.co/wwZdb8fUgL</t>
  </si>
  <si>
    <t>Protecting Our Police Officers 
WATCH more about today's announcement: https://t.co/ZdhB2KgLrm https://t.co/uJ2lPyuH5k</t>
  </si>
  <si>
    <t>Watch the @NYCMayor &amp;amp; @NYPDONeill press conference live now: https://t.co/JvfX41SoH7</t>
  </si>
  <si>
    <t>#HappeningSoon: @NYCMayor &amp;amp; @NYPDONeill to discuss NYPD officer safety. https://t.co/MVpsPmLp8b</t>
  </si>
  <si>
    <t>"Make no mistake about it, NYC is a safe place due to the hard work of the men &amp;amp; women of the NYPD," @NYPDONeill no… https://t.co/wlOFyYqsGk</t>
  </si>
  <si>
    <t>Smiling faces inside HQ today as we celebrate the hard work and dedication of the men and women of the NYPD at our… https://t.co/n8ze9FBrxs</t>
  </si>
  <si>
    <t>Meet 6-year-old Karma Little who's now an honorary member of the NYPD
@NYPDCentralPark https://t.co/sMgHjadotw</t>
  </si>
  <si>
    <t>Your NYPD connecting with and protecting the people of NYC https://t.co/sYaqjbUw2n</t>
  </si>
  <si>
    <t>WANTED: 2 males for armed robbery at a jewelry store on Madison Ave, Manhattan. Call #800577TIPS with info.… https://t.co/pEQkHsAb37</t>
  </si>
  <si>
    <t>The men and women of the NYPD are dedicated to keeping New York City safe -- #NYPDprotecting https://t.co/j1SSbn0UMW</t>
  </si>
  <si>
    <t>#ICYMI: NYPD Deputy Commissioner John Miller spoke to @CBSThisMorning about Thanksgiving Parade security https://t.co/CqpGEsauzj</t>
  </si>
  <si>
    <t>Your NYPD connecting with and helping those in need https://t.co/djbxdLj66O #NYPDconnecting</t>
  </si>
  <si>
    <t>.@NYPDCT Sergeant Zurita alongside MANY other NYPD officers will be keeping you safe at the Thanksgiving Day Parade… https://t.co/v1wpwu4OLR</t>
  </si>
  <si>
    <t>They encountered so much smoke they could hardly see. https://t.co/wkI9yOKRCX</t>
  </si>
  <si>
    <t>NYPD’s precision policing focusing on those committing crimes allowed cops in Brooklyn’s @NYPD81Pct to take these g… https://t.co/l9nCA8u1Kn</t>
  </si>
  <si>
    <t>Help ID this woman WANTED for impersonating a police officer in the Bronx. Call #800577TIPS with info. https://t.co/UYZfkHGOAk</t>
  </si>
  <si>
    <t>From the Chief of @NYPDCT to the highly trained officers &amp;amp; K9's, we're out there 24/7 protecting the people of NYC https://t.co/TW2UJ92i1p</t>
  </si>
  <si>
    <t>RT @NYPDONeill: Productive talk today with union reps of our 1000s of civilian employees. #NYPD couldn't function as well as we do w/o all…</t>
  </si>
  <si>
    <t>RT @NYCMayorsOffice: NYers raise each other up. Join @NYCMayor TODAY at 11 as he discusses the way the forward for the greatest city in the…</t>
  </si>
  <si>
    <t>"This isn't something we thought of last weekend," Deputy Commissioner Miller on Thanksgiving Parade security today… https://t.co/XdHe4msAj3</t>
  </si>
  <si>
    <t>#NYPDconnecting: @NYPD52Pct cops &amp;amp; @NYPDauxiliary connecting with the people they serve by participating in the 7th… https://t.co/MnYOZ2cCR5</t>
  </si>
  <si>
    <t>WANTED: Males for robbing a 68y/o man after punching &amp;amp; kicking him near Heberton Ave and New St, Staten Island. Cal… https://t.co/AQazJh5TQS</t>
  </si>
  <si>
    <t>Here’s some @NYPDPSA6 cops who are protecting @NYCHA &amp;amp; NYC. They made an arrest &amp;amp; took this illegal gun off the str… https://t.co/gsCT3LLZnv</t>
  </si>
  <si>
    <t>Tune in at 8:00am today as Deputy Commissioner of Intelligence and @NYPDCT John Miller joins the conversation on @CBSThisMorning</t>
  </si>
  <si>
    <t>Good morning NYC! 
Our new recruits are already wide awake and learning important crisis communication skills. Have… https://t.co/MMf7ckpUZb</t>
  </si>
  <si>
    <t>Our prayers are with @SATXPolice Dept &amp;amp; family of Det. Benjamin Marconi, killed today as he protected the community… https://t.co/xCxq5uo7UE</t>
  </si>
  <si>
    <t>.@NYPDONeill updated NYers on security and traffic plans in the vicinity of Trump Tower ➡️https://t.co/Q1M8ntBlhN https://t.co/4cprLm84vU</t>
  </si>
  <si>
    <t>Our newest Finest in Harlem learning about #NYPDconnecting https://t.co/RChNHK7UHS @NYPD28Pct</t>
  </si>
  <si>
    <t>The choice is simple this holiday season. Stay safe, alive and out of jail.
Don't drink and drive! https://t.co/1JRwMSu3d2</t>
  </si>
  <si>
    <t>RT @NYPD67Pct: Great night connecting with our community #EastFlatbush at the Community Council Dinner Dance. Thank you @NYPDONeill for joi…</t>
  </si>
  <si>
    <t>#ICYMI: @NYPDONeill updated NYers today on @am970TheAnswer as he joined the conversation with the @CatsRoundtable https://t.co/YxE41TiiYJ</t>
  </si>
  <si>
    <t>A few great examples of #NYPDconnecting - Helping those in need this holiday season https://t.co/djbxdLj66O</t>
  </si>
  <si>
    <t>WANTED: 2 males for robbery of a man &amp;amp; a woman, West End Ave between W 77 St &amp;amp; W 76 St, Man. Suspect hit man with s… https://t.co/M68cxq4YU1</t>
  </si>
  <si>
    <t>Your dedicated NYPD cops keeping you safe - #NYPDprotecting https://t.co/tdkoosBELO</t>
  </si>
  <si>
    <t>"Keeping our police officers safe," @NYPDONeill speaking on @am970TheAnswer about one of the things that keeps him awake at night.</t>
  </si>
  <si>
    <t>Listen to @NYPDONeill #now on @am970TheAnswer as he speaks about security at the Thanksgiving Day Parade LIVE: https://t.co/bRl254GAgS</t>
  </si>
  <si>
    <t>"Precision policing &amp;amp; our Neighborhood Policing allow us to go after the few people in NYC engaged in crime," @NYPDONeill on @am970TheAnswer</t>
  </si>
  <si>
    <t>"Crime numbers continue to look great, murders &amp;amp; shootings down. A testament to the men &amp;amp; women of the NYPD," @NYPDONeill on @am970TheAnswer</t>
  </si>
  <si>
    <t>#Now on @am970TheAnswer, @NYPDONeill joins the conversation on the @CatsRoundtable. Listen live ➡️https://t.co/bRl254oYSi</t>
  </si>
  <si>
    <t>Today at 8:30am, @NYPDONeill joins the @CatsRoundtable on @am970TheAnswer to update NYers on the NYPD. LISTEN LIVE➡️ https://t.co/bRl254GAgS</t>
  </si>
  <si>
    <t>Cops working overnight in the @NYPD33Pct arrested a suspect in possession of this gun. Sleep well NYC, we’re out th… https://t.co/JCRxKYMOSm</t>
  </si>
  <si>
    <t>Sunday at 8:30am, @NYPDONeill joins the @CatsRoundtable on @am970TheAnswer to update NYers on the NYPD. Listen➡️ https://t.co/bRl254oYSi</t>
  </si>
  <si>
    <t>Watch preliminary update regarding police involved shooting in Brooklyn earlier today. https://t.co/C2npbVBO1O</t>
  </si>
  <si>
    <t>This concludes the update. All information provided is preliminary as the investigation is continuing.</t>
  </si>
  <si>
    <t>Both officers were taken to the hospital where they are being treated for their head injuries. They are in stable condition.</t>
  </si>
  <si>
    <t>After being hit with the metal baton the 2 officers fired at the suspect striking him several times. He was pronounced deceased at the scene</t>
  </si>
  <si>
    <t>The male officer received a 2-inch gash to his head. The female officer was also hit multiple times in the head.</t>
  </si>
  <si>
    <t>The male repeatedly struck both the male and female officers.</t>
  </si>
  <si>
    <t>A scuffle ensued between the two officers with the male and during it he grabbed one of the officer's metal baton.</t>
  </si>
  <si>
    <t>The two uniformed officers engaged the male on the 9th floor hallway. They approached the male and asked for ID from him.</t>
  </si>
  <si>
    <t>You can watch the live remarks here https://t.co/vFxGt7OZN1</t>
  </si>
  <si>
    <t>At approximately 1:10pm 2 NYPD officers from @NYPDPSA2 responded to 362 Sutter Ave Brooklyn for a suspicious male</t>
  </si>
  <si>
    <t>#Now: @NYPDHousing Chief Secreto &amp;amp; @NYPDdetectives Chief Boyce providing an update on the police involved shooting. https://t.co/3GyqFh2sPz</t>
  </si>
  <si>
    <t>Update regarding police involved shooting &amp;amp; injured officers in Brooklyn will take place at approx 4:20pm https://t.co/yplrRY5aV6</t>
  </si>
  <si>
    <t>There's been a police involved shooting in Brooklyn within the confines of @NYPD73Pct. Two officers transported to hosp. More when available</t>
  </si>
  <si>
    <t>"I don’t like being called a liar, especially in print." - NYPD Deputy Commissioner, Legal Matters Lawrence Byrne https://t.co/weSRticFoU</t>
  </si>
  <si>
    <t>Our prayers are with the U.S. Marshals Service &amp;amp; the family of Deputy Commander Patrick Carothers, killed in the li… https://t.co/tQ3DNy841y</t>
  </si>
  <si>
    <t>Here’s one example of many: Our new cops connecting with those we protect #NYPDprotecting #NYPDconnecting 
 https://t.co/RChNHJQjQk</t>
  </si>
  <si>
    <t>The officers stopped their car and saw the woman’s unresponsive baby turning blue in her arms. https://t.co/daSqQOCmde</t>
  </si>
  <si>
    <t>Meet some @NYPD108Pct patrol cops that are keeping you safe. They took this gun &amp;amp; the suspect carrying it off the s… https://t.co/5kjXqAzkGe</t>
  </si>
  <si>
    <t>In NYC this weekend? Plan ahead and enjoy. Don't forget about the gridlock alert days. https://t.co/b9Sqpn85a2</t>
  </si>
  <si>
    <t>#ICYMI: The NYPD updated NYers on security and traffic plans in the vicinity of Trump Tower https://t.co/Q1M8ntSWGn https://t.co/8m86x5fjCg</t>
  </si>
  <si>
    <t>RT @NYPDONeill: That's more @NYPDMuslim cops than most U.S. police departments have TOTAL officers. 🇺🇸#CopsAndCommunity @NYPDMuslim @NYPDne…</t>
  </si>
  <si>
    <t>NYPD Community Affairs Honored For Their Toys For Tots Work https://t.co/Yc5VU0u3px @NYPDCommAffairs https://t.co/tAPBt3mu0P</t>
  </si>
  <si>
    <t>#NYPDconnecting is appreciating &amp;amp; understanding all religions. Check out our collaboration with @ICNY https://t.co/Qco1nOGkYd</t>
  </si>
  <si>
    <t>WANTED: Male for spraying a substance at woman &amp;amp; robbing her near Horatio Street &amp;amp; Greenwich St, Manhattan. Call… https://t.co/Lzkg5eI4dv</t>
  </si>
  <si>
    <t>The NYPD we will continue to work with our local &amp;amp; federal partners including @SecretService &amp;amp; @NYC_DOT to keep NYC safe. #NYPDprotecting</t>
  </si>
  <si>
    <t>It is important for commercial vehicles to know NYC traffic rules &amp;amp; truck routes https://t.co/UyOCWtX0Ht https://t.co/jJa0L7rtHR</t>
  </si>
  <si>
    <t>RT @NYPDByrne: "There is a longstanding &amp;amp; successful partnership btwn @SecretService &amp;amp; @NYPDnews. I want to thank them for all they do." SA…</t>
  </si>
  <si>
    <t>The NYPD &amp;amp; @NYC_DOT will increase raising awareness &amp;amp; enforcement of existing truck/commercial rules &amp;amp; regulations.</t>
  </si>
  <si>
    <t>Motorists should continue to expect vehicle traffic in the area of Trump Tower.</t>
  </si>
  <si>
    <t>The current vehicle and pedestrian plan will continue in the area of Trump Tower.</t>
  </si>
  <si>
    <t>Vehicle traffic is closed on 56 Street between 5th Ave &amp;amp; Madison Ave. The south side of 56 Street is open to pedestrians.</t>
  </si>
  <si>
    <t>NYPD officers &amp;amp; @NYPDTransport traffic agents are assisting with helping move traffic in the area of Trump Tower. https://t.co/6tldeSRnwF</t>
  </si>
  <si>
    <t>Watch the press conference happening now here: https://t.co/Q1M8ntBlhN #NYPDprotecting &amp;amp; #NYPDconnecting</t>
  </si>
  <si>
    <t>In addition to providing a presence for security &amp;amp; safety, NYPD personnel are also assisting with vehicle &amp;amp; pedestr… https://t.co/vG9G52dLob</t>
  </si>
  <si>
    <t>A NYPD presence around Trump Tower will continue to include patrol, @NYPDCT, @NYPDCommAffairs and other units. #NYPDprotecting</t>
  </si>
  <si>
    <t>The NYPD is continuing to work with the @SecretService regarding security &amp;amp; safety in the Trump Tower area. #NYPDprotecting</t>
  </si>
  <si>
    <t>#HappeningNow: @NYCMayor &amp;amp; @NYPDONeill give update on security &amp;amp; traffic plans in vicinity of Trump Tower. WATCH ➡️… https://t.co/OUqi7m2eew</t>
  </si>
  <si>
    <t>#HappeningSoon: @NYCMayor, @NYPDONeill, @NYC_DOT &amp;amp; @SecretService will give update on security &amp;amp; traffic plans in v… https://t.co/oX17ThCF7N</t>
  </si>
  <si>
    <t>#HappeningSoon: @NYCMayor, @NYPDONeill, @NYC_DOT &amp;amp; @SecretService will give update on security &amp;amp; traffic plans in vicinity of Trump Tower</t>
  </si>
  <si>
    <t>Stay tuned here as @NYCMayor, @NYPDONeill, @NYC_DOT &amp;amp; @SecretService give update on security &amp;amp; traffic plans near Trump Tower at approx 2:30</t>
  </si>
  <si>
    <t>Celebrating the 241st birthday of the @USMC now in NYPD Headquarters. 
Semper Fi, Marines! https://t.co/AB2R9ht2Ol</t>
  </si>
  <si>
    <t>Thank you to Finley and Jack and all New Yorkers for your support. It does not go unnoticed and we appreciate it.… https://t.co/0AdvlOXffq</t>
  </si>
  <si>
    <t>NYPD Partners With @NYMCU_News For Annual Turkey Drive https://t.co/Xz2GB4EOGx #NYPDconnecting https://t.co/IywyiTE9aX</t>
  </si>
  <si>
    <t>WANTED: Male for spraying a substance at woman &amp;amp; robbing her near Horatio Street &amp;amp; Greenwich St, Manhattan. Call… https://t.co/JFi183b8yz</t>
  </si>
  <si>
    <t>This is one example of why NYC is the best city in the world- the NYPD &amp;amp; community working together to help others  https://t.co/bJFuYYZu3K</t>
  </si>
  <si>
    <t>College Student Wins Anti-Sexual Assault Poster Contest https://t.co/PkgRb2ZYX3 https://t.co/HYcBBXcI1s</t>
  </si>
  <si>
    <t>1 of 4 suspects WANTED for installing a credit card skimming device on an ATM in Manhattan. Call #800577TIPS. MORE:… https://t.co/Qu2RY3pVyH</t>
  </si>
  <si>
    <t>Two different illegal guns &amp;amp; two different suspects off the streets of NYC due to brave, dedicated NYPD cops  https://t.co/HjPMIuhBRL</t>
  </si>
  <si>
    <t>Seen this man? He's WANTED for steeling a woman's motorized wheelchair in Brooklyn. Call #800577TIPS with info. https://t.co/BKs6679med</t>
  </si>
  <si>
    <t>HELP ID this man WANTED for armed robbery at the 231st St &amp;amp; Broadway subway station, Bronx. Call #800577TIPS https://t.co/Z9rsNhhKEl</t>
  </si>
  <si>
    <t>Together with @NYMCU_News we can make a difference this Thanksgiving for the families we serve with our annual turk… https://t.co/YttmMkORiU</t>
  </si>
  <si>
    <t>RT @ManhattanDA: Now at our Symposium: Paris Prosecutor François Mollins, @NYPDnews' John Miller + @Europol's Rob Wainwright discuss counte…</t>
  </si>
  <si>
    <t>Our "gray shirts" (our NYPD recruits) are out connecting with the public throughout the city including #Harlem… https://t.co/wJ5zwWFwIh</t>
  </si>
  <si>
    <t>Brooklyn is even safer due to dedicated cops in the @NYPD60Pct taking this illegal gun &amp;amp; drugs off the street. Grea… https://t.co/gn7kTHIB2U</t>
  </si>
  <si>
    <t>WANTED: Male for armed robbery at Metro PCS store in Brooklyn. Call #800577TIPS with info. @NYPD60Pct https://t.co/oW7tf1wsCR</t>
  </si>
  <si>
    <t>This is your #NYPDconnecting: Cops and kids working together https://t.co/aRYvSM2peF</t>
  </si>
  <si>
    <t>Some of our newest officers connecting with some of #WaHi’s youngest. See more from the @NYPD34Pct… https://t.co/p5kuEhkTGs</t>
  </si>
  <si>
    <t>#ICYMI: A recap of some great work the men &amp;amp; women of the NYPD are doing #NYPDprotecting #NYPDconnecting… https://t.co/aU0KEnVaIX</t>
  </si>
  <si>
    <t>Help ID this man WANTED for assaulting a woman in the stairwell of the Avenue M “Q” train subway. Call #800577TIPS https://t.co/8EsKIZ7vgC</t>
  </si>
  <si>
    <t>RT @NYPDONeill: There are more than 8.5 million NYers. We want to make sure everyone has a voice. Starting here w/ talented young people. #…</t>
  </si>
  <si>
    <t>Commissioner @NYPDONeill w/community &amp;amp; local leaders tonight sharing his Brooklyn story. More on #MyBrooklynStory:… https://t.co/CvdY7JdEmM</t>
  </si>
  <si>
    <t>.@NYPDONeill, @NYPDFIRSTDEP &amp;amp; @BPEricAdams all have a Brooklyn story. WATCH #MyBrooklynStory https://t.co/y8dxemT9xq</t>
  </si>
  <si>
    <t>RT @NYPDHousing: #HappeningNow @NYPDPSA7 Cops being honored by @NYCCouncil for the heroic efforts saving baby using their CPR training #Nyp…</t>
  </si>
  <si>
    <t>‘NYPD Blue Angels’ Honored For Saving Overdose Victims https://t.co/gaDUDAxlEC https://t.co/PZ4ZTeKeyi</t>
  </si>
  <si>
    <t>Congratulations to all of @NYPDauxiliary members who celebrated their years of service and dedication to the NYPD. https://t.co/ydTIzL44Lh</t>
  </si>
  <si>
    <t>As a hero is laid to rest today we continue in our vow to #NeverForget https://t.co/pwoZQTaeA4</t>
  </si>
  <si>
    <t>This is #NYPDprotecting: Dedicated men and women of @NYPDPSA3 tooks these guns and drugs out off the streets of… https://t.co/I3uyWoarNC</t>
  </si>
  <si>
    <t>This is #NYPDconnecting ... literally! Here’s @NYPDPSA3 cops playing dodgeball with 100+ youth in Bushwick. https://t.co/6hdqx7suiF</t>
  </si>
  <si>
    <t>A great example of shared responsibility keeping NYC safe. Thx to our @NYPDauxiliary officers for their dedication! https://t.co/kN79l8zGs5</t>
  </si>
  <si>
    <t>WANTED: Male for a shooting assault near Broadway and West 225 St, Bronx. Call #800577TIPS with info. @NYPD50Pct https://t.co/3P5lmJQz0s</t>
  </si>
  <si>
    <t>RT @NYPD47Pct: Our 1st Annual 47 Pct, Cop Recognition Ceremony, thank u all for your hard work and dedication! You are appreciated! Keep up…</t>
  </si>
  <si>
    <t>Three Guns Recovered By @NYPD42Pct Cops  https://t.co/fwb5vGXuSL #NYPDprotecting https://t.co/qyJt8aeJ6Z</t>
  </si>
  <si>
    <t>Officer Hilbig of the @NYPD24Pct doesn't just keep the community safe, she keeps it looking great too. Join us in s… https://t.co/tWZczPZIoB</t>
  </si>
  <si>
    <t>HELP ID these suspects WANTED for robbery in Brooklyn. Call #800577TIPS with info. https://t.co/fUaxcHgJzu</t>
  </si>
  <si>
    <t>"We're proud the NYPD is playing a leading role in intelligence sharing across the country." - @NYPDONeill https://t.co/a4OApJvR9G</t>
  </si>
  <si>
    <t>NYPD officers sharing information and learning from our international partners. @USEmbassyHaiti https://t.co/yRrHEDTBYH</t>
  </si>
  <si>
    <t>RT @StatenIslUSA: Congratulations to our Blue Angels! Thank you for protecting our community and saving lives! @NYPDnews https://t.co/mUBH3…</t>
  </si>
  <si>
    <t>More than 50 NYPD officers recognized as "Blue Angels" for using Naloxone to save overdose victims on Staten Island  https://t.co/XzvxofQnZn</t>
  </si>
  <si>
    <t>WANTED: 3 men &amp;amp; 1 woman for possessing/installing a credit card skimming device inside of 1773 1 Ave, Manhattan. Ca… https://t.co/ha6l4qvQxS</t>
  </si>
  <si>
    <t>We’re not just connecting, we’re also dedicated to protecting everyone. @NYPD44Pct cops recovered this illegal gun… https://t.co/YYYGXMJv0u</t>
  </si>
  <si>
    <t>Here's some great #NYPDconnecting in the #Bronx with @NYPDPSA8 cops reading to students &amp;amp; parents recently. https://t.co/tyRd3mlmqK</t>
  </si>
  <si>
    <t>"We need to be positioned 24-hours a day, 365 days a year, all around the globe to react in NYC in real time"… https://t.co/AITAKHjNvl</t>
  </si>
  <si>
    <t>The program gives the NYPD a "global perspective" on the "increased global threat" facing New York. https://t.co/jdLy8FpgxK</t>
  </si>
  <si>
    <t>Get An Inside The NYPD’s Counterterror Effort In Europe (VIDEO) https://t.co/SHyw3MSug7</t>
  </si>
  <si>
    <t>HELP ID this man WANTED for forcibly touching a woman at Grand Central Station platform of 7 train. Call #800577TIPS https://t.co/YoURkrrn3i</t>
  </si>
  <si>
    <t>"Come to the Thanksgiving Day Parade, have a good time, bring the family," Deputy Commissioner of Intel &amp;amp; @NYPDCT a… https://t.co/EbJTjvj5oY</t>
  </si>
  <si>
    <t>NYPD's precision policing keeping NYC the safest city in America https://t.co/4Dfk7E88ff</t>
  </si>
  <si>
    <t>HELP ID a man WANTED for criminal mischief, spray painted swastika, Montgomery St &amp;amp; Brooklyn Ave, Bklyn. #800577TIPS https://t.co/5wXJfeJ5Zq</t>
  </si>
  <si>
    <t>Meet the @NYDailyNews "Hero of the Month" https://t.co/KD0dWzGd0P</t>
  </si>
  <si>
    <t>“I didn’t want any city or any department to go through something like that,” Officer Santora recalled. https://t.co/1zgV2YZyxH</t>
  </si>
  <si>
    <t>RT @NYPDTransit: In one hour I'll have the pleasure of updating the @MTA NYCT Committee on our latest subway safety efforts- Watch: https:/…</t>
  </si>
  <si>
    <t>RT @NYPD43Pct: Thnx to all law enforcement &amp;amp; community members for your support as we laid to rest our beloved Sgt. Paul Tuozzolo. https://…</t>
  </si>
  <si>
    <t>This is #NYPDconnecting: @NYPD45Pct cops teamed up with a tenant association &amp;amp; Home Depot to clean up their #Bronx… https://t.co/G3sO33f12B</t>
  </si>
  <si>
    <t>WANTED: 2 M/B for assault of a male/19 on Oct. 20 at aprox. 10:30am on Lincoln Pl #Brooklyn. Share info, call… https://t.co/JkE0Ea2bBT</t>
  </si>
  <si>
    <t>UPDATE: Male/25 arrested for pushing a male/54 onto the subway tracks at W18St/7 Ave #Manhattan on 11/13.</t>
  </si>
  <si>
    <t>#NYPDprotecting: @NYPD45Pct cops in were busy this weekend keeping the #Bronx safe by taking illegal guns &amp;amp; drugs o… https://t.co/jLQcsCGrBH</t>
  </si>
  <si>
    <t>Sending prayers to @StanSheriff Dept. &amp;amp; family of Deputy Dennis Wallace, killed today while protecting the communit… https://t.co/X4iLKVJLlW</t>
  </si>
  <si>
    <t>Learn about NYPD Neighborhood Coordination Officers &amp;amp; how they’re keeping communities safe: https://t.co/7lYyhcYZ2o
https://t.co/JorISpMcvY</t>
  </si>
  <si>
    <t>Expect traffic delays &amp;amp; street closures throughout Man, including near 57th St/5th Ave &amp;amp; Columbus Circle due to protests. Plan other routes.</t>
  </si>
  <si>
    <t>.@NYPDSpecialops Officer Barron &amp;amp; K9 Vito did some great work finding this illegal gun. The nose knows for sure! https://t.co/ehed9s7eJh</t>
  </si>
  <si>
    <t>Keeping our communities safe &amp;amp; looking good is a shared responsibility. Great work by all! #NYPDconnecting https://t.co/OISfmxilKm</t>
  </si>
  <si>
    <t>Great job by @NYPD109Pct Officer Maziars helping keep the community he serves safe and looking great https://t.co/Op5LzOSYxy</t>
  </si>
  <si>
    <t>WANTED: Male, Hispanic, 40's for police impersonations in the Bronx. Call #800577TIPS with info. @NYPD45Pct… https://t.co/40FeyhmOeN</t>
  </si>
  <si>
    <t>NYPD protecting and connecting with New Yorkers 
#NYPDprotecting #NYPDconnecting https://t.co/832qM3lSxJ</t>
  </si>
  <si>
    <t>“It feels good to be able to help keep the community safe...that’s why I became a NYPD cop,” said, Officer Ng. https://t.co/XKMRlbcRqC</t>
  </si>
  <si>
    <t>These are your NYPD cops keeping the people of NYC safe -- #NYPDprotecting https://t.co/APrrQJ59C5</t>
  </si>
  <si>
    <t>UPDATE: 5th Ave is closed between 50th &amp;amp; 60th Sts. 57th also closed between Madison &amp;amp; 6th Ave due to protests</t>
  </si>
  <si>
    <t>"I scream out in the air &amp;amp; I said, Thank you, Jesus! Detective, Is this for real? And I said, 'Can I hug you, sir?" https://t.co/TZeXWsjgLg</t>
  </si>
  <si>
    <t>Due to protest activity, expect traffics delays in Midtown Manhattan including near #UnionSquare and the area of East 57St/5th Ave.</t>
  </si>
  <si>
    <t>#ICYMI: The NYPD Honors veterans &amp;amp; recognizes those who serve NYC &amp;amp; America https://t.co/Twaa1m6SMC</t>
  </si>
  <si>
    <t>.@NYPDTransit cops keeping NYC subways safe for all https://t.co/DMqox3Leq4</t>
  </si>
  <si>
    <t>#NYPDprotecting: @NYPD104Pct cops took this illegal gun off the streets of #Queens after conducting a car stop. Gre… https://t.co/kRXMRnH9TR</t>
  </si>
  <si>
    <t>#NYPDconnecting: @NYPD75Pct Neighborhood Cooridination Officers spending time with students in #Brooklyn as part of… https://t.co/nRoTFzlzxU</t>
  </si>
  <si>
    <t>WANTED: M/H/20’s for armed robbery of a store at 9pm/Nov 4 at 963 Teller Ave #Bronx. Share info &amp;amp; get $. #WinWin Ca… https://t.co/ycBCyqDBMM</t>
  </si>
  <si>
    <t>WANTED: 3 M/B/20’s for assault &amp;amp; making anti-gay slurs against a male/23 at 1:40am/Nov 5 at W. 49St/10 Ave. Call… https://t.co/a0JeiSJJ30</t>
  </si>
  <si>
    <t>As this #VeteransDay comes to an end, join your NYPD officers who serve this nation &amp;amp; NYC in singing God Bless Amer… https://t.co/dWMMtXcntJ</t>
  </si>
  <si>
    <t>Follow @NYPDCeremonial band as they play in the #VeteransDay Parade &amp;amp; meet two of our newest officers who served ou… https://t.co/5WWManifAc</t>
  </si>
  <si>
    <t>Honoring and remembering an American hero, Detective Joseph Lemm. https://t.co/RtUWgeIkbe</t>
  </si>
  <si>
    <t>Meet Sgt. Black: Proud father, 18-yr NYPD veteran and served in the US Navy for 4 years. Thank you to him &amp;amp; all of… https://t.co/W44aHQGO22</t>
  </si>
  <si>
    <t>A salute to veterans across the nation as the NYPD marched up Fifth Avenue in today's #VeteransDay Parade https://t.co/lzDycgfCyX</t>
  </si>
  <si>
    <t>LIVE on #Periscope: Happy #VeteransDay from the NYPD https://t.co/SumjNqgUkd</t>
  </si>
  <si>
    <t>These are some of the men and women of the NYPD who serve both NYC and America. RETWEET to say thank you this… https://t.co/j0MczKGMB3</t>
  </si>
  <si>
    <t>Lt Kotlyar @USArmy veteran, family man, protector of NYC &amp;amp; our country. Thanks to you &amp;amp; all the others for your ser… https://t.co/puOjuEOzoq</t>
  </si>
  <si>
    <t>Police Commissioner @NYPDONeill thanks NYPD officers inside HQ who not only serve NYC, but America too. #VeteransDay https://t.co/EhFrQi2HV5</t>
  </si>
  <si>
    <t>#HappeningNow: Men and women who protect NYC and America gather with their families in NYPD HQ for the Commissioner… https://t.co/BIQbATKioO</t>
  </si>
  <si>
    <t>Today we honor all veterans and the NYPD recognizes our members who serve NYC and America. #VeteransDay https://t.co/4Wstzk52da</t>
  </si>
  <si>
    <t>Thankful to our law enforcement partners who traveled from near &amp;amp; far to show support for a fallen NYPD hero.… https://t.co/2wLqIoSj2P</t>
  </si>
  <si>
    <t>RT @NYPDSpecialops: Today we stood side by side, brothers and sisters in blue, to honor &amp;amp; remember #Hero #NYPD Sgt Paul Tuozzolo. EOW 11/4/…</t>
  </si>
  <si>
    <t>Thank you to all in the community for the great show of support as we honored Sgt. Paul Tuozzolo today. https://t.co/KUkmzEHWmL</t>
  </si>
  <si>
    <t>Happy 241st birthday, @USMC! Thank you for protecting America. 
Semper Fi https://t.co/W5TA0xc4ka</t>
  </si>
  <si>
    <t>"Sergeant Paul Tuozzolo was everything we could ever wish for in an officer." - Police Commissioner @NYPDONeill https://t.co/wIzn5pJT8b</t>
  </si>
  <si>
    <t>We march to remember and honor a hero, Sergeant Paul Tuozzolo https://t.co/PUdNBBPQwz</t>
  </si>
  <si>
    <t>Police Commissioner @NYPDONeill on Sgt. Tuozzolo’s dedication &amp;amp; commitment: https://t.co/9qLl8CdiyM</t>
  </si>
  <si>
    <t>Police Commissioner @NYPDONeill speaking about Sergeant Paul Tuozzolo https://t.co/lGkYK6hkoD</t>
  </si>
  <si>
    <t>Awaiting in silence as we lay to rest an NYPD hero, Sergeant Paul Tuozzolo. #NeverForget https://t.co/fdRh4Gdspk</t>
  </si>
  <si>
    <t>Police Officers from near and far are arriving to honor Sgt. Tuozzolo. #NeverForget https://t.co/ga1xdEU82e</t>
  </si>
  <si>
    <t>NYPD Officer Stokes: Protector of NYC &amp;amp; proud family man. Congrats to everyone honored at our Pct Community Council… https://t.co/OSpovbZ7Sz</t>
  </si>
  <si>
    <t>The @NYPD44Pct Domestic Violence Officers connecting with young students in the #Bronx. #NYPDconnecting https://t.co/0qycC8hOOa</t>
  </si>
  <si>
    <t>WANTED: M/W/20’s for forged device/skimming device placed on an ATM machine at UN Federal Credit Union/820 2 Ave Br… https://t.co/3YSq3AJV4a</t>
  </si>
  <si>
    <t>Today thousands of police &amp;amp; community members will gather to honor and remember NYPD hero, Sgt. Paul Tuozzolo.… https://t.co/OPjbzfhAoR</t>
  </si>
  <si>
    <t>Throughout the city our recruits are working alongside veteran officers. They’re learning #NYPDprotecting &amp;amp;… https://t.co/gXPNQxsHcx</t>
  </si>
  <si>
    <t>A remarkable show of support by NY’s Bravest for fallen NYPD hero, Sgt. Tuozzolo. Thank you, @FDNY https://t.co/ys81elRNL1</t>
  </si>
  <si>
    <t>Help ID this man WANTED for firing a gun near 2701 Webb Ave, Bronx. Call #800577TIPS with info. https://t.co/urAxR4GwQF @NYPD50Pct</t>
  </si>
  <si>
    <t>Cops who work when most are asleep arrested two &amp;amp; recovered these guns. #NYPDprotecting 
More from the @NYPD34Pct:… https://t.co/bTYGAbiuoN</t>
  </si>
  <si>
    <t>RT @NYPDCeremonial: ***PLEASE BE ADVISED***
Thursday, November 10th, 2016
Instructions for the LOD Funeral of @NYPD43Pct Sgt. Paul Tuozzo…</t>
  </si>
  <si>
    <t>Congrats on graduating training and welcome to the NYPD family. https://t.co/ofCKBnQUMR</t>
  </si>
  <si>
    <t>RT @NYPDInMemoriam: Today we join Show Low (Arizona) in mourning the loss of Officer Darrin Reed.  He dedicated his life to serving his com…</t>
  </si>
  <si>
    <t>Sending prayers to the Peach County, GA Sheriff's Office &amp;amp; the families of fallen Deputies Smallwood &amp;amp; Sondron. We… https://t.co/c082zEBUDa</t>
  </si>
  <si>
    <t>Officer Quinn from the @NYPD109Pct speaking w/kids to let them know their NYPD is here for them &amp;amp; how they can get… https://t.co/WHxeWLpJIb</t>
  </si>
  <si>
    <t>WANTED: Male teen for assaulting a man with a bottle on 7 train platform in the 61 Ave &amp;amp; Woodside Ave subway statio… https://t.co/7w9d3vjAFF</t>
  </si>
  <si>
    <t>.@NYPD121Pct Officers Austin and Baran saved a man with the use of Naloxone. Highly trained and highly prepared. Gr… https://t.co/vklcKh8Gqt</t>
  </si>
  <si>
    <t>Information regarding the police involved shooting in the Bronx on 11/8: https://t.co/icr8wIH1Hy
Photo of gun reco… https://t.co/WE3ddHJWZ5</t>
  </si>
  <si>
    <t>#Election2016 and 365 days a year the NYPD is keeping NYC safe -- #NYPDprotecting https://t.co/2Tf9xy4PI0</t>
  </si>
  <si>
    <t>We all need a helping hand sometimes. Officer Almeida and all of the NYPD are always there to help. https://t.co/Dp59j9qCE1</t>
  </si>
  <si>
    <t>Together we will keep NYC the safest big city in America - NYPDconnecting https://t.co/MCe4X1xzfi</t>
  </si>
  <si>
    <t>As the two cops jumped into action they were joined by fellow @NYPD10Pct officers https://t.co/HRbYRkqDyg</t>
  </si>
  <si>
    <t>LIVE on #Periscope: Chief of @NYPDHousing providing preliminary update on police involved shooting in the Bronx https://t.co/kuDPsVUhKa</t>
  </si>
  <si>
    <t>#HappeningSoon: Chief of @NYPDHousing will provide an update on the police involved shooting in the Bronx.</t>
  </si>
  <si>
    <t>There's been a police involved shooting in the Bronx within the confines of the @NYPD42Pct. More info to follow when available.</t>
  </si>
  <si>
    <t>Help ID this man WANTED for exposing himself on the northbound B train in Brooklyn. Call #800577TIPS with info https://t.co/oAbzXt2Buq</t>
  </si>
  <si>
    <t>An inside look at how the NYPD is protecting NYC for #Election2016 https://t.co/uP0VXJiLEk</t>
  </si>
  <si>
    <t>The NYPD is protecting NYC for #Election2016 &amp;amp; EVERYDAY. NYC public safety is a shared responsibility -- #SeeSay https://t.co/8UYfHe1oQ0</t>
  </si>
  <si>
    <t>.@NYPD71Pct Officers Hossain &amp;amp; Mirza took a gun &amp;amp; a suspect off the streets. Thx for going in harm's way to keep NY… https://t.co/ZzSarlVw4y</t>
  </si>
  <si>
    <t>Keeping NYC safe alongside the communities we serve. Thank you for sharing in the responsibility. #NYPDconnecting https://t.co/k4y5cFwtqs</t>
  </si>
  <si>
    <t>#ElectionDay2016 in NYC! The NYPD is prepared to keep you safe, here's a few tips on traffic so you can prepare too https://t.co/jHiEUPiYvU</t>
  </si>
  <si>
    <t>WANTED: Male for armed robbery at 914 Bedford Ave, Brooklyn. Call #800577TIPS with info. @NYPD79Pct https://t.co/7AKvPinxgN</t>
  </si>
  <si>
    <t>Thank you to all the community members, clergy &amp;amp; law enforcement who join us in our vow to #NeverForget https://t.co/ZbYQwY1ZtN @NYPD43Pct</t>
  </si>
  <si>
    <t>Officer Valentin, 24 &amp;amp; a little more than a year with the NYPD, had contacted the race’s emergency crew to help Zou https://t.co/MxDoCjCa0f</t>
  </si>
  <si>
    <t>Thousands of NYPD cops will be ensuring the safety of everyone in NYC for #Election2016. #NYPDprotecting https://t.co/nGsohPx2gf</t>
  </si>
  <si>
    <t>“New Yorkers should feel good about Election Day, that they’re going to be in safe hands,” said @NYPDONeill https://t.co/jHiEUPiYvU</t>
  </si>
  <si>
    <t>Another great example of precision policing and #NYPDprotecting   https://t.co/zwZLGtoBnZ</t>
  </si>
  <si>
    <t>RT @NYPDCT: We have more than tripled our Counterterrorism capabilities w/ the formation of the Critical Response Cmd. &amp;amp; Strategic Resp. Gr…</t>
  </si>
  <si>
    <t>"The NYPD is well prepared to deal with any type of situation," Chief of @NYPDCT James Waters. WATCH:… https://t.co/3dHdppfhNT</t>
  </si>
  <si>
    <t>"There will be thousands of officers assigned to keep NYC safe this Election Day. We expect a safe, successful day.… https://t.co/e02pHEttgs</t>
  </si>
  <si>
    <t>"I want to remind everyone that public safety is a shared responsibility - if you see something say something," say… https://t.co/5A5RzHrFx8</t>
  </si>
  <si>
    <t>"The NYPD has beefed up its ability to secure multiple sites...you will see officers at polling locations,"… https://t.co/MaFJUHMyn9</t>
  </si>
  <si>
    <t>#HappeningNow: @NYCMayor, @NYPDONeill &amp;amp; @SecretService update NYers on Election Day security. WATCH:… https://t.co/HIP6YYUA9V</t>
  </si>
  <si>
    <t>#HappeningSoon: @NYCMayor, @NYPDONeill &amp;amp; @SecretService update NYers on Election Day security measures at approxima… https://t.co/IDovXikBlo</t>
  </si>
  <si>
    <t>Stay tuned here as @NYCMayor, @NYPDONeill &amp;amp; @SecretService update NYers on Election Day security measures at 10:30am.</t>
  </si>
  <si>
    <t>Great job by @NYPD5Pct cops who helped deliver a baby in #Chinatown Sunday morning. The Finest for sure! https://t.co/FtNBRUOQBJ</t>
  </si>
  <si>
    <t>This is your #NYPDprotecting. @NYPDPSA8 cops took this illegal gun off the street &amp;amp; the suspect carrying it. Great… https://t.co/xPEWJntK3T</t>
  </si>
  <si>
    <t>WANTED: 2 males for robbing a 72y/o woman near Cortland Ave &amp;amp; 154 St, Bronx. Call #800577TIPS with info. @NYPD40Pct https://t.co/xAoFqVMCR0</t>
  </si>
  <si>
    <t>"I love sports and I love being able to help other people,” Police Officer Jeeuth. https://t.co/XWMEjaZn3H… https://t.co/MyZRWBRPSW</t>
  </si>
  <si>
    <t>See how the NYPD Running Club trains on their off time when they’re not keeping NYC safe https://t.co/BXy7GzSk5i 
https://t.co/kF22F8Wkgk</t>
  </si>
  <si>
    <t>Don’t forget to check out our story on @Snapchat. See #NYPDprotecting &amp;amp; #NYPDconnecting during the @nycmarathon. https://t.co/Vj9DwRjKkp</t>
  </si>
  <si>
    <t>Great work today by our NYPD School Safety Agents helping make today's #TCSNYCMarathon safe and fun for all. https://t.co/t8ei0ftWN6</t>
  </si>
  <si>
    <t>Congrats to @FDNY on their NYC Mayor's Cup victory! Great effort by both teams. See you at next year's @nycmarathon… https://t.co/B3CAWu6AXG</t>
  </si>
  <si>
    <t>Great job by all the NYPD &amp;amp; @FDNY runners in today's #TCSNYCMarathon. NYC's champs for sure! https://t.co/ItomQGPL7k</t>
  </si>
  <si>
    <t>Congrats to Lt. Joe Redmond! First NYPD runner to cross the #TCSNYCMarathon finish line. https://t.co/gmkR8sRyBy</t>
  </si>
  <si>
    <t>Two of the finest! Congrats to Ghirmay Ghebreslassie on taking first place for the men in today's #TCSNYCMarathon. https://t.co/vZlRLcj9QP</t>
  </si>
  <si>
    <t>RT @NYPD108Pct: The lead pack of the men's leg of the @nycmarathon has now entered the 108 pct! Good luck #NYPD https://t.co/07hbzJ5N7G</t>
  </si>
  <si>
    <t>NYPD eyes in the sky ensuring everyone has a safe, fun #TCSNYCMarathon today. https://t.co/PQnvnTvIVS</t>
  </si>
  <si>
    <t>The NYPD isn’t just keeping everyone safe at today’s #TCSNYCMarathon, we’re getting ready to run too. Let’s hear it… https://t.co/vIASvDui7Y</t>
  </si>
  <si>
    <t>Don’t forget to check out our story on @Snapchat. See #NYPDprotecting &amp;amp; #NYPDconnecting during the @nycmarathon. https://t.co/NdlGRTRjCS</t>
  </si>
  <si>
    <t>On two legs and four, at the starting line and the finish this is #NYPDprotecting the #TCSNYCMarathon. Thank you, o… https://t.co/9YloTkQy21</t>
  </si>
  <si>
    <t>RT @NYPDPBMN: Thank you to all helping keep everyone safe at this years #nycmarathon safe.  #NYPD @nycmarathon #nyc #medal https://t.co/43b…</t>
  </si>
  <si>
    <t>Good morning @nycmarathon runners! Concentrate on the 26 miles and enjoy. We're out here keeping everyone safe. https://t.co/FcfsEbkcvT</t>
  </si>
  <si>
    <t>Whether you’re running, watching the @nycmarathon or traveling in NYC here’s some info you need to know. https://t.co/kwFfnLLILe</t>
  </si>
  <si>
    <t>RT @NYPDCT: ...or a total of 50K runners &amp;amp; 1MM spectators. We are shooting for a record. All #NYPD hands &amp;amp; paws are on deck for Sunday's @n…</t>
  </si>
  <si>
    <t>This year's @nycmarathon will be kept safe by 10% more cops than last year. That's #NYPDprotecting! https://t.co/hF2Vifynrf</t>
  </si>
  <si>
    <t>Our hearts are still heavy but don’t doubt -not for a second- that we are not ready to protect all of NYC. enjoy yo… https://t.co/gEbnjutaXK</t>
  </si>
  <si>
    <t>Great police work by your NYPD, on Staten Island. Keeping you safe-- #NYPDprotecting https://t.co/wIedbVMpAF</t>
  </si>
  <si>
    <t>.@NYPDDetectives would like to speak with Mathew Smith &amp;amp; Elena regarding an assault. Call #800577TIPS with info. https://t.co/q6VbKaq0UI</t>
  </si>
  <si>
    <t>Want to become a NYPD cop? go to https://t.co/hIY9xTDAmK. Great work by @NYPD123Pct arresting two impersonators… https://t.co/hFHL6aNNUx</t>
  </si>
  <si>
    <t>A few important traffic and security tips for tomorrow’s @nycmarathon https://t.co/kwFfnLLILe</t>
  </si>
  <si>
    <t>Help ID this suspect WANTED for assaulting a man inside 666 Dumont Ave, Brooklyn. Call #800577TIPS with info. https://t.co/aQHP5sxnZm</t>
  </si>
  <si>
    <t>RT @nicolefuller: Workers from the Town of Huntington  paint a blue line on the street in front of the home of fallen @NYPDnews Sgt. Paul T…</t>
  </si>
  <si>
    <t>Not everyone is familiar with our Neighborhood Coordination Officer program. The @NYPD28Pct  is helping fix that https://t.co/PT7kzFVeqF</t>
  </si>
  <si>
    <t>Check out how (and who!) is protecting this year's @nycmarathon via
@ShirleenAllicot @ABC7NY https://t.co/Eun05f6mjk https://t.co/DP72VLG6NB</t>
  </si>
  <si>
    <t>As we mourn the loss of Sgt. Tuozzolo we'd like to thank community members, clergy &amp;amp; law enforcement partners for the outpouring of support.</t>
  </si>
  <si>
    <t>RT @NYPDONeill: #NYPD Sgt. Paul Tuozzolo, 41, was shot and killed today while keeping the people of #NYC safe. Please keep him &amp;amp; his family…</t>
  </si>
  <si>
    <t>We mourn the loss of Sergeant Paul Tuozzolo, killed today while protecting NYC. Read remarks from @NYPDONeill:… https://t.co/vNqXdtQRwC</t>
  </si>
  <si>
    <t>We ask everyone to stop and take a moment to say a prayer for Sgt Tuozzolo's family &amp;amp; for a full/speedy recovery fo… https://t.co/7rGoizQs5k</t>
  </si>
  <si>
    <t>Sgt Paul Tuozzolo, 19yr veteran, was pronounced deceased at the hospital. Sgt Emmanuel Kwo, 9yr veteran,was shot in the leg/stable condition</t>
  </si>
  <si>
    <t>The suspect was pronounced dead at the scene. Both sergeants were transported to Jacobi Hospital.</t>
  </si>
  <si>
    <t>.@NYPD43Pct officers returned fire striking the suspect. During the gunfire exchange, 2 sergeants were shot.</t>
  </si>
  <si>
    <t>As officers approached the vehicle, the suspect, Manuel Rosales/35, fired at the officers with a handgun.</t>
  </si>
  <si>
    <t>At 2:53pm the suspects car was observed by a marked NYPD vehicle at Noble Court/Bronx River Ave.</t>
  </si>
  <si>
    <t>.@NYPD43Pct cops were responding &amp;amp; were told via dispatch the suspect had fled in a red jeep.</t>
  </si>
  <si>
    <t>At 2:45pm a female called 911 stating a male w/a gun broke into her apartment on Beach Ave, Bronx.</t>
  </si>
  <si>
    <t>Today, NYPD Sergeant Paul Tuozzolo was shot and killed while doing his job- while trying to keep the men and women of NYC safe.</t>
  </si>
  <si>
    <t>All information is preliminary.</t>
  </si>
  <si>
    <t>Now: Watch the remarks by @MayorNYC &amp;amp; @NYPDONeill on https://t.co/FMsoGmM4uF</t>
  </si>
  <si>
    <t>At approximately 6pm @NYCMayor &amp;amp; @NYPDONeill will update NYers on NYPD officers shot in the Bronx. Watch: https://t.co/FMsoGmM4uF</t>
  </si>
  <si>
    <t>Two NYPD police officers have been shot in the Bronx and have been removed to the hospital. Updates to follow.</t>
  </si>
  <si>
    <t>RT @NYPDONeill: #HappeningSoon @ 2:40 pm: @BrookeBCNN and I discuss #NYPD response to the Chelsea bombing, preparations for election night…</t>
  </si>
  <si>
    <t>Officers Sendrowski &amp;amp; Campanella were turning onto a busy Manhattan street in when the explosion went off. https://t.co/1PTcDKfKaE</t>
  </si>
  <si>
    <t>Police Commissioner @NYPDONeill  sharing insight with our new captains on leadership and the importance of… https://t.co/8Uj0C4iVT0</t>
  </si>
  <si>
    <t>Great #NYPDconnecting by @NYPDPSA6 explaining info &amp;amp; clearing any confusion over recent police activity https://t.co/1Jd7v9PskE</t>
  </si>
  <si>
    <t>WANTED: Male for setting fire to two NYPD vehicles near 78 Richmond Terr, Staten Island. Call #800577TIPS with info… https://t.co/zn4iHGYcdq</t>
  </si>
  <si>
    <t>‘A Pretty Cool Story Worth Sharing’- @NYPDTransit officers helping a person in crisis #TalkToMe… https://t.co/WrWE9OC2Xz</t>
  </si>
  <si>
    <t>“We want the guy shooting the gun who’s committing the real crime — &amp;amp; we’ve had a lot of success.”… https://t.co/uuaHbFkWYM</t>
  </si>
  <si>
    <t>.@NYPDCT K9 Units To Patrol The @nycmarathon This Year 
Read about how they’re keeping everyone safe:… https://t.co/SYP8oiViqM</t>
  </si>
  <si>
    <t>Get involved- help keep your neighborhood safe. You can also get $. That’s a #WinWin #800577TIPS… https://t.co/6viNQkC88z</t>
  </si>
  <si>
    <t>Young Women’s Empowerment Summit - Don’t miss this great event. #NYPDconnecting @NYPD26Pct https://t.co/2p1GTrjCqG</t>
  </si>
  <si>
    <t>#NYPDProtecting: Bronx Finest dedicated to keeping your community safe. https://t.co/6tffPPDTJ9</t>
  </si>
  <si>
    <t>A few security measures if you plan on attending the @nycmarathon https://t.co/Wf99W0V9gb</t>
  </si>
  <si>
    <t>Help ID this suspect WANTED for public lewdness. Call #800577TIPS with info https://t.co/ahPX2FTFoI</t>
  </si>
  <si>
    <t>RT @nypdrecruit: #itsyouwewant #bringwhoyouare @NYPDnews is seeking #courage #compassion #respect #honesty #serviceoriented. Next exam in J…</t>
  </si>
  <si>
    <t>RT @NYPDBklynNorth: Jacob Priestley &amp;amp; family stopped by @1PolicePlaza to thank @NYPDChiefofDept @NYPDONeill for allowing us to spend time w…</t>
  </si>
  <si>
    <t>Help keep your neighborhood safe. Share info &amp;amp; you can also get a reward. #WinWin #800577TIPS… https://t.co/xE14SCRwSI</t>
  </si>
  <si>
    <t>This is #NYPDprotecting: GREAT teamwork between @NYPD75Pct cops resulted in this illegal gun taken off the streets… https://t.co/1i8T7Ewh0c</t>
  </si>
  <si>
    <t>#NYPDconnecting: @NYPD43Pct and LOTS of community members getting together. You can too each month:… https://t.co/kdHMy3TVgJ</t>
  </si>
  <si>
    <t>Great teamwork between @NYPD10Pct &amp;amp; a Good Samaritan working together to save a drowning 68 y/o veteran.… https://t.co/wbbx3ymahr</t>
  </si>
  <si>
    <t>No matter where you are in the city, you can connect with your local precinct each month: https://t.co/hkB6CWgMhW https://t.co/cVXMMoensT</t>
  </si>
  <si>
    <t>WANTED: For forcibly touching a woman on the 7 train platform at Grand Central station (he exited at Woodside) on 1… https://t.co/CUq1nR8RqX</t>
  </si>
  <si>
    <t>UPDATE: M/24 arrested for murder/shooting death of another male in #Queens. @NYPD103Pct @NYPDDetectives #NYPDprotecting</t>
  </si>
  <si>
    <t>On 2 legs &amp;amp; 4, members of the @NYPDCT Critical Response Team are part of the seen &amp;amp; unseen that will be protecting… https://t.co/2u6EXulkks</t>
  </si>
  <si>
    <t>Arizona boy battling terminal illness treated to VIP tour of New York City (Video &amp;amp; photos): https://t.co/UNT0ZnZzxO https://t.co/pfbGQkxgol</t>
  </si>
  <si>
    <t>WANTED: M/W/30’s for assault &amp;amp; making anti-gay comments on 10/30 4am at 8th Ave/W.14St. Call #800577TIPS https://t.co/gAxQuqYpQU</t>
  </si>
  <si>
    <t>Prayers to the families of @DMPolice Sgt. Anthony Beminio &amp;amp; @UrbandalePolice Ofcr. Justin Martin, both tragically k… https://t.co/MFdGceFhw5</t>
  </si>
  <si>
    <t>RT @TalkToMe: #NOW: Our NYPD recruits learning about emotional control &amp;amp; emotional contagion during crisis situations. https://t.co/e98V72H…</t>
  </si>
  <si>
    <t>#DidYouKnow? This year's @nycmarathon will be protected by 10% more cops. This includes 1 of our newest units, the… https://t.co/Hs50h6GC8W</t>
  </si>
  <si>
    <t>The NYPD agrees #NYISBLUE. @NYCFC good luck in the playoffs #SupportYourCity via @NYPD111Pct https://t.co/1JmRZdWFDV</t>
  </si>
  <si>
    <t>"We expect a safe @nycmarathon, but if you see something say something, call 911 or alert an officer,"… https://t.co/FBSxVNkiPL</t>
  </si>
  <si>
    <t>"We have many people working very hard to ensure NYers &amp;amp; visitors enjoy a safe @nycmarathon," now in @CentralParkNYC https://t.co/WgLXr6VQjp</t>
  </si>
  <si>
    <t>And it's official! The lines have been painted at the finish of the @nycmarathon. https://t.co/moNTCyXYLS</t>
  </si>
  <si>
    <t>"I look forward to a great and safe event," @NYPDONeill at the finish line of the @nycmarathon https://t.co/LqqKxnqMj5</t>
  </si>
  <si>
    <t>Getting ready to help paint the ceremonial lines for the @nycmarathon. Stay tuned! https://t.co/udsyoFc8VW</t>
  </si>
  <si>
    <t>#HappeningNow: @NYPDONeill joins NYC officials &amp;amp; community at the finish line of the @nycmarathon https://t.co/1omoc2yv2k</t>
  </si>
  <si>
    <t>WANTED: Male &amp;amp; female for assaulting a 64y/o man near Main St &amp;amp; Queens Blvd, Queens. Call #800577TIPS with info.… https://t.co/K3yxScDVzX</t>
  </si>
  <si>
    <t>Learn how your @NYPDTransit cops are keeping the subways safe for millions of people 24/7. https://t.co/iDsGpLX1Xs</t>
  </si>
  <si>
    <t>Arizona Boy Battling Terminal Illness Treated To VIP Tour Of NYC By @NYPDBklynNorth https://t.co/xC68z1xygA</t>
  </si>
  <si>
    <t>WANTED: Help ID this man wanted for forcibly touching a F/27 on the 2 Train at 149 St/Grand Concourse #Bronx on 10/… https://t.co/wv6pvOlgId</t>
  </si>
  <si>
    <t>Our prayers are with the families and colleagues of the officers killed in the line of duty in the Des Moines area of Iowa. #NeverForget</t>
  </si>
  <si>
    <t>The NYPD teamed up with the @ASPCA in 2014, marking the first partnership between NYC police &amp;amp; a local rescue group. https://t.co/f7bUPYEOgB</t>
  </si>
  <si>
    <t>Safest October in the entire CompStat-Era, including 32% reduction in murder compared with October 2015… https://t.co/7SNcez2WVe</t>
  </si>
  <si>
    <t>Collaboration with partners like @afspnyc @afspnational is helping raise awareness of #SuicidePrevention https://t.co/oR1UXLYE7h</t>
  </si>
  <si>
    <t>Another illegal gun off the streets of #Queens thanks to the dedicated work of these @NYPD103Pct #NYPDprotecting https://t.co/SzpuZKF5WZ</t>
  </si>
  <si>
    <t>Help ID this man WANTED for bank robbery on Staten Island. Call #800577TIPS with any info. https://t.co/7F26TrtvOX</t>
  </si>
  <si>
    <t>Your NYPD keeping the Bronx safe. #NYPDProtecting https://t.co/jPh81Gppot</t>
  </si>
  <si>
    <t>RT @NYPD79Pct: #NYPDprotecting: The 79 Pct Neighborhood Coordinating Officers (NCOs) of Sector A getting #onelessgun off the streets of #Be…</t>
  </si>
  <si>
    <t>Training &amp;amp; preparing with our partner agencies today in NYPD HQ to ensure a safe &amp;amp; protected @nycmarathon this Sund… https://t.co/2iTvnYbtPI</t>
  </si>
  <si>
    <t>RT @NYPDDetectives: Nice work by #Manhattan @NYPDSVU, @nypd34 Squad, @nycpolicefdtn #CrimeStoppers, and members of the community . #ItsWhat…</t>
  </si>
  <si>
    <t>Safest October in the entire Compstat-Era, including 32% reduction in murder compared with October 2015 
More:… https://t.co/UbCAW8F4UL</t>
  </si>
  <si>
    <t>NYC is extremely safe!
Major Crime ⬇️ 3.4%
Shootings ⬇️ 9.7%
Murder ⬇️ 5.6%
WATCH ANNOUNCEMENT LIVE: https://t.co/BDQhIb687L
Stats vs. '15</t>
  </si>
  <si>
    <t>"I want to congratulate the entire NYPD for setting a record...the safest Oct. in the CompStat era," says @NYCMayor… https://t.co/2lPPYWBmiV</t>
  </si>
  <si>
    <t>#HappeningNow: @NYCMayor &amp;amp; @NYPDONeill announce hard work of NYPD alongside community results in record low crime https://t.co/BDQhIb687L</t>
  </si>
  <si>
    <t>#HappeningSoon: @NYCMayor &amp;amp; @NYPDONeill announce record low crime rates in NYC. https://t.co/uYn3Nsnk9c</t>
  </si>
  <si>
    <t>Join us here at noon today as @NYCMayor &amp;amp; @NYPDONeill announce record low crime in NYC. https://t.co/LOIxEiHK5W</t>
  </si>
  <si>
    <t>Teamwork is keeping NYC safe: Great job by @NYPD49Pct Anti-Crime by making an arrest &amp;amp; getting this illegal gun off… https://t.co/sfqoCU0QIB</t>
  </si>
  <si>
    <t>#NYPDconnecting in #Brooklyn: @NYPD75Pct Neighborhood Coordination Officers (NCO) helping ensure people have a fun… https://t.co/nVXlS5BNNZ</t>
  </si>
  <si>
    <t>WANTED: M/W/40’s, 6’3”tall, slim build for multiple bank robberies in #StatenIsland. Call #800577TIPS https://t.co/z6ALL3hrRi</t>
  </si>
  <si>
    <t>Protectors of NYC: @NYPDPSA7 cops took these weapons off the streets of the #Bronx after conducting a car stop.… https://t.co/0umo0k5zpi</t>
  </si>
  <si>
    <t>Congratulations to the winners of #NYPDBlueGoesPink, and also thank you to everyone who participated &amp;amp; all who vote… https://t.co/WPohd9zHsK</t>
  </si>
  <si>
    <t>There's a lot of great costumes out there this Halloween, but we're a bit partial to this little guy's. https://t.co/fM4LzJGHLA</t>
  </si>
  <si>
    <t>RT @NYPD32Pct: Best way to give out 🎃  #HalloweenSafetyTips to kids is attaching a bag of candy to it. Happy Halloween #Harlem🎃 https://t.c…</t>
  </si>
  <si>
    <t>There's always time for your NYPD cops to make new friends! Thanks for sharing, @jbaeza725! https://t.co/GSpywepsLp</t>
  </si>
  <si>
    <t>Someone should definitely call 212-Recruit. @nypdrecruit
@NYPD44Pct cops having some Halloween fun today!… https://t.co/kgv7Fc06EZ</t>
  </si>
  <si>
    <t>Some good advice on how to stay safe this Halloween from your friends at the @NYPD1Pct https://t.co/B6JC4mN1TN</t>
  </si>
  <si>
    <t>RT @NYPD44Pct: #HappeningNow at the 44. Come by the precinct for the Halloween candy giveaway! 🎃 https://t.co/sXmqVb60Xo</t>
  </si>
  <si>
    <t>WANTED: Male, Hispanic, 40’s for robbing a 79-YR-OLD woman near 53 St between 4th &amp;amp; 5th Aves in Brooklyn. Call… https://t.co/ngkNodXFTD</t>
  </si>
  <si>
    <t>🎃🎃 Excited for Halloween? We are too! Celebrate safely with these tips 🎃🎃 https://t.co/0grdJwNA0V</t>
  </si>
  <si>
    <t>Our prayers are with Chester, IL Police Dept &amp;amp; family of Officer James Brockmeyer who lost his life while protectin… https://t.co/0x47o8cFSx</t>
  </si>
  <si>
    <t>Heading out to get some candy today? Be safe and have a happy Halloween! https://t.co/guWTqARaX5</t>
  </si>
  <si>
    <t>Thank you to the Bronx community, clergy &amp;amp; elected officials for coming together to show your appreciation for your… https://t.co/UGbCc4b19V</t>
  </si>
  <si>
    <t>Bronx Finest going in harm's way to keep NYC safe. Great job! #NYPDProtecting https://t.co/yzo3Q6xSd3</t>
  </si>
  <si>
    <t>WANTED: Suspect driving a Toyota Sienna near E. 38 St. Tunnel Approach St. who struck a woman &amp;amp; left the scene. Cal… https://t.co/GjhQvCxxmQ</t>
  </si>
  <si>
    <t>Our prayers go out to the @DetroitPolice Dept. &amp;amp; the family of Police Officer Myron Jarrett who was killed in the l… https://t.co/5eTLdbysVc</t>
  </si>
  <si>
    <t>The NYPD &amp;amp; @SafeHorizon launch Crime Victim Assistance Program, placing victim advocates in NYC police precincts https://t.co/2569TveVlz</t>
  </si>
  <si>
    <t>#ICYMI: @NYPDONeill updated NYers on their NYPD this AM on @am970TheAnswer. Hear about NYC's record low crime &amp;amp; more https://t.co/lYeFYx7nva</t>
  </si>
  <si>
    <t>Congrats to all those honored at today's @NYPD72Pct Medal Day Ceremony! Great work recognized as we keep NYC the sa… https://t.co/hjeBaePLd7</t>
  </si>
  <si>
    <t>Kids of all ages are invited to attend the @NYPD78Pct’s haunted house. Today's the last day from 3 to 9 p.m. Stop b… https://t.co/UHLkPK3VHM</t>
  </si>
  <si>
    <t>RT @NYPD19Pct: Great arrest by Det. Carter &amp;amp; Officer Barker identifying &amp;amp; arresting man wanted for assaulting an 85y/o senior in #CarlSchur…</t>
  </si>
  <si>
    <t>A few tips to keep everyone safe this Halloween. Enjoy! https://t.co/CDzFFC0XOv</t>
  </si>
  <si>
    <t>Our @NYPDtransit cops are keeping people safe. An arrest made &amp;amp; this illegal loaded gun was recovered in the #Bronx… https://t.co/OIHN6seKE5</t>
  </si>
  <si>
    <t>Earlier this week the @NYPD113Pct held an event to connect with the community, share tips &amp;amp; more. #NYPDconnecting https://t.co/ng1HDdwzl1</t>
  </si>
  <si>
    <t>RT @NYPD100Pct: Wishing @NYCFC the best of luck throughout the playoff season! #SupportYourCity ⚽️ https://t.co/70nXuaGINX</t>
  </si>
  <si>
    <t>"Neighborhood Policing allows cops to work with community to keep NYC safe," @NYPDONeill on @am970TheAnswer #NYPDProtecting #NYPDConnecting</t>
  </si>
  <si>
    <t>"Gun arrests are up about 20% this year...we're taking guns out of circulation," @NYPDONeill now on @am970TheAnswer. https://t.co/POeds2uSZa</t>
  </si>
  <si>
    <t>"Overall crime is down in NYC about 3% compared to 2015," says @NYPDONeill now on @am970TheAnswer. Listen LIVE: https://t.co/POeds2uSZa</t>
  </si>
  <si>
    <t>#Now on @am970TheAnswer, @NYPDONeill gives an update on your NYPD. Listen LIVE here: https://t.co/POeds2uSZa</t>
  </si>
  <si>
    <t>Listen to @am970TheAnswer as @NYPDONeill updates NYers about the NYPD on the @CatsRoundtable shortly. LIVE: https://t.co/POeds2uSZa</t>
  </si>
  <si>
    <t>Another busy Sunday in NYC! Plan ahead with the NYPD Traffic Advisory https://t.co/yXhuAnNN6T</t>
  </si>
  <si>
    <t>Deputy Commissioner of Intelligence &amp;amp; @NYPDCT John Miller speaking on incident at Lincoln Center tonight. https://t.co/3yKPYEYFz2</t>
  </si>
  <si>
    <t>We’re not sure who’s smile is bigger! Sgt. Bonilla from the @NYPD48Pct had a great day of football at Mapes Park wi… https://t.co/Trx0xv03EN</t>
  </si>
  <si>
    <t>HELP ID this man who snatched an 85-YEAR-OLD woman’s purse in the Bronx. @NYPD43Pct https://t.co/WQ1XGN6Gwx</t>
  </si>
  <si>
    <t>#NYPDconnecting: join the @NYPD108Pct &amp;amp; others tomorrow at this #Halloween event https://t.co/ZMKSoQYNph</t>
  </si>
  <si>
    <t>#NYPDprotecting: @NYPD79Pct recovered 2 guns, cash, ammunition &amp;amp; drugs in #Brooklyn. https://t.co/0F7mLyxZmJ</t>
  </si>
  <si>
    <t>The brave men and women of the NYPD are fighting crime and keeping NYC the safest big city in America https://t.co/Gtc3ItJ2cP</t>
  </si>
  <si>
    <t>ARREST: Jamel Ethridge, 38, charged with:
•Attempted Murder
•Criminal Possession of a Weapon
•Reckless Endangerment 
https://t.co/NDIG6HqYyE</t>
  </si>
  <si>
    <t>Arrests regarding skimming devices are on the rise, making NYC even safer. https://t.co/BCRh5AWRgv</t>
  </si>
  <si>
    <t>ARREST: Jose Gonzalez, 18, charged with:
•Attempted Murder
•Gang Assault
•Assault
•Criminal Possession of a Weapon
https://t.co/43nohHjLKT</t>
  </si>
  <si>
    <t>🎃🎃 Excited for Halloween? We are too! Celebrate safely with these tips 🎃🎃 https://t.co/xe7RN9DeiB</t>
  </si>
  <si>
    <t>If you’re in Brooklyn stop by the @NYPD78Pct and walk though their haunted house if you dare! Check it out on our… https://t.co/acdI6HsLFD</t>
  </si>
  <si>
    <t>Sending prayers to the family of Sergeant Allen Brandt &amp;amp; the Fairbanks, AK Police Department. We will #NeverForget… https://t.co/O4Ezvdap8t</t>
  </si>
  <si>
    <t>ARREST UPDATE: Shaun Lewis, 27, charged with:
•Attempted Rape
•Assault
•Strangulation
•Forcible Touching
https://t.co/T5IGDyQuLB</t>
  </si>
  <si>
    <t>Halloween weekend in NYC brings a lot of events. Plan ahead and enjoy with our traffic advisory https://t.co/yXhuAnNN6T</t>
  </si>
  <si>
    <t>Information on the police involved shooting in Queens within the @NYPD113Pct: https://t.co/NDIG6HqYyE
Photo of wea… https://t.co/WLjxwGP0V7</t>
  </si>
  <si>
    <t>Media to go to Guy Brewer Blvd and Foch Blvd, Queens for update on police involved shooting. Update expected shortly.</t>
  </si>
  <si>
    <t>There's been a police involved shooting in Queens within the confines of the @NYPD113Pct. More information to follow when available.</t>
  </si>
  <si>
    <t>.@NYPDSpecialops Officers Use Team Tactics &amp;amp; Effective Crisis Communication To Save Man On George Washington Bridge… https://t.co/PYLtF68tUD</t>
  </si>
  <si>
    <t>Meet Det. Kevin Arias, an American hero and a member of the NYPD. 
Learn how he was awarded the Purple Heart:… https://t.co/XDi0DQrecd</t>
  </si>
  <si>
    <t>Can't wait to see meet you, Jacob! Watch more about Jacob: https://t.co/41hOF2ZR7J https://t.co/JocKUzysWz</t>
  </si>
  <si>
    <t>Out on the streets connecting with NYers and making sure they stay safe while driving https://t.co/5VDH7i0yi5</t>
  </si>
  <si>
    <t>If you’re in Brooklyn stop by the @NYPD78Pct and walk though their haunted house if you dare! Check it out on our… https://t.co/wf9ZrI8lk9</t>
  </si>
  <si>
    <t>HELP ID this man who snatched an 85-YEAR-OLD woman's purse in the Bronx. @NYPD43Pct https://t.co/WQ1XGN6Gwx</t>
  </si>
  <si>
    <t>An important traffic safety message from the @NYPD1Pct. #YourChoicesMatter #VisionZero  https://t.co/AIHHQ56iKJ</t>
  </si>
  <si>
    <t>RT @NYPDHousing: We honor those who fought &amp;amp; those still in the fight. #NYPDBlueGoesPink for #BreastCancerAwarenessMonth 🎀 https://t.co/bhg…</t>
  </si>
  <si>
    <t>RT @NYPDSpecialops: Video footage of the great rescue by #ESU today on the #GeorgeWashingtonBridge. Excellent training, tactics &amp;amp; crisis in…</t>
  </si>
  <si>
    <t>"Extra police coverage will ensure children have a safe &amp;amp; fun Halloween," says NYPD Chief of Patrol. Tips:… https://t.co/7zUjplLV2V</t>
  </si>
  <si>
    <t>"You are the ones who will carry this department forward," @NYPDONeill to members of the NYPD being promoted today. https://t.co/iWrsLx0ax7</t>
  </si>
  <si>
    <t>#HappeningNow: NYPD promotion ceremony inside Headquarters. Join us in saying congratulations! https://t.co/4L6QPIgnKZ</t>
  </si>
  <si>
    <t>Getting ready to celebrate the hard work and dedication of members of the NYPD at today's promotion ceremony in Hea… https://t.co/PpSJxu1UL3</t>
  </si>
  <si>
    <t>Communities in #Queens are meeting their new @NYPD109Pct Neighborhood Coordination Officers. Read more on our NCO’s… https://t.co/58xmRvoNeL</t>
  </si>
  <si>
    <t>Go @NYCFC in their first-ever playoff match this weekend. Here’s a great pic of @NYPD44Pct showing their support… https://t.co/wzj1bu4wcj</t>
  </si>
  <si>
    <t>#ProtectingNYC: Our @NYPD113Pct recently took 2 loaded guns &amp;amp; body armor off the streets of #Queens https://t.co/Rn4DawYe9U</t>
  </si>
  <si>
    <t>“They still 28 years later, accept no responsibility and show no recognition of what a terrible crime it is.” https://t.co/eAUPQWizt2</t>
  </si>
  <si>
    <t>WANTED: 3 male teens for robbing a 13-yr-old inside an apt building on East 191 St, Bronx. Call #800577TIPS with in… https://t.co/9eIZWUSw7I</t>
  </si>
  <si>
    <t>Thank you to Lieutenant James Woods for the almost four decades of dedicated service. Congratulations on your award! https://t.co/lB8b5oWFTG</t>
  </si>
  <si>
    <t>RT @NYPDchaplains: We would like to thank everyone for their love and support, we will never forget Rev. Serrano, may he rest in peace. htt…</t>
  </si>
  <si>
    <t>RT @NYPDPSA8: Rest in Peace Chaplin Rev. Dr. Luis Serrano. @NYPDchaplains you will be missed greatly. https://t.co/LJyRJd0LGk</t>
  </si>
  <si>
    <t>Tomorrow NYPD &amp;amp; @NYC_DOT street teams will be educating &amp;amp; engaging drivers &amp;amp; others at #VisionZero priority areas.… https://t.co/5AzyHMdGt7</t>
  </si>
  <si>
    <t>Let's say thanks to the brave and dedicated members of the NYPD that are keeping NYC the safest big city in the U.S. https://t.co/Gtc3ItJ2cP</t>
  </si>
  <si>
    <t>In Bid To Build Trust, New York City Adds Victims’ Allies In All Precincts https://t.co/XztUiGVzOl Via: @nytimes https://t.co/UmMreQtOhQ</t>
  </si>
  <si>
    <t>Rain or shine, our elite Hercules Team, just like all of our NYPD officers, are out protecting &amp;amp; connecting with NY… https://t.co/Y7U4Dc4m8j</t>
  </si>
  <si>
    <t>Kids of all ages are invited to attend the @NYPD78Pct’s haunted house, from Oct. 26 through Oct. 30, 3 to 9 p.m. https://t.co/4xbd4yiq80</t>
  </si>
  <si>
    <t>Saving NYC's pets though an outstanding partnership with the @ASPCA https://t.co/PpjRNKxgjG</t>
  </si>
  <si>
    <t>RT @NYPDTransport: Left turning vehicles are a leading cause of injuries &amp;amp; fatalities to pedestrians &amp;amp; bicyclists at intersections. Slow do…</t>
  </si>
  <si>
    <t>#NYPDBlueGoesPink to help raise awareness for breast cancer. We tweeted some great photos! Which do you like best? https://t.co/4AkoYujk3E</t>
  </si>
  <si>
    <t>"Dusk and darkness is a contributing factor in traffic related accidents," says @NYPDTransport https://t.co/8edyU2IBXk</t>
  </si>
  <si>
    <t>RT @NYC_DOT: .@NYPDnews will increase on-street enforcement presence around sunset hours when data show serious pedestrian crashes increase…</t>
  </si>
  <si>
    <t>#HappeningNow: A major dusk and darkness traffic safety initiative being announced by @NYPDtransport and @NYC_DOT.… https://t.co/N869OnB2cp</t>
  </si>
  <si>
    <t>#HappeningSoon: Chief Chan &amp;amp; @NYC_DOT to share information on #VisionZero https://t.co/0EjZy76lZF</t>
  </si>
  <si>
    <t>Help ID this male WANTED for assaulting an 85-YR-OLD in Carl Schurz Park, Manhattan. Call #800577TIPS with any info… https://t.co/A8PooH6fz6</t>
  </si>
  <si>
    <t>Help us say congrats to @NYPD100Pct Officers Black &amp;amp; Jackson on their award for using CPR to save a 15-month-old ba… https://t.co/ZzI6JiTmKD</t>
  </si>
  <si>
    <t>WANTED: 2 males for robbing a livery cab driver at Barkley &amp;amp; Hollywood Aves in the Bronx. Call #800577TIPS with inf… https://t.co/HVGwB9BQWh</t>
  </si>
  <si>
    <t>Protecting and connecting. Neighborhood Policing - the way forward https://t.co/7lYyhcHoaQ
https://t.co/JGa6PTJQUj</t>
  </si>
  <si>
    <t>Six Alarm Fire: E. 93rd St near 1st &amp;amp; 2nd Avenues, Manhattan. Expect smoke &amp;amp; traffic in area. Avoid location.</t>
  </si>
  <si>
    <t>Sending prayers to the @nyspolice &amp;amp; family of Trooper Timothy Pratt, who was struck &amp;amp; killed by a car while helping… https://t.co/n8XesGXX3W</t>
  </si>
  <si>
    <t>New NYPD Traffic Enforcement Agents graduated training today &amp;amp; tomorrow they will help keep NYC moving. Join us in… https://t.co/Jyyca9j0IG</t>
  </si>
  <si>
    <t>RT @NYPD110Pct: One hour ago 110 Precinct  Officers arrested 3 males in a car with this loaded 9mm firearm. #onelessgun https://t.co/CGxYvz…</t>
  </si>
  <si>
    <t>If you thought driving in NYC was hard, ride along with one of the NYPD’s most elite units as they respond to an em… https://t.co/6URsexuABx</t>
  </si>
  <si>
    <t>RT @TalkToMe: New hotline is 24/7, confidential &amp;amp; there to help you. #ThriveNYC #NYCwell #TalkToMe https://t.co/NOJatnz8Xm https://t.co/Qtz…</t>
  </si>
  <si>
    <t>NYPD Cops, @ASPCA Helping Rescued Dog Find A Good Home https://t.co/gpwhKi0VlG</t>
  </si>
  <si>
    <t>Kids of all ages are invited to attend the @NYPD78Pct’s haunted house, from Oct. 26 through Oct. 30, 3 to 9 p.m.… https://t.co/pCi2wTk5Xf</t>
  </si>
  <si>
    <t>The knife recovered at the scene of today's (10/26) police involved shooting in Brooklyn. More information:… https://t.co/QHIZDG6302</t>
  </si>
  <si>
    <t>LIVE on #Periscope: NYPD Chief of Patrol updating NYers on police involved shooting in Brooklyn, confines of the @N… https://t.co/r3bP56MrQK</t>
  </si>
  <si>
    <t>#HappeningSoon: Update regarding the police involved shooting in Brooklyn will take place shortly.</t>
  </si>
  <si>
    <t>There's been a police involved shooting in Brooklyn within the confines of the @NYPD67Pct. More info to follow when available.</t>
  </si>
  <si>
    <t>Your dedicated NYPD cops went in harm's way to keep NYC safe and take more than 1,000 guns off NYC streets this year https://t.co/qQuNTJNrFh</t>
  </si>
  <si>
    <t>"If you're carrying an illegal gun in NYC we're going to find you, lock you up, and you're going to do some time,"… https://t.co/HYm2YDmSlK</t>
  </si>
  <si>
    <t>"These guns will never be in circulation again to hurt someone," @NYPDONeill now on the destruction of seized guns. https://t.co/x6qjt0ZbnO</t>
  </si>
  <si>
    <t>#HappeningNow: @NYPDONeill announces these seized guns to be destroyed https://t.co/4YFCFGJnKK</t>
  </si>
  <si>
    <t>Join us here at 10:15am today as @NYPDONeill and @NYPDChiefofDept announce plans to destroy firearms.</t>
  </si>
  <si>
    <t>ARREST UPDATE: Narciso Rosario charged with:
•Escape
•Criminal Possession of a Controlled Substance
•Petit Larceny
https://t.co/yhJmDGAjZP</t>
  </si>
  <si>
    <t>A few of NY's Finest brought smiles to the faces of NYC's youngest with Halloween right around the corner.… https://t.co/2XznjMGXRT</t>
  </si>
  <si>
    <t>WANTED: Male 40's, 5'8" for armed robberies in Manhattan. Call #800577TIPS with info. https://t.co/a8exr2eCQC</t>
  </si>
  <si>
    <t>1 bad guy off the street
➕1 stolen gun from Georgia off the street
 =  A SAFE NYC
Thank you, @NYPD113Pct https://t.co/4UjDsxybrf</t>
  </si>
  <si>
    <t>ARREST UPDATE: Sammy Bensabeur, 19, charged with attempted rape. Call #800577TIPS with crime info in your community. https://t.co/ATbZDdeIxA</t>
  </si>
  <si>
    <t>Four NYPD Officers Given Awards For Overcoming Major Illnesses &amp;amp; Returning To Work To Keep NYC Safe… https://t.co/WwnCCTZXNo</t>
  </si>
  <si>
    <t>“The NYPD works very had in getting these guns off the streets and we are going to keep them off the street.” @NY1 https://t.co/QOgKMfiH25</t>
  </si>
  <si>
    <t>RT @NYPD67Pct: Was truly a honor being part of #TeamUpTuesday @NYCSchools @CarmenFarinaDOE. Spirited debate &amp;amp; Q&amp;amp;A with the future leaders o…</t>
  </si>
  <si>
    <t>ARREST UPDATE: Rubin Fernandez, 31, charged with Grand Larceny, Reckless Endangerment, Criminal Mischief https://t.co/cFtgiDXUSZ</t>
  </si>
  <si>
    <t>RT @NYPDONeill: #HappeningNow: Distinct pleasure to meet w/ some of brightest young minds in #NYC for #TeamUpTuesday w/ @CarmenFarinaDOE &amp;amp;…</t>
  </si>
  <si>
    <t>#TeamUpTuesday is back! @NYCSchools students &amp;amp; NYPD cops learning from each other &amp;amp; making new friends https://t.co/vyvatmhu3F</t>
  </si>
  <si>
    <t>"I wanted to tell the children that we as police officers are there for them," @NYPD1Pct Officer Banks https://t.co/qmg4ZTAOdb</t>
  </si>
  <si>
    <t>October is National Cybersecurity Awareness Month. Take a few moments to become #CyberAware by visiting https://t.co/BlrQO3EQOc</t>
  </si>
  <si>
    <t>Neighborhood Coordination Officers in the @NYPD44Pct are not just cleaning up the community from crime. More:… https://t.co/APsLNlBAlo</t>
  </si>
  <si>
    <t>WANTED: Male 20’s, 5’10” for sexually assaulting a 15-YR-OLD GIRL near Bronx Blvd &amp;amp; East 213 St, Bronx. Call… https://t.co/IhbBvdTleQ</t>
  </si>
  <si>
    <t>WANTED: Narciso Rosario, 19, for escaping custody near East 178 St &amp;amp; Hughes Ave, Bronx. Call #800577TIPS with info,… https://t.co/5mYQpz51HE</t>
  </si>
  <si>
    <t>Last #TeamUpTuesday was a great success with cops &amp;amp; kids from @NYCSchools connecting. Looking forward to tomorrow's! https://t.co/lQm65xL5cA</t>
  </si>
  <si>
    <t>Great to see the @NYPD1Pct, @afspnyc &amp;amp; the community working together to #StopSuicide https://t.co/kzsUi8JF4S</t>
  </si>
  <si>
    <t>WANTED: 1 of 3 males for the shooting assault of a 16-yr-old near 179-08 90th Ave, Queens. Call #800577TIPS with in… https://t.co/IiiZ6860dE</t>
  </si>
  <si>
    <t>RT @NYPDchaplains: Chaplain Rev. Luis Serrano will forever be missed, he lived a beautiful life &amp;amp; was a faithful servant of the Lord. https…</t>
  </si>
  <si>
    <t>UPDATE: Alyssa Baez, 14, has been found safe. https://t.co/PsYb9TAygV</t>
  </si>
  <si>
    <t>And the Candidate Assessment Center is open! Interested in joining the NYPD? Learn more here:… https://t.co/rhruG5Rpv2</t>
  </si>
  <si>
    <t>Chief Kim Royster speaks about the new @nypdrecruit campaign. Read more: https://t.co/w0YHr4LC77 https://t.co/tS6Mgbtk7w</t>
  </si>
  <si>
    <t>"Now, the entire pre-hire screening process is held here at the Candidate Assessment Center…one-stop shopping, if y… https://t.co/Zvvpgp6hzJ</t>
  </si>
  <si>
    <t>"One of the most effective ways to find common ground is to have a police force representative of the community," @NYPDONeill</t>
  </si>
  <si>
    <t>#HappeningNow: @NYPDONeill speaks at the opening of our new NYPD Candidate Assessment Center in Manhattan https://t.co/Ul9UT43yI7</t>
  </si>
  <si>
    <t>#HappeningSoon: We cut the ribbon on the new NYPD Candidate Assessment Center &amp;amp; announce new @nypdrecruit strategy… https://t.co/QMDmKEe1qh</t>
  </si>
  <si>
    <t>WANTED: Male, 23, 5'8"-5'10" 155lbs for attempted rape of a woman near 25th St in Brooklyn. Call #800577TIPS with a… https://t.co/JeO65pRuf4</t>
  </si>
  <si>
    <t>.@NYPDPSA8 cops don’t just keep the community safe, they partner with all to keep it looking great too. Looking goo… https://t.co/jIxbe5U9GF</t>
  </si>
  <si>
    <t>WANTED: 2 men for the shooting homicide of a man near 350 E. 143 St, Bronx. Call #800577TIPS with info. @NYPD40Pct https://t.co/pJ3YV4gAmv</t>
  </si>
  <si>
    <t>NYPD cops going in harm's way to keep NYC safe for all communities. Great work, @NYPDPSA7! https://t.co/uGdCkVuAwQ</t>
  </si>
  <si>
    <t>Seen Alyssa Baez? Call #800577TIPS with info. Last seen Far Rockaway/Mott Ave train stn, Qns with person of interest https://t.co/1KcoLvetVA</t>
  </si>
  <si>
    <t>#SilverAlert: Eddie Foster, 77, was last seen on University Avenue in the Bronx on 10/22 at 3pm. If seen call 911. https://t.co/ngkXOa6Zy0</t>
  </si>
  <si>
    <t>RT @NYPDONeill: Our @NYPDSpecialops cops are the best in the business for many reasons; this early Sunday morning is EDP training high atop…</t>
  </si>
  <si>
    <t>Tomorrow we cut the ribbon on our new Candidate Assessment Center. Follow us here at 11am for more. https://t.co/z3FIfh68eu @nypdrecruit</t>
  </si>
  <si>
    <t>Good luck to @NYPDnews &amp;amp; @FDNY in their soccer game. Both are winners as proceeds are going to charity.… https://t.co/9cZKFmebCV</t>
  </si>
  <si>
    <t>A great day for "football" in NYC. @NYCFC vs @ColumbusCrewSC &amp;amp; then our NYPD soccer team playing @FDNY with proceed… https://t.co/3aABQVEMjN</t>
  </si>
  <si>
    <t>WANTED: Male, Hispanic for stealing a marked police car near 3450 Kingsbridge Ave, Bronx. Call #800577TIPS with inf… https://t.co/TqhBKoMFCx</t>
  </si>
  <si>
    <t>While most were sleeping overnight or enjoying NYC after dark. Brave @NYPD32Pct cops were keeping everyone safe https://t.co/vrEgGaflqc</t>
  </si>
  <si>
    <t>Kids of all ages are invited to attend the @NYPD78Pct’s haunted house, from Oct. 26 through Oct. 30, 3 to 9 p.m.… https://t.co/3718dB9jpM</t>
  </si>
  <si>
    <t>WANTED: Male, 50’s, for assaulting a 72-yr-old man at 46 St &amp;amp; 3rd Ave, Manhattan. Call #800577TIPS with info.… https://t.co/ppH2YVEj9h</t>
  </si>
  <si>
    <t>Great job by the @NYPD48Pct Explorers for cleaning up their neighborhood and helping keep the #Bronx safe. https://t.co/8ywHSDs2Vs</t>
  </si>
  <si>
    <t>WANTED: Male in his late 20’s for robbery and cutting a M/44 in Old Navy at 610 6 Ave Manhattan on 10/21 5pm. Share… https://t.co/GadfIPpsxC</t>
  </si>
  <si>
    <t>Neighborhood Coordination Officers are fighting crime &amp;amp; connecting w/ NYers. Neighborhood Policing- the way forward https://t.co/YXb1woldGZ</t>
  </si>
  <si>
    <t>We mourn the passing of @NYPDchaplains Reverend Dr. Luis F. Serrano. Our thoughts and prayers are with his family. https://t.co/HtBbmsMaMb</t>
  </si>
  <si>
    <t>WANTED: M/B 30’s for menacing/threatening a M/22 on the 1 train at the 14 Street station on 10/12 at 5:45pm. 
Call… https://t.co/2JR1JoISAG</t>
  </si>
  <si>
    <t>From walks to biking &amp;amp; much more, NYC is a busy place this Sunday. Plan ahead &amp;amp; enjoy! https://t.co/aMzOtPU6EZ</t>
  </si>
  <si>
    <t>Enjoy your weekend NYC. The NYPD has your back. (Posted originally on Instagram https://t.co/0zFb5lnPmQ) https://t.co/4akzkkizDn</t>
  </si>
  <si>
    <t>Kids of all ages are invited to attend the @NYPD78Pct’s haunted house, from Oct. 26 through Oct. 30, 3 to 9 p.m.… https://t.co/DerU39MCAF</t>
  </si>
  <si>
    <t>#ICYMI: Nineteen Defendants Charged In Three Indictments With Gun Trafficking, Bank Larceny And Weapons Possession… https://t.co/s1LjMWE1TG</t>
  </si>
  <si>
    <t>NYPD's Neighborhood Policing Plan - fighting crime alongside the communities we serve: https://t.co/7lYyhcHoaQ
https://t.co/VNE8lx5BbN</t>
  </si>
  <si>
    <t>#ICYMI: The names of 18 fallen NYPD officers were added to the Police Memorial Wall. https://t.co/64RJlhbp4q https://t.co/0Geqjeohds</t>
  </si>
  <si>
    <t>RT @NYPDSpecialops: Meet the #Mounted Unit's newest member who wandered onto the training rink yesterday in the Bronx. We need help naming…</t>
  </si>
  <si>
    <t>ARREST UPDATE: Zurry Hinds, 32, charged with Attempted Rape, Forcible Touching, Sexual Abuse, &amp;amp; Public Lewdness https://t.co/LlkoY1qOtZ</t>
  </si>
  <si>
    <t>Help ID this man WANTED for armed robbery in Brooklyn at 1376 Saint Johns Pl. Call #800577TIPS with info. https://t.co/D4CjQnl6Of @NYPD77Pct</t>
  </si>
  <si>
    <t>A great game for a great cause. Thanks to @NYCFC for all the support! https://t.co/tnkW73tQjE</t>
  </si>
  <si>
    <t>From walks to biking &amp;amp; much more, NYC is a busy place this weekend. Plan ahead &amp;amp; enjoy! https://t.co/aMzOtPU6EZ</t>
  </si>
  <si>
    <t>We can’t do it with out YOU! Shared responsibility keeping NYC safe. https://t.co/pI8mLOPWhu</t>
  </si>
  <si>
    <t>Names of 18 of your NYPD officers who made the ultimate sacrifice were added to the Police Memorial Wall… https://t.co/ftwfATVaN9</t>
  </si>
  <si>
    <t>#SilverAlert: Willie Watson, 83, 5'6", 145lbs, last seen 728 East New York Ave, Brooklyn. Call 911 if seen,… https://t.co/4H9TuRcWXC</t>
  </si>
  <si>
    <t>RT @NYPDONeill: Like #NYPD cops, Wounded Warriors lead lives of significance &amp;amp; know true meaning of service/sacrifice. Awe-inspiring visit…</t>
  </si>
  <si>
    <t>Help ID this suspect WANTED for a robbery on Jamaica Ave, Queens. Call #800577TIPS with info. https://t.co/LZwUVwi0qw</t>
  </si>
  <si>
    <t>RT @NYPDCommAffairs: National Prescription Pill Take-Back Day: Saturday, Oct. 22nd from 10am-2pm. Dispose of unused medication at drop-off…</t>
  </si>
  <si>
    <t>The @NYPD111Pct shares a valuable reminder: Don’t be a victim, don’t leave valuables in your vehicle. Thieves don’t… https://t.co/0MXUXoGv46</t>
  </si>
  <si>
    <t>"At the heart of this long-term investigation is the trafficking of illegal firearms from SC to NYC," @NYPDONeill https://t.co/oyXOC6Hy7B</t>
  </si>
  <si>
    <t>"This is the kind of work the NYPD does everyday to keep this city safe." https://t.co/52bCwB6UF7</t>
  </si>
  <si>
    <t>More than 40 illegal guns were taken off the streets of NYC thanks to this investigation. Great work… https://t.co/lOxgLacRbO</t>
  </si>
  <si>
    <t>This is not just about illegal guns. The @NYPDDetectives &amp;amp; @BrooklynDA investigation included bank fraud, gang activity &amp;amp; more.</t>
  </si>
  <si>
    <t>These are some of dedicated NYPD &amp;amp; @BrooklynDA personnel that are keeping Brooklyn &amp;amp; NYC safe by taking illegal gun… https://t.co/LLwjYPYkqj</t>
  </si>
  <si>
    <t>"This case is about precision policing, targeting the guns, targeting the violence," @NYPDONeill now on gun traffic… https://t.co/UMkgy9HGE6</t>
  </si>
  <si>
    <t>#HappeningNow: NYPD &amp;amp; @BrooklynDA announce 19 defendants charged in three separate indictments for allegedly sellin… https://t.co/qGETDgolLM</t>
  </si>
  <si>
    <t>#HappeningSoon: An announcement on how NYPD &amp;amp; @BrooklynDA are keeping #Brooklyn safe. #ItsWhatWeDo https://t.co/MSQnlKCb9N</t>
  </si>
  <si>
    <t>Teamwork by your dedicated NYPD cops is keeping NYC safe. Let's say thanks! https://t.co/r5OPZmZvpm</t>
  </si>
  <si>
    <t>WANTED: Male Hispanic for attempted rape near Watson Ave in the Soundview section of the Bronx. Call #800577TIPS wi… https://t.co/rznlSrqMpY</t>
  </si>
  <si>
    <t>RT @NotifyNYC: Due to a motor vehicle collision, all BX &amp;amp; MN bound lanes of the RFK Bridge are closed. Consider alternate routes.</t>
  </si>
  <si>
    <t>Join us as we honor Detective Randolph Holder one year after he made the ultimate sacrifice for NYC… https://t.co/OJZ9hrtCsj</t>
  </si>
  <si>
    <t>Help keep your neighborhood safe. If you have info on these people share it by calling #800577TIPS. See more… https://t.co/hIu2ZyJzxJ</t>
  </si>
  <si>
    <t>Great police work &amp;amp; teamwork by @NYPD75Pct cops resulted in this illegal taken off the streets of #Brooklyn https://t.co/qrRVWCeAyj</t>
  </si>
  <si>
    <t>.@NYPDSpecialops Officers Rescue Pregnant Woman https://t.co/x5MoJjAzKt</t>
  </si>
  <si>
    <t>Through this plaque we continue our vow to #NeverForget Detective Randolph Holder. Please join us in our commitment. https://t.co/WD2sksmHh6</t>
  </si>
  <si>
    <t>"I can't believe the courage the Holder family has &amp;amp; the strength they have given the men &amp;amp; women of the NYPD," Cap… https://t.co/gQywfpv3LE</t>
  </si>
  <si>
    <t>LIVE on #Periscope: .@NYPDONeill speaks as we honor NYC's hero, NYPD Det. Randolph Holder https://t.co/sDEVNC5Aet</t>
  </si>
  <si>
    <t>"We all feel this loss so deeply," @NYCMayor now as we honor Det. Randolph Holder one year after he was killed in t… https://t.co/66NI42RpHI</t>
  </si>
  <si>
    <t>#HappeningNow at @NYPDPSA5, we gather to honor and remember our fallen hero, Detective Randolph Holder. #NeverForget https://t.co/iLz4cPZka3</t>
  </si>
  <si>
    <t>It's been one year since Det. Randolph Holder gave his life while protecting the people of NYC. Join us soon as we… https://t.co/TDSzoUVEvg</t>
  </si>
  <si>
    <t>A continuation of our commitment to #NeverForget https://t.co/64RJlhbp4q https://t.co/K1SzKWWNDx</t>
  </si>
  <si>
    <t>"It's crucial we #neverforget these officers and their sacrifices," @NYPDONeill now at the NYPD Police Memorial Wal… https://t.co/jyuTqrQTa2</t>
  </si>
  <si>
    <t>"Of the names we will dedicate today, two are of those fell on the streets of NYC," @NYCMayor at NYPD Memorial Wall… https://t.co/Pz0w4oL4A0</t>
  </si>
  <si>
    <t>This morning we will honor and remember those who gave it all to keep NYC safe. #NeverForget https://t.co/SkwRGadp4g</t>
  </si>
  <si>
    <t>Our @NYPD109Pct cops &amp;amp; explorers teamed up for #BreastCancer awareness in #Queens. https://t.co/aXnUMwDCxZ</t>
  </si>
  <si>
    <t>Park Robber Foiled by @NYPDCentralPark Cops &amp;amp; Tracking App https://t.co/Dvs3XnaXZR @NYPDTECH https://t.co/VQkVy72m63</t>
  </si>
  <si>
    <t>AGAIN: Another loaded, illegal gun taken off the streets of #Brooklyn by @NYPD73Pct cops. Keeping you safe —… https://t.co/1o4faKDGgT</t>
  </si>
  <si>
    <t>Brooklyn is safer due to the dedicated work of @NYPD73Pct cops. They took this illegal gun off the streets &amp;amp; made a… https://t.co/KbnyamYQLO</t>
  </si>
  <si>
    <t>WANTED: Male 20's, 5'8" for endangering the welfare of a minor near 81st St &amp;amp; 41st Ave, Queens. Call #800577TIPS wi… https://t.co/iSPyzBfgXE</t>
  </si>
  <si>
    <t>.@NYPDDetectives would like to speak with anyone with info on the 1993 homicide of a baby in Bklyn. Call #800577TIPS https://t.co/UxAR7wr4yy</t>
  </si>
  <si>
    <t>Two Men Arrested for Distribution/Sale of Synthetic Cannabinoid In Brooklyn https://t.co/hH1pJFCSMt</t>
  </si>
  <si>
    <t>Your NYPD cops including Neighborhood Coordination Officers keeping NYC safe https://t.co/aRtQzRuVGN</t>
  </si>
  <si>
    <t>RT @NYPDTransit: Kudos to our District 23 team for a recent late night arrest: nabbed suspect for stealing a backpack from a snoozing passe…</t>
  </si>
  <si>
    <t>"Neighborhood Policing now serves 3.6mil people out of the 8+mil NYC residents...this is the way fwd, @NYPDONeill https://t.co/7lYyhcHoaQ</t>
  </si>
  <si>
    <t>"We are giving all of our cops the experience they need," @NYPDONeill on NYPD officers field training.</t>
  </si>
  <si>
    <t>"Crime fighting is a shared responsibility. Nothing rests on one agency or one person," @NYPDONeill addressing NYC… https://t.co/NqLV11NWhx</t>
  </si>
  <si>
    <t>"My commitment as police commissioner is to get to the answers of what happened," @NYPDOneill on police involved shooting in the Bronx</t>
  </si>
  <si>
    <t>#HappeningNow: President of the Citizens Crime Commission of NYC, Richard Aborn, starts this morning's meeting wher… https://t.co/u9zQKm5Ee0</t>
  </si>
  <si>
    <t>#HappeningSoon: @NYPDONeill speaks to the Citizens Crime Commission of NYC about NYPD initiatives and the way forwa… https://t.co/tOnUw3l11N</t>
  </si>
  <si>
    <t>Keeping NYC safe with the help of the community https://t.co/X0q1QWMKDM @NYPD33Pct</t>
  </si>
  <si>
    <t>Information regarding tonight's (10/18) police involved shooting in the Bronx within the confines of the @NYPD43Pct https://t.co/SNDGFBjrNW</t>
  </si>
  <si>
    <t>The woman was pronounced dead at a local hospital. A full review of the facts and circumstances is being conducted.</t>
  </si>
  <si>
    <t>She then grabbed a baseball bat. As the woman attempted to strike the sergeant he fired two shots at the woman from his service gun</t>
  </si>
  <si>
    <t>The sergeant was able to engage the woman in dialogue and he was able to get the woman to drop the scissors</t>
  </si>
  <si>
    <t>A sergeant arrived with other officers. The sergeant encountered the woman, alone in the apartment. She was armed with scissors.</t>
  </si>
  <si>
    <t>At approximately 6:05pm @NYPD43Pct officers responded to a call for an emotionally disturbed person at an apt in the Bronx on Pugsley Ave</t>
  </si>
  <si>
    <t>#Now: Update being provided regarding the police-involved shooting in the Bronx. All information is preliminary.</t>
  </si>
  <si>
    <t>#HappeningSoon: Update to be provided regarding the police involved shooting in the Bronx.</t>
  </si>
  <si>
    <t>There has been a police involved shooting in the Bronx within the confines of the @NYPD43Pct. More information to follow when available.</t>
  </si>
  <si>
    <t>Thank you to all in the @FDNY who helped to honor our fallen heroes today. https://t.co/K3H7dCXkNF https://t.co/IQOsf3jrjX</t>
  </si>
  <si>
    <t>WANTED: Pedro Valero, 42, for a shooting homicide. Call #800577TIPS with info. https://t.co/wkoVpZnX0Y</t>
  </si>
  <si>
    <t>Watch @InsideCityHall tonight at 7pm as @NYPDONeill sits down for a conversation with @errollouis</t>
  </si>
  <si>
    <t>Public WIFI is convenient but can make your devices vulnerable. Use your mobile network or hotspot when possible. #CyberAware</t>
  </si>
  <si>
    <t>RT @NYPDCeremonial: Click on link for live Broadcast of Funeral Service commencing at 2:00PM EST https://t.co/CnMZlLwSMN https://t.co/pY1zW…</t>
  </si>
  <si>
    <t>RT @NYPDDetectives: Paying tribute to P.O. Hoban &amp;amp; Buczek @NYPDONeill @NYPD34Pct @NYPDnews https://t.co/HN87MN3KeM</t>
  </si>
  <si>
    <t>Cops &amp;amp; community continuing our commitment to #NeverForget Officers Christopher Hoban &amp;amp; Michael Buczek, killed in t… https://t.co/XDrvS5MBSy</t>
  </si>
  <si>
    <t>RT @NYPDDetectives: On this day in 1988 we lost these two brave Officers.  Christopher Hoban and Michael Buczek We will never forget you. @…</t>
  </si>
  <si>
    <t>WANTED: M/B 35-45yrs, 5’10 for rape of F/51 near 168St/Horace Harding Exwy at 6am 10/26. The car: dark blue Honda C… https://t.co/ASw1tMR2ZY</t>
  </si>
  <si>
    <t>The men and women of the NYPD are crime fighters protecting New York City on a daily basis. https://t.co/2MdzNbjn3t</t>
  </si>
  <si>
    <t>WANTED: Richard “Kwasi” Springer for an assault/punching a female/69 in the head on 10/15 in f/o 107-60 Sutphin Blv… https://t.co/u8W4gCGINO</t>
  </si>
  <si>
    <t>#SilverAlert: Verones Blemur, 86, last seen 10/16 4pm on Newkirk Ave #Brooklyn. He’s 5’7 140lbs. If seen, call 911. https://t.co/Yu0QTBi20P</t>
  </si>
  <si>
    <t>We love to see ALL of the members of the NYPD enjoying their days off. Hope you had fun, @NYPDSpecialops K9 Timoshe… https://t.co/1srMphtt4u</t>
  </si>
  <si>
    <t>WANTED: Male 30's for multiple grand larcenies. Call #800577TIPS with info. More on how you can help: https://t.co/L8sI9TtoHD</t>
  </si>
  <si>
    <t>Your brothers and sisters in the NYPD will #NeverForget https://t.co/porzhdtQ36</t>
  </si>
  <si>
    <t>Help ID this man who falsely reported a bomb at the Queens Blvd/71st Ave subway station. Call #800577TIPS with info… https://t.co/zvdorrTG64</t>
  </si>
  <si>
    <t>RT @NYPD28Pct: Join us as we walk with @ManhattanDA today to #ShineTheLight on #DomesticViolence. W125st-7th ave, 6pm_x000D_#Harlem https://t.co/…</t>
  </si>
  <si>
    <t>#NYPDBlueGoesPink to help raise awareness for a cure https://t.co/14Kmd1SHd1</t>
  </si>
  <si>
    <t>Be #CyberAware. Your usernames and passwords are not enough to keep your accounts secure. See what you can do: https://t.co/OCMnbYUJvN</t>
  </si>
  <si>
    <t>“He’s truly been a gift to Staten Island during his tenure,” said Luke Nasta, executive director of Camelot. https://t.co/Syx5HOKuHq</t>
  </si>
  <si>
    <t>#ICYMI: These NYPD cops arrested three people for a shooting in Manhattan. More here: https://t.co/nL8IFg8nXK
https://t.co/y1VY7L8xbU</t>
  </si>
  <si>
    <t>WANTED: Male, 25-35, 5’6”-5’9” for attempted rape of a woman near East 55 Street &amp;amp; Ave J, Brooklyn. Call… https://t.co/Z64TfsWVUf</t>
  </si>
  <si>
    <t>#SilverAlert: Jean Paul, 96, last seen 982 Brooklyn Ave, Brooklyn. Call 911 if seen, #800577TIPS with info. https://t.co/l829LzTRBN</t>
  </si>
  <si>
    <t>RT @NYPDONeill: Very useful discussion with 100s of PDs about US heroin prob, deescalation, safety for #CopsandCommunity &amp;amp; more @ #PERF tow…</t>
  </si>
  <si>
    <t>Thanks for stopping by and for all the support, @Noahsyndergaard and @MajesticOnField! https://t.co/2EyMIj45l3 @NYPD110Pct</t>
  </si>
  <si>
    <t>Your quick thinking, highly trained cops keeping NYC safe https://t.co/nL8IFg8nXK @NYPD13Pct</t>
  </si>
  <si>
    <t>Our @NYPDCadets in pink today raising awareness for the cure in Prospect Park. #NYPDBlueGoesPink https://t.co/F3mRx5T4Ga</t>
  </si>
  <si>
    <t>Officers from the @NYPD104Pct &amp;amp; @NYPDCommAffairs were out sharing info &amp;amp; tips on burglary prevention in #Queens thi… https://t.co/92VnvuXbya</t>
  </si>
  <si>
    <t>RT @NYPDPSA5: Explorers working hard to set up for  the Alzheimer’s walk on Riverside Drive!_x000D_#caringkindnyc https://t.co/qBRYpEu5zo</t>
  </si>
  <si>
    <t>A foot pursuit by @NYPD69Pct cops in #Canarsie #Brooklyn resulted in an arrest &amp;amp; this loaded firearm being recovered https://t.co/dzUXOVt7jW</t>
  </si>
  <si>
    <t>UPDATE: M/31 arrested for the murder of a M/26 on June 30 in #Brooklyn, confines of the @NYPD73Pct. @NYPDDetectives</t>
  </si>
  <si>
    <t>+1 pounds of marijuana recovered in #Brooklyn &amp;amp; a gang members arrested by @NYPD69Pct. #ItsWhatWeDo https://t.co/rBW7tKf9DH</t>
  </si>
  <si>
    <t>UPDATE: a female/24 has been arrested in connection to this incident @NYPD103Pct https://t.co/RXgl7YESXY</t>
  </si>
  <si>
    <t>A busy Sunday in NYC. Have a look at the NYPD traffic advisory https://t.co/UHabzty28U</t>
  </si>
  <si>
    <t>This gun is off the streets &amp;amp; so is the person who was carrying it thanks to your dedicated cops in the @NYPD43Pct.… https://t.co/WH7V23ORVW</t>
  </si>
  <si>
    <t>Great work by NYC’s rescue specialists. Thanks for all you do! https://t.co/pRIL8LYBZZ</t>
  </si>
  <si>
    <t>ARREST UPDATE: Kowon Davis, 44, of the Bronx charged w/Criminal Possession of a Weapon &amp;amp; Menacing a Police Officer https://t.co/ceNGSyMYmE</t>
  </si>
  <si>
    <t>“He’s been very creative in looking at this problem and trying to solve it... to help save lives.” https://t.co/1hJ0x38G3i</t>
  </si>
  <si>
    <t>WANTED: Male in a Nissan Altima, Missouri plate YH4H3T. Discharged pellet gun at officer in Queens. Call #800577TIPS https://t.co/NQ1dKwOhIk</t>
  </si>
  <si>
    <t>The 1-yr-old baby was blue in her mom’s arms, but these two hero @NYPDPSA7 cops saved her. See how they did it:… https://t.co/SICdWLB0pF</t>
  </si>
  <si>
    <t>Collaboration with @afspnyc @afspnational
Is helping the NYPD help people in crisis #ItsWhatWeDo #TalkToMe @TalkToMe
https://t.co/nlbkJDxRwv</t>
  </si>
  <si>
    <t>From carnivals to marches for breast cancer awareness, NYC is busy this weekend. Have a look at the traffic advisory https://t.co/UHabzty28U</t>
  </si>
  <si>
    <t>Information regarding the police involved shooting in Brooklyn on 10/14/16. https://t.co/ceNGSyMYmE @NYPDBklynNorth https://t.co/SpS2VWcLqq</t>
  </si>
  <si>
    <t>There has been a police involved shooting in Brooklyn within the confines of the @NYPD73Pct. More information when available.</t>
  </si>
  <si>
    <t>Officers Newman and Rodriguez take a few moments while keeping NYC safe to snap a quick photo with a little fan.… https://t.co/gul2NLmzz0</t>
  </si>
  <si>
    <t>Join the NYPD as we celebrate National Hispanic Heritage Month https://t.co/dUur36QObs 
https://t.co/d3BBh7zwdO</t>
  </si>
  <si>
    <t>Seen this man? He’s WANTED for armed robberies of cab drivers. Call #800577TIPS with info. https://t.co/RS5nCGcbZ5</t>
  </si>
  <si>
    <t>Rescued by the NYPD &amp;amp; @ASPCA, help find a home for Chickpea. https://t.co/yVl6T79jMF #adoptASPCA https://t.co/ZrohqtFbZ9</t>
  </si>
  <si>
    <t>RT @NYPD120Pct: Great gun arrest by SRG5 PO Forster, PO Formichelli, &amp;amp; Sgt. Fried in #WestBrighton. #onelessgun https://t.co/5JDG2GBMpf</t>
  </si>
  <si>
    <t>What’s the rush? It’s never worth hurting someone. It could be your family member. #VisionZero https://t.co/RZ5lfrFal9</t>
  </si>
  <si>
    <t>RT @NYPDTransit: Today's tabletop exercise: The only way to prepare for an emergency incident in our subways is to relentlessly practice, p…</t>
  </si>
  <si>
    <t>Bronx Finest Arrest Man In Possession Of Illegal Guns &amp;amp; Narcotics https://t.co/pchgD9lbMA https://t.co/L7EDNpxPr8</t>
  </si>
  <si>
    <t>Help ID these two women WANTED for assaulting an @MTA subway train conductor in Brooklyn. Call #800577TIPS w/info. https://t.co/aWRsHFglU5</t>
  </si>
  <si>
    <t>Would this look like a BB gun to you in a split second? Nice job by cops who safely arrested the person carrying it https://t.co/QuCdf9v5rh</t>
  </si>
  <si>
    <t>ARREST UPDATE: A 53-year-old man from Manhattan was arrested for menacing a 16-year-old https://t.co/rROKU9jOER</t>
  </si>
  <si>
    <t>Whether you’re sleeping now, working an overnight or out enjoying NYC, know that NYPD cops are taking guns off the… https://t.co/VqkkWT3SWE</t>
  </si>
  <si>
    <t>“Who knows better what the problems are on a block then the people who actually live on that block,” @NYPDONeill https://t.co/l3tZZPszJq</t>
  </si>
  <si>
    <t>Thanks @afspnyc for taking the time to speak to your NYPD. #TalkToMe 
You can help too: https://t.co/mPTjbV2vDM
https://t.co/Kywqdv8xkX</t>
  </si>
  <si>
    <t>NYPD Celebrates National Hispanic Heritage Month WATCH: https://t.co/dUur36QObs https://t.co/bzo2897XLE</t>
  </si>
  <si>
    <t>Happy birthday, @USNavy!  https://t.co/yj4o3pncUO</t>
  </si>
  <si>
    <t>NYPD officers are here to help. You're not alone. Learn more: https://t.co/ScbKYa3max
https://t.co/DNgzk0Dbl5</t>
  </si>
  <si>
    <t>Help ID these two men WANTED for robbery in Queens. Call #800577TIPS with any info. @NYPD104Pct https://t.co/4YTISBCKhZ</t>
  </si>
  <si>
    <t>WANTED: Male for menacing a 16y/o with a knife at the E. 96 St subway station, Manhattan. Call #800577TIPS w/info.… https://t.co/G7wn3Y0t2Y</t>
  </si>
  <si>
    <t>“The work of our domestic violence prevention officers is crucial," @NYPDONeill.  https://t.co/FQoApYkRQE</t>
  </si>
  <si>
    <t>RT @NYPDHousing: We Will Never Forget! #NYPD PO Brian "HuggyBear" Jones EOW-10/13/96 -20yrs ago today he gave the ultimate sacrifice protec…</t>
  </si>
  <si>
    <t>Let's say thanks to the @NYPD103Pct cops who took this gun off the streets of NYC https://t.co/0tL2UrqFwv</t>
  </si>
  <si>
    <t>Our prayers are with the officers, their families and all at the @bostonpolice Department https://t.co/Q6hhmPXS0y</t>
  </si>
  <si>
    <t>Highly trained, highly equipped officers on Staten Island save man using their Dept. issued Naloxone. Great job Off… https://t.co/ONKragzV5B</t>
  </si>
  <si>
    <t>Great police work by @NYPD67Pct cops keeping NYC safe https://t.co/0BydrqTbcu</t>
  </si>
  <si>
    <t>WANTED: 3 men for shooting assaults at 7301 3rd  Ave, Brooklyn. Call #800577TIPS with any info. @NYPD68Pct https://t.co/wDJvhzmOAO</t>
  </si>
  <si>
    <t>ARREST: Forest Richardson, 26, charged with attempted rape, robbery, assault for incident in Central Park. Call #800577TIPS w/info on crimes</t>
  </si>
  <si>
    <t>#SilverAlert: Thomas Leonard, 77, last seen 1590 East New York Ave, Brooklyn. Call 911 if seen, #800577TIPS with in… https://t.co/BqhtBaSUvZ</t>
  </si>
  <si>
    <t>#Now on @ABC7NY see how NYPD cops are keeping @CentralParkNYC safe for New Yorkers and visitors. https://t.co/5FzifSZO9g</t>
  </si>
  <si>
    <t>Cops from @NYPDCentralPark are out there 24/7 keeping park visitors safe. Tonight at 11 on @ABC7NY you can see how https://t.co/c3uzmQVlbJ</t>
  </si>
  <si>
    <t>Keeping NYC &amp;amp; Staten Island clean- #ItsWhatWeDo https://t.co/qaFJSX8XQm</t>
  </si>
  <si>
    <t>RT @TalkToMe: Check out this video that explains NYC's mental health road map via @NYCmayorsoffice @nycHealthy  https://t.co/EPiufqIojO #Ta…</t>
  </si>
  <si>
    <t>One of the many ways we are out there everyday connecting with the people of NYC, especially our youth https://t.co/WTBXRISd50</t>
  </si>
  <si>
    <t>Due to an incident involving an officer receiving an injury/laceration to the face, avoid area of 168St/Jamaica Ave.</t>
  </si>
  <si>
    <t>RT @JoeEspoNYC: NY's Urban Search &amp;amp; Rescue Task Force 1 is continuing evacuation &amp;amp; rescue work in North Carolina today in areas devastated…</t>
  </si>
  <si>
    <t>.@Chirlane sharing how the important work of NYPD Domestic Violence Officers are helping break the cycle of violenc… https://t.co/LXfUYWrXBI</t>
  </si>
  <si>
    <t>Today's #NYPDDVconference will increase our 1) effectiveness in using technology 2) use of communication skills 3)… https://t.co/d9i23XB8ej</t>
  </si>
  <si>
    <t>#Now: @NYPDChiefofDept speaking on the important work our DV officers &amp;amp; partners are doing to help victims.… https://t.co/Phd5PVsNWl</t>
  </si>
  <si>
    <t>#Today: @NYPDDV hosting its 15th annual Domestic Violence Conference with partner advocacy groups https://t.co/NESdrqzwPq</t>
  </si>
  <si>
    <t>The @NYPD19Pct held a ceremony to honor &amp;amp; continue the vow to #NeverForget our officers who died in the line of dut… https://t.co/oeOeIsfefR</t>
  </si>
  <si>
    <t>WANTED: M/5’8” 175lbs in connection to the homicide of a F/35 on 9/29 in Owl Head Park #Brooklyn. Call #800577TIPS… https://t.co/CQeAPqfCsP</t>
  </si>
  <si>
    <t>NYPD cops throughout the city are raising awareness for breast cancer &amp;amp; domestic violence including @NYPD34Pct https://t.co/FFORd7qnF9</t>
  </si>
  <si>
    <t>WANTED: M/H for public lewdness/exposing himself to a F/26 on 9/24 near Fox &amp;amp; E163 Streets. Call #800577TIPS… https://t.co/Ex42wYTpkI</t>
  </si>
  <si>
    <t>Help ID this M/B/30’s wanted for assaulting a M/11 on the 4 train at Union Sq 10/5. @NYPDTransit Call #800577TIPS https://t.co/PXuFlT9xT9</t>
  </si>
  <si>
    <t>Last evening members of the NYPD &amp;amp; public came together to celebrate #HispanicHeritageMonth at NYPD HQ. https://t.co/vJUyMCQJVu</t>
  </si>
  <si>
    <t>While addressing a quality of life concern, @NYPD73Pct cops arrested a gang member &amp;amp; took this illegal gun off the… https://t.co/fqCdn1vH1i</t>
  </si>
  <si>
    <t>700 men and women ready to be sworn in as NYPD recruits and become new protectors of NYC. https://t.co/QWYnLm1xAp</t>
  </si>
  <si>
    <t>The goal of the initiative is to get every New Yorker to believe the NYPD can make our city safe in every single neighborhood of the city.</t>
  </si>
  <si>
    <t>.@NYPDONeill announces new, large-scale public engagement initiative that is sponsored by @ABetterNY &amp;amp; @nycpolicefdtn</t>
  </si>
  <si>
    <t>The NYPD Neighborhood Policing Program is building trust with the community AND it is protecting them. More: https://t.co/wbvnh189Gl</t>
  </si>
  <si>
    <t>Our Neighborhood Policing program is a plan that not only lowers crime even more, but forges real, lasting relationships with those we serve</t>
  </si>
  <si>
    <t>“We need all New Yorkers to view their police through a lens of trust.” - @NYPDONeill</t>
  </si>
  <si>
    <t>ALL communities should feel they are understood by their police, and know they are treated fairly. - @NYPDONeill</t>
  </si>
  <si>
    <t>Our subways are safe, we have 6 million riders per day. On average, there is 1 crime per one million riders.</t>
  </si>
  <si>
    <t>This September was the safest of any September in the entire CompStat era in NYC - Index crimes down more than 12%. https://t.co/BUVddpwfDA</t>
  </si>
  <si>
    <t>Keeping NYC safe- by working with @BilldeBlasio &amp;amp; @NYCCouncil we have added approximately 1,300 new police officers.</t>
  </si>
  <si>
    <t>#HappeningNow: @NYPDONeill addressing @ABetterNY. Read more on our community policing https://t.co/7lYyhcYZ2o https://t.co/CDs5FQ0jl7</t>
  </si>
  <si>
    <t>Additional photos of this wanted person. Help us ID him. Share info, call #800577TIPS https://t.co/EPmtqb9ucF https://t.co/eabqLmyPrx</t>
  </si>
  <si>
    <t>Later this morning @NYPDONeill will address @ABetterNY, business/financial leaders, civic &amp;amp; elected officials, comm… https://t.co/ccXSAJ5Oqh</t>
  </si>
  <si>
    <t>UPDATE: A M/44 has been arrested in regard to these incidents https://t.co/YnunVwiNiS</t>
  </si>
  <si>
    <t>RT @TalkToMe: Here’s some active listening tips from NYPD Hostage Negotiators: https://t.co/q1SHUe0A6h Help someone today
#WorldMentalHealt…</t>
  </si>
  <si>
    <t>NYPD @NYPDColumbia members proudly joining thousands of others at today's Columbus Day Parade https://t.co/eJqavbcR35</t>
  </si>
  <si>
    <t>RT @NYPD19Pct: Street Closed: TODAY Monday, 10/10 for #ColumbusDay Parade 🇮🇹 5 Ave, 44-79 St. 10:40-4:30PM https://t.co/BmhXsVRitL</t>
  </si>
  <si>
    <t>Help ID this man in his 40’s WANTED for forcibly touching women on subway trains in Manhattan. Call #800577TIPS wit… https://t.co/Z8OnlMBXBN</t>
  </si>
  <si>
    <t>RT @NYPD44Pct: 44 precinct fighting the war against cancer! We support you and have your back! #beatcancer https://t.co/3c7Nr9CbD0</t>
  </si>
  <si>
    <t>WANTED: Male 20’s, 5’8” 175lbs for robbery on the M train at Myrtle/Wyckoff Ave station, Brooklyn. Call #800577TIPS… https://t.co/amKxelj0Ld</t>
  </si>
  <si>
    <t>RT @NYPDONeill: Deeply saddened by death of @BrooklynDA. His life was dedicated to pursuit of justice. Deepest condolences/prayers to famil…</t>
  </si>
  <si>
    <t>RT @NYPDTransit: Looking for help identifying this guy- Wanted for a robbery midnight last night, Myrtle-Wyckoff Ave station M train- Call…</t>
  </si>
  <si>
    <t>Eight officers from U.S. Virgin Island Police Dept. graduate the NYPD Police Academy. https://t.co/0oG84cxpwJ https://t.co/zREGZBR4r7</t>
  </si>
  <si>
    <t>Be #FDNYSmart &amp;amp; visit @FDNY during #FirePreventionWeek https://t.co/FacQsmx8lP</t>
  </si>
  <si>
    <t>Proclamation Sings the Praises of #Chelsea ‘Shero’ Who Saw and Said https://t.co/MOZGoniNfr @NYPD13Pct 
Thank you,… https://t.co/5KI1C8y8Sx</t>
  </si>
  <si>
    <t>RETWEET to say thanks to NYC’s elite 1st responders who deployed to GA to help with #HurricaneMatthew relief efforts https://t.co/9NJQQ5zAGA</t>
  </si>
  <si>
    <t>RT @NYPDDCA: @NYPDEDAMaria marching up Fifth Avenue for the annual #HispanicDayParade https://t.co/G6iPR1Ax41</t>
  </si>
  <si>
    <t>RT @NYPD19Pct: Rain or shine the Hispanic #ColumbusDay Parade goes on w/ the @NYPDHispanic Society leading the parade up 5 Avenue. #UpperEa…</t>
  </si>
  <si>
    <t>Un equipo de Búsqueda y Rescate Urbano del NYPD, el FDNY y NYCEM viaja a GA por el huracán Matthew https://t.co/MN29P5X2w1 Via: @nycgob</t>
  </si>
  <si>
    <t>NY's Urban Search &amp;amp; Rescue Task Force is always on call to help around the world. Thanks for posting, @CityOfFayNC… https://t.co/8A5sxfEDR0</t>
  </si>
  <si>
    <t>Domestic Violence Awareness – Help Is Available, You’re Not Alone. More: https://t.co/ScbKYa3max #DVAM2016 @NYPDDV 
https://t.co/b3v983MI9P</t>
  </si>
  <si>
    <t>Help us ID two men WANTED for grand larcenies in Queens. Call #800577TIPS with info. https://t.co/SQpoh7rE0R @NYPD104Pct</t>
  </si>
  <si>
    <t>In NYC today? Have a look at street closures &amp;amp; traffic: https://t.co/LWTUUGghjR</t>
  </si>
  <si>
    <t>Our prayers are with the Palm Springs, CA Police Dept. &amp;amp; families of the officers killed and the officer injured today. We will #NeverForget</t>
  </si>
  <si>
    <t>Via @nycgob: El alcalde @BilldeBlasio y comisionado del #NYPD anunciaron logros en lucha contra el crimen:… https://t.co/egswjSESGN</t>
  </si>
  <si>
    <t>Latino con el rango más alto en la policía habla en exclusiva https://t.co/vx0IoXuJzH @NYPDChiefofDept</t>
  </si>
  <si>
    <t>From info on wanted suspects to the great work your NYPD cops do everyday, visit https://t.co/VdOxTsoeMu for the la… https://t.co/ZE0NFpUSfp</t>
  </si>
  <si>
    <t>Your NYPD cops are here to help. You're not alone. #DVAM2016 https://t.co/ScbKYa3max</t>
  </si>
  <si>
    <t>#ICYMI: @NYPDSpecialops members deployed south with @FDNY partners to assist in #HurricaneMatthew relief efforts https://t.co/OvvjkJZ8Es</t>
  </si>
  <si>
    <t>New York's Finest keeping NYC the safest big city in America https://t.co/gDT4UFzDIc</t>
  </si>
  <si>
    <t>Teamwork by @NYPD76Pct cops resulted in an arrest, illegal gun &amp;amp; fake credit cards recovered. #ItsWhatWeDo https://t.co/HyaIMIeFRa</t>
  </si>
  <si>
    <t>Great team building sessions with @NYRangers yesterday. Thanks for coming by &amp;amp; for your support of 1st responders https://t.co/PIlGJPo1ws</t>
  </si>
  <si>
    <t>#SilverAlert: Yuriy Vetchinkin, 85, 5'8" 140lbs, last seen 2669 E 28 St, Brooklyn on 10/7. Call 911 if seen,… https://t.co/dgWMebV5RV</t>
  </si>
  <si>
    <t>In NYC this weekend? Have a look at street closures &amp;amp; traffic: https://t.co/LWTUUGghjR</t>
  </si>
  <si>
    <t>As NYers prepare for a great weekend, the NYPD @FDNY &amp;amp; @NYCOEM are sending elite personnel to GA #HurricaneMatthew https://t.co/9NJQQ5zAGA</t>
  </si>
  <si>
    <t>Training is a top priority for the NYPD. Have a look: https://t.co/ERR7GsJdQd
https://t.co/YLW4jbrZX4</t>
  </si>
  <si>
    <t>"A coffeehouse atmosphere is conducive to constructive give-and-take and comfortable conversation," NYPD Sgt. Perez. https://t.co/hAtuoJHNMH</t>
  </si>
  <si>
    <t>October 13 is the @USNavy birthday! Today, the NYPD celebrated the Navy in a ceremony at Headquarters. Thank you to… https://t.co/jL5W9Wa8ns</t>
  </si>
  <si>
    <t>Learn more about this collaboration to prevent #suicide w/ @afspnyc @afspnational
#TalkToMe https://t.co/Tkg3sro2mI
 https://t.co/QCH5OLXjJ6</t>
  </si>
  <si>
    <t>Collaboration w/ @SafeHorizon is helping victims of crimes not feel alone or abandoned https://t.co/6jFyhSTMC5</t>
  </si>
  <si>
    <t>RT @nypdrecruit: Speak to a Recruiter today about careers in the #NYPD at the Harlem State Building, 163 W125 St. until 12pm @nypd28pct htt…</t>
  </si>
  <si>
    <t>RT @NYPDSpecialops: NOW: #ESU &amp;amp; #K9 members deploy south to assist in all capacities as part of the @fema US&amp;amp;R NY-TF1 #HurricaneMatthew htt…</t>
  </si>
  <si>
    <t>Joint @FDNY &amp;amp; NYPD Urban Search &amp;amp; Rescue Task Force heads to Georgia to help with #HurricaneMatthew relief https://t.co/Nm1pRhDAs6</t>
  </si>
  <si>
    <t>YOU can help. Call #800577TIPS with info on this suspect WANTED for sexually abusing a 9-YR-OLD girl in the Bronx… https://t.co/2COV170Dag</t>
  </si>
  <si>
    <t>.@NYPD23Pct Officers Seize Five Pounds Of Marijuana In East Harlem https://t.co/TEWP8aYIUK</t>
  </si>
  <si>
    <t>WANTED: 2 males for armed robbery near Webb Ave &amp;amp; Father Zeiser Pl, Bronx. Call #800577TIPS with info. @NYPD52Pct https://t.co/x7yvTOcfsf</t>
  </si>
  <si>
    <t>Sending prayers to the family, friends &amp;amp; colleagues of @stlcountypd Officer Blake Snyder who was killed in the line… https://t.co/bMDjMwS46t</t>
  </si>
  <si>
    <t>Joint @FDNY &amp;amp; NYPD Urban Search &amp;amp; Rescue Team NY Task Force-1 always ready to help around the world will deploy to… https://t.co/tQinA8ZKio</t>
  </si>
  <si>
    <t>RT @NYPDDV: NYPD Headquarters, #NYCGoPurple for #DVAM2016 #EndDV #NotAFan https://t.co/5zUpa4pqNh</t>
  </si>
  <si>
    <t>NYC is the safest big city in the US due to dedicated NYPD cops working with those they serve, https://t.co/gtUhjzUTNn</t>
  </si>
  <si>
    <t>Thank you to @answerthecall for always supporting first responders. https://t.co/Pj8mCbwxiF</t>
  </si>
  <si>
    <t>“I have four kids of my own...we were going to do whatever we could to help that baby" https://t.co/gE8BvCqL3X https://t.co/TGdBlsG4Qz</t>
  </si>
  <si>
    <t>WANTED: M/H for bias assault against a M/32 on 10/2 in front of 170 West 4 St. #Manhattan. Call #800577TIPS… https://t.co/dxiFSDVAos</t>
  </si>
  <si>
    <t>Help ID this man WANTED for assaulting a man in #GreenwichVillage. Call #800577TIPS with info. (VIDEO) https://t.co/6u0uYlmhaP</t>
  </si>
  <si>
    <t>YOU can help. Call #800577TIPS with info on this suspect WANTED for sexually abusing a 9-YR-OLD girl in the Bronx https://t.co/uZEiuR201M</t>
  </si>
  <si>
    <t>NYPD Cops Taking Illegal Guns Off The Streets - #ItsWhatWeDo
https://t.co/gDT4UFzDIc</t>
  </si>
  <si>
    <t>WANTED: 2 M/B’s in their teens for robbery of a M/15 on the B52 bus at Flatlands/Pennsylvania Aves on 9/15 in… https://t.co/CAZFJsd1ca</t>
  </si>
  <si>
    <t>Law enforcement collaboration is keeping NYC safe @NewYorkFBI @SDNYnews https://t.co/DnzTqk5086</t>
  </si>
  <si>
    <t>RT @NotifyNYC: NYPD controlled detonation activity is scheduled to occur today, 10/6, from 9:30AM -11AM, near Rodman's Neck in The Bronx.</t>
  </si>
  <si>
    <t>Our thoughts are with the family, friends &amp;amp; fellow officers of @LASDHQ Sgt. Steve Owen, killed responding to a burg… https://t.co/RvHISZCvQv</t>
  </si>
  <si>
    <t>Keeping #Queens &amp;amp; NYC clean- great job. Learn more about the Explorers https://t.co/DUWTgOdL2Z
 https://t.co/D6YVXVlIFC</t>
  </si>
  <si>
    <t>This is what two of NYC’s protectors look like and here’s the illegal gun they took off the streets of #Brooklyn https://t.co/GGNQKX42Ga</t>
  </si>
  <si>
    <t>WANTED: Male, 18-25 y/o, for sexual abuse of a 9-yr-old female in an elevator near Olinville Ave/E213St #Bronx on 1… https://t.co/FDLatIp25n</t>
  </si>
  <si>
    <t>We're here to help: Some "thank you" flowers that were sent to one of our new @NYPD68Pct victim advocates. More:… https://t.co/cetMfxp1qO</t>
  </si>
  <si>
    <t>Be #CyberAware. Take control of your online accounts. Add an extra layer of security beyond passwords. More here: https://t.co/djrYB26d2Q</t>
  </si>
  <si>
    <t>Great work by @NYPD69Pct cops in #Brooklyn for catching three thieves caught taking tires and rims. https://t.co/PcSMvoLqOa</t>
  </si>
  <si>
    <t>Our newest @NYPDauxiliary Officers graduated training last night. Welcome aboard! See what this program is all about https://t.co/bZdwoX69dj</t>
  </si>
  <si>
    <t>ICYMI: September was the safest month on record in NYC 
Read more about how your NYPD is keeping NYC safe:… https://t.co/2I5lGhwyfv</t>
  </si>
  <si>
    <t>Tomorrow is #NYCGoPurple. Help stop #DomesticViolence. Learn more from @NYCagainstabuse @NYPDDV… https://t.co/TqiWD42PHE</t>
  </si>
  <si>
    <t>.@NYPDCT Bomb Sqd K9 Hammer with Detectives Hallik &amp;amp; Brady keeping a watchful eye (and nose) on @CitiField for toni… https://t.co/CKSnaXo0r8</t>
  </si>
  <si>
    <t>Help ID two men WANTED for robbery in Queens. Call #800577TIPS with info. https://t.co/5J2gbATjaC @NYPD115Pct</t>
  </si>
  <si>
    <t>A shared responsibility with the communities we are dedicated to serving. Thank you for helping to keep NYC safe. https://t.co/aidQJECAIq</t>
  </si>
  <si>
    <t>Due to dedicated NYPD cops working with those they serve, NYC is the safest big city in the US 
https://t.co/gtUhjzUTNn</t>
  </si>
  <si>
    <t>Get to know your new Police Commissioner Jimmy O’Neill (@NYPDONeill) like we know him. https://t.co/oXNTg6RhKe</t>
  </si>
  <si>
    <t>NYPD Cops Discover Marijuana Grow House In Bronx Apartment https://t.co/ZjbOr9wCDP @NYPDSpecialops @NYPD46Pct https://t.co/IyMGDXt88R</t>
  </si>
  <si>
    <t>.@NYCHA is even safer due to these dedicated cops from @NYPDPSA4. Great job! https://t.co/chb2nLi60h</t>
  </si>
  <si>
    <t>WANTED: Male 40's for public lewdness on the 6 train in Manhattan. Call #800577TIPS with info. @NYPDTransit https://t.co/qKMdbxb3n5</t>
  </si>
  <si>
    <t>Let's say thanks to NYC's Finest for keeping this the safest big city in America https://t.co/LA0rRZt9gK</t>
  </si>
  <si>
    <t>Thx to our new @NYPDauxiliary Officers for sharing in the responsibility to keep NYC the safest big city in America https://t.co/6FfNobHQA8</t>
  </si>
  <si>
    <t>Raising awareness for domestic violence awareness https://t.co/ScbKYa3max https://t.co/gxPRjRfnqG</t>
  </si>
  <si>
    <t>RT @BilldeBlasio: I’ve known and worked with this great guy for a while, now you too can get to know NYC’s new police commissioner. @NYPDON…</t>
  </si>
  <si>
    <t>Crime continues to fall in NYC, significant decreases in murder, burglary, grand larceny, rape &amp;amp; other major crimes. https://t.co/QuXTNYoccu</t>
  </si>
  <si>
    <t>RT @nycgob: No estás sola! Si alguien que conoces es víctima de #violenciadoméstica, hay ayuda disponible. https://t.co/ScbKYa3max #DVAM2016</t>
  </si>
  <si>
    <t>We appreciate the support of those we are dedicated to protecting https://t.co/VbmBvoISrC</t>
  </si>
  <si>
    <t>September '16 was the safest September in the entire CompStat era. 
Total Crime ⬇️ 12.1%
Murder ⬇️ 5.8%
Robbery ⬇️ 14.3%
Compared to 9/2015</t>
  </si>
  <si>
    <t>Oct. is Nat'l Cybersecurity Awareness Month. Stay safe online by enabling strong authentication. Tips: https://t.co/OCMnbYUJvN #CyberAware</t>
  </si>
  <si>
    <t>If you or someone you know is a victim of #domesticviolence help is available, you're not alone. https://t.co/ScbKYa3max #DVAM2016</t>
  </si>
  <si>
    <t>Learn more about the NYPD's Neighborhood Police and how it is reducing crime: https://t.co/7lYyhcHoaQ
https://t.co/ceWUzzoKIv</t>
  </si>
  <si>
    <t>Rescued by the NYPD &amp;amp; @ASPCA, Luther is one of many NYC pets that need a home. https://t.co/86KoDnf8gb via:… https://t.co/RQofFGqI7F</t>
  </si>
  <si>
    <t>RT @NotifyNYC: Planned Work: Natural gas odor possible near Goethals Rd &amp;amp; Western Ave, SI, today (10/4) from 8AM-4PM. Report gas emergencie…</t>
  </si>
  <si>
    <t>The NYPD &amp;amp; our explorers are keeping NYC clean. Share tips: https://t.co/c93e18k7G8 https://t.co/fcG1O9f4x0</t>
  </si>
  <si>
    <t>Keeping #StatenIsland safe- #ItsWhatWeDo. Great police work by @NYPD121Pct anti-crime team taking this illegal gun… https://t.co/phCkIS68dG</t>
  </si>
  <si>
    <t>RT @NYPD79Pct: WANTED: Male for the shooting homicide of a 20y/o man at 452 Gates Ave, Brooklyn. Call #800577TIPS with info. @NYPD79Pct @NY…</t>
  </si>
  <si>
    <t>While responding to a dispute, @NYPD109Pct cops recovered an AK-47, four magazines and a large knife. Keeping… https://t.co/eRrQAQxFND</t>
  </si>
  <si>
    <t>We build police-community relationships in MANY different ways! #MakerFaire @NYPD110Pct  https://t.co/ZbhdomC7xP</t>
  </si>
  <si>
    <t>Man Who Threatened to Kill Police Captain Arrested in Robbery Bust via @DNAinfoNY https://t.co/uymqRWEFrE https://t.co/T20vPxFgBz</t>
  </si>
  <si>
    <t>Crime Continues To Fall In New York City This Year, Compared With 2015 (VIDEO) https://t.co/XqE6zI376s</t>
  </si>
  <si>
    <t>Bronx Finest Recover Illegal Rifles, Two Arrested https://t.co/0FgjYjfu2I https://t.co/JIdWYlwjj6</t>
  </si>
  <si>
    <t>RT @NYPD10Pct: Break the Silence. Speak up against #DomesticViolence
#DomesticViolenceAwarenessMonth #DVAM2016
#DV https://t.co/apvQslKefy</t>
  </si>
  <si>
    <t>.@NYPDBaseball supporting the families of the 5 fallen @DallasPD officers. We will #NeverForget. Thx to… https://t.co/dR9PvUNNRm</t>
  </si>
  <si>
    <t>RT @NYPD1Pct: Grand Larceny ⬇️ 11% in 28 days.
But I want to remind my followers that thieves are waiting for the second u leave your prop…</t>
  </si>
  <si>
    <t>Keep watching LIVE as Mayor @BilldeBlasio &amp;amp; @NYPDONeill update NYers on the safest Sept. on CompStat record. https://t.co/XqE6zI376s</t>
  </si>
  <si>
    <t>Chief of @NYPDDetectives now asking for the public's help identifying a man regarding a homicide. Call #800577TIPS https://t.co/zLDdzlifh3</t>
  </si>
  <si>
    <t>"More than 50% of commands now have Neighborhood Policing," says @NYPDChiefofDept. See how it's reducing crime: https://t.co/7lYyhcHoaQ</t>
  </si>
  <si>
    <t>September '16 is the safest September in the entire CompStat era. 
Total Crime ⬇️ 12.1%
Murder ⬇️ 5.8%
Robbery ⬇️ 14.3%
Compared to 9/2015</t>
  </si>
  <si>
    <t>"We are very please to be in a city where crime continues to go down," says Mayor @BilldeBlasio https://t.co/XqE6zI376s</t>
  </si>
  <si>
    <t>"NYC continues to see a significant decline in crime," says @NYPDONeill now at NYPD Headquarters… https://t.co/IE2TOUD07U</t>
  </si>
  <si>
    <t>#HappeningNow: Mayor @BilldeBlasio &amp;amp; @NYPDONeill update NYers on NYC's low crime &amp;amp; more. Watch LIVE: https://t.co/XqE6zI376s</t>
  </si>
  <si>
    <t>#HappeningSoon: Mayor @BilldeBlasio &amp;amp; @NYPDONeill update NYers on NYC's low crime &amp;amp; more. https://t.co/2aoosWycbY</t>
  </si>
  <si>
    <t>Today at noon, Mayor @BilldeBlasio &amp;amp; @NYPDONeill will update NYers on NYC's low crime numbers &amp;amp; more. Watch live on https://t.co/INAZxeUlNE</t>
  </si>
  <si>
    <t>This afternoon, Mayor @BilldeBlasio, @NYPDONeill &amp;amp; leadership team will update the press/public on the latest police related information</t>
  </si>
  <si>
    <t>Great police-community relationship building was going on this weekend throughout NYC including in the @NYPD30Pct https://t.co/dgV3h4Tptu</t>
  </si>
  <si>
    <t>Help ID this man, 40y/o, 6’, 180lbs, WANTED for public lewdness on the A train in Queens. Call #800577TIPS with inf… https://t.co/Z0YEDOgo4N</t>
  </si>
  <si>
    <t>Great police work by @NYPD9Pct cops for reviewing video, searching &amp;amp; finding a burglary suspect in #Manhattan https://t.co/A21GL2s4bU</t>
  </si>
  <si>
    <t>WANTED: Male, 5'8", 175lbs for the homicide of a 35y/o woman who was found near Colonial Rd &amp;amp; Wakeman Pl, Bklyn. Ca… https://t.co/QvjNqaDAVS</t>
  </si>
  <si>
    <t>The NYPD maintains the oldest and largest municipal bomb squad in the country. Here’s an inside look! https://t.co/dCeUDG25xt</t>
  </si>
  <si>
    <t>Members of the NYPD celebrating their heritage in the annual Pulaski Day Parade today in Manhattan. Looking sharp!… https://t.co/kLAA7wG7L3</t>
  </si>
  <si>
    <t>RT @NYPDONeill: #NYPD has thousands of Muslim and Jewish brothers and sisters, all marking their New Year's celebrations this weekend. Many…</t>
  </si>
  <si>
    <t>Police Commissioner @NYPDOneill Appoints New Chief Of Patrol And Chief Of Personnel https://t.co/R7bwCfWviV https://t.co/oFQTc4cVof</t>
  </si>
  <si>
    <t>NYPD officers, including @NYPDHighway, joined family &amp;amp; friends for the 30th anniversary ride honoring Detective Ven… https://t.co/cQJYVNHLXX</t>
  </si>
  <si>
    <t>Shana Tova to all who celebrate!
#RoshHashanah https://t.co/42MbU2IEVS</t>
  </si>
  <si>
    <t>Some of NYC’s four-legged residents need a home. Come down TODAY and check it out. https://t.co/FEHalWeP2n @NYCACC… https://t.co/J36AnI6n2X</t>
  </si>
  <si>
    <t>#ICYMI: Suspects In Police Impersonations &amp;amp; Illegal Radio Transmissions Arrested https://t.co/5deKb8pJPV</t>
  </si>
  <si>
    <t>It’s Sunday! Plan ahead and enjoy with a look at street closures and traffic. https://t.co/DiJmKkUiNZ https://t.co/iPzWWLJQUK</t>
  </si>
  <si>
    <t>Saturday in NYC &amp;amp; the #NYPD is out keeping everyone safe because #ItsWhatWeDo. Officer Falcone kept a watchful eye… https://t.co/tch28UbozV</t>
  </si>
  <si>
    <t>Proud father, Det. Stephen McDonald, watches his son get promoted to NYPD sergeant in our ceremony on Friday… https://t.co/8mdLE3LDP7</t>
  </si>
  <si>
    <t>RT @NYPDONeill: Exec. Dir. Maria Otero (center) worked her way up the #NYPD civilian ranks &amp;amp; is @NYPDHispanic Society Person/Year. Well des…</t>
  </si>
  <si>
    <t>The NYPD Band warming up before they march in today's Korean Day Parade in Manhattan. Not too bad!… https://t.co/UUZLDCvo6l</t>
  </si>
  <si>
    <t>.@KJohnsonTV gets an inside look at the NYPD Crime Scene Unit &amp;amp; the team’s investigation into the Chelsea explosion https://t.co/fQJLrpFWEE</t>
  </si>
  <si>
    <t>#ICYMI: Members of the @NYPD101Pct were recognized for all their hard work that keeps Queens safe. https://t.co/Bml6v7jfbw @NYPDCeremonial</t>
  </si>
  <si>
    <t>Quick thinking, highly trained &amp;amp; dedicated cops keeping NYC safe. Great work! https://t.co/926O7l2ZoJ</t>
  </si>
  <si>
    <t>Some of NYC's four-legged residents need a home. Come down this Sunday and check it out. https://t.co/FEHalWeP2n… https://t.co/jxKuturKOE</t>
  </si>
  <si>
    <t>Suspects In Police Impersonations &amp;amp; Illegal Radio Transmissions Arrested https://t.co/5deKb8pJPV https://t.co/RlDf8apQIP</t>
  </si>
  <si>
    <t>Captain Peter M. Fortune announced northwestern Queens’ Neighborhood Coordination Officer Program https://t.co/wqPZbSKEBa</t>
  </si>
  <si>
    <t>Did you know 9,000 people are following @NYPD33Pct? Get local information from each of our precinct Twitter accounts https://t.co/vuEkLKnYIg</t>
  </si>
  <si>
    <t>The weekend is here! Plan ahead and enjoy with a look at street closures and traffic. https://t.co/DiJmKkUiNZ https://t.co/iPzWWLJQUK</t>
  </si>
  <si>
    <t>Watch @CBSNewYork with @KJohnsonTV NOW &amp;amp; learn about the great work of the NYPD Crime Scene Unit &amp;amp; their response to the Chelsea explosion</t>
  </si>
  <si>
    <t>#Missing: Help us find Zachary Camhi. If you see him, call 911. 
 https://t.co/Tg9BMcdERu</t>
  </si>
  <si>
    <t>“It helps the families cope with the loss of their loved ones,” said Detective Harris https://t.co/peQOeDRy6l @NYPDBklynNorth</t>
  </si>
  <si>
    <t>Some of NYC's four-legged residents need a home. Come down this Sunday and check it out. https://t.co/FEHalWeP2n… https://t.co/NNJKvtnOOn</t>
  </si>
  <si>
    <t>Today ends #SuicidePrevention month. Don’t limit checking in with someone to just one month.  #TalkToMe https://t.co/rdlYNolDiu</t>
  </si>
  <si>
    <t>Meet the two detectives that helped to safely remove &amp;amp; disarm the second device in Chelsea https://t.co/rR80lJoTkp https://t.co/ZzVWgYL4CW</t>
  </si>
  <si>
    <t>Wishing a sweet new year to all who celebrate 
#RoshHashanah https://t.co/42MbU2IEVS</t>
  </si>
  <si>
    <t>Some great advise from @nycoem's Ready Girl. #KnowYourZone #NPM2016 https://t.co/3HUdxxysVP</t>
  </si>
  <si>
    <t>RT @NYPDTransit: A weaving cab
With a mother in panic
An off-duty Captain
Sees a boy not breathing
CPR training kicks in...
And now the boy…</t>
  </si>
  <si>
    <t>.@NYPDONeill congratulates Bomb Sqd Det's Mason &amp;amp; Hallik on well deserved promotions. RT to say thx for their work… https://t.co/jUPhVxmxbH</t>
  </si>
  <si>
    <t>"Thx to the members of the Bomb Sqd &amp;amp; @NYPDSpecialops for their hard work over the last few weeks. Congrats on your… https://t.co/z0koZQqOP8</t>
  </si>
  <si>
    <t>"There is no department that has invested more in keeping our cops &amp;amp; community safe," @NYPDONeill now at our promot… https://t.co/TvqMdx1nlC</t>
  </si>
  <si>
    <t>Celebrating the hard work &amp;amp; dedication of members of the NYPD at our promotion ceremony this morning. Let's say con… https://t.co/S1EGAv7Lro</t>
  </si>
  <si>
    <t>A great program connecting young adults with the NYPD @NYPD34Pct  https://t.co/j8ck79pGqF</t>
  </si>
  <si>
    <t>Fighting crime and keeping NYC safe for all. Great work! https://t.co/MWQxEPADbC</t>
  </si>
  <si>
    <t>WANTED: M/B for multiple burglaries in the #Bronx. Call #800577TIPS @NYPD45Pct https://t.co/Hgw7VP28K3</t>
  </si>
  <si>
    <t>#Suicide is preventable, check in with someone. Active listening skills from NYPD Hostage Negotiators https://t.co/2Z5p2OKXp5 #TalkToMe</t>
  </si>
  <si>
    <t>Crime in New York City continues to decline, significantly. 
Just the Facts: https://t.co/Eayn2m403M https://t.co/5wiGkvtNIM</t>
  </si>
  <si>
    <t>Some of NYC's four-legged residents need a home. Come down this Sunday and check it out. https://t.co/FEHalWeP2n… https://t.co/0wApxbFQIW</t>
  </si>
  <si>
    <t>Help us locate Giovanni Donegan, 20, WANTED for robbery on Staten Island. Have info? Call #800577TIPS https://t.co/ipRghYuqGs</t>
  </si>
  <si>
    <t>RT @NYPDSpecialops: NOW: #Harbor Unit's Lt. Jimmy Donnelly rescued &amp;amp; freed this cormorant who's beak had gotten tangled in fishing line htt…</t>
  </si>
  <si>
    <t>ADVISORY: Today in the vicinity of 4323 37th Ave, Queens, a film production company will be filming a controlled explosion from 3pm &amp;amp; 6 pm</t>
  </si>
  <si>
    <t>Time to celebrate their graduation &amp;amp; all the hard work they committed too over the many months in the NYPD Police A… https://t.co/K7d3tFnT1E</t>
  </si>
  <si>
    <t>See more from today's NYPD Police Academy graduation on our @Snapchat https://t.co/qmhAC9CaDz</t>
  </si>
  <si>
    <t>Introducing your new NYPD police officers! https://t.co/10HDHN2arO</t>
  </si>
  <si>
    <t>"Be proud of who you are &amp;amp; what you do. Those shields on your chest &amp;amp; patches on your shoulders mean a lot." -… https://t.co/3DVqzzTvNL</t>
  </si>
  <si>
    <t>#HappeningNow: NYC's newest guardians graduate the NYPD Police Academy. Let's say congrats! https://t.co/RGb8Ja5KD6</t>
  </si>
  <si>
    <t>#HappeningSoon: We congratulate 87 new police officers who graduate the NYPD police academy today. https://t.co/Ud6dBX6DNq</t>
  </si>
  <si>
    <t>NYPD Elite Training for Patrol Officers: De-escalating crisis situations https://t.co/cwJA09wbTn #TalkToMe @TalkToMe https://t.co/waYIBsE92p</t>
  </si>
  <si>
    <t>WANTED: M/H &amp;amp; M/B for armed robbery of a laundromat at 3608 Clarendon Rd on 9/23. #Brooklyn Call #800577TIPS… https://t.co/q4sTVvEg7O</t>
  </si>
  <si>
    <t>Precinct Community Council Meetings: every month, every borough. Find your local meeting: https://t.co/hkB6CWgMhW
https://t.co/vjchIdZ8h5</t>
  </si>
  <si>
    <t>WANTED: M/A/40’s for assault/hitting a F/38 with a glass at 164-03 Sanford Ave 9/18. Call #800577TIPS. https://t.co/gVGHMceD3v</t>
  </si>
  <si>
    <t>Our NYPD Auxiliary program is one great way you can help protect your neighborhood- get involved! @NYPD111Pct https://t.co/W11fAuziMv</t>
  </si>
  <si>
    <t>Crime in New York City continues to decline, significantly. 
Just the Facts: https://t.co/Eayn2m403M https://t.co/foVCqh08Hv</t>
  </si>
  <si>
    <t>Standing with our partners in the @FDNY as we all mourn the loss of hero firefighter, Battalion Chief Michael Fahy. https://t.co/wFFTEQmSHu</t>
  </si>
  <si>
    <t>Seen this man? He's wanted for public lewdness on the 6 train in Manhattan. Call #800577TIPS with information. https://t.co/7AuVnqasdT</t>
  </si>
  <si>
    <t>RT @FDNY: Thank you @NYPD46Pct for honoring #FDNY Battalion Chief Michael J. Fahy w/ a memorial wreath presented to #Battalion19 #Engine75…</t>
  </si>
  <si>
    <t>.@NYCTogetherOrg building strong partnerships https://t.co/RWEu0uLFYK
Learn more about this great program: https://t.co/CVO0FyHyMv</t>
  </si>
  <si>
    <t>Help ID this female who attempted to rob a 90-YR-OLD woman at 5 Ave &amp;amp; W. 12 St, Manhattan (has tattoo on left arm).… https://t.co/nHDK2K3Raa</t>
  </si>
  <si>
    <t>Great work and strong partnerships keeping NYC safe https://t.co/tAHEj6wG2r</t>
  </si>
  <si>
    <t>WANTED: Female, 25, for assaulting a woman in the Newkirk Ave &amp;amp; E 16 St subway station, Brooklyn. Call #800577TIPS… https://t.co/SFEk4iQR36</t>
  </si>
  <si>
    <t>#SilverAlert: Joycleen Franklin, 79, 5'11", 162lbs, last seen 225 Vandalia Ave, Brooklyn. Call 911 if seen,… https://t.co/3nHRXJhnec</t>
  </si>
  <si>
    <t>Learn More About Suicide Prevention At NYPD Precinct Community Council Meetings https://t.co/cHYaQd1YJ3 #TalkToMe https://t.co/K8C4XMMVs5</t>
  </si>
  <si>
    <t>RT @NYPD19Pct: A hero's escort: Keep Battalion Chief Michael Fahy's family &amp;amp; the @FDNY in your thoughts &amp;amp; prayers as they deal with this te…</t>
  </si>
  <si>
    <t>Here’s some NYPD Explorers visiting the @IntrepidMuseum. Learn more about Explorers: https://t.co/1WYmLTKOPS https://t.co/GD98CkFlgC</t>
  </si>
  <si>
    <t>Keeping the #Bronx safe: @NYPDPSA8 made an arrest after responding to a vehicle accident involving a stolen car https://t.co/rW05EbtJFl</t>
  </si>
  <si>
    <t>17 Arrested &amp;amp; Two Firearms Seized Following East Harlem Drug Gang Investigation: Sales Near Schools &amp;amp; Playground https://t.co/v944D3h5lF</t>
  </si>
  <si>
    <t>Update on police involved shooting in Brooklyn today (9/27) https://t.co/2W8eGo436o</t>
  </si>
  <si>
    <t>Information regarding the gas explosion in the Bronx. (Video) https://t.co/Udq23DDGQy</t>
  </si>
  <si>
    <t>RT @FDNY: It is with deep regret that FDNY announces the line of duty death of FDNY Battalion Chief Michael J. Fahy https://t.co/XDK0NLYp1k…</t>
  </si>
  <si>
    <t>The investigation into this morning's explosion in the #Bronx is ongoing. Information from press update: https://t.co/StYfeEQcYJ</t>
  </si>
  <si>
    <t>"On behalf of the NYPD I offer condolences to @FDNY &amp;amp; family of Chief Michael Fahy. It's truly a sad &amp;amp; tragic day i… https://t.co/jYfbyA1fhV</t>
  </si>
  <si>
    <t>The NYPD stands with our brothers &amp;amp; sisters in the @FDNY as they mourn the loss of Chief Michael Fahy. Please keep them in your prayers</t>
  </si>
  <si>
    <t>"It's with profound sorrow I announce the passing of @FDNY Battalion Chief Michael Fahy," Mayor @BilldeBlasio on Br… https://t.co/e4RZgp9s82</t>
  </si>
  <si>
    <t>#HappeningNow: Mayor @BilldeBlasio, @FDNY, @NYPDONeill &amp;amp; @nycoem update NYers on incident in #Bronx. WATCH: https://t.co/StYfeEQcYJ</t>
  </si>
  <si>
    <t>#HappeningSoon: Mayor @BilldeBlasio, @FDNY, @NYPDONeill &amp;amp; @nycoem update NYers on incident in #Bronx. WATCH: https://t.co/StYfeEQcYJ</t>
  </si>
  <si>
    <t>There was a police involved shooting in Brooklyn within the confines of the @NYPD79Pct. More information when available</t>
  </si>
  <si>
    <t>Expect traffic delays in area of Tibbett Ave &amp;amp; 234 St in the Bronx due to @FDNY &amp;amp; NYPD at scene of incident.</t>
  </si>
  <si>
    <t>RT @NYPDONeill: Addressed. Thx 4 making sure we knew. @NYPD10Pct &amp;amp; @NYCDHS have duty 2 address quality/life complaints and offer help 2 all…</t>
  </si>
  <si>
    <t>WANTED: 2 men for a shooting homicide inside a Queens deli. Call #800577TIPS with info. (VIDEO) https://t.co/UcFQvr1EGd @NYPD113Pct</t>
  </si>
  <si>
    <t>Thank You To The @NYPD34Pct Cops Who Took This Illegal Gun Off The Streets Of NYC https://t.co/uR364qstoH https://t.co/JXcW8251wp</t>
  </si>
  <si>
    <t>Thanks for the support, @ARaanta31! Looking great on the ice as NYPD &amp;amp; our partners in @FDNY keep NYC safe. https://t.co/Jte4alNYKH</t>
  </si>
  <si>
    <t>Working hard is right! And going into harm's way to keep the Bronx safe. https://t.co/MTcmxXTbJz</t>
  </si>
  <si>
    <t>Help ID two men driving a wht cargo van who are impersonating police officers. Call #800577TIPS w/info. https://t.co/zjYQVRDuOD</t>
  </si>
  <si>
    <t>Thousands Run In 9/11 Hero’s Footsteps (VIDEO) https://t.co/YGFygx0P4V</t>
  </si>
  <si>
    <t>You don’t have to be an expert to help. @MHFirstAidUSA offers FREE training: https://t.co/ryiTRlKGvL #TalkToMe https://t.co/BTPyhaGaSh</t>
  </si>
  <si>
    <t>Keeping #Queens clean! @NYPD111Pct Explorers &amp;amp; Cops were out cleaning the neighborhood of graffiti https://t.co/RebboWdWxp</t>
  </si>
  <si>
    <t>WANTED: M/H &amp;amp; M/B 30’s for robbery of a M/25 at 5am 9/25 at the Columbus Circle A train. Call #800577TIPS https://t.co/6YrkuldwCj</t>
  </si>
  <si>
    <t>For New York’s New Police Commissioner, Less Crime Is Just a Start 
@NYPDONeill speaks with The @nytimes:… https://t.co/fat1xo3URb</t>
  </si>
  <si>
    <t>SEEN THESE TWO MEN? 
@NYPDDetectives &amp;amp; @NewYorkFBI would like to speak to them. Call #800577TIPS with info. https://t.co/IUe5ZCGn34</t>
  </si>
  <si>
    <t>We need your help. Do you have info on crimes in your community? Call #800577TIPS with any info. More here:… https://t.co/mx6D3Rx3cs</t>
  </si>
  <si>
    <t>Your NYPD keeping NYC the safest big city in America -- #ItsWhatWeDo https://t.co/ATCe6uBsCJ</t>
  </si>
  <si>
    <t>The NYPD Bomb Squad is equipped with everything from high-tech robots to specialized bomb transport vehicles to hel… https://t.co/ybPCfKTIYZ</t>
  </si>
  <si>
    <t>The continuation of a vow to #NeverForget our 9/11 heroes https://t.co/dTF5rgoBEe</t>
  </si>
  <si>
    <t>Plan ahead &amp;amp; enjoy NYC, the safest big city in America. Have a look at our weekend traffic advisory https://t.co/Eyyawx6m8R</t>
  </si>
  <si>
    <t>.@NYPDONeill &amp;amp; @NYPDCT Inspector Gallucci survey the @GlblCtzn Festival in Central Park ensuring all have a safe &amp;amp;… https://t.co/1MFFLCAVA9</t>
  </si>
  <si>
    <t>We need your help. Do you have info on crimes in your community? Call #800577TIPS with any info. More here:… https://t.co/L5NCBKzlrl</t>
  </si>
  <si>
    <t>HELP ID this man WANTED for falsely reporting a bomb threat on the L train. Call #800577TIPS with info. https://t.co/47GT2G0zoh</t>
  </si>
  <si>
    <t>We hope everyone is enjoying today's #GCFestival. We're out there too, ensuring everybody is safe. Have fun! https://t.co/aF1afU8UBV</t>
  </si>
  <si>
    <t>ICYMI: NYPD Top Cop Warns After NYC Bombing: “Do Something Bad… Pay The Price” WATCH https://t.co/onvzJn0UVE</t>
  </si>
  <si>
    <t>RT @NYPDPBMN: Gates are now open for @GlblCtzn concert @CentralParkNYC #NYPD  #GlobalCitizenFestival #GCFestival https://t.co/rBPeWL8fty</t>
  </si>
  <si>
    <t>NYPD Special Victim Cops Stop Man From Sexually Assaulting Woman https://t.co/6pfCwfJ2WX @NYPDDetectives https://t.co/W3X0ASGFBn</t>
  </si>
  <si>
    <t>We’re raising awareness of #suicideprevention &amp;amp; we’re not doing it alone. Get tips &amp;amp; resources https://t.co/Bj7SWPXTm0 #TalkToMe</t>
  </si>
  <si>
    <t>New NYPD top cop James O’Neill opens up in interview https://t.co/m7qure57YA @NYPDONeill https://t.co/a0MPZt9K3L</t>
  </si>
  <si>
    <t>RT @NYPDTransit: Video of man wanted for assault/slashing yesterday at 42nd St Bryant Park station- Help us identify him- Please call #8005…</t>
  </si>
  <si>
    <t>The cop caught up with the pair a block away and detained them until on-duty officers arrived. https://t.co/brIiN8sdSG</t>
  </si>
  <si>
    <t>Connecting with community &amp;amp; fighting crime. Learn more about the Neighborhood Policing Plan: https://t.co/7lYyhcHoaQ https://t.co/Ylyjd4bgA4</t>
  </si>
  <si>
    <t>The @NYPD24Pct's deputy inspector chased him on foot and apprehended him... https://t.co/DQ8jr9K4vX</t>
  </si>
  <si>
    <t>RT @NYPD67Pct: #VisionZero enforcement efforts led to the removal of this firearm from the streets of #EastFlatbush #NYPD @NYPDTransport ht…</t>
  </si>
  <si>
    <t>RT @UN: Great photo! And thank you for your #UNGA service this week, @NYPDnews &amp;amp; colleagues! #NYCxUN https://t.co/ozKrrjyJEi</t>
  </si>
  <si>
    <t>"Our expectation is that cops are going to have that connection to the community." https://t.co/m7qure57YA</t>
  </si>
  <si>
    <t>RT @TalkToMe: Having thoughts of suicide? Help is available, you are not alone. 
#TalkToMe 
https://t.co/Uul6L7mAb6 https://t.co/q2xLa2UzLZ</t>
  </si>
  <si>
    <t>Merci to @PoliceNationale Officer Rocher for helping apprehend a robbery suspect in @CentralParkNYC. Great job by a… https://t.co/E97P5ywnkJ</t>
  </si>
  <si>
    <t>ARREST UPDATE: Shaquille Fuller, 22, charged with murder for the 2015 shooting of a 33y/o man near 20 Ave D, Manhattan. #800577TIPS</t>
  </si>
  <si>
    <t>WANTED: 2 males for robbery at Bedford Ave-Nostrand Ave train station, Brooklyn. Call #800577TIPS with info.… https://t.co/Ytthd85Gbk</t>
  </si>
  <si>
    <t>Help keep NYC safe. If you have info, share it. Call #800577TIPS https://t.co/gf6P1fMyk4</t>
  </si>
  <si>
    <t>We're always happy to lend a helping hand. And we're even happier to see the SMILE! @NYPDHighway https://t.co/y087Xadrdu</t>
  </si>
  <si>
    <t>Don't become a victim. Stay informed https://t.co/aOKraxxfmJ</t>
  </si>
  <si>
    <t>Since 1858, the NYPD Mounted Unit has been patrolling the streets of New York City. https://t.co/KNL1PABfD2 @NYPDSpecialops</t>
  </si>
  <si>
    <t>UPDATE: a M/47 has been arrested arrested in regard to this incident #800577TIPS https://t.co/Ccyq4Owq3y</t>
  </si>
  <si>
    <t>WANTED: M/H for firing a gun into an apartment floor near Seddon/Buck Streets #Bronx on 9/10. Call #800577TIPS https://t.co/xjSKzQvVuQ</t>
  </si>
  <si>
    <t>Once a victim of cruelty and now in a new home, sweet Greyson was rescued by the NYPD &amp;amp; cared for by @ASPCA… https://t.co/FMlrwQHEfr</t>
  </si>
  <si>
    <t>Last Thursday, then-Chief of Dept, @NYPDONeill, returned to his roots as a NYC Transit cop https://t.co/MR5XX95LAq</t>
  </si>
  <si>
    <t>#ICYMI: NYPD's Deputy Commissioner John Miller on "Critical Stage" In N.J. and N.Y. Bombings Investigation WATCH:… https://t.co/RpPvCVjh1D</t>
  </si>
  <si>
    <t>RT @nycgob: El #NYPD y @NewYorkFBI quieren hablar con estas dos personas sobre la #explosiónenChelsea. Si tiene info, llame a #88857PISTA.…</t>
  </si>
  <si>
    <t>Great to see another Precinct raising awareness &amp;amp; care for our veterans. Who’s next? #22PushUpChallenge #TalkToMe https://t.co/oB2Y9HTIht</t>
  </si>
  <si>
    <t>The @UN General Assembly is in session. Have a look at some street closures &amp;amp; plan ahead: https://t.co/0ISkBJmarU https://t.co/21l5Fp8Yiu</t>
  </si>
  <si>
    <t>An even safer Coney Island due to the dedicated cops in the @NYPD60Pct https://t.co/UFm3tH1zHg</t>
  </si>
  <si>
    <t>WANTED: Male 20’s for falsely reporting a bomb threat on the L train. Call #800577TIPS with info. https://t.co/mU5XX4csC3</t>
  </si>
  <si>
    <t>RT @CBSThisMorning: "No we don't" have any evidence there's a terror cell in NYC. -- NYPD's John Miller https://t.co/LnWDOKkcK4</t>
  </si>
  <si>
    <t>#SilverAlert: Roosevelt Moore, 73, last see 9/22 on Martense St #Brooklyn wearing a blue/white shirt, black jeans. https://t.co/l6Iy8nltip</t>
  </si>
  <si>
    <t>Tune in at 7:30am as Deputy Commissioner of @NYPDCT &amp;amp; Intelligence speaks with @CBSThisMorning on the Chelsea bombing &amp;amp; more</t>
  </si>
  <si>
    <t>Help ID this man wanted for forcibly touching a 16y/o girl near Gerard Ave &amp;amp; E. 144 St. Bronx. Call #800577TIPS https://t.co/IeAPlPhMio</t>
  </si>
  <si>
    <t>SEEN THESE TWO MEN? @NYPDDetectives &amp;amp; @NewYorkFBI would like to speak to them. Call #800577TIPS with info. https://t.co/IUe5ZCXXUC</t>
  </si>
  <si>
    <t>Stickball – No Gloves Needed To Build Police Community Friendships https://t.co/JkaSNpkPw5 @NYPDPSA4 https://t.co/ESzk8SC8qv</t>
  </si>
  <si>
    <t>Ahmad Khan Rahami Charged In Manhattan And New Jersey Federal Courts With Executing Bombings In NYC &amp;amp; NJ https://t.co/IKfAhYag1E</t>
  </si>
  <si>
    <t>.@NYPD19Pct Cops Arrest Homicide Suspect During Car Stop https://t.co/1JbKMNIRpv https://t.co/yh9QNDIiRp</t>
  </si>
  <si>
    <t>The reported sound of an explosion in #Queens was two military F-22 aircraft flying over the area @FDNY @nycgov @FAANews #nyc</t>
  </si>
  <si>
    <t>"If anyone in the public sees something out of the ordinary, call 911 and we'll come and investigate," says… https://t.co/YlBfAy9oun</t>
  </si>
  <si>
    <t>"In fifty hours, officers were able to apprehend this individual," @NYPDCT Chief on the great work of law enforceme… https://t.co/lpkSfGKMLg</t>
  </si>
  <si>
    <t>NYPD &amp;amp; @NewYorkFBI would like to speak to two individuals regarding the Chelsea bombing. Call #800577TIPS with info. https://t.co/RC9z1t6Z1U</t>
  </si>
  <si>
    <t>#HappeningNow: @NYPDONeill &amp;amp; @NewYorkFBI update NYers on Chelsea bombing investigation https://t.co/rTo3DU1tUU</t>
  </si>
  <si>
    <t>NYPD connecting with the community &amp;amp; sharing in the responsibility to keep NYC safe at our High Holy Days briefing… https://t.co/Y5UCXDZG3H</t>
  </si>
  <si>
    <t>#HappeningNow: @NYPDONeill addresses community members at the NYPD's High Holy Days briefing in Headquarters… https://t.co/vFNCtOM20p</t>
  </si>
  <si>
    <t>Staten Island is even safe due to the hard work of the cops in the @NYPD120Pct. Great job! https://t.co/NgYjFWd1zt</t>
  </si>
  <si>
    <t>WANTED: Male for the shooting homicide of a 20y/o man at 452 Gates Ave, Brooklyn. Call #800577TIPS with info.… https://t.co/1azndB8Ft1</t>
  </si>
  <si>
    <t>Meet your new NYPD Chief of Department Carlos Gomez: https://t.co/D25gZ6MMPr 
Connect with him at @NYPDChiefofDept https://t.co/RTCKIBBzAB</t>
  </si>
  <si>
    <t>Ahmad Khan Rahami Charged In Manhattan And New Jersey Federal Courts With Executing Bombings In NYC &amp;amp; NJ https://t.co/IKfAhYrRqe</t>
  </si>
  <si>
    <t>RT @TalkToMe: Check it: @MHFirstAidUSA teaches how ALGEE can be used to help people in crisis https://t.co/MhwloyfNH3 #TalkToMe https://t.c…</t>
  </si>
  <si>
    <t>RT @NYPD44Pct: Our new Commissioner @NYPDONeill addressing our Officers today! #44forlife https://t.co/wo0fVyORiz</t>
  </si>
  <si>
    <t>Runners, walkers &amp;amp; more gathered in #Brooklyn to honor and remember Police Officer Hoban https://t.co/JkoKju3uuc https://t.co/D8dQjCS6SA</t>
  </si>
  <si>
    <t>NYPD Top Cop Warns After NYC Bombing: “Do Something Bad…Pay The Price” https://t.co/onvzJn0UVE @NYPDONeill</t>
  </si>
  <si>
    <t>Counterterrorism Cops Help Save Man In Hudson River https://t.co/bPfNOtd4qb https://t.co/BYkN4dSKSB</t>
  </si>
  <si>
    <t>Help ID the man WANTED for sex abuse of an 11-YR-OLD girl near Flatlands Ave &amp;amp; E. 80 St, Brooklyn. Call #800577TIPS https://t.co/omLQVIGQFp</t>
  </si>
  <si>
    <t>.@UN General Assembly is in session. Have a look at some street closures &amp;amp; plan ahead: https://t.co/0ISkBJmarU https://t.co/21l5Fp8Yiu</t>
  </si>
  <si>
    <t>Join us in saying thanks to the brave Linden, NJ cops injured during the shootout that led to the capture of the Ch… https://t.co/8AvgUoEkAh</t>
  </si>
  <si>
    <t>RT @CardinalDolan: Thank you for keeping our city safe! @NYPDnews @NYPDchaplains</t>
  </si>
  <si>
    <t>"Don't be governed by fear, live your lives, but pay attention as we're all in this together," @NYPDONeill tells @CNN about how safe NYC is</t>
  </si>
  <si>
    <t>"It's a shared responsibility, if you see something unusual tell law enforcement," @NYPDONeill tells @CNN</t>
  </si>
  <si>
    <t>"We had two brave cops that were about a block from the Chelsea bombing who did a great job evacuating people," @NYPDONeill tells @CNN</t>
  </si>
  <si>
    <t>Tune in now to @CNN and watch @NYPDONeill speak on Chelsea bombings https://t.co/6mLhskL9SF</t>
  </si>
  <si>
    <t>More illegals guns taken off the streets of Brooklyn, Queens &amp;amp; Manhattan by @NYPD67Pct @NYPD106Pct @NYPD25Pct https://t.co/k2vuTLU1Re</t>
  </si>
  <si>
    <t>Great work by specialized units in the @NYPD46Pct is keeping the #Bronx safe https://t.co/006X7DcsIc</t>
  </si>
  <si>
    <t>RT @CBSThisMorning: "If you’re gonna come here and you’re gonna do something bad, you’re gonna face justice."--James O'Neill https://t.co/g…</t>
  </si>
  <si>
    <t>WANTED: M/H/30’s for forcibly touching a F/29 near Roosevelt Ave/Main St in Flushing/Queens on 9/4
Call #800577TIPS https://t.co/w54VGfWoe3</t>
  </si>
  <si>
    <t>Learn more about the 43rd Police Commissioner of the NYPD: James P. O’Neill https://t.co/t5rAChwS0e https://t.co/4ggZiGn9az</t>
  </si>
  <si>
    <t>Join @NYPDONeill’s conversation on @CBSThisMorning as he stops by at 8am today.</t>
  </si>
  <si>
    <t>Brave NYPD officers going in harm’s way to keep NYC safe. https://t.co/imko9hl8tC</t>
  </si>
  <si>
    <t>RT @TalkToMe: What exactly is stigma? Learn more from  https://t.co/ZJ2mL6RS22 #StrongerThanStigma #TalkToMe #EndTheStigma</t>
  </si>
  <si>
    <t>Meet your new NYPD Police Commissioner James P. O'Neill https://t.co/6b7bIkTrM2 
Connect with him at @NYPDONeill</t>
  </si>
  <si>
    <t>"All NYers should feel secure that the NYPD will keep them safe &amp;amp; continue this investigation with our partners @NewYorkFBI," @NYPDONeill</t>
  </si>
  <si>
    <t>"A lot of technology involved, but also great old-fashioned police work by all cops, including the Joint Terrorism Task Force," @NYPDONeill</t>
  </si>
  <si>
    <t>"The work of 1st responders, law enforcement personnel &amp;amp; an engaged public have been outstanding," says @NewYorkFBI Assistant Director</t>
  </si>
  <si>
    <t>"We will have a very strong presence of NYPD officers in NYC," Mayor @BilldeBlasio</t>
  </si>
  <si>
    <t>"We have every reason to believe that this was an act of terror," Mayor @BilldeBlasio on Chelsea bombing</t>
  </si>
  <si>
    <t>"Thanks to the brave officers of the Linden, NJ Police Department who captured this dangerous individual,"… https://t.co/p9ZodHfUYX</t>
  </si>
  <si>
    <t>#HappeningNow: Mayor @BilldeBlasio &amp;amp; @NYPDONeill update NYers on Chelsea explosion &amp;amp; suspect. Watch LIVE https://t.co/BKA0Sa40kn</t>
  </si>
  <si>
    <t>#HappeningSoon: Mayor @BilldeBlasio, @NYPDONeill &amp;amp; @NewYorkFBI update NYers on Chelsea explosion/suspect. Watch LIVE https://t.co/BKA0Sa40kn</t>
  </si>
  <si>
    <t>Let's welcome our new @NYPDChiefofDept, Carlos Gomez! Retweet to say congrats https://t.co/lxdSDmEmxg</t>
  </si>
  <si>
    <t>"Thank you for allowing me to oversee the NYPD's evolution," @NYPDONeill at his swearing-in ceremony https://t.co/esTA12c0LY</t>
  </si>
  <si>
    <t>Congratulations to the NYPD's 43 Police Commissioner, James P. O'Neill. https://t.co/eYeiTF2Z0e</t>
  </si>
  <si>
    <t>"On behalf of 8.5 million New Yorkers, thank you for taking this role as Police Commissioner," Mayor @BilldeBlasio https://t.co/3VLVd8MmTt</t>
  </si>
  <si>
    <t>Join us LIVE now as @NYPDONeill &amp;amp; @NYPDChiefofDept are sworn in at NYPD Headquarters https://t.co/M0IAsgJZ93</t>
  </si>
  <si>
    <t>#HappeningNow: NYPD's new Commissioner, @NYPDONeill &amp;amp; new @NYPDChiefofDept being sworn in at Police Headquarters https://t.co/nnCPYZ82yl</t>
  </si>
  <si>
    <t>#HappeningSoon: Mayor @BilldeBlasio will swear in NYPD's new Commissioner, @NYPDONeill &amp;amp; new @NYPDChiefofDept https://t.co/J5wmTmySHy</t>
  </si>
  <si>
    <t>RT @nycgob: #SeBusca: Ahmad Khan Rahami, 28 años, por la #explosión en Chelsea. Llame a 1-888-57PISTA. @NYCMayorsOffice https://t.co/umF6eq…</t>
  </si>
  <si>
    <t>Have info? @NewYorkFBI and NYPD are looking for Ahmad Khan Rahami. Call #800577TIPS w/info. https://t.co/jDbn5pj6kZ https://t.co/B4klhABCom</t>
  </si>
  <si>
    <t>WANTED: Ahmad Khan Rahami, 28, in connection to the Chelsea explosion. Call #800577TIPS with any information. https://t.co/rBDQGfXwbh</t>
  </si>
  <si>
    <t>RT @NYPDTransit: Good morning- Subway service has been restored to all stations in #Chelsea though the NE stairway at 23 St on the 1 train…</t>
  </si>
  <si>
    <t>We urge and remind everyone, if you have any information on the Chelsea explosion share it by calling #800577TIPS https://t.co/YZu2np2prM</t>
  </si>
  <si>
    <t>RT @JPeterDonald: Update on the 2nd device found on West 27th Street. #ChelseaExplosion #NYC https://t.co/tOq53dPCFa</t>
  </si>
  <si>
    <t>Updated street closures regarding Chelsea explosion. https://t.co/7e4xRbrGQS</t>
  </si>
  <si>
    <t>NYPD controlled detonation activity is scheduled to occur today, 9/18, from 4:30 PM - 6:30 PM, near Rodman's Neck in the Bronx.</t>
  </si>
  <si>
    <t>RT @nycgob: .@NYPDnews urge a todo el que tenga información sobre la #explosiónenChelsea a compartirla llamando al #88857PISTA.</t>
  </si>
  <si>
    <t>Again, we urge and remind everyone, if you have any information on the Chelsea explosion share it by calling #800577TIPS</t>
  </si>
  <si>
    <t>Video footage is still being gathered and reviewed by detectives. https://t.co/h2gszIvrP6</t>
  </si>
  <si>
    <t>The specific design/components of the device that exploded on W23St is being investigated. https://t.co/DLjOnrwzbm</t>
  </si>
  <si>
    <t>Video footage has been recovered and is continuing to be reviewed. It is an active investigation. https://t.co/c5u6zsEvjc</t>
  </si>
  <si>
    <t>The device on W27St was initially found by responding NYS Police troopers. https://t.co/KBbNKj3cUT</t>
  </si>
  <si>
    <t>As of now there is no connection between the Chelsea explosion with the incident in July at Central Park.- @NYPDDetectives</t>
  </si>
  <si>
    <t>The NYPD Bomb Squad is currently analyzing the West 27 Street device at a secure NYPD facility in the Bronx.</t>
  </si>
  <si>
    <t>The buildings in the area were checked by @FDNY &amp;amp; @NYCBuildings and deemed to be structurally stable.</t>
  </si>
  <si>
    <t>The suspicious device on W27St was safely removed earlier this morning by NYPD Bomb Squad to a secure police facility.</t>
  </si>
  <si>
    <t>Preliminary evidence of the device that exploded at West 23 Street suggests it was an improvised explosive device (IED)</t>
  </si>
  <si>
    <t>There is currently a complex investigation ongoing involving numerous NYPD units &amp;amp; partner agencies including FBI, ATF, JTTF &amp;amp; NYS Police.</t>
  </si>
  <si>
    <t>There are two active crime scenes: West 23 Street and West 27 Street. The device that exploded on W23St was done intentionally.</t>
  </si>
  <si>
    <t>All the following information is preliminary</t>
  </si>
  <si>
    <t>Anyone that was in the area of W23St &amp;amp; W27St last evening and has information we ask that you call #800577TIPS.</t>
  </si>
  <si>
    <t>All 29 people injured last evening in the Chelsea explosion have been released from the hospital. https://t.co/cEWdtWdryI</t>
  </si>
  <si>
    <t>Watch now live on https://t.co/FMsoGmM4uF</t>
  </si>
  <si>
    <t>Live in approx 15min on our Facebook Mayor @BilldeBlasio, @NYPDONeill, @NewYorkFBI update NYers on Chelsea explosion https://t.co/BKA0Sa40kn</t>
  </si>
  <si>
    <t>Updated street closures regarding Chelsea explosion. #ChelseaNYC https://t.co/vtwo5tFOeb</t>
  </si>
  <si>
    <t>Mayor @BilldeBlasio, @NYPDONeill, @FDNY, @NewYorkFBI to update all on yesterday's explosion in Chelsea. LIVE at noon https://t.co/BKA0Sa40kn</t>
  </si>
  <si>
    <t>IMPORTANT: Anyone with information on the explosion in Chelsea is asked to share it by calling #800577TIPS https://t.co/BidZoVB7sA</t>
  </si>
  <si>
    <t>Traffic alert regarding the explosion in Chelsea, Manhattan https://t.co/IiqpPjWz1t</t>
  </si>
  <si>
    <t>UPDATE: The suspicious device on West 27 Street in Chelsea has been safely removed by the NYPD Bomb Squad.</t>
  </si>
  <si>
    <t>Remarks from @NYPDONeill regarding explosion in Chelsea https://t.co/6Tr2lxt1fr https://t.co/wTaKCThu9q</t>
  </si>
  <si>
    <t>Please be advised of this update regarding the incident in Chelsea, NYC https://t.co/Ux5dfBsj72</t>
  </si>
  <si>
    <t>Another update to follow shortly.</t>
  </si>
  <si>
    <t>IMPORTANT: Anyone with information we ask you to share it by calling #800577TIPS</t>
  </si>
  <si>
    <t>.@FDNY is currently assessing any potential structural damage resulting from the explosion.</t>
  </si>
  <si>
    <t>As of now there are 29 injuries, one considered serious.</t>
  </si>
  <si>
    <t>A search is being conducted of the area around the explosion &amp;amp; it is being treated as crime scene.</t>
  </si>
  <si>
    <t>This is an active investigation and it is extensive.</t>
  </si>
  <si>
    <t>At the current moment the cause of the explosion has not been determined.</t>
  </si>
  <si>
    <t>NYPD Bomb Squad &amp;amp; FBI Joint Terrorism Task Force were requested to respond.</t>
  </si>
  <si>
    <t>The @NYPD10Pct officers immediately called for additional units &amp;amp; ambulances</t>
  </si>
  <si>
    <t>At approximately 8:30pm @NYPD10Pct cops were patrolling on W23St when they witnessed a large explosion.</t>
  </si>
  <si>
    <t>Anyone with information is asked to share it. Call #800577TIPS</t>
  </si>
  <si>
    <t>We believe this was an intentional act. As of now, no connection to an earlier incident in NJ. - @BilldeBlasio</t>
  </si>
  <si>
    <t>Be advised all information to follow is preliminary</t>
  </si>
  <si>
    <t>Watch now https://t.co/FMsoGmM4uF also follow here for live updates.</t>
  </si>
  <si>
    <t>Happening shortly an update will be provided. Watch live on https://t.co/GvndoE2aVB</t>
  </si>
  <si>
    <t>Update to be provided at approximately 11pm w/ Mayor @BilldeBlasio @NYPDONeill &amp;amp; other NYPD leadership.</t>
  </si>
  <si>
    <t>RT @JPeterDonald: Media staging will be on 23rd Street and 5th Avenue. More to follow. @NYPDnews</t>
  </si>
  <si>
    <t>Due to NYPD @FDNY activity, avoid area of W23St (6 to 7 Aves). Expect traffic delays in the area.</t>
  </si>
  <si>
    <t>RT @JPeterDonald: Explosion happened at roughly 8:30pm on 23rd street between 6th and 7th avenues. Several injured transported to area hosp…</t>
  </si>
  <si>
    <t>NYPD, @FDNY &amp;amp; other emergency units on the seen of W23St (6 to 7 Aves). Several people injured. More information to follow.</t>
  </si>
  <si>
    <t>RT @NYPDCeremonial: The 2nd Annual #NYPD Detective Liu &amp;amp; Ramos Community Day at Marcy Playground, #Brooklyn. https://t.co/1oscxUAsEq</t>
  </si>
  <si>
    <t>#ICYMI: Connect with NYPD’s new Commissioner James O’Neill at @NYPDONeill 
And NYPD’s new Chief of Dept. Carlos Gomez at @NYPDChiefofDept</t>
  </si>
  <si>
    <t>Great work by cops in the @NYPD77Pct took this gun off the streets of NYC. https://t.co/NUIJiqTTS8</t>
  </si>
  <si>
    <t>.@NYPDSteuben Society proudly marched up Fifth Ave today in the Annual @SteubenParade. Looking sharp! https://t.co/c1r0jkfFJK</t>
  </si>
  <si>
    <t>RT @NYPD88Pct: @NYPD79Pct @NYPDPSA3 Join us for a fun filled day https://t.co/ODZNQGHF03</t>
  </si>
  <si>
    <t>Thanks Officer Lindo for your commitment to #StopSuicide. Resources at @TalkToMe. #TalkToMe https://t.co/opOs42eb7a</t>
  </si>
  <si>
    <t>NYPD, families &amp;amp; the community gather today at the 2nd annual Det's Liu &amp;amp; Ramos Community Day. #NeverForget https://t.co/GVwI7J0ASD</t>
  </si>
  <si>
    <t>If you're in NYC this weekend plan ahead and enjoy with the NYPD's weekend traffic advisory https://t.co/UPA00isziN</t>
  </si>
  <si>
    <t>WANTED: Male/6’00” for multiple armed robberies in #Queens confines of @NYPD103Pct @NYPD105Pct. Call #800577TIPS https://t.co/hB5H74DaLM</t>
  </si>
  <si>
    <t>UPDATE: a Male/14 has been arrested in regard to this and three other incidents https://t.co/k0K0RYPNMJ</t>
  </si>
  <si>
    <t>RT @NYPDPSA9: You've worked hard and rewarded yourself with an iPhone 7. Keep your reward safe by following this tip. #SafetyTips https://t…</t>
  </si>
  <si>
    <t>“I am a police reformer &amp;amp; have been since I was promoted to the rank of sergeant in the Boston Police Dept in 1975” https://t.co/qnLdNehfo3</t>
  </si>
  <si>
    <t>Well deserved cheers for Det. O’Donnell as leaves the hospital. True heroics on duty &amp;amp; off -- #ItsWhatWeDo https://t.co/VlrmwsJOtL</t>
  </si>
  <si>
    <t>RT @DHSgov: Congratulations @CommissBratton on your retirement. Thanks for your partnership in making Americans safer. https://t.co/p0AJaDL…</t>
  </si>
  <si>
    <t>Help ID a group of teen males WANTED for robbery in Brooklyn. Call #800577TIPS with info. https://t.co/cNaqWDG56y @NYPD88Pct</t>
  </si>
  <si>
    <t>Connect with NYPD’s new Commissioner James P. O’Neill at @NYPDONeill 
And NYPD’s new Chief of Dept, Carlos Gomez at @NYPDChiefofDept</t>
  </si>
  <si>
    <t>RT @NYPDChiefofDept: Honored 2 be the #NYPD Chief of Department. @NYPDONeill &amp;amp; I will continue 2 build bonds w/ community &amp;amp; reduce crime ht…</t>
  </si>
  <si>
    <t>RT @CommissBratton: Honored &amp;amp; privileged to have led the Finest police department in the world. Thanks to all the members for all you do ht…</t>
  </si>
  <si>
    <t>#HappeningNow: Join us as we say farewell to @CommissBratton outside of NYPD Headquarters. Live on @facebook https://t.co/BKA0Sa40kn</t>
  </si>
  <si>
    <t>Join us as we say farewell to @CommissBratton outside of NYPD Headquarters. Live on @facebook at 2:45 https://t.co/BKA0Sa40kn</t>
  </si>
  <si>
    <t>NYPD officers getting ready to say goodbye to Police Commissioner Bratton when he exits 1PP/NYPD HQ https://t.co/ywiLN22SY2</t>
  </si>
  <si>
    <t>"I want to acknowledge the families of the cops killed in the line of duty during my tenure," @CommissBratton now https://t.co/EWN4BeV64V</t>
  </si>
  <si>
    <t>#Now: @CommissBratton addresses guests before he walks out of NYPD HQ to a grand round of applause https://t.co/tegSR4kdA4</t>
  </si>
  <si>
    <t>A career of service spanning more than four decades. Thank you, @CommissBratton https://t.co/IdnlplGRoO</t>
  </si>
  <si>
    <t>Happy result: The 2,245 murders of 1990 became the 352 murders of 2015 https://t.co/VGMJc3IpJo</t>
  </si>
  <si>
    <t>RT @NYPDTransit: Honored to join @CommissBratton &amp;amp; @NYPDChiefofDept for a transit visit on Commissioner's last night of NYPD service https:…</t>
  </si>
  <si>
    <t>RT @CommissBratton: My retirement letter to Mayor Bill de Blasio: https://t.co/gX1TMkqMjr</t>
  </si>
  <si>
    <t>Need help and don’t want to talk? @CrisisTextLine is there for you 24/7. Just send a text. #TalkToMe @TalkToMe https://t.co/TN7xSAnjbq</t>
  </si>
  <si>
    <t>WANTED: Male driving a red Cadillac SRS for leaving the scene of an accident at 85-21 37 Ave, Qns. Call #800577TIPS https://t.co/lZFXcUNQsx</t>
  </si>
  <si>
    <t>RT @NYPDChiefofDept: An equally great way to spend my last tour in uniform. Thanks @CommissBratton for all you've done for #NYC &amp;amp; #NYPD  ht…</t>
  </si>
  <si>
    <t>Correction: The correct spelling of the person arrested is Akram Joudeh https://t.co/HaqWCuGuiF</t>
  </si>
  <si>
    <t>As @CommissBratton enters his final day tomorrow as Commissioner, let us take a moment to publicly say THANK YOU. https://t.co/iD3M6PxNT6</t>
  </si>
  <si>
    <t>RT @CommissBratton: I commend our officers for their bravery tonight in the incident near Penn Station. Keep them in your thoughts as they…</t>
  </si>
  <si>
    <t>The suspect has been identified as Akram Jouden, 32 years old, of Queens and it is believed he was residing out of his vehicle.</t>
  </si>
  <si>
    <t>Two other officers sustained non life threatening injuries and were taken to the hospital as well.</t>
  </si>
  <si>
    <t>The detective was transported to the hospital in serious condition, the suspect is in critical condition.</t>
  </si>
  <si>
    <t>Responding uniformed officers then fired at the suspect striking him several times.</t>
  </si>
  <si>
    <t>The suspect struck the detective in the head causing an approximate 6-inch wound.</t>
  </si>
  <si>
    <t>At this point an off-duty NYPD Detective in civilian clothes attempted to subdue the suspect.</t>
  </si>
  <si>
    <t>The suspect continued to flee w/b on W.32 Street towards 7 Ave. Mid-block the suspect jumped on top of the front of a marked police vehicle</t>
  </si>
  <si>
    <t>The @NYPDMTS officers pursued the male and put his description over the radio. A responding uniformed sergeant deployed a taser to no effect</t>
  </si>
  <si>
    <t>Upon arriving at the scene the officers encountered a male who removed a 11-inch meat clever from his waistband &amp;amp; fled west bound.</t>
  </si>
  <si>
    <t>Just prior to 5pm @NYPDMTS officers responded to a call for a crime in progress at W31St/Broadway.</t>
  </si>
  <si>
    <t>Reminder the following information is preliminary....</t>
  </si>
  <si>
    <t>#Now: @CommissBratton providing an update on the shooting more to following shortly... https://t.co/Kqw0U6w12V</t>
  </si>
  <si>
    <t>#HappeningSoon: @CommissBratton  @NYPDChiefofDept &amp;amp; other NYPD leadership to update press/public on the shooting. https://t.co/9Zrag6lhGP</t>
  </si>
  <si>
    <t>There has been a police involved shooting at W32St/Broadway in Manhattan. More information to follow when available.</t>
  </si>
  <si>
    <t>"Team Up" returns this October to @NYCschools: Events bringing in NYPD cops to engage, talk, connect with students &amp;amp; parents.</t>
  </si>
  <si>
    <t>.@NYCschools student Tuson Irvin is one example (of many) of how de-escalation &amp;amp; mediation skills are effective. https://t.co/TjOZXtX1iK</t>
  </si>
  <si>
    <t>NYPD &amp;amp; @NYCschools collaboration is reducing crime, building police-student positive bonds, &amp;amp; creating safe learning environments.</t>
  </si>
  <si>
    <t>#Now: @CommissBratton &amp;amp; @CarmenFarinaDOE addressing the press/public on safety in the schools. https://t.co/7oA3kS7HDM</t>
  </si>
  <si>
    <t>.@CommissBratton &amp;amp; @CarmenFarinaDOE listening to students discuss emotional control + more on restorative practices https://t.co/2aBkzg6OpD</t>
  </si>
  <si>
    <t>Now: @CommissBratton, Chancellor Farina, &amp;amp; students sharing how they feel currently. PC Bratton, "Relieved!" https://t.co/nXbLP0A6tO</t>
  </si>
  <si>
    <t>#Now: @CommissBratton &amp;amp; @NYCschools Commissioner Farina sitting in on a restorative circle during a class. https://t.co/k6aylABihF</t>
  </si>
  <si>
    <t>#HappeningSoon: @CommissBratton @NYCschools Commissioner Farina to update the press/public on safety in schools https://t.co/vufFNgwym5</t>
  </si>
  <si>
    <t>"Tech can be used to both fight crime &amp;amp; commit crime," says @CommissBratton now at @BrennanCenter #PolicingTech https://t.co/NxpHdBiqEy</t>
  </si>
  <si>
    <t>WANTED: Remington Soler, 26, for robbing a 71y/o man near 2505 Barker Ave, Bronx. Call #800577TIPS w/info. https://t.co/SiTy3okHX2</t>
  </si>
  <si>
    <t>A standing ovation for NYPD Police Commissioner Bratton as he exits his final CompStat https://t.co/96rhaWomuz</t>
  </si>
  <si>
    <t>#Now: @CommissBratton addressing his final NYPD CompStat. Watch: https://t.co/WACvalrMHw https://t.co/oA74EOE6KJ</t>
  </si>
  <si>
    <t>#Now: NYPD CompStat is being broadcasted live at https://t.co/WACvalabPY</t>
  </si>
  <si>
    <t>#HappeningSoon: @CommissBratton addressing his final CompStat meeting. Watch live on https://t.co/WACvalabPY at approx 8am</t>
  </si>
  <si>
    <t>#ICYMI NYPD ESU Cops rescue a man in crisis on a bridge. Tactics saves lives. #TalkToMe https://t.co/oNOHsYvwom https://t.co/TPnXXLc0P3</t>
  </si>
  <si>
    <t>.@NYPDSpecialops Cops Save Man Attempting To Jump From Bridge  https://t.co/9zIDOCzflh https://t.co/oNOHsYvwom</t>
  </si>
  <si>
    <t>Learn More About Suicide Prevention At NYPD Precinct Community Council Meetings https://t.co/secVJM86R9 #TalkToMe https://t.co/Hd0Kvhf3xj</t>
  </si>
  <si>
    <t>Help ID this man WANTED for bank robbery in Queens. Call #800577TIPS with info. https://t.co/WEOt4Da9Ub</t>
  </si>
  <si>
    <t>NYC City's heroes for sure! https://t.co/ieCa9cCDjZ</t>
  </si>
  <si>
    <t>MT @NYPDTransit: For those who prefer video, here's a clip of our wanted guys for you to share- Call #800577TIPS https://t.co/XomGeUtr42</t>
  </si>
  <si>
    <t>#HappeningNow: @CommissBratton &amp;amp; @NYPDChiefofDept speak to members of community media outlets about info sharing https://t.co/xmxcXvHGOm</t>
  </si>
  <si>
    <t>For almost 20 years, Lieutenant Tony Giorgio has headed the @NYPDCeremonial Unit https://t.co/wzUgzSnT2L</t>
  </si>
  <si>
    <t>RT @TalkToMe: How to be helpful to someone who is talking about suicide @800273TALK https://t.co/fXjJOXJegv #TalkToMe https://t.co/MFKrULSX…</t>
  </si>
  <si>
    <t>2 illegals guns taken off the #Bronx streets from 2 precincts- @NYPD43Pct &amp;amp; @NYPD47Pct. #ItsWhatWeDo https://t.co/SexfMqG8zQ</t>
  </si>
  <si>
    <t>UPDATE: Additional video released regarding the person wanted for setting a woman's clothes on fire #800577TIPS https://t.co/nFEjJGYeoG</t>
  </si>
  <si>
    <t>Info on this morning's (9/14) police involved shooting in the Bronx, within the confines of @NYPD45Pct/@NYPDPSA8 https://t.co/74ygOO8hH5</t>
  </si>
  <si>
    <t>There has been a police involved shooting in the Bronx within the confines of the @NYPD45Pct. More info to follow when available.</t>
  </si>
  <si>
    <t>On days like today, more than a thousand members of the NYPD are assigned to protect @POTUS. An inside look... https://t.co/LgvPUikaoE</t>
  </si>
  <si>
    <t>UPDATE: the suspect has been arrested @NYPD48Pct @NYPDDetectives https://t.co/xTPPyx7NHa</t>
  </si>
  <si>
    <t>UPDATE: A F/57 has been arrested for the murder of a M/64 on May 30th at 2325 Arthur Avenue. @NYPD48Pct @NYPDDetectives</t>
  </si>
  <si>
    <t>Connecting with NYC while also collaborating with our partners: #WinWin https://t.co/76K7vxNkeT</t>
  </si>
  <si>
    <t>More information on the male suspect wanted for lighting a woman's clothes on fire: https://t.co/q3dU1iASVJ https://t.co/9I0tSe02aM</t>
  </si>
  <si>
    <t>Help ID this woman who stole an 85Y/O woman's purse in the Bronx. Call #800577TIPS with info. (VIDEO) https://t.co/87DQjCi4Xh @NYPD48Pct</t>
  </si>
  <si>
    <t>WANTED: Male suspect for assault/lighting a women's clothes on fire in f/o 693 5th Ave 9pm, 9/10. Call #800577TIPS https://t.co/2cJk4GfwXR</t>
  </si>
  <si>
    <t>'Talk Saves Lives' learn how suicide is preventable via @afspnational  https://t.co/lQ3RhN8Yy2 #TalkToMe #StopSuicide</t>
  </si>
  <si>
    <t>'How NYPD's Elite ESU Trains' via @NBCNewYork @MarcSantia4NYvideo: https://t.co/YNWDlRCKy2 https://t.co/6DgdIFREm8</t>
  </si>
  <si>
    <t>These 2 dangerous weapons were taken off the streets of the Bronx by dedicated cops in the @NYPD47Pct. Great work! https://t.co/ms4mrMpT9V</t>
  </si>
  <si>
    <t>WANTED: Male suspect for assault/lighting a woman's clothes on fire in f/o 693 5th ave 9pm 9/10 Call #800577TIPS https://t.co/2cJk4GfwXR</t>
  </si>
  <si>
    <t>Here’s tips &amp;amp; resources on helping someone that might be suicidal via @IASPinfo https://t.co/wKQ7Rg9fwd #TalkToMe https://t.co/eF5r0EUSzx</t>
  </si>
  <si>
    <t>#ICYMI: @CommissBratton spoke w/@JCats2013 on @am970TheAnswer on the Sept 11th attacks &amp;amp; how the NYPD protects NYC https://t.co/mMBc8vCGI9</t>
  </si>
  <si>
    <t>UPDATE: M/57 arrested for homicide/shooting death of M/59 on 6/2 in #Manhattan confines of @NYPD23Pct @NYPDDetectives</t>
  </si>
  <si>
    <t>NYPD officers from @NYPDPSA7 made an arrest, recovered a knife &amp;amp; $18k in case in the #Bronx. Great work! https://t.co/w6yUnh44vx</t>
  </si>
  <si>
    <t>WANTED: Male suspect for
for breaking into a safe/taking cash on 8/21 at 1157 Intervale Ave #Bronx Call #800577TIPS https://t.co/s4dugi3XJS</t>
  </si>
  <si>
    <t>"As I leave the NYPD &amp;amp; still reside in NYC, I am very comfortable with its new leadership," says @CommissBratton https://t.co/1AYCiiqbAg</t>
  </si>
  <si>
    <t>"We need to not make decisions about policing without the communities we serve," @CommissBratton https://t.co/neH4cJrpFi</t>
  </si>
  <si>
    <t>"I love cops. That appreciation has come from being a cop. That's why we need leadership from within." -@CommissBratton now</t>
  </si>
  <si>
    <t>"Trust, Training, Tech, Terrorism &amp;amp; Tackling Crime are the pillars of the NYPD (the 5 T's)," says @CommissBratton https://t.co/PlWGUoDHUv</t>
  </si>
  <si>
    <t>#HappeningSoon: @CommissBratton addresses members of the Citizens Crime Commission of New York City https://t.co/GGIHmiSobl</t>
  </si>
  <si>
    <t>WANTED: M/B for armed robbery at 5 Fingerboard Rd #StatenIsland 8/9 8pm. Call #800577TIPS https://t.co/hEmKrTMk4b</t>
  </si>
  <si>
    <t>WANTED: 2 M/H’s for assault/ stabbing 3 men at 4am 9/11 at 1915 Coney Island Ave. Call #800577TIPS https://t.co/4uK2q8WlJX</t>
  </si>
  <si>
    <t>As people in our city celebrate Eid al-Adha, the NYPD is ready to ensure a safe holiday for all.</t>
  </si>
  <si>
    <t>As the roll call of fallen heroes comes to an end, we thank everyone for joining in our vow to #NeverForget.</t>
  </si>
  <si>
    <t>Detective Stuart F. Fishkin, Fleet Services Division | End of Tour: 5/8/2015 ~ https://t.co/bijkIfPdsV #neverforget</t>
  </si>
  <si>
    <t>Police Officer Peter D. Ciaccio, Medical Division | End of Watch: 2/12/2015 ~ https://t.co/7quVfKAhdh #neverforget</t>
  </si>
  <si>
    <t>Deputy Chief Steven J. Bonano, Patrol Borough Brooklyn South | End of Tour: 1/17/2015 ~ https://t.co/XhZpbTOlZC #neverforget</t>
  </si>
  <si>
    <t>Captain Scott V. Stelmok, 103 Precinct | End of Tour: 12/29/2014 ~ https://t.co/hG7zuuFMwr #neverforget</t>
  </si>
  <si>
    <t>Police Officer Shaun M. Mahoney, 109th Precinct | End of Tour: 12/10/2014 ~ https://t.co/K2uorxtr87 #neverforget</t>
  </si>
  <si>
    <t>Police Officer Robert W. Kaminski, Fleet Services Division | End of Tour: 12/4/2014 ~ https://t.co/VCX849TGlk #neverforget</t>
  </si>
  <si>
    <t>Inspector James Guida, Narcotics Division | End of Tour: 10/31/2014 ~ https://t.co/e4xAS6IbNo #neverforget</t>
  </si>
  <si>
    <t>Detective Luis G. Fernandez, ESS-6 | End of Tour: 10/16/2014 ~ https://t.co/HItctji7IP #neverforget</t>
  </si>
  <si>
    <t>Sergeant Detective Squad Stephen P. Scalza, Organized Crime Control Bureau | End of Tour: 10/1/2014 ~ https://t.co/pyapSl9AhY #neverforget</t>
  </si>
  <si>
    <t>Sergeant Patrick P. Murphy, ESS-5 | End of Tour: 8/20/2014 ~ https://t.co/gi7i7SufM8 #neverforget</t>
  </si>
  <si>
    <t>Detective James J. Albanese, Manhattan South Downtown Narcotics Division | End of Tour: 8/13/2014 ~ https://t.co/KVWmfedmdo #neverforget</t>
  </si>
  <si>
    <t>Detective John A. Russo, Technical Assistance Response Unit | End of Tour: 7/22/2014 ~ https://t.co/MGUfuLFlqM #neverforget</t>
  </si>
  <si>
    <t>Police Officer Cheryl D. Johnson, 115th Precinct | End of Tour: 12/22/2013 ~ https://t.co/BtjW1HPjgB #neverforget</t>
  </si>
  <si>
    <t>Police Officer James M. Burke, Fleet Services Division | End of Tour: 11/6/2013 ~ https://t.co/rfX6RTsgpw #neverforget</t>
  </si>
  <si>
    <t>Detective Richard H. Wentz, Gang Squad Brooklyn North | End of Tour: 5/14/2013 ~ https://t.co/STPZ9TLHRV #neverforget</t>
  </si>
  <si>
    <t>Police Officer Peter O. Rodriguez, Auto Crime Division | End of Tour: 2/12/2012 ~ https://t.co/vDaSKx9SCI #neverforget</t>
  </si>
  <si>
    <t>Police Officer Perry T. Villani, Property Clerk Division | End of Tour: 1/21/14 ~ https://t.co/7wrhAGY5GX  #neverforget</t>
  </si>
  <si>
    <t>Detective William B. Titus, Jr., Narcotics Borough Brooklyn North | End of Tour: 8/24/03 ~ https://t.co/sgCdAizZW9  #neverforget</t>
  </si>
  <si>
    <t>Detective Christopher Strucker, Criminal Intelligence Section | End of Tour: 1/3/14 ~ https://t.co/jNNAB4s4Qx  #neverforget</t>
  </si>
  <si>
    <t>Captain Ronald G. Peifer, Sr., Patrol Services Bureau | End of Tour: 3/15/14 ~ https://t.co/WRwHI9J3qt  #neverforget</t>
  </si>
  <si>
    <t>Police Officer Allison M. Palmer, Patrol Services Bureau | End of Tour: 7/28/08 ~ https://t.co/Y5DcZ0EiwR  #neverforget</t>
  </si>
  <si>
    <t>Sergeant Donald J. O’Leary, Jr., Transit Bureau District 11 | End of Tour: 5/1/13 ~ https://t.co/WbSWIqnt47  #neverforget</t>
  </si>
  <si>
    <t>Detective Robert A. Montanez, Narcotics Division Bronx Central Initiative | End of Tour: 3/16/14 ~ https://t.co/8HDqFuYeJB  #neverforget</t>
  </si>
  <si>
    <t>Detective John J. Marshall, Narcotics Borough Brooklyn South | End of Tour: 4/6/14 ~ https://t.co/y4fscoSd6E  #neverforget</t>
  </si>
  <si>
    <t>Detective Steven Hom, Narcotics Borough Brooklyn South | End of Tour: 10/19/13 ~ https://t.co/KeoXSxPCNR  #neverforget</t>
  </si>
  <si>
    <t>Detective Michael R. Henry, 42nd Precinct Detective Squad | End of Tour: 11/28/13 ~ https://t.co/2djtAXTVgD  #neverforget</t>
  </si>
  <si>
    <t>Police Officer Nicholas G. Finelli, 43 Precinct | End of Tour: 6/8/13 ~ https://t.co/8JTW8PkrEG  #neverforget</t>
  </si>
  <si>
    <t>Sergeant Paul M. Ferrara, 110 Precinct | End of Tour: 8/28/14 ~ https://t.co/V4M4IsiHLA  #neverforget</t>
  </si>
  <si>
    <t>Police Officer Anthony De Jesus, 42 Precinct | End of Tour: 5/24/13 ~ https://t.co/k6Y2WHGQ7U  #neverforget</t>
  </si>
  <si>
    <t>Detective Angel Creagh, Narcotics Borough Brooklyn South | End of Tour: 1/14/14 ~ https://t.co/pJo4BVVHVf  #neverforget</t>
  </si>
  <si>
    <t>Police Officer Francis T. Pitone, Housing Police Service Area 8 | End of Tour: 8/11/13 ~  https://t.co/kokvZwcnrW  #neverforget</t>
  </si>
  <si>
    <t>Police Officer Frank G. Macri, Housing Police Service Area 2 | End of Tour: 9/3/07 ~ https://t.co/kJb6iPqYlv  #neverforget</t>
  </si>
  <si>
    <t>Police Officer Richard G. Holland, Transit District 20 | End of Tour: 3/23/12 ~ https://t.co/8zn0FFkDFl  #neverforget</t>
  </si>
  <si>
    <t>Police Officer Ronald G. Becker Jr., 42nd Precinct | End of Tour: 8/19/2012 ~ https://t.co/zbnQ7qIH9e  #neverforget</t>
  </si>
  <si>
    <t>Police Officer Karen E. Barnes, Housing Police Service Area 1 | End of Tour: 8/4/11 ~ https://t.co/XMpif8IQd3  #neverforget</t>
  </si>
  <si>
    <t>Today our @twitter  account is dedicated to remembering our 9/11 fallen brothers and sisters. Please join us in our vow to #neverforget.</t>
  </si>
  <si>
    <t>Detective Thomas F. Weiner, Jr., Medical Division | End of Tour: 5/3/2003 ~ https://t.co/VeU8M9EsP7  #neverforget</t>
  </si>
  <si>
    <t>Detective Traci L. Tack-Czajkowski, Drug Enforcement Task Force | End of Tour: 1/15/13 ~  https://t.co/3tfsNJ62YQ  #neverforget</t>
  </si>
  <si>
    <t>Detective Tommy L. Merriweather, Firearms Suppression Division | End of Tour: 1/21/13 ~ https://t.co/0mcuwYzTVq  #neverforget</t>
  </si>
  <si>
    <t>Detective John F. Kristoffersen, Brooklyn North Homicide Squad | End of Tour: 8/25/2012 ~ https://t.co/oNfW6uvcSp  #neverforget</t>
  </si>
  <si>
    <t>Detective Carmen M. Figueroa, Major Case Squad | End of Tour: 5/26/13 ~ https://t.co/BujcPmGiob  #neverforget</t>
  </si>
  <si>
    <t>Sergeant Michael J. McHugh, Patrol Borough Manhattan South | End of Tour: 7/3/12 ~ https://t.co/jp3qhCwqKg  #neverforget</t>
  </si>
  <si>
    <t>Lieutenant Steven L. Cioffi, Central Park Precinct | End of Tour: 3/5/2013 ~ https://t.co/jsK3vMrpQp  #neverforget</t>
  </si>
  <si>
    <t>Captain Dennis Morales, Emergency Service Unit | End of Tour: 7/27/12 ~ https://t.co/jtKGJCIHCr   #neverforget</t>
  </si>
  <si>
    <t>Sergeant Garrett Danza, Communications Division | End of Tour: 7/11/12 ~ https://t.co/gWV0y5L9xr   #neverforget</t>
  </si>
  <si>
    <t>Lieutenant Christopher Pupo, 41st Pct | End of Tour: 6/23/12 ~ https://t.co/QrekWCTxWH   #neverforget</t>
  </si>
  <si>
    <t>Detective Alick Herrmann, 100th Pct Detective Squad | End of Tour: 12/23/11 ~ https://t.co/D8BrHu2UZe   #neverforget</t>
  </si>
  <si>
    <t>Detective Edwin Ortiz, 40th Pct Detective Squad | End of Tour: 7/4/11 ~ https://t.co/IyT0708OTF   #neverforget</t>
  </si>
  <si>
    <t>Captain Barry Galfano, Emergency Service Unit | End of Tour: 6/26/11 ~ https://t.co/fdspNPDvD7   #neverforget</t>
  </si>
  <si>
    <t>Police Officer Martin Tom, License Division | End of Tour: 6/9/11 ~ https://t.co/A1DSh0G6zj   #neverforget</t>
  </si>
  <si>
    <t>Each and every name lost in the WTC attack on 9/11 https://t.co/I3YOLt6etb Join us in honoring each one of them. https://t.co/SBtTx8HefS</t>
  </si>
  <si>
    <t>Protectors of NYC. 
Protectors of America. 
Yesterday, today, always.
#NeverForget #USMC #FDNY #NYPD (photo: @FDNY) https://t.co/MMOHIJqv3I</t>
  </si>
  <si>
    <t>Police Officer George Wong, Headquarters Security Unit | End of Tour: 3/24/11 ~ https://t.co/z1dxSzyh73   #neverforget</t>
  </si>
  <si>
    <t>Sergeant Harold Smith, Narcotics Borough Staten Island | End of Tour: 3/5/11 ~ https://t.co/idNm1ZuEou   #neverforget</t>
  </si>
  <si>
    <t>Detective Kevin Czartoryski,Office of Deputy Commissioner Public Info. | End of Tour: 12/5/10 ~ https://t.co/ll9bEgFpxA   #neverforget</t>
  </si>
  <si>
    <t>Police Officer Robert Ehmer, 110th Pct | End of Tour 11/21/10 ~ https://t.co/A50MH4YfGv   #neverforget</t>
  </si>
  <si>
    <t>Police Officer David Mahmoud, 75th Pct | End of Tour: 11/11/10 ~ https://t.co/p5psMfBgzM   #neverforget</t>
  </si>
  <si>
    <t>Lieutenant Jacqueline McCarthy, Employee Relations Section | 7/5/10 ~ https://t.co/IYi5uVphCX   #neverforget</t>
  </si>
  <si>
    <t>Detective Joseph Seabrook, 20th Pct | End of Tour: 5/29/10 ~ https://t.co/BiuUSzp4Nj   #neverforget</t>
  </si>
  <si>
    <t>Police Officer Robert Oswain, 47th Pct | End of Tour: 5/15/10 ~ https://t.co/wj8fZubCa5   #neverforget</t>
  </si>
  <si>
    <t>RT @NYPD19Pct: 15yrs ago seems like yesterday to the members of the 19 who worked tirelessly for months following 9/11 #NeverForget https:/…</t>
  </si>
  <si>
    <t>Join us in taking a moment to remember the @PANYNJ officers that died on 9/11. #Neverforget https://t.co/O1vOC5k6a9 https://t.co/Zdjcn13r2E</t>
  </si>
  <si>
    <t>RT @NYPD25Pct: The 25 pct pays tribute to the lives lost &amp;amp; the heroes who made the ultimate sacrifice on 9/11 #NeverForget #NYPD https://t.…</t>
  </si>
  <si>
    <t>Why We Remember https://t.co/w6vX8kYkfu
#NeverForget #September11 #Honor911</t>
  </si>
  <si>
    <t>Today our @twitter account is dedicated to remembering our 9/11 fallen brothers and sisters. Please join us in our vow to #neverforget.</t>
  </si>
  <si>
    <t>Earlier today 1st responders marched with the American Flag at the @Sept11Memorial as we honored all who were lost https://t.co/bnrMcOV0cg</t>
  </si>
  <si>
    <t>Police Officer Frank Bolusi, 120th Pct | End of Tour: 1/12/10 ~ https://t.co/DMLA2JyjMw   #neverforget</t>
  </si>
  <si>
    <t>Lieutenant Carlos Ocasio, Office of Deputy Commissioner of Training | End of Tour: 11/21/10 ~ https://t.co/mFJ9aqMqYQ   #neverforget</t>
  </si>
  <si>
    <t>Sergeant Charles Clark, Police Service Area 8 | End of Tour: 11/7/09 ~ https://t.co/vUxFVMIccc   #neverforget</t>
  </si>
  <si>
    <t>Police Officer Robert Grossman, 28th Pct | End of Tour: 10/9/09 ~ https://t.co/UZsvk9Gdbw   #neverforget</t>
  </si>
  <si>
    <t>Detective Corey Diaz, Organized Crime Control Bureau | End of Tour: 10/7/09 ~ https://t.co/M3PQ9AEYpM   #neverforget</t>
  </si>
  <si>
    <t>Inspector Donald Feser, Manhattan Traffic Task Force | End of Tour: 9/12/09 ~ https://t.co/9goWwIW5Ak   #neverforget</t>
  </si>
  <si>
    <t>Police Officer Renee Dunbar, 103rd Pct | End of Tour: 8/25/09 ~ https://t.co/xIQzpmycbh   #neverforget</t>
  </si>
  <si>
    <t>Detective Michael Morales, 122nd Pct Detective Squad | End of Tour: 6/10/09 ~ https://t.co/lEuc91NQa7   #neverforget</t>
  </si>
  <si>
    <t>Police Officer Richard Jakubowsky, Transit Bureau Bronx Task Force | End of Tour: 6/7/09 ~ https://t.co/0xt3DXFHFJ   #neverforget</t>
  </si>
  <si>
    <t>Police Officer Robert Zane, Transit District 34 | End of Tour: 5/12/09 ~ https://t.co/vv6iQziXmT   #neverforget</t>
  </si>
  <si>
    <t>Lieutenant Gerald Rex, Patrol Borough Manhattan South | End of Tour: 3/30/09 ~ https://t.co/b6rDBdmftA   #neverforget</t>
  </si>
  <si>
    <t>Lieutenant Brian Mohamed, 20th Pct | End of Tour: 3/5/09 ~ https://t.co/oIWrmYTjXQ   #neverforget</t>
  </si>
  <si>
    <t>Police Officer Vito Mauro, 67th Pct | End of Tour: 12/2/08 ~ https://t.co/065T6O7z7s   #neverforget</t>
  </si>
  <si>
    <t>Sergeant Alex Baez, 84th Pct | End of Tour: 11/22/08 ~ https://t.co/V37qwgp2Ub   #neverforget</t>
  </si>
  <si>
    <t>Inspector Richard Winter, Fleet Services Division | End of Tour: 10/25/08 ~ https://t.co/e9za2d31wF   #neverforget</t>
  </si>
  <si>
    <t>Because of the actions of the 40 passengers &amp;amp; @United crew of Flight 93, the attack on the U.S. Capitol was thwarted https://t.co/DymEEBUZE3</t>
  </si>
  <si>
    <t>We will #neverforget those lost on 9/11 at the Pentagon https://t.co/d2vhJlqGZn</t>
  </si>
  <si>
    <t>A moment of silence at @NYPD19Pct &amp;amp; every NYPD pct for all the lives lost on 9/11 &amp;amp; related illness #NeverForget https://t.co/AmhfxyteDD</t>
  </si>
  <si>
    <t>#HappeningNow at NYPD HQ &amp;amp; every precinct- a reading of all the NYPD names that died on 9/11 #NeverForget https://t.co/DUoWI0syUz</t>
  </si>
  <si>
    <t>#HappeningSoon: At the @NYPD19Pct &amp;amp; every precinct the reading of each NYPD name that died on 9/11. #NeverForget https://t.co/YfqeQsfKlh</t>
  </si>
  <si>
    <t>Police Officer Robert Nicosia, Technical Assistance &amp;amp; Response Unit | End of Tour: https://t.co/heDY2PNftN   #neverforget</t>
  </si>
  <si>
    <t>Police Officer Gary Mausberg, 73rd Pct | End of Tour: 10/8/08 ~ https://t.co/ewgRtayta7   #neverforget</t>
  </si>
  <si>
    <t>We will #neverforget the first responders from the @FDNY &amp;amp; @PANYNJ that we lost on 9/11 https://t.co/PLxS0AvWKy</t>
  </si>
  <si>
    <t>Police Officer Christopher McMurry, 77th Pct | End of Tour: 8/1/08 ~ https://t.co/z8RcxwYeNC   #neverforget</t>
  </si>
  <si>
    <t>Auto Mechanic Elmis Fisher, Fleet Services Division | End of Tour: 6/1/08 ~ https://t.co/yNYR589FFs   #neverforget</t>
  </si>
  <si>
    <t>Detective John Goggin, 94th Pct Detective Squad | End of Tour: 5/6/08 ~ https://t.co/FCjgH78VCq   #neverforget</t>
  </si>
  <si>
    <t>Sergeant Edward Thompson, Intelligence Division | End of Tour: 3/9/08 ~ https://t.co/A9Gexi5lQN   #neverforget</t>
  </si>
  <si>
    <t>Join us in stopping to remember the 343 @FDNY fireman that died on 9/11. We will #neverforget. https://t.co/xMjVbjXOFY</t>
  </si>
  <si>
    <t>Detective William Holfester, Narcotics Borough Manhattan North | End of Tour: 1/22/08 ~ https://t.co/C1Me6thjTG   #neverforget</t>
  </si>
  <si>
    <t>Sergeant Michael Ryan, Warrant Section | End of Tour: 11/5/07 ~ https://t.co/8ZqFCAZkmS   #neverforget</t>
  </si>
  <si>
    <t>Sergeant Claire Hanrahan, Narcotics Borough Manhattan North | End of Tour: 8/28/07 ~ https://t.co/4pYJA1JZPJ   #neverforget</t>
  </si>
  <si>
    <t>Police Officer Robert Helmke, Medical Division | End of Tour: 7/28/07 ~ https://t.co/FOxVQmbryn   #neverforget</t>
  </si>
  <si>
    <t>Police Officer Madeline Carlo, Housing Bureau | End of Tour: 7/15/07 ~ https://t.co/dRuRZA80w1   #neverforget</t>
  </si>
  <si>
    <t>Detective Robert Williamson, PBMS Anti-Crime | End of Tour: 5/13/07 ~ https://t.co/QbZBFwTfGD   #neverforget</t>
  </si>
  <si>
    <t>Detective Kevin Hawkins, Intelligence Division | End of Tour: 5/7/07 ~ https://t.co/xMOwRKgrOH   #neverforget</t>
  </si>
  <si>
    <t>Police Officer Louise Johnston, Brooklyn South Task Force | End of Tour: 3/6/07 ~ https://t.co/yUgwHyR0gQ   #neverforget</t>
  </si>
  <si>
    <t>Detective John Young, 50th Pct Detective Squad | End of Tour: 2/19/07 ~ https://t.co/RcIJSn3mv3   #neverforget</t>
  </si>
  <si>
    <t>Detective Roberto Rivera, Joint Terrorist Task Force | End of Tour: 1/27/07 ~ https://t.co/khk71eQUP1   #neverforget</t>
  </si>
  <si>
    <t>Police Officer Daniel Conroy, Property Clerk Division | End of Tour: 12/3/06 ~ https://t.co/HLMHEiPyw5   #neverforget</t>
  </si>
  <si>
    <t>Police Officer Patrice Ott, Property Clerk Division | End of Tour: 9/8/06 ~ https://t.co/7Hb4md59xL   #neverforget</t>
  </si>
  <si>
    <t>Captain Edward Gilpin, Patrol Borough Manhattan South | End of Tour: 9/7/06 ~ https://t.co/pIyhtby2QO   #neverforget</t>
  </si>
  <si>
    <t>Police Officer Angelo Peluso, License Division | End of Tour: 5/24/06 ~ https://t.co/u1p1zJbaON   #neverforget</t>
  </si>
  <si>
    <t>Detective Sandra Adrian, Internal Affairs Bureau | End of Tour: 1/11/06 ~ https://t.co/0kOK824UJR   #neverforget</t>
  </si>
  <si>
    <t>Detective James Zadroga, Manhattan South Homicide | End of Tour: 1/5/06 ~ https://t.co/rUY1ZXddCO   #neverforget</t>
  </si>
  <si>
    <t>Police Officer Ronald Weintraub, Midtown South Pct | End of Tour: 11/16/05 ~ https://t.co/4fndBLIRlU   #neverforget</t>
  </si>
  <si>
    <t>Police Officer Thomas Brophy, 109th Pct | End of Tour: 4/21/05 ~ https://t.co/iSYjIqEZr4   #neverforget</t>
  </si>
  <si>
    <t>Police Officer James Godbee, 28th Pct | End of Tour: 12/30/04 ~ https://t.co/Z9XZD9n2aN   #neverforget</t>
  </si>
  <si>
    <t>Police Officer Edward Ferraro, Management Information Systems Division | End of Tour: 6/6/04 ~ https://t.co/XUoxgpyOUq   #neverforget</t>
  </si>
  <si>
    <t>Police Officer Stephen Driscoll, ESS-4 | End of Tour: 9/11/01 ~ https://t.co/XIDCeCaGep   #neverforget</t>
  </si>
  <si>
    <t>Police Officer Walter Weaver, ESS-3 | End of Tour: 9/11/01 ~ https://t.co/qQAzoS6cFl   #neverforget</t>
  </si>
  <si>
    <t>Detective Joseph Vigiano, ESS-3 | End of Tour: 9/11/01 ~ https://t.co/utVZmeTShB   #neverforget</t>
  </si>
  <si>
    <t>Police Officer Santos Valentin, Jr., ESS-7 | End of Tour: 9/11/01 ~ https://t.co/qEexb6ybOR   #neverforget</t>
  </si>
  <si>
    <t>Police Officer Paul Talty, ESS-10 | End of Tour: 9/11/01 ~ https://t.co/zCxzybSYSJ   #neverforget</t>
  </si>
  <si>
    <t>Police Officer Ramon Suarez, TD-4 | End of Tour: 9/11/01 ~ https://t.co/LOTRNJEYgT   #neverforget</t>
  </si>
  <si>
    <t>Police Officer Moira Smith, 13th Pct | End of Tour: 9/11/01 ~ https://t.co/7CzNoU0SYE   #neverforget</t>
  </si>
  <si>
    <t>Sergeant Timothy Roy, Transportation Bureau | End of Tour: 9/11/01 ~ https://t.co/kRGHonabMQ   #neverforget</t>
  </si>
  <si>
    <t>Detective Claude Richards, Bomb Squad | End of Tour: 9/11/01 ~ https://t.co/ZtGnnIRicH   #neverforget</t>
  </si>
  <si>
    <t>Police Officer Glen Pettit, Police Academy Video Production Unit | End of Tour: 9/11/01 ~ https://t.co/UTDIRfeSrk   #neverforget</t>
  </si>
  <si>
    <t>Police Officer John Perry, 40th Pct | End of Tour: 9/11/01 ~ https://t.co/Lk6N4lfiNY   #neverforget</t>
  </si>
  <si>
    <t>Police Officer Brian McDonnell, ESS-1 | End of Tour: 9/11/01 ~ https://t.co/xW8VHvkoTM   #neverforget</t>
  </si>
  <si>
    <t>Police Officer James Leahy, 6th Pct | End of Tour: 9/11/01 ~ https://t.co/kzW8uVyWyu   #neverforget</t>
  </si>
  <si>
    <t>Police Officer Thomas Langone, ESS-10 | End of Tour: 9/11/01 ~ https://t.co/9bUZNIfe1z   #neverforget</t>
  </si>
  <si>
    <t>Police Officer Ronald Kloepfer, ESS-7 | End of Tour: 9/11/01 ~ https://t.co/4GaHFhF3ye   #neverforget</t>
  </si>
  <si>
    <t>Police Officer Robert Fazio, 13th Pct | End of Tour: 9/11/01 ~ https://t.co/WXLBFn0MhJ   #neverforget</t>
  </si>
  <si>
    <t>Police Officer Rodney Gillis, ESS-8 | End of Tour: 9/11/01 ~ https://t.co/Cb5n53kfJO   #neverforget</t>
  </si>
  <si>
    <t>Police Officer Mark Ellis, TD-4 | End of Tour: 9/11/01 ~ https://t.co/LTPhcCv1Zo   #neverforget</t>
  </si>
  <si>
    <t>Police Officer Jerome Dominguez, ESS-3 | End of Tour: 9/11/01 ~ https://t.co/D0j79ipsDi   #neverforget</t>
  </si>
  <si>
    <t>Police Officer Vincent Danz, ESS-3 | End of Tour: 9/11/01 ~ https://t.co/Ds7WmjYRFG   #neverforget</t>
  </si>
  <si>
    <t>Police Officer John D'Allara, ESS-2 | End of Tour: 9/11/01 ~ https://t.co/QjL3b6E387   #neverforget</t>
  </si>
  <si>
    <t>Sergeant Michael Curtin, ESS-2 | End of Tour: 9/11/01 ~ https://t.co/KTN5W26RSH   #neverforget</t>
  </si>
  <si>
    <t>Sergeant John Coughlin, ESS-4 | End of Tour: 9/11/01 ~ https://t.co/pvB2z2Krl6   #neverforget</t>
  </si>
  <si>
    <t>In remembrance of those we lost on 9/11 &amp;amp; afterwards due to 9/11-related illnesses, a tribute to each of the fallen... #neverforget</t>
  </si>
  <si>
    <t>Where were you on 9/11? Officer Dilone was studying interior design. Now he’s one of NY’s Finest. Thx Officer Dilone https://t.co/JFzaVMDSx8</t>
  </si>
  <si>
    <t>Where were you on 9/11? NYPD Recruit Krauss was in 5th grade. She can’t wait to help protect NYC. Thx Recruit Krauss https://t.co/GH5HFCwniT</t>
  </si>
  <si>
    <t>Where were you on 9/11? NYPD Officer Ewart was a cop in Queens &amp;amp; now works w/@NYPDSpecialops K9. Thx Officer Ewart https://t.co/BPnL9kIJ5I</t>
  </si>
  <si>
    <t>Where were you on 9/11? NYPD Officer Diaz decided then to become one of NY's Finest. Thanks Officer Diaz https://t.co/r2X9WRT4dX</t>
  </si>
  <si>
    <t>Where were you on 9/11? NYPD Recruit Tuffarelli made the choice then to become one of NY's Finest. Let's say thanks https://t.co/73OG97AG3M</t>
  </si>
  <si>
    <t>Thank you to our partners from France &amp;amp; all over the world who joined us yesterday to honor our 9/11 heroes https://t.co/NtCTVh4uom</t>
  </si>
  <si>
    <t>Advisory: Today at approx 4pm, 5 military aircraft will be flying over the Hudson River in a scheduled flight.</t>
  </si>
  <si>
    <t>RT @NYPDCT: You don’t have to be an expert to help someone. Start a conversation today. #TalkToMe #SuicidePrevention https://t.co/oaIhPdfXrV</t>
  </si>
  <si>
    <t>Join the @Sept11Memorial &amp;amp; take a day to remember the day that changed us forever. #Honor911 https://t.co/DlQnreq1qG</t>
  </si>
  <si>
    <t>Thank you, @AlfonsoQuiroz. We certainly don’t do it for recognition, but thank you for the kind words. #ItsWhatWeDo https://t.co/JAGEIX1K9Z</t>
  </si>
  <si>
    <t>‘NYPD officers join in viral pushup challenge to raise awareness of veteran suicide’-  @PIX11News https://t.co/riMN3XrpUW #TalkToMe #WSPD16</t>
  </si>
  <si>
    <t>RT @amNewYork: @NYPDnews promotes #SuicidePreventionAwarenessMonth w/ social media campaign https://t.co/jY9m8MB46k https://t.co/x5S1b3AZVe</t>
  </si>
  <si>
    <t>Today is World #SuicidePrevention Day. Check in with someone today that might need help. Here’s some tips #TalkToMe https://t.co/il1OXikgBv</t>
  </si>
  <si>
    <t>In NYC this weekend? There's plenty going on so plan ahead &amp;amp; enjoy w/our traffic advisory: https://t.co/3rhAigSRVb https://t.co/Q0cPrm8NhL</t>
  </si>
  <si>
    <t>To all of the other bands and people who came out to join us in our vow to #NeverForget, THANK YOU. https://t.co/Ct5SFf3cnD</t>
  </si>
  <si>
    <t>A great way to end the 9/11 Memorial Procession: @USMC https://t.co/pmD4D6qbCs</t>
  </si>
  <si>
    <t>Wilmington Police Department (North Carolina) https://t.co/FNDp4AKXgQ</t>
  </si>
  <si>
    <t>New Jersey State Police Pipe Band #NeverForget https://t.co/4YJEwqT37e</t>
  </si>
  <si>
    <t>Thank you for your support New York State Environmental Conservation Police Pipes &amp;amp; Drums https://t.co/W7CF1mJAcf</t>
  </si>
  <si>
    <t>Some more photos of the bands that participated in our 9/11 Memorial Procession. #NeverForget Columbus, Ohio Police https://t.co/B9W5C0JEBn</t>
  </si>
  <si>
    <t>RT @harleydavidson: We're donating and delivering new #MilwaukeeEight police bikes to the #NYPD on the 15th anniversary of 9/11. https://t.…</t>
  </si>
  <si>
    <t>RT @NYPD88Pct: Thank you to the student body @ St. Joseph's College #Clintonhill for including the 88 Pct in their 9/11 memorial https://t.…</t>
  </si>
  <si>
    <t>RT @Sept11Memorial: Sunday marks the 15th anniversary of #September11. Share your remembrance message with #Honor911 #15YearsLater https://…</t>
  </si>
  <si>
    <t>"To the families of the fallen, it is our honor &amp;amp; privilege to be here &amp;amp; be able to do this for you."- @EmeraldNYPD https://t.co/X4xyL4ao8D</t>
  </si>
  <si>
    <t>NYPD Police Commissioner Bratton speaking on the courage and honor of the first responders on 9/11 https://t.co/8SLrGFx60X</t>
  </si>
  <si>
    <t>LIVE on #Periscope: .@CommissBratton speaks now at the Police Memorial Wall in Lower Manhattan as we honor fallen 9… https://t.co/scud1wAHV4</t>
  </si>
  <si>
    <t>NYC Mayor @BilldeBlasio thanking the participants and speaking on the importance of this procession. #NeverForget https://t.co/TUnke02Egl</t>
  </si>
  <si>
    <t>More photos of the procession to come. Now a memorial service with the singing of the US &amp;amp; Canadian national anthems https://t.co/PzyLf0KahA</t>
  </si>
  <si>
    <t>Mercí &amp;amp; Thank you Quebec Police @rcmpqc https://t.co/ts7UggocAG</t>
  </si>
  <si>
    <t>.@Chicago_Police marching in the 9/11 Pipes &amp;amp; Drums Memorial Procession https://t.co/sLRTIoqWIJ</t>
  </si>
  <si>
    <t>Our friends from the West Coast @SeattlePD https://t.co/7G8CQbK89P</t>
  </si>
  <si>
    <t>Our brothers and sisters from @bostonpolice Pipes &amp;amp; Drums Gaelic Column https://t.co/hHj1tsWPz8</t>
  </si>
  <si>
    <t>Nassau County Police Department https://t.co/ezddu3cYsM</t>
  </si>
  <si>
    <t>West Point Military Academy Pipes &amp;amp; Drums https://t.co/FuLsj62OPT</t>
  </si>
  <si>
    <t>Bergen County Police Pipes &amp;amp; Drums playing #GodBlessAmerica https://t.co/FwR247xWtU</t>
  </si>
  <si>
    <t>Make sure to check us out on #snapchat during the 9/11 Memorial Procession.</t>
  </si>
  <si>
    <t>Thank you to our brothers and sisters from Canada- @TorontoPolice https://t.co/oeBQ2DBvgS</t>
  </si>
  <si>
    <t>Heroes of NYC &amp;amp; America- American Legion Post 460. https://t.co/abLZjkW15a</t>
  </si>
  <si>
    <t>The Steven P. Driscoll Memorial Pipe Band https://t.co/7eEZ1jhjop</t>
  </si>
  <si>
    <t>You're never too young to be part of the NYPD. @NYPDCadets https://t.co/DvoDfFuaeg</t>
  </si>
  <si>
    <t>The world famous @NYPDCeremonial band https://t.co/gKCMWXNQHl</t>
  </si>
  <si>
    <t>Our @NYPDtraining recruits proudly passing by. Ready to protect NYC! https://t.co/fJafQEMX2t</t>
  </si>
  <si>
    <t>Can’t make it to the 9/11 Pipes &amp;amp; Drums Memorial Procession? Watch it live at 12:30pm on https://t.co/FMsoGmM4uF</t>
  </si>
  <si>
    <t>#NOW: A procession honoring the heroes of 9/11. Police departments from the US &amp;amp; Canada participating. https://t.co/3HYMBIAt2N</t>
  </si>
  <si>
    <t>LIVE on #Periscope: Join us as we march to honor and remember our 9/11 heroes. #NeverForget  https://t.co/k2hbadjE4I</t>
  </si>
  <si>
    <t>Moments away from the 9/11 Pipes &amp;amp; Drums Memorial Procession. @EmeraldNYPD is ready! https://t.co/WxXZorusfG</t>
  </si>
  <si>
    <t>#HappeningSoon: 9/11 Pipes &amp;amp; Drums Memorial Procession. NYPD Mounted Unit ready to start. https://t.co/ITEt4UYkEj https://t.co/XgqG9fPRZU</t>
  </si>
  <si>
    <t>This is just the warm-up. Police department bands honoring 9/11. Starts at noon #NeverForget https://t.co/aEcQPACCYh https://t.co/MmnKM0cylS</t>
  </si>
  <si>
    <t>“We’re going to have one of the lowest crime rates in NYC this year,” @CommissBratton LIVE on @1010WINS’ Facebook https://t.co/22p7IbuhBZ</t>
  </si>
  <si>
    <t>Watch LIVE now on @1010WINS' Facebook as they speak to @CommissBratton: https://t.co/22p7IbuhBZ https://t.co/KhcOEdUDsl</t>
  </si>
  <si>
    <t>On 9/11 our @twitter account will be dedicated to remembering our fallen brothers and sisters. Please join us in our vow to #NeverForget.</t>
  </si>
  <si>
    <t>Join us today as we honor 9/11 heroes. Live On Facebook: https://t.co/BKA0Sa40kn 
More: https://t.co/aEcQPACCYh https://t.co/4uTAsF8LEF</t>
  </si>
  <si>
    <t>Cops In The @NYPD47Pct Give School Supplies to NYC Kids https://t.co/O05yxuzYpH 
See more: https://t.co/DkVKLPDNL6</t>
  </si>
  <si>
    <t>This suspect stole $600 from a 93Y/O woman. HELP ID him so he can be arrested. #800577TIPS https://t.co/XY3dzEXOVY https://t.co/XrquEZijK2</t>
  </si>
  <si>
    <t>NYPD Promotes Suicide Awareness on Social Media with #TalkToMe via  @amNewYork @AlisonFox  https://t.co/TGCwug4Fan https://t.co/n0RmhBvFuh</t>
  </si>
  <si>
    <t>"We've just had the safest summer in NYC's modern history," @CommissBratton on @Morning_Joe</t>
  </si>
  <si>
    <t>"The revitalization of Lower Manhattan has been nothing short of amazing since the 9/11 attacks," @CommissBratton now on @Morning_Joe</t>
  </si>
  <si>
    <t>Watch Live Now as @CommissBratton joins the @Morning_Joe Show: https://t.co/avpW0SCSFJ https://t.co/UgfaQb3JHz</t>
  </si>
  <si>
    <t>RT @Morning_Joe: Coming up... @CommissBratton #morningjoe https://t.co/ADGwpktL1g</t>
  </si>
  <si>
    <t>14 Emergency Service Unit officers were killed on 9/11. Join us in our vow to #NeverForget their story https://t.co/4cZUdobI9l</t>
  </si>
  <si>
    <t>#ICYMI: NYPD Responds To Deeply Flawed Inspector General’s Quality-Of-Life Report https://t.co/uEFqsDLzOK</t>
  </si>
  <si>
    <t>Help ID two males wanted for robbery in the Bronx. Call #800577TIPS with info. @NYPD47Pct https://t.co/VS7oatDKZb</t>
  </si>
  <si>
    <t>Join us in our vow to #NeverForget our 9/11 heroes. #Honor911 
More Info: https://t.co/aEcQPACCYh @EmeraldNYPD https://t.co/4uTAsF8LEF</t>
  </si>
  <si>
    <t>RT @NYPDSchools: NYPD School Safety planning for a safe year. Safe City=Safe Schools @NYPDnews @NYPDCommAffairs @CommissBratton https://t.c…</t>
  </si>
  <si>
    <t>#ICYMI: @CommissBratton spoke to @errollouis on @InsideCityHall last night. WATCH: https://t.co/zt4hFSKgcA @NY1 https://t.co/BU6P1mvWP8</t>
  </si>
  <si>
    <t>WANTED: Male 25-35y/o, for public lewdness near E 52 St, between Ave J &amp;amp; Ave I. Call #800577TIPS w/info. @NYPD63Pct https://t.co/ahODv2qAsA</t>
  </si>
  <si>
    <t>Brooklyn’s Finest Take Cache Of Guns Off NYC Streets, Four Arrested https://t.co/BNhHam2kz8
Great work @NYPDPSA3! https://t.co/GyyQcrcSi5</t>
  </si>
  <si>
    <t>The men &amp;amp; women of @NYPD1Pct are promoting #ItsOkToTalk for #SuicidePrevention. #TalkToMe https://t.co/dSihwWDZuu https://t.co/Z1DeASEEC3</t>
  </si>
  <si>
    <t>Good morning NYC. Be careful driving today- there's lots of happy children going to their first day of class https://t.co/khWw6IN0q6</t>
  </si>
  <si>
    <t>NOW on @InsideCityHall, @CommissBratton talks to @errollouis on the flawed Insp. General’s Quality-Of-Life Report https://t.co/SL2yG4bBbn</t>
  </si>
  <si>
    <t>We need your help to ID this man wanted for assault in the Bronx. Call #800577TIPS with info. https://t.co/Mj0IlHsLpk @NYPD43Pct</t>
  </si>
  <si>
    <t>Police Officer Erin Coughlin wears the badge of her 9/11 hero father. We will #NeverForget https://t.co/oeS2A9szZ6</t>
  </si>
  <si>
    <t>Tune in NOW to @InsideCityHall as @CommissBratton speaks on the deeply flawed Insp. General’s Quality-Of-Life Report https://t.co/WMxAaVeY7E</t>
  </si>
  <si>
    <t>RT @CommissBratton: Stopped by @InsideCityHall tonight to talk about the deeply flawed Inspector General’s Quality-Of-Life Report. Tune in…</t>
  </si>
  <si>
    <t>Join us in our vow to #NeverForget. Honoring our 9/11 heroes https://t.co/6OOuSC80kO</t>
  </si>
  <si>
    <t>UPDATE: The missing has been found and is safe https://t.co/UhLEA0NXzZ</t>
  </si>
  <si>
    <t>Broken Windows Is Not Broken https://t.co/13h5WDZ2ly https://t.co/01HVWnkVwS</t>
  </si>
  <si>
    <t>The Neighborhood Policing Plan is an evolution of policing. Read more about it:   
https://t.co/7lYyhcYZ2o https://t.co/oRTPlDfsuZ</t>
  </si>
  <si>
    <t>We asked for input on the methodology of the IG report from 2 leading academics; they stated it doesn’t accurately measure QoL enforcement</t>
  </si>
  <si>
    <t>Pct Community Council meetings: if you haven’t gone to them you should. It’s a great way to share your concerns/issues- @NYPDChiefofDept</t>
  </si>
  <si>
    <t>Get involved &amp;amp; keep your neighborhood safe, share your concerns/issues at your local Pct Community Council meeting https://t.co/ss55wGwRHc</t>
  </si>
  <si>
    <t>Broken Windows is not just about writing summonses &amp;amp; making arrests. It’s about solving problems. https://t.co/uEFqsDtYXc</t>
  </si>
  <si>
    <t>Neighborhood Policing: it is a crime fighting model that includes community collaboration, precision policing +more https://t.co/VZnVVOQUmO</t>
  </si>
  <si>
    <t>"The NYPD Neighborhood Policing Plan is a crime fighting model. We're here to keep the City safe." -@NYPDChiefofDept https://t.co/NbyTPDs0XA</t>
  </si>
  <si>
    <t>The report draws an incomplete picture and mischaracterizes Broken Windows as zero tolerance. It is not and has never been "zero tolerance."</t>
  </si>
  <si>
    <t>NYPD Responds To Deeply Flawed Inspector General’s Quality-Of-Life Report https://t.co/uEFqsDtYXc</t>
  </si>
  <si>
    <t>The Inspector General's Quality of Life report is critically flawed &amp;amp; in many cases without merit.- @CommissBratton https://t.co/qEbbFEjCC0</t>
  </si>
  <si>
    <t>#HappeningSoon: @CommissBratton NYPD leadership team to update the press/public on NYPD related news https://t.co/fRoMuQlkpa</t>
  </si>
  <si>
    <t>We know many of our own police officers will read this. Just a reminder, if you need help, call @poppanyc. https://t.co/NDLjkSbjKU #TalkToMe</t>
  </si>
  <si>
    <t>WANTED: 2 M/B's for multiple armed-robberies in #FarRockaway #Queens. If you have info, share it. Call #800577TIPS https://t.co/QSXMcJy3pE</t>
  </si>
  <si>
    <t>Protecting and connecting with ALL communities in NYC. Here’s some  @NYPD109Pct cops doing outreach in #Queens https://t.co/VFc4KMUrcV</t>
  </si>
  <si>
    <t>Great work by these @NYPD9Pct cops for assisting a robbery victim and making an arrest in #Manhattan https://t.co/5L1LifKjar</t>
  </si>
  <si>
    <t>WANTED: M/W 40-50’s, 5’7”, for multi bank robberies/recently 2pm 8/24 Santander Bank/1350 Broadway. #800577TIPS https://t.co/uuEdRMClER</t>
  </si>
  <si>
    <t>#SilverAlert: Lydia Berg, 5’2”, 72 y/o, last seen 11am 9/5 on Crown St #Brooklyn. If seen call 911. https://t.co/qp2ADd7aTY</t>
  </si>
  <si>
    <t>RT @TalkToMe: Are you in NYC and in a crisis? Lifenet can help. You are NOT alone https://t.co/noi7hBf1Pq #TalkToMe https://t.co/FnTcd3K0YV</t>
  </si>
  <si>
    <t>An arrest and this gun was recovered last night by @NYPD44Pct cops in the #Bronx. Keeping NYC safe- #ItsWhatWeDo https://t.co/PY89wABSMV</t>
  </si>
  <si>
    <t>Join us in our vow to #NeverForget. Remembering Chief Bonano https://t.co/pCn5dT5pyu</t>
  </si>
  <si>
    <t>RT @CommissBratton: To members of the NYPD, thank you for what you do to make NYC the safest big city in the US. https://t.co/o2oZwxGIHO ht…</t>
  </si>
  <si>
    <t>New York City Experiences Safest Summer in Modern History https://t.co/SzGtKLddu2 https://t.co/x5U1OrnZex</t>
  </si>
  <si>
    <t>The tremendous focus on a small amount of criminals has resulted in these unprecedented declines in crime @CommissBratton #PrecisionPolicing</t>
  </si>
  <si>
    <t>Road safety initiatives, including enforcement on ATV’s &amp;amp; dirt bikes, will continue in the fall. - Chief Gomez</t>
  </si>
  <si>
    <t>Road safety: Social media was used to let the public know what was being done &amp;amp; it also served as a deterrence. https://t.co/mJzmHM9iq8</t>
  </si>
  <si>
    <t>An increase in roadway safety initiatives included +52% in seizures of dirt bikes, ATV's &amp;amp; motorcycles- Chief of Patrol Gomez</t>
  </si>
  <si>
    <t>.@NYPDChiefofDept discussing how great police work resulted in firearms recovered/arrests made during the parade https://t.co/fcu3O3QshB</t>
  </si>
  <si>
    <t>.@NYPDDetectives discussing the arrest made in the robbery and stabbing death of a female in #Queens https://t.co/aI5NQ8olvX</t>
  </si>
  <si>
    <t>.@NYPDDetectives discussing the investigation &amp;amp; arrest made regarding the shooting death of a female in #Brooklyn https://t.co/ppxoLsfnPr</t>
  </si>
  <si>
    <t>The reduction in crime includes less murders, robberies and burglaries. - NYPD Dept. Commissioner Shea https://t.co/ze7f2DfGtJ</t>
  </si>
  <si>
    <t>This has been the safest summer since the Compatat-era started in 1994. - @CommissBratton https://t.co/lbiuD17bLD</t>
  </si>
  <si>
    <t>#Now: Watch the NYPD press conference live at https://t.co/BPESYKWV57 https://t.co/ZyPjZrym2q</t>
  </si>
  <si>
    <t>#HappeningSoon Mayor @BilldeBlasio @CommissBratton &amp;amp; NYPD leadership to update the public on police related news https://t.co/6R3c2rnsaB</t>
  </si>
  <si>
    <t>Let's say THANKS to these dedicated, hard working cops that are keeping NYC safe https://t.co/kRAR2yBdee</t>
  </si>
  <si>
    <t>When you know the signs of suicide, you can help &amp;amp; make a difference. Know the signs via @NAMICommunicate https://t.co/OEbcbPUSMw #TalkToMe</t>
  </si>
  <si>
    <t>Another gun off the streets &amp;amp; a safer Bronx community due to the work of dedicated cops in the @NYPD43Pct https://t.co/sRkukj5qU3</t>
  </si>
  <si>
    <t>Here’s some tips for everyone heading back to school today. Have a fun and safe day! https://t.co/bPNiyTuwHK</t>
  </si>
  <si>
    <t>School starts today. Drive safe, bike safe, walk safe. BE SAFE! Enjoy your day everyone. https://t.co/lZ3MKXZwri</t>
  </si>
  <si>
    <t>In a few days we mark the 15-yr anniversary of the 9/11 attacks. From that tragedy there are many stories of heroism https://t.co/3gcn1Y6JuL</t>
  </si>
  <si>
    <t>NYPD Field Training Officers showing our newer cops how it's done. Great work! https://t.co/7RX5hXm7Ma</t>
  </si>
  <si>
    <t>RT @NYPDTransit: TY for this float's thoughtful reminder - many in NYPD including Randolph, draw their lineage to West Indies region https:…</t>
  </si>
  <si>
    <t>The @NYPDCeremonial Unit marches down Eastern Parkway with @NYPDChiefofDept as members celebrate their heritage https://t.co/xtPJTqpGaF</t>
  </si>
  <si>
    <t>RT @NYPDCeremonial: Gearing up for today's #WestIndianDayParade
Come by &amp;amp; celebrate the tastes, sounds &amp;amp; traditions of the Caribbean! 💃🎉 ht…</t>
  </si>
  <si>
    <t>RT @NYPDChiefofDept: Unprecedented #NYPD resources; the acts of lawless few shouldn't mar the efforts of peaceful many. #CopsAndCommunity h…</t>
  </si>
  <si>
    <t>Asst. Chief Steven Powers: "We will conduct a thorough after-action review of our deployment &amp;amp; consider all safety options going forward."</t>
  </si>
  <si>
    <t>.@BilldeBlasio: "The #NYPD has a track record for systematically addressing violence &amp;amp; will continue to do so regarding #Jouvert."</t>
  </si>
  <si>
    <t>.@BPEricAdams: "I commend @NYPDnews &amp;amp; @BilldeBlasio for their hard work &amp;amp; ongoing commitment to public safety." https://t.co/D43grspkSZ</t>
  </si>
  <si>
    <t>.@CommissBratton "In spite of the last night's tragedies, the NYPD remains undeterred in our work to provide safety" https://t.co/1Vx2Lou6Mw</t>
  </si>
  <si>
    <t>Mayor @BilldeBlasio: "NYPD did an extraordinary job last evening &amp;amp; we know the NYPD will identify the few responsible for the violence."</t>
  </si>
  <si>
    <t>#HappeningSoon: @BilldeBlasio, @CommissBratton, @NYPDChiefofDept &amp;amp; @NYPDDetectives Asst.Chief Conry address media https://t.co/PVYZSn1joo</t>
  </si>
  <si>
    <t>RT @JPeterDonald: .@CommissBratton, @BilldeBlasio &amp;amp; @NYPDChiefofDept will update reporters from Lincoln Terrace Park around 10:45a on overn…</t>
  </si>
  <si>
    <t>Facts about suicide from @TrevorProject  #TalkToMe https://t.co/YumXbVFjrr @TalkToMe https://t.co/tBMPIIOGo4</t>
  </si>
  <si>
    <t>NYC beaches will be closed to swimming/bathing/surfing on Mon, 9/5. Info: https://t.co/ugTxaeV3rD  or call 3-1-1 https://t.co/ZaQKOZWOQL</t>
  </si>
  <si>
    <t>NYPD Air Sea Rescue Saves Three Off Staten Island https://t.co/H6T92q50Uc @NYPDSpecialops https://t.co/H7n0QdZyeM</t>
  </si>
  <si>
    <t>WANTED: Male 25, for forcibly touching a woman at the E Fordham Rd &amp;amp; Jerome Ave subway station, Bronx. #800577TIPS https://t.co/kEXTm7vKDm</t>
  </si>
  <si>
    <t>Spending Labor Day in NYC? Here’s some info on street closures: https://t.co/OoHVgR6Axr https://t.co/vLUrI4AdxD</t>
  </si>
  <si>
    <t>Just some of the thousands of officers up tonight making a safe, celebratory #JOuvert in Brooklyn. #WeAreJOuvert https://t.co/NotGDAMEMi</t>
  </si>
  <si>
    <t>RT @NWSNewYorkNY: The Tropical Storm Warning has been cancelled for New York City, with the warning still for eastern areas. #Hermine https…</t>
  </si>
  <si>
    <t>Great to see another precinct,  @NYPDCentralPark, do the #22PushUpChallenge #TalkToMe https://t.co/U2T4c6Uzjz</t>
  </si>
  <si>
    <t>Crisis communication &amp;amp; tactics by @NYPDSpecialops save a person again #ItsWhatWeDo #TalkToMe https://t.co/vWMEz3jskD https://t.co/ceOBjmyMuN</t>
  </si>
  <si>
    <t>RT @NYPDByrne: Training like this helped @NYPDSpecialops #ESU rescue man from #BklynBridge outer ledge: https://t.co/r2QHCx5Hw5 https://t.c…</t>
  </si>
  <si>
    <t>RT @MFreemanvegas: Well stated Lt. Zimmerman .@NYPDnews  ~ Please 'LISTEN'. @AFSPNV @afspnational @TalkToMe #StopSuicide #TalkToMe https://…</t>
  </si>
  <si>
    <t>This holiday weekend the men &amp;amp; women of the NYPD are busy protecting NYC &amp;amp; connecting w/those we serve. #ItsWhatWeDo https://t.co/8SiFgmitUR</t>
  </si>
  <si>
    <t>Here's resources to help someone that might be in a crisis. Via @JMPMF  #TalkToMe @TalkToMe https://t.co/oc5te3xoKe https://t.co/dFFo2G7Q3S</t>
  </si>
  <si>
    <t>Collaboration and good police work resulted in guns, drugs, weapons + more recovered by the @NYPD60Pct. https://t.co/ynUpvOzd6F</t>
  </si>
  <si>
    <t>UPDATE: Male/22 arrested &amp;amp; charged with the murder of a 60 y/o female on 8/31 in the confines of @NYPD107Pct #Queens.</t>
  </si>
  <si>
    <t>The NYPD doesn’t take weekends off. That includes #LaborDay weekend. GREAT police work @NYPD71Pct #ItsWhatWeDo https://t.co/aNk0WynDcy</t>
  </si>
  <si>
    <t>Our prayers and condolences to the family &amp;amp; colleagues of Alamogordo Officer Clint Corvinus. #NeverForget https://t.co/rP1v8pjHO7</t>
  </si>
  <si>
    <t>RT @NYPD110Pct: Suicide is not the answer. There are people to call who will listen. https://t.co/0rbMTW6iKn #TalkToMe</t>
  </si>
  <si>
    <t>Great NYPD - community interaction going on throughout NYC, including #StatenIsland https://t.co/WS8tGTMMeI</t>
  </si>
  <si>
    <t>RT @NYPD19Pct: Way to go @NYPDrunning club at today's @NYRR #NB5thAveMile you made us proud! #UpperEastSide #UES #NYPD 👏🏼 https://t.co/KWOr…</t>
  </si>
  <si>
    <t>Read more about the great work out NCO’s are doing https://t.co/g2c1bCrMgH https://t.co/c5LJwpcLcw</t>
  </si>
  <si>
    <t>RT @NYPDPSA6: Great job by Anti-Crime Team for getting a gun off our Harlem streets. #onelessgun #itswhatwedo https://t.co/Rq9u7c89Zs</t>
  </si>
  <si>
    <t>RT @NYPD46Pct: Holy selfie! Officers receive Saints pendants and a prayer from a nun while on patrol #blessing https://t.co/doZwvYbf2R</t>
  </si>
  <si>
    <t>Races, parades, festivals &amp;amp; more all in NYC this weekend. Plan ahead with the NYPD Traffic Advisory: https://t.co/OoHVgR6Axr</t>
  </si>
  <si>
    <t>RT @NYPDByrne: #WATCH @PIX11News @ABC7NY @CBSNewYork @fox5ny at 11PM re: great water rescue by @NYPDSpecialops #Aviation &amp;amp; #SCUBA https://t…</t>
  </si>
  <si>
    <t>Big plans this Labor Day weekend? Make it a safe one. Choose the 6 train, not six feet under. Don’t drink &amp;amp; drive! https://t.co/CPz9JT6Mb9</t>
  </si>
  <si>
    <t>WANTED: M/W for firing a gun at a person in Washington Sq Park at 11:15pm 8/31. Call #800577TIPS https://t.co/krBSDG9BED</t>
  </si>
  <si>
    <t>Advisory: There will be a scheduled fly over by 7 military F-16 aircrafts along the Hudson River/ near the Statute of Liberty momentarily.</t>
  </si>
  <si>
    <t>It starts with listening &amp;amp; empathy: @NYPD112Pct outreach to help the homeless in #Queens #ItsWhatWeDo #TalkToMe https://t.co/ZY8VnIeg9A</t>
  </si>
  <si>
    <t>Great work: This weapon is off the streets of #Queens &amp;amp; a gang member arrested by @NYPD106Pct cops  #ItsWhatWeDo https://t.co/dZuzEQmm2R</t>
  </si>
  <si>
    <t>WANTED: Help us ID this person wanted for questioning regarding the homicide of a F/60 in #Queens. Call #800577TIPS. https://t.co/CwF85g4T1U</t>
  </si>
  <si>
    <t>We care about our veterans. If you feel hopeless, help is available. https://t.co/7K2FlPyVlp #TalkToMe @TalkToMe https://t.co/jO4L7klDQX</t>
  </si>
  <si>
    <t>#SilverAlert: Barbara Covel, 77, red jacket &amp;amp; sweater, tan pants last seen at 9:30pm 8/31 on near Hicks St #Brooklyn https://t.co/KxYkDbQONs</t>
  </si>
  <si>
    <t>"These defendants are directly responsible for feeding this deadly epidemic," said @CommissBratton https://t.co/DKHOFEpjPu</t>
  </si>
  <si>
    <t>Thanks to @NYCFC &amp;amp; @MLS for supporting us &amp;amp; @FDNY during First Responders Night. Nice NYPD scarf too @CatsMusical! https://t.co/4PLWkbSOQS</t>
  </si>
  <si>
    <t>Precision policing &amp;amp; intelligence gathering by @NYPDPSA7 cops keeps NYC safe. https://t.co/dIKolNnSKI</t>
  </si>
  <si>
    <t>Standing with Maryville Police Department and the family of Officer Kenny Moats https://t.co/XawfsA8A8S</t>
  </si>
  <si>
    <t>.@NYPD47Pct Officers build bond with community through back-to-school event https://t.co/0nzFvR97yb</t>
  </si>
  <si>
    <t>Learn more about the NYPD's Explorer program &amp;amp; how you can help your community: https://t.co/DUWTgOdL2Z 
https://t.co/0tFStNLnA5</t>
  </si>
  <si>
    <t>It's easy to become a ready New Yorker. #NPM2016 #NatlPrep https://t.co/77Js28KJD7</t>
  </si>
  <si>
    <t>RT @TalkToMe: Today starts #SuicidePrevention Awareness month. There's lots that you can do. https://t.co/Uul6L7mAb6
#TalkToMe https://t.co…</t>
  </si>
  <si>
    <t>Gathering intelligence, dedicated police work &amp;amp; working together in the @NYPD81Pct is keeping NYC safe. #ItsWhatWeDo https://t.co/0NWDHivFfN</t>
  </si>
  <si>
    <t>WANTED: M/H for multiple robberies including of a F/82 on Arthur Ave/E188St on 8/21. #Bronx. Call #800577TIPS https://t.co/IvVqFttDSK</t>
  </si>
  <si>
    <t>WANTED: M/W 40’s for assault of a M/58 on 8/7 at Kings Hwy/E14st #Brooklyn. Call #800577TIPS https://t.co/ij97qPic4B</t>
  </si>
  <si>
    <t>There are people wanted in NYC. You can make a difference. Share info, get a reward. #WinWin https://t.co/oNcSZTczbl https://t.co/9W3qahPcMz</t>
  </si>
  <si>
    <t>They found the door unlocked, and two officers from the 75th Precinct went inside to rescue the pups. https://t.co/Ib0SwE4qPE @NYPD75Pct</t>
  </si>
  <si>
    <t>Great work by @NYPDPSA7 cops keeping NYC safe 24/7 https://t.co/ssKgfYM2cL</t>
  </si>
  <si>
    <t>NYPD standing with our brothers &amp;amp; sisters in law enforcement https://t.co/ls33YJ9vW1</t>
  </si>
  <si>
    <t>RT @NYPDSpecialops: #Harbor #SCUBA &amp;amp; #Aviation working @ the scenes of the kayak collision and the Rockaway #BreezyPoint Jetty yesterday ht…</t>
  </si>
  <si>
    <t>Help ID this person. We would like to speak to him in connection to this homicide: https://t.co/VaeiPYtV0q https://t.co/EbsJjZp0o6</t>
  </si>
  <si>
    <t>Learn more about how the NYPD, elected officials &amp;amp; community members worked together to plan a safe J'Ouvert. WATCH: https://t.co/EBxyURScrP</t>
  </si>
  <si>
    <t>"It's not just bringing more cops to Bklyn. It's a shared responsibility w/community," @NYPDChiefofDept on J'Ouvert https://t.co/9O9eeCvhQQ</t>
  </si>
  <si>
    <t>"Over many months we've worked with community &amp;amp; expect a safe J'Ouvert &amp;amp; Caribbean Day Festival," @CommissBratton https://t.co/a51dZcIQWX</t>
  </si>
  <si>
    <t>"This year you will see the most extensive security for J'Ouvert, security planned w/community," says @BilldeBlasio https://t.co/d0SjzcBJTI</t>
  </si>
  <si>
    <t>#HappeningNow: Mayor @BilldeBlasio, @CommissBratton &amp;amp; @NYPDChiefofDept brief NYers on J'Ouvert security. Watch Live: https://t.co/EBxyURScrP</t>
  </si>
  <si>
    <t>#HappeningSoon: Mayor @BilldeBlasio, @CommissBratton &amp;amp; NYC officials brief NYers on J'Ouvert security. #WeAreJOuvert https://t.co/082tmOdutE</t>
  </si>
  <si>
    <t>Don't wait for #SuicidePrevention month tomorrow. Start now. #TalkToMe #ThriveNYC https://t.co/rmSZeMwh4h https://t.co/0KK3ZFD2ZP</t>
  </si>
  <si>
    <t>WANTED: 3 males for armed robberies at stores in Queens. Call #800577TIPS with info. https://t.co/9MJtm1ssMc</t>
  </si>
  <si>
    <t>Keeping NYC safe &amp;amp; connecting w/those we serve. The @NYPD69Pct is just one example https://t.co/pavpyhYif7 https://t.co/hCqEvaSvI4</t>
  </si>
  <si>
    <t>Watch now @CommissBratton on the @FoxNews w/ @megynkelly https://t.co/GyoFYLYCf1</t>
  </si>
  <si>
    <t>RT @CommissBratton: Looking forward to my conversation with @megynkelly tonight on @FoxNews. Tune in at 9 p.m.</t>
  </si>
  <si>
    <t>RT @NYPD32Pct: #CopsAndKids game just started at our #BacktoSchoolEvent. Good Luck to everyone #Harlem https://t.co/cq4jEN3Lc3</t>
  </si>
  <si>
    <t>Tonight at 9pm @CommissBratton will appear on America Live w/ @MegynKelly @Foxnews</t>
  </si>
  <si>
    <t>#HappeningNow: @CommissBratton @NYPDChiefofDept @NYPDDetectives updating the press &amp;amp; public on NYPD related news https://t.co/eyUpy7Gd1b</t>
  </si>
  <si>
    <t>It's our promotion ceremony today- always a time to be happy. Congratulations to all! https://t.co/CHGkGWCOAj</t>
  </si>
  <si>
    <t>Our @NYPD78Pct cops &amp;amp; Explorers working together to raise bike safety awareness in #Brooklyn #VisionZero https://t.co/gA6IM2K81j</t>
  </si>
  <si>
    <t>Thanks To @SIYanks For Honoring Members Of The NYPD https://t.co/lHI2groY0K</t>
  </si>
  <si>
    <t>NYPD cops from @NYPDPSA8 were at the Sotomayor Family Day connecting with those we protect #Bronx https://t.co/sgGOZZeK6t</t>
  </si>
  <si>
    <t>WANTED: 3 M/B’s for robbery of a M/14 on 7/-3 at Crown Fried Chicken/2104 Linden Ave #Brooklyn. Call #800577TIPS https://t.co/4pgLNMyaYn</t>
  </si>
  <si>
    <t>“I felt very humbled that everyone involved was so supportive &amp;amp; happy to see an officer competing,” Officer Zamora. https://t.co/XtOEoV6Yxj</t>
  </si>
  <si>
    <t>.@NYPDauxiliary, the most unique volunteer experience https://t.co/3Fyd7NeO1Y</t>
  </si>
  <si>
    <t>Cops from our elite @NYPDSpecialops Division practice high angle rope rescues atop of the Brooklyn Bridge https://t.co/YmU4LsC6ZY</t>
  </si>
  <si>
    <t>WANTED: Male for assaulting a woman in Queens on Bay Ridge Ave. north bound “R” train. Call #800577TIPS. https://t.co/v0R4B4q5T9</t>
  </si>
  <si>
    <t>Thanks for your show of support, @Yankees https://t.co/d6Bx1bOnfu</t>
  </si>
  <si>
    <t>RT @NYPD24Pct: Sergeant Fontaine does not only patrol your streets; he cleans them up too! #24Pct #UWS #GraffitiFreeNYC https://t.co/EJnSLh…</t>
  </si>
  <si>
    <t>.@SportsCenter Feature: Little League honors fallen NYPD officers https://t.co/F8p3VjLfxo @BuczekLilLeague</t>
  </si>
  <si>
    <t>NYPD cops who are also Marines celebrate the 100yr anniversary of the @MarForRes. Semper Fi! #USMCR100 https://t.co/WGIBRdGCtc</t>
  </si>
  <si>
    <t>Ex-drug addict recalls the NYPD cops who rescued her- via @NYDailyNews https://t.co/VawicoyvNq https://t.co/mnEX1Djgyb</t>
  </si>
  <si>
    <t>WANTED: 4 males for multiple armed robberies in #Brooklyn. If you have info, share it- call #800577TIPS https://t.co/QPO50FOjwr</t>
  </si>
  <si>
    <t>Fun in the sun as community connects w/their @NYPD77Pct Neighborhood Coordination Officers https://t.co/7lYyhcHoaQ https://t.co/hACPZKr3RA</t>
  </si>
  <si>
    <t>.@NYPD10Pct Cops Recover Illegal Narcotics &amp;amp; Guns, Three Arrested https://t.co/dVQJmh2LZP https://t.co/yem7edq74k</t>
  </si>
  <si>
    <t>The ongoing investigation has determined that the man pictured previously has been ruled out as a suspect. https://t.co/qbKjOvgrBa</t>
  </si>
  <si>
    <t>There were many heroes on 9/11 and not just NYPD or @FDNY. Read about the man in the red bandana: https://t.co/7gK4iZdlub #NeverForget</t>
  </si>
  <si>
    <t>#ICYMI: NYPD Cop Rescues Children From Sweltering Car https://t.co/qesaEcDtXE</t>
  </si>
  <si>
    <t>East Village Cops Nab Robbery Suspect https://t.co/Z8IcZHvKOP @NYPD9Pct https://t.co/aS3iyvgsVG</t>
  </si>
  <si>
    <t>RT @NYPDSpecialops: We accept your #22PushupChallenge  @NYPDCT &amp;amp; challenge @NYPD44Pct #TalkToMe #WHOAREWE #SuicidePrevention #PTSD 
https:/…</t>
  </si>
  <si>
    <t>WANTED: Male 25-35y/o, 200lbs, for attempted kidnapping of 11y/o girl, Flushing Meadows Park, Qns. Call #800577TIPS https://t.co/jGeo9RiMW0</t>
  </si>
  <si>
    <t>Plenty of events taking place on this beautiful NYC Sunday. Plan ahead with our traffic advisory. https://t.co/rAIFdHugSm</t>
  </si>
  <si>
    <t>Hundreds came to Staten Island’s @NYPD123Pct for free school supplies https://t.co/HKZHivjEt4</t>
  </si>
  <si>
    <t>Some of the 59 weapons turned in by the public at today's Gun Buyback event in Brooklyn https://t.co/j2PCC2JnsQ</t>
  </si>
  <si>
    <t>.@NYPD25Pct working with our partners to keep dangerous #K2 out of the community https://t.co/H362CSUO2X</t>
  </si>
  <si>
    <t>RT @TalkToMe: A special thanks to @poppanyc: helping those who keep NYC safe. #SuicidePrevention #TalkToMe https://t.co/1fpxcrOaz1 https://…</t>
  </si>
  <si>
    <t>Help ID 2 males WANTED for armed robbery on the A train in Queens. Call #800577TIPS with info. https://t.co/bRMYp4b2sA @NYPDTransit</t>
  </si>
  <si>
    <t>It’s not too late! You can still turn in a gun &amp;amp; make some money today. Keep NYC safe &amp;amp; get cash -- #WinWin https://t.co/qYpwIibh0a</t>
  </si>
  <si>
    <t>Officer Manley radioed for assistance before using an emergency “Lifehammer” to break the window. https://t.co/qesaEcDtXE @NYPDHousing</t>
  </si>
  <si>
    <t>TODAY: turn in a firearm and you can get a reward. #WinWin. https://t.co/1AgguW0esB https://t.co/MCqcYctzga</t>
  </si>
  <si>
    <t>Great work by @NYPD120Pct cops for taking this illegal gun off the streets of #StatenIsland. #ItsWhatWeDo https://t.co/vLKq8JAJNI</t>
  </si>
  <si>
    <t>Spending this beautiful Saturday in NYC? Plan ahead &amp;amp; enjoy with the NYPD Traffic Advisory: https://t.co/rAIFdHugSm https://t.co/oTnxdrUrej</t>
  </si>
  <si>
    <t>And @NYPDBaseball takes a 10-8 win tonight over @FDNY! A great game by both teams for a great cause. https://t.co/bMhDqcOmQH</t>
  </si>
  <si>
    <t>A great game tonight at MCU Park as @NYPDBaseball takes on @FDNY. Let's go NYPD! https://t.co/u6VvdGtBjW</t>
  </si>
  <si>
    <t>Recognizing our four-legged NYPD heroes on #NationalDogDay. Let’s RETWEET to say thanks! https://t.co/a1Rpw1EyGQ</t>
  </si>
  <si>
    <t>Help ID the suspect wanted for the shooting homicide of a 61y/o woman in #Harlem. Call #800577TIPS https://t.co/KZmJksBhzT @NYPD32Pct</t>
  </si>
  <si>
    <t>Did you know this Saturday you can turn in a gun &amp;amp; get money. Keep your neighborhood safe &amp;amp; make some cash, #WinWin https://t.co/qYpwIibh0a</t>
  </si>
  <si>
    <t>Plenty of tix left! Come support NYC heroes as @NYPDBaseball takes on @FDNY. Tix info: https://t.co/6h48NUOl1Q https://t.co/sAT02bRetW</t>
  </si>
  <si>
    <t>This aspiring basketball player stopped by the @NYPD77Pct to say hello. In return, the cops have him a ball! https://t.co/gsstTOV6s7</t>
  </si>
  <si>
    <t>Happening Now! Don't miss out on this event. https://t.co/oUZ5ZoYHlO</t>
  </si>
  <si>
    <t>Our prayers are with the family and colleagues of the Maryville police officer that was killed in the line of duty. https://t.co/LaI53Ilu2F</t>
  </si>
  <si>
    <t>We decided not to wait for next month #SuicidePrevention. You are not alone, help is available. #TalkToMe @TalkToMe https://t.co/qg1ytO92tr</t>
  </si>
  <si>
    <t>5 arrested, $46,000 &amp;amp; a gun recovered. That’s great work by  @NYPD79Pct  &amp;amp; Narcotics. #ItsWhatWeDo https://t.co/JOHywlNnFz</t>
  </si>
  <si>
    <t>RT @NYPD101Pct: Wash away your troubles with bubbles! ☺️ PO Givens cleaning up these streets🤗👫 #ItsWhatWeDo https://t.co/eL5IMHZSTx</t>
  </si>
  <si>
    <t>WANTED: 3 M/B’s for multiple robberies in the #Bronx. Help keep NYC safe &amp;amp; get a reward, #WinWin Call #800577TIPS https://t.co/XXANF2dkJN</t>
  </si>
  <si>
    <t>This Friday, come support NYC heroes at the @NYPDBaseball vs. @FDNY Baseball Game. Tix info: https://t.co/6h48NUOl1Q https://t.co/sAT02bRetW</t>
  </si>
  <si>
    <t>This Saturday, turn in a firearm and you can get a reward. #WinWin. https://t.co/1AgguW0esB https://t.co/QmmCEJXmc0</t>
  </si>
  <si>
    <t>#SilverAlert: Milton Kelly, 89, last seen at 55 W. 100 St. Manhattan. Call 911 if seen, #800577TIPS w/info. https://t.co/UhAuszAZED</t>
  </si>
  <si>
    <t>Help ID 3 males in their late teens wanted for robberies in the Bronx. Call #800577TIPS with info. @NYPD41Pct https://t.co/Xr1TSAGDLT</t>
  </si>
  <si>
    <t>RT @NYPD25Pct: Come join us tomorrow for some fun and games! #cops&amp;amp;kids from 5pm to 8pm. https://t.co/xSk1dVl418</t>
  </si>
  <si>
    <t>Great teamwork to protect those living in NYC housing developments https://t.co/nwRauxY3xC</t>
  </si>
  <si>
    <t>RT @NYPDPSA8: PO Paulino “connects” with the community at Throggs Neck Family Day. https://t.co/KijYoHIJMT</t>
  </si>
  <si>
    <t>We are still seeking information on this. Call #800577TIPS https://t.co/I8BUArBp4i</t>
  </si>
  <si>
    <t>Congratulations to all of Explorers who graduated yesterday https://t.co/WGywO9I8ci https://t.co/JtIG08mWWI</t>
  </si>
  <si>
    <t>RT @NYPD9Pct: #CrimeAlert If you receive a phone call demanding payment using an ITunes gift card it’s a #scam https://t.co/ljmjZWXuwn</t>
  </si>
  <si>
    <t>#SilverAlert: Bronislaw Najmanowicz, 93, of Bklyn last heard from via phone. Call 911 if seen, #800577TIPS w/info https://t.co/iErPObG0mx</t>
  </si>
  <si>
    <t>Come out this Friday &amp;amp; support NYC heroes at the @NYPDBaseball vs. @FDNY Baseball https://t.co/6h48NUOl1Q https://t.co/sAT02bRetW</t>
  </si>
  <si>
    <t>Yes, that's an alligator! And yes it was on Staten Island. Thanks to @NYPDSpecialops &amp;amp; @NYPD121Pct he was rescued https://t.co/NrbrcNteC9</t>
  </si>
  <si>
    <t>Scam Alert for our Asian-American communities. Watch and stay safe https://t.co/aOKraxxfmJ</t>
  </si>
  <si>
    <t>#ICYMI: Inspector General’s Audit Commends NYPD’s Efforts To Protect New York City From Terrorism https://t.co/GBrti8XI3s</t>
  </si>
  <si>
    <t>RT @NYPDChiefofDept: Now @ #NYPD HQ: Privileged to honor 240 leaders of tmrw, teen grads of summer '16 Law Enforcement Exploring Academy. h…</t>
  </si>
  <si>
    <t>NYPD &amp;amp; @FDNY Work Together To Save Woman From Burning House In Queens https://t.co/ZQoZBXcqlj https://t.co/IbUanpbbQX</t>
  </si>
  <si>
    <t>UPDATE: Mr. Lassiter has been found and is safe. https://t.co/BJZJh8QrrN</t>
  </si>
  <si>
    <t>RT @NYPDDetectives: $10K reward being offered for info about the murder of Odessa Simms in #Manhattan on 8/20.Call #800577TIPS w/ info http…</t>
  </si>
  <si>
    <t>WANTED: M/B, 6’0” for robbery of a M/51 in the elevator at 353 E141St in the #Bronx on 8/14. Call #800577TIPS https://t.co/oXh5JdOzER</t>
  </si>
  <si>
    <t>This Saturday, turn in a firearm and you can get a reward. #WinWin. https://t.co/1AgguW0esB https://t.co/lnTMLSOxCI</t>
  </si>
  <si>
    <t>Police officers from @NYPDDV were out in #Queens sharing information and friendly smiles with the community https://t.co/SxmlxM8z1B</t>
  </si>
  <si>
    <t>#EastFlatbush is safer due to the hardwork of @NYPD67Pct cops. They took 2 illegal guns off the streets recently. https://t.co/zvtXsQh05n</t>
  </si>
  <si>
    <t>#SilverAlert: Reuben Daniel last seen in Bklyn driving green Cadillac, NY# EFJ3159. 911 if seen, #800577TIPS w/info https://t.co/gcaLTIyLec</t>
  </si>
  <si>
    <t>“I want her to be proud of her identity. Proud to be an American, proud to be a Muslim,” NYPD Captain Altaheri said https://t.co/gJNGRU0CMG</t>
  </si>
  <si>
    <t>RT @NYPDDetectives: #Wanted for a gunpoint commercial robbery in the #Bronx on 8/10. Any info call #800577TIPS https://t.co/YMjuK7lTnA</t>
  </si>
  <si>
    <t>RT @NYPDCeremonial: NYPDBand at the Annual #NYC #India Independence Day Parade with Grand Marshal @juniorbachchan 🇮🇳 https://t.co/UlIF6FlFm5</t>
  </si>
  <si>
    <t>Inspector General’s Audit Commends NYPD’s Efforts To Protect New York City From Terrorism https://t.co/GBrti8XI3s https://t.co/rLPETTcdRm</t>
  </si>
  <si>
    <t>RT @NYPDTransit: This guy is wanted for forcible touching on 8/12 on the Q train in Brooklyn- Call #800577TIPS https://t.co/CJy5KWvVIs</t>
  </si>
  <si>
    <t>5th Ave lined with a sea of blue as we lay to rest former NYPD 1st Dep Commissioner &amp;amp; Chief of Dept, John Timoney https://t.co/fTNk4Dceze</t>
  </si>
  <si>
    <t>We connect with the community in different ways, sometimes it’s with a conversation and cotton candy! @NYPD109Pct https://t.co/x7e4LV3e2m</t>
  </si>
  <si>
    <t>Today @CBSThisMorning tells the story of 1 of our highest ranking Muslim American officers. More on his religion &amp;amp; role in the #NYPD @ 8:40</t>
  </si>
  <si>
    <t>Great seeing our NYPD officers and @NYPDauxiliary volunteers connecting with the community. https://t.co/hp3fJuFxdu</t>
  </si>
  <si>
    <t>Using technology (iPhone tracker) result/ in stolen property recovered/arrest made by the @NYPD46Pct  #ItsWhatWeDo https://t.co/ZKBEBvExep</t>
  </si>
  <si>
    <t>Help @NYPDDetectives find the suspects WANTED for a shooting homicide driving this vehicle in the BX. #800577TIPS https://t.co/MUFBJvqwh9</t>
  </si>
  <si>
    <t>NYC pets looking for a loving home, some were even rescued due to NYPD/@ASPCA partnership https://t.co/aXUsmcgFSs https://t.co/OrCQbZrShs</t>
  </si>
  <si>
    <t>.@NYPDPSA3 Police Officers are determined to keeping NYC housing developments safe https://t.co/zpm1jmbVyh</t>
  </si>
  <si>
    <t>The @NYPD110Pct is keeping #Queens safe. Another illegal gun off the streets. https://t.co/DSzjNTekmv</t>
  </si>
  <si>
    <t>Teamwork in the @NYPD68Pct is keeping #Brooklyn safe https://t.co/JaQi4ZoRPO</t>
  </si>
  <si>
    <t>#Brooklyn is safer tonight thanks to the cops at the @NYPD84Pct  https://t.co/T6OFILzKlC</t>
  </si>
  <si>
    <t>Great work by @NYPD49Pct cops keeping the #Bronx safe  https://t.co/XBsHxBZEMf</t>
  </si>
  <si>
    <t>Funeral Information For Former NYPD First Deputy Commissioner John Timoney https://t.co/IYm9P6pGd2</t>
  </si>
  <si>
    <t>Building bridges with basketball: great job @NYPD43Pct @WBAC_  https://t.co/CG9vCk9gPz</t>
  </si>
  <si>
    <t>Keeping #Queens &amp;amp; #NYC clean. Share info and you can get a reward https://t.co/wSRtEcHSnG https://t.co/ej3sKlSokO</t>
  </si>
  <si>
    <t>RT @NYPDInMemoriam: Our officers were in #NewMexico this week to honor the life of Officer Jose Chavez of the Hatch Police Department https…</t>
  </si>
  <si>
    <t>Here’s some illegals guns taken off the streets of #Queens by the @NYPD113Pct. Protecting NYC 24/7. #ItsWhatWeDo https://t.co/7dY1PxFAo4</t>
  </si>
  <si>
    <t>WANTED: 2 suspects for multiple burglaries in #Manhattan. Call #800577TIPS with information. https://t.co/KdOdCMT5we</t>
  </si>
  <si>
    <t>#ICYMI: @NYPDCT raising awareness for Veterans’ suicide with the #22PushupChallenge @NYPDSpecialops https://t.co/f0XuJrm8Gy</t>
  </si>
  <si>
    <t>WANTED: M/B &amp;amp; M/H for armed robbery of a grocery store at 2654 Valentine Avenue #Bronx on 8/10.
Call #800577TIPS https://t.co/rMXRSNsUR1</t>
  </si>
  <si>
    <t>#SilverAlert: Acie T Lassiter, 78, last seen 1545 Archer Rd, Bronx. Call 911 if seen, #800577TIPS with info. https://t.co/xYOBG0Qz85</t>
  </si>
  <si>
    <t>We care for our military veterans. Check out our video #22PushUpChallenge https://t.co/2mRdFgQxJP https://t.co/p94FtDlqWS</t>
  </si>
  <si>
    <t>Learn more about the NYPD’s elite Strategic Response Group https://t.co/IjylRQK2qG</t>
  </si>
  <si>
    <t>“We want to develop well-rounded, highly skilled police officers, not arrest machines,” @CommissBratton https://t.co/38s0CJTy6O</t>
  </si>
  <si>
    <t>Come cheer on @NYPDBaseball as they take on @PhillyPolice at @RcklandBoulders Stadium now in a charity game. https://t.co/EVBeBlXNn4</t>
  </si>
  <si>
    <t>A beautiful day as @NYPDBaseball gets ready for today's charity game. https://t.co/yNu1yOaHTM https://t.co/uZXzvggPcf</t>
  </si>
  <si>
    <t>#ICYMI: @NYPDSpecialops Divers Rescue Lost Dog In Gravesend Bay https://t.co/MPwvqq7H8T https://t.co/bApeDHQVWm</t>
  </si>
  <si>
    <t>Police Officers from the @NYPD19Pct arrest man who took money from an 81 y/o woman. https://t.co/kI6CTqRBTZ https://t.co/HAlbFtKA1o</t>
  </si>
  <si>
    <t>WANTED: Male 25-35yrs for robbing a man on 23rd St. in Queens. Call #800577TIPS with info. @NYPD114Pct https://t.co/6J31KWkI0r</t>
  </si>
  <si>
    <t>Come out today &amp;amp; cheer on @NYPDBaseball! Funds raised support families of cops killed in Dallas &amp;amp; Baton Rouge. More: https://t.co/yNu1yOaHTM</t>
  </si>
  <si>
    <t>Spending Sunday in NYC today? Plan ahead with our traffic advisory: https://t.co/r0ve9GQOal</t>
  </si>
  <si>
    <t>NYPD Traffic Agent Sandres doesn't skip a beat during an unexpected rain storm today https://t.co/MWq8Ye0WuH https://t.co/hmodv1POg2</t>
  </si>
  <si>
    <t>RT @NYPD28Pct: Thanks @nypdrecruit for painting #Harlem blue. Call 212-RECRUIT for info on how to join the #NYPD https://t.co/f0RQjWlWEA</t>
  </si>
  <si>
    <t>WANTED: Male, 20’s, for robbery of an off-duty NYPD officer in the Bronx. https://t.co/uoGZ78t2pu</t>
  </si>
  <si>
    <t>Remember, you can join the @NYPD19Pct at @SummerStreets today &amp;amp; register your bike. #CitiSummerStreets https://t.co/edo9H5uwWx</t>
  </si>
  <si>
    <t>RT @NYPDCT: Thank you @zacbrownband for supporting the #NYPD by wearing a NYPD CRC shirt during last night's concert @citifield https://t.c…</t>
  </si>
  <si>
    <t>.@NYPDSpecialops Divers Rescue Lost Dog In Gravesend Bay https://t.co/MPwvqq7H8T https://t.co/bApeDHQVWm</t>
  </si>
  <si>
    <t>Enjoying a beautiful NYC day? Plan ahead with our traffic advisory: https://t.co/r0ve9GQOal</t>
  </si>
  <si>
    <t>Help us ID two males wanted for armed robbery at a Brooklyn grocery store https://t.co/ZBrTfXvBfe</t>
  </si>
  <si>
    <t>This young driver’s dad asked @NYPD108Pct Officers Mooney &amp;amp; Dowling to pose for a quick snapshot. #WorldPhotoDay https://t.co/ooYBUwrSK5</t>
  </si>
  <si>
    <t>WANTED: Male, 20’s, for robbery of an off-duty NYPD officer in the Bronx. MORE: https://t.co/uoGZ78t2pu</t>
  </si>
  <si>
    <t>.@NYPDCT raising awareness for Veterans' suicide with the #22PushupChallenge. Hope you're ready SRG! @NYPDSpecialops https://t.co/f0XuJrm8Gy</t>
  </si>
  <si>
    <t>“We want to develop well-rounded, highly skilled police officers, not arrest machines,” @CommissBratton. https://t.co/aohF0eNLcP</t>
  </si>
  <si>
    <t>RT @NYPDCT: #ComingSoon See who we challenge for the #22PushupChallenge to raise awareness for Veterans' suicide #TimesSquare https://t.co/…</t>
  </si>
  <si>
    <t>Another one of our favorite pics for #WorldPhotoDay. Can't top that smile on his face! https://t.co/7WIw2fXHe3</t>
  </si>
  <si>
    <t>Meet Officer Mariana Diaz from our Strategic Response Group https://t.co/nWjs7OSDd1 
#WorldPhotoDay @NYPDSpecialops https://t.co/JiVLojAsBa</t>
  </si>
  <si>
    <t>RT @NYPDSpecialops: This morning #Harbor #SCUBA pulled this dog from the waters of Gravesend Bay. If you recognize him, call @NYPD62Pct htt…</t>
  </si>
  <si>
    <t>NYPD Officers Going The Extra Mile For Our Senior Citizens- https://t.co/gojKhA4jRt https://t.co/jKc3IisIVd</t>
  </si>
  <si>
    <t>WANTED: M/W for robbery of a M/14 at Astoria Blvd/44 St on July 26. Call #800577TIPS https://t.co/GYV5CGJPBT</t>
  </si>
  <si>
    <t>Recently @NYPD78Pct Explorers visited our Aviation Unit in #Brooklyn. Learn more about this fun program https://t.co/4IkHhVnALM</t>
  </si>
  <si>
    <t>WANTED: M/H for assault/shooting 2 people during a dispute at a Planet Fitness in the #Bronx. Call #800577TIPS https://t.co/I4miYYG3cY</t>
  </si>
  <si>
    <t>Always ready to help: @NYPD112Pct Officers Avila &amp;amp; Bleck helping a stranded motorist on Queens Blvd #ItsWhatWeDo https://t.co/BiR6dL0gbS</t>
  </si>
  <si>
    <t>If you have info on this, share it #800577TIPS. Keep your community safe, get a reward- #WinWin https://t.co/niSe1yXdEx</t>
  </si>
  <si>
    <t>Learn more about our great NYPD Explorers program here https://t.co/DUWTgOdL2Z https://t.co/x91SmlFha5</t>
  </si>
  <si>
    <t>Funeral information for former NYPD First Deputy Commissioner John Timoney https://t.co/29nbuH6dSV</t>
  </si>
  <si>
    <t>RT @staceysager7: At 4:30...A big surprise for a little guy here @NYPD49Pct today in The Bronx. Go Tyrone! @Disney @ABC7NY https://t.co/O3h…</t>
  </si>
  <si>
    <t>Local children visited the @NYPD5Pct  station house to learn about policing &amp;amp; history- it was built in 1881! https://t.co/q67Ddsn5eh</t>
  </si>
  <si>
    <t>Help ID this male, 6’, 200lbs wanted for robbery near Walton Ave &amp;amp; E. 167 St, Bronx. Call #800577TIPS. @NYPD44Pct https://t.co/D2ViHE2NIO</t>
  </si>
  <si>
    <t>Police officers from the @NYPD32Pct arrested a man with this loaded gun in #Harlem. Keeping #NYC safe, #ItsWhatWeDo https://t.co/73u35NwFdT</t>
  </si>
  <si>
    <t>WANTED: Male, 20’s, for robbery of an off-duty NYPD officer in the Bronx MORE: https://t.co/uoGZ78t2pu @NYPD48Pct https://t.co/Xo68uTgUoQ</t>
  </si>
  <si>
    <t>“Let’s have cohesion...this issue is too important to play politics,” said @CommissBratton on anti-terror funding. https://t.co/ximUY6txfm</t>
  </si>
  <si>
    <t>.@NYPDBklynNorth cops got word that 13-year-old Jake who suffers from Mitochondrial disease likes birthday cards https://t.co/WRQ0CQK4H9</t>
  </si>
  <si>
    <t>These might sound simple but reminders are good. Help pass along these safety tips. Thank you. #VisionZero https://t.co/Bzte9tx7tC</t>
  </si>
  <si>
    <t>Even though it’s taped up, it’s still dangerous. Great job @NYPD25Pct in taking 2 guns off the streets of #Manhattan https://t.co/2EroKnBhxg</t>
  </si>
  <si>
    <t>Tomorrow night at 7 on @CBSSportsNet, the @BuczekLilLeague, bringing NYPD cops &amp;amp; kids together for nearly 3 decades https://t.co/vqoYoMhOPn</t>
  </si>
  <si>
    <t>RT @CommissBratton: Despite accolades, John never forgot who he was—a Bronx cop. He lived to protect us; his legacy protects us still. http…</t>
  </si>
  <si>
    <t>We need to accelerate the urgency of congressional CT funding in NYC &amp;amp; beyond. It helps keep all of America safe. https://t.co/tjpnYRGxlN</t>
  </si>
  <si>
    <t>"Let's have cohesion...this issue is too important to play politics," says @CommissBratton on anti-terror funding https://t.co/TrbEc97qaC</t>
  </si>
  <si>
    <t>The congressional delegation from NY has been very supportive in CT funding for NYC. https://t.co/jr8a4sn1vG</t>
  </si>
  <si>
    <t>#Now: @BilldeBlasio &amp;amp; @CommissBratton updating NY Congress members on CT needs to keep NYC safe. https://t.co/VBVPgUROhe</t>
  </si>
  <si>
    <t>The counterterrorism press conference will be broadcasted live at https://t.co/Ju90uoHSv9 once it begins. https://t.co/rAkBdnrR26</t>
  </si>
  <si>
    <t>#Soon: @BilldeBlasio @CommissBratton to provide NY Congress members info on how CT funding is keeping NYC safe. https://t.co/LlBwnLEGF6</t>
  </si>
  <si>
    <t>Our @NYPD72Pct NCO officers were out building positive police-community connections in #Brooklyn. https://t.co/3PrEFL9INw</t>
  </si>
  <si>
    <t>Congratulations to all of our new @NYPDauxiliary officers who graduated last night. Welcome to the NYPD! https://t.co/iNvIVHUUJ9</t>
  </si>
  <si>
    <t>RT @NYPD104Pct: Help us keep the neighborhood looking the way it should.  Graffiti is a crime! https://t.co/xWM7Y1GfPZ</t>
  </si>
  <si>
    <t>WANTED: 2 M/B’s for robbery of F/38 on Main St/37 Ave #Flushing #Queens on 8/12. Call #800577TIPS https://t.co/5hBhmuLxio</t>
  </si>
  <si>
    <t>.@NYPDDetectives need your help finding the person who murdered #KarinaVetrano in Queens. Call #800577TIPS with info https://t.co/F4dHovQWxS</t>
  </si>
  <si>
    <t>RT @NYPDBklynNorth: NYPD Officers Skype with Jake. Thanks to Jake for filling our hearts with joy &amp;amp; making us smile today. #Welovejake http…</t>
  </si>
  <si>
    <t>Great collaboration &amp;amp; investigatory work by @NYPD68Pct cops results in an arrest w/cash &amp;amp; drugs recovered. https://t.co/RMs3j8Y60a</t>
  </si>
  <si>
    <t>“It helps us get more in touch with the cops so everybody could know that cops are not bad people.” https://t.co/5aicE3fWfl</t>
  </si>
  <si>
    <t>RT @NYCMayorsOffice: .@NYPDnews Officer Campoverde: Words and empathy–not weapons–can help de-escalate a crisis https://t.co/HzHwVVgG4d htt…</t>
  </si>
  <si>
    <t>Rescued by NYPD, Tiny Dolly Finds the Perfect Home. Thanks @ASPCA! https://t.co/c8kuLhdVCZ https://t.co/G41r47pBa6</t>
  </si>
  <si>
    <t>RT @NYPD9Pct: Our #NYPD Conditions Team spending the day in Tompkins Square Pk talking to visitors &amp;amp; listening to concerns https://t.co/DAc…</t>
  </si>
  <si>
    <t>.38 caliber Taurus revolver recovered in connection with double homicide in Queens. https://t.co/f5tOeNwcWH https://t.co/1tLkGxijRR</t>
  </si>
  <si>
    <t>More than 60 locations in upper #Manhattan are graffiti-free thanks to the great work by the @NYPD33Pct &amp;amp; Explorers https://t.co/hSFoVRZuyf</t>
  </si>
  <si>
    <t>WANTED: 2 M/B’s for multiple #Manhattan robberies in the confines of @NYPDMTS &amp;amp; @NYPD6Pct. Call #800577TIPS https://t.co/66OENUFbAq</t>
  </si>
  <si>
    <t>2 days, 2 arrests and A LOT of drugs recovered by @NYPD45Pct cops in the #Bronx. Keeping NYC safe- #ItsWhatWeDo https://t.co/LzxL5sqB2x</t>
  </si>
  <si>
    <t>WANTED: “Snow” F/H/5’3” for assaulting/slashing a F/18 on Pugsley Ave #Bronx on 7/18. Call #800577TIPS https://t.co/DwxJug1Lnm</t>
  </si>
  <si>
    <t>ARREST: Oscar Morel charged with 2 counts of murder &amp;amp; crim possession of a weapon in regards to shooting of Imam &amp;amp; associate in Queens</t>
  </si>
  <si>
    <t>ShotSpotter Helps Finest Seize Guns In The #Bronx https://t.co/TM6REJMuhN https://t.co/1nIlTyJ9uU</t>
  </si>
  <si>
    <t>Congratulations To Our Youth Police Academy Graduates https://t.co/Atf12RxfFy #YPA2016 https://t.co/0KmJnaPRLo</t>
  </si>
  <si>
    <t>Our prayers are with the family of Officer Jose Chavez &amp;amp; everyone at the Hatch, New Mexico Police Dept. #NeverForget https://t.co/yw2CjXkGJH</t>
  </si>
  <si>
    <t>.@NYPDDetectives explains more about investigation into double homicide in Queens. WATCH: https://t.co/yjsPTvni2t https://t.co/sRaCXbTrsY</t>
  </si>
  <si>
    <t>#HappeningNow: Mayor @BilldeBlasio &amp;amp; @CommissBratton update NYers on double homicide investigation in Queens. WATCH: https://t.co/yjsPTvni2t</t>
  </si>
  <si>
    <t>See more from our Youth Police Academy graduation at the @barclayscenter. Have a look at NYPD's @Snapchat. #YPA2016 https://t.co/YTjciuiYI1</t>
  </si>
  <si>
    <t>.@CommissBratton recognizes the son of our fallen hero, Det. Rafael Ramos. Let's say congrats to Jaden! #YPA2016 https://t.co/wgrPzOt8pc</t>
  </si>
  <si>
    <t>"Take a look at the NYPD as a career because we want you, we want the young people of NYC," @CommissBratton #YPA2016 https://t.co/TND3gAFPmv</t>
  </si>
  <si>
    <t>"Please stand &amp;amp; salute your parents," @CommissBratton says now to NYPD Youth Police Academy grads. #YPA2016 https://t.co/N9zBlLXD1g</t>
  </si>
  <si>
    <t>RT @NYPDPBMN: LIVE on #Periscope: 2016 NYPD Youth Police Academy graduation ceremony https://t.co/BrgtzXldId</t>
  </si>
  <si>
    <t>#HappeningNow: 2K kids graduate the NYPD's Youth Police Academy in a ceremony at the @barclayscenter. #YPA2016 https://t.co/uWaV3rzAkI</t>
  </si>
  <si>
    <t>There was great police-community relationship building going on in Harlem over the weekend. @NYPD32Pct https://t.co/GnGaj8bhGF</t>
  </si>
  <si>
    <t>WANTED: M/H/30’s for forcibly touching a F/8 at the E148St/Grand Concourse subway station on 8/2. Call #800577TIPS https://t.co/fzRj4bbSJI</t>
  </si>
  <si>
    <t>Great work by @NYPD41Pct midnight patrol officers in the #Bronx for getting these dangerous weapons off the streets. https://t.co/EdzL22Jpzc</t>
  </si>
  <si>
    <t>WANTED: M/B/30’s for multiple armed robberies in #Brooklyn &amp;amp; #Queens. Call #800577TIPS https://t.co/L0rpLBT8Cn</t>
  </si>
  <si>
    <t>RT @NYPD19Pct: With this excessive heat in #NYC make a special effort to check on your neighbors. #BeatTheHeat #UpperEastSide #UES https://…</t>
  </si>
  <si>
    <t>Help ID this man wanted for info regarding double homicide in Queens. https://t.co/f5tOeNwcWH @NYPD106Pct https://t.co/EO8V5DtOn5</t>
  </si>
  <si>
    <t>Unbuckled Brooklyn Driver Found In Possession Of AK-47 https://t.co/Nz3YRGmaqX @NYPDPSA2 https://t.co/P5y8ydF8nt</t>
  </si>
  <si>
    <t>RT @CommissBratton: NYPD looking great today as members celebrated their heritage in the Dominican Day Parade. #DRparade @NYPDHispanic http…</t>
  </si>
  <si>
    <t>NYPD cops protecting the Dominican Day Parade as we all celebrate in Manhattan today. #DRParade https://t.co/eSb45DjQTn</t>
  </si>
  <si>
    <t>Members of the NYPD looking sharp as they celebrate their heritage in the annual Dominican Day Parade https://t.co/wwZPHmDDCT</t>
  </si>
  <si>
    <t>Our prayers are with the family &amp;amp; colleagues of Eastman (Georgia) Patrol Officer Tim Smith. https://t.co/wLxSdohxWf https://t.co/QeIN2jf1sd</t>
  </si>
  <si>
    <t>RT @NYPD49Pct: #49Pct members of NY Dominican Officers Organization marching today in the #DominicanDayParade #NYC https://t.co/5RJZCE1nrP</t>
  </si>
  <si>
    <t>UPDATE: M/H/45 arrested for the slashing death of a M/H/76 on Dec. 23, 2015 in the #Bronx. @NYPD42Pct @NYPDDetectives</t>
  </si>
  <si>
    <t>WANTED: Two persons of interest in connection to setting off fireworks in the Staten Island Mall. Call #800577TIPS https://t.co/6OiOlBi1q4</t>
  </si>
  <si>
    <t>There’s a lot going on in NYC today, plan ahead &amp;amp; enjoy with our traffic advisory: https://t.co/e8GeJfsbJJ https://t.co/IzTOWzRZW1</t>
  </si>
  <si>
    <t>RT @NYPDDetectives: #Wanted for info in regards to double homicide on 8/14 in #Queens Call #800577TIPS #yourcityyourcall https://t.co/t910z…</t>
  </si>
  <si>
    <t>Information regarding shooting homicides in Queens, within the confines of the @NYPD106Pct: https://t.co/f5tOeNwcWH</t>
  </si>
  <si>
    <t>Extreme heat is expected into next week in NYC. Cooling centers open through Monday. More from @nycoem: https://t.co/sKvydxdglm #BeatTheHeat</t>
  </si>
  <si>
    <t>RT @NYPD19Pct: #FDRDrive 61st-96th Sts closed in both directions TOMORROW Sun 8/14 1:30-7AM for @RockefellerUniv construction #UES https://…</t>
  </si>
  <si>
    <t>It was HOT, but Summer Streets was a good time! Check it out on our @Snapchat story https://t.co/gBoZ4DltEc</t>
  </si>
  <si>
    <t>It's a scorcher today in NYC! Here are few tips on how to #BeatTheHeat: https://t.co/V06SwHXtj1 https://t.co/HmVvujfpKE</t>
  </si>
  <si>
    <t>Help us locate the driver of this bus (possibly Ford) WANTED for fatal hit &amp;amp; run on Flatbush Ave, Bklyn. #800577TIPS https://t.co/LBQ0tgotXr</t>
  </si>
  <si>
    <t>By the way, crime has also gone down.
That’s because better community relations leads to more effective policing. https://t.co/NBS8QStesG</t>
  </si>
  <si>
    <t>From Play Streets to parades, if you're in NYC today plan ahead with our traffic advisory:  https://t.co/e8GeJfsbJJ https://t.co/ZJ50aA8Wp0</t>
  </si>
  <si>
    <t>RT @NYPD33Pct: This little guy will always remember his first encounter with 33 Pct Officers Lebron and Guzman.Gr8 job ladies. https://t.co…</t>
  </si>
  <si>
    <t>Pulled to Safety by @NYPDSpecialops https://t.co/3xW04hV9ou</t>
  </si>
  <si>
    <t>Another hot one today! Here’s a few tips on how to #BeatTheHeat: https://t.co/V06SwHXtj1 https://t.co/HmVvujfpKE</t>
  </si>
  <si>
    <t>Bill Bratton’s fingerprints will be found on American policing for generations. https://t.co/VmfAAmi04H</t>
  </si>
  <si>
    <t>WANTED: Male, Hispanic 20’s for forcibly touching a woman in Riverside Park, Manhattan. Call #800577TIPS. @NYPD24Pct https://t.co/uEuqbprE3t</t>
  </si>
  <si>
    <t>Neighborhood Coordination Officers In Brooklyn Connect With Seniors https://t.co/c4xNcrii0M https://t.co/cc05olUUn7</t>
  </si>
  <si>
    <t>RT @rosannascotto: These are the heroes who grabbed that guy scaling #trumptower @NYPDnews #detectivewilliams… https://t.co/gwvgrGyQ2z</t>
  </si>
  <si>
    <t>WANTED: Suspect for two arson incidents on the Upper East Side, Manhattan. https://t.co/5Z2jkYSyCF Call #800577TIPS https://t.co/ZT2fi3xWQo</t>
  </si>
  <si>
    <t>RT @CommissBratton: Privileged to talk to &amp;amp; be honored by Khizr Khan, father of Cpt Khan killed in action in 04
He'd be proud of his dad ht…</t>
  </si>
  <si>
    <t>Bronx Cops Rescue 22 Dogs Living In SUV https://t.co/vQ4P3yUKTY https://t.co/Ku8z5RU8Nw</t>
  </si>
  <si>
    <t>RT @gkelling: Equating broken windows theory with zero tolerance is either ignorance or willful misrepresentation, whether by BW critics or…</t>
  </si>
  <si>
    <t>RT @CBSSportsNet: LEAGUE OF HOPE airs Sunday at 9PM ET, profiling a Little League whose teams are coached by @NYPDnews officers: https://t.…</t>
  </si>
  <si>
    <t>WANTED: Suspect for arson to vehicles near Stanley &amp;amp; Essex Streets, Bklyn. Call #800577TIPS with info. @NYPD75Pct https://t.co/JtrkW7G8Xj</t>
  </si>
  <si>
    <t>.@NYPDPSA9 Neighborhood Coordination Officers handing out free snow cones (and smiles). https://t.co/7lYyhcHoaQ https://t.co/aASYu1tE0x</t>
  </si>
  <si>
    <t>Help ID this man WANTED for rape of a 52y/o woman in Queens. Call #800577TIPS with info. @NYPD109Pct https://t.co/bl5jyimYHt</t>
  </si>
  <si>
    <t>.@mayorscau We've got @nypdrecruit on standby! https://t.co/LijxvOKy4A</t>
  </si>
  <si>
    <t>WANTED: Male 20's for endangering welfare of a minor. Threatened 12y/o girl, 175 St &amp;amp; Walton Ave, BX. #800577TIPS https://t.co/HPKoYOBIkj</t>
  </si>
  <si>
    <t>RT @NYPDInMemoriam: We mourn the death of Corporal Bill Cooper, who gave his life protecting the citizens of #SebastianCounty, #Arkansas ht…</t>
  </si>
  <si>
    <t>While the world watched, NYPD training &amp;amp; the planning by ESU, HNT + more resulted in a safe resolution. #ItsWhatWeDo https://t.co/ue07uc1zpn</t>
  </si>
  <si>
    <t>WANTED: Male, 27, for unlawful surveillance of a woman on the 7 train. Call #800577TIPS. https://t.co/pGloUIPsjc https://t.co/UI762r4eoR</t>
  </si>
  <si>
    <t>Brownsville Swings While Cops &amp;amp; Kids Connect https://t.co/eOrrs6g8zU https://t.co/IclI5KYkXS</t>
  </si>
  <si>
    <t>Climber on #TrumpTower taken into custody by @NYPDSpecialops officers. Great work by all rescue workers. https://t.co/bCmTvgEfJE</t>
  </si>
  <si>
    <t>Windows removed from 21st floor of #TrumpTower with highly trained @NYPDSpecialops officers speaking with climbing https://t.co/os9J5Hy398</t>
  </si>
  <si>
    <t>RT @NYPDChiefofDept: @NYPDSpecialops elite cops train for these kinds of things everyday. #NYPD #ESU best in the world at what they do. htt…</t>
  </si>
  <si>
    <t>RT @NYPDNieves: Airbags have been deployed in case the climber falls. https://t.co/TpuWQRNBJV</t>
  </si>
  <si>
    <t>.@NYPDSpecialops &amp;amp; emergency crews on scene at 725 5th Ave, Man. for man climbing bldg. Expect heavy traffic in area https://t.co/hALketFec7</t>
  </si>
  <si>
    <t>Sharing in the responsibility to keep communities safe &amp;amp; looking great. Thanks @NYPD109Pct Explorers!</t>
  </si>
  <si>
    <t>See how @NYPDHousing cops spent the day with kids in Coney Island https://t.co/r1Ld47A6fd https://t.co/rDTHaRIRZf</t>
  </si>
  <si>
    <t>RT @NYPDDetectives: Was briefed this morning by Queens Dets Chief Kemper this morning on #KarinaVetrano case. Any info call #800577TIPS htt…</t>
  </si>
  <si>
    <t>RT @NYPDMTS: #MTS #Conditions1 outstanding arrest at W.31+7 for K-2 sales. #Midtown #HeraldSquare #OneLessDealer https://t.co/7RBLsFdqcY</t>
  </si>
  <si>
    <t>Help ID these 2 males WANTED for armed robbery on E. 89 St, Manhattan. Call #800577TIPS with info. @NYPD19Pct https://t.co/XTeOOTcumT</t>
  </si>
  <si>
    <t>Brooklyn’s Finest Arrest Four In Possession Of Illegal Guns &amp;amp; Credit Cards https://t.co/lJbxuFSpHn @NYPD73Pct https://t.co/GSKDKZo2ZU</t>
  </si>
  <si>
    <t>Det. Steven McDonald inspiring younger officers in @NYPDMTS with a message of peace &amp;amp; love. https://t.co/AyXe3m5NzL https://t.co/6dH3Yx60Rr</t>
  </si>
  <si>
    <t>WANTED: 2 males for armed robbery of a 20y/o man at 677 Watkins St, Bklyn. Call #800577TIPS with info. @NYPD73Pct https://t.co/dLUCS4hauR</t>
  </si>
  <si>
    <t>The NYPD is always looking to connect w/those we serve. See how at the @NYPD23Pct Facebook: https://t.co/WmrSXNntKb https://t.co/VkBsa275xx</t>
  </si>
  <si>
    <t>Have a look at the great day cops &amp;amp; kids had in @CentralParkNYC! Check it out on our @Snapchat story https://t.co/gBoZ4DltEc</t>
  </si>
  <si>
    <t>RT @NYPDSpecialops: PO Danny Rich &amp;amp; #K9 "Hudson" have been instrumental in many high profile searches throughout #NYC #Bloodhound https://t…</t>
  </si>
  <si>
    <t>NYPD/@ASPCA Partnership Highlights Resources for Pets https://t.co/EVjPuiDfYB @NYPDPaws https://t.co/1dGCV86jyR</t>
  </si>
  <si>
    <t>Help ID the man WANTED for shooting/homicide of a 23y/o at 109-31 157 St, Qns. #800577TIPS https://t.co/Z3qAoDCaPn https://t.co/zgjlCtMKa6</t>
  </si>
  <si>
    <t>Any info may help @NYPDDetectives. Call #800577TIPS anonymously &amp;amp; help find the person who murdered #KarinaVetrano. https://t.co/L0YYUdIjvj</t>
  </si>
  <si>
    <t>This illegal gun &amp;amp; person carrying it are no longer on the streets of Brooklyn thanks to dedicated @NYPD70Pct cops https://t.co/jK0QefMmz4</t>
  </si>
  <si>
    <t>WANTED: Male 30’s for assaulting a man with a baseball bat, 578 Albany Ave, Bklyn. Call #800577TIPS. @NYPD71Pct https://t.co/jJbPaDuOSq</t>
  </si>
  <si>
    <t>Information on this morning's police involved shooting in the Bronx: https://t.co/IZpsBssyPT https://t.co/VaUoiu2Y1N</t>
  </si>
  <si>
    <t>.@NYPD62Pct Cops Deliver Baby In Front Of Brooklyn Station House https://t.co/xqUrKsnmBN https://t.co/bsg2jv41AS</t>
  </si>
  <si>
    <t>Meet Police Officer Gelband, Neighborhood Coordination Officer At The @NYPD44Pct https://t.co/fpCDcIVgxR https://t.co/6nYeOwDlQb</t>
  </si>
  <si>
    <t>Neighborhood Policing in the @NYPD46Pct. Learn more about it here: https://t.co/j0FcD5NHUw https://t.co/ERfrEKdpYT</t>
  </si>
  <si>
    <t>RT @NYPDCT: Outstanding work by PO Santora, PBBS. While off-duty, he saw something, said something and did something. Great job! https://t.…</t>
  </si>
  <si>
    <t>RT @NYPDCeremonial: Highlights from today's #NYPD Sgt. Keith Ferguson 5K Run/Walk over the #BrooklynBridge 🎽🏅
@NYPDTransit @NYPDrunning
htt…</t>
  </si>
  <si>
    <t>#HappeningNow: NYPD Police Administrative Aides graduate training in a ceremony at Police HQ. Let's say congrats! https://t.co/LHoJbSEzr1</t>
  </si>
  <si>
    <t>Help @NYPDDetectives find the person who murdered #KarinaVetrano. Call #800577TIPS with any info. $10K REWARD https://t.co/L0YYUdIjvj</t>
  </si>
  <si>
    <t>#ICYMI: @CommissBratton spoke about his career with the NYPD &amp;amp; 45yrs in law enforcement https://t.co/IaHaAT8IJA https://t.co/1GLwkpmpiB</t>
  </si>
  <si>
    <t>RT @NYPD62Pct: PO Lunetta &amp;amp; PO Brady show their softer side delivering Baby Noor in front of the 62 Pct today. Mom &amp;amp; baby are great https:/…</t>
  </si>
  <si>
    <t>WANTED: Male 6’ 300lbs for assault. Sprayed substance on man &amp;amp; woman at Pacific St. R subway stn, Bklyn. #800577TIPS https://t.co/YPHTu3cbfW</t>
  </si>
  <si>
    <t>This defaced shotgun was taken off the streets by dedicated @NYPDPSA7 cops. Protecting NYC: #ItsWhatWeDo #Bronx https://t.co/2Z9yBjSoHf</t>
  </si>
  <si>
    <t>#ICYMI: @CommissBratton spoke with @JCats2013 on @am970TheAnswer this morning. Listen here: https://t.co/CEI4dbyco1</t>
  </si>
  <si>
    <t>Mayor @BilldeBlasio &amp;amp; @NYPDChiefofDept throughout NYC today connecting w/NYers &amp;amp; speaking on Neighborhood Policing https://t.co/yhYOiZ85Vl</t>
  </si>
  <si>
    <t>RT @SportsCenter: In a time where cops and community are divided, one neighborhood uses baseball to bridge the gap. #SCFeatured https://t.c…</t>
  </si>
  <si>
    <t>Tune into @ESPN at 11am to watch a special on a little league named after our NYPD hero @BuczekLilLeague https://t.co/DShgINSju1</t>
  </si>
  <si>
    <t>Listen live now as @CommissBratton joins @JCats2013 on @am970TheAnswer. Tune in here: https://t.co/POeds2uSZa</t>
  </si>
  <si>
    <t>In NYC today? Plan ahead &amp;amp; enjoy with our traffic advisory: https://t.co/ynvKRF9uGK https://t.co/O4rF1x8DF2</t>
  </si>
  <si>
    <t>RT @CommissBratton: Join me as I speak with @JCats2013 at 8:30 this morning on @am970TheAnswer. Listen live here: https://t.co/RrMwJc1twU</t>
  </si>
  <si>
    <t>While most were sleeping, @NYPD44Pct cops working “midnights” went into harm’s way to take this gun off NYC streets https://t.co/2Kk8DQO5cI</t>
  </si>
  <si>
    <t>A preview of @espn's look at how NYPD is connecting w/community in the @BuczekLilLeague. On @SportsCenter, 8/7, 11am https://t.co/uGnSQJEQud</t>
  </si>
  <si>
    <t>The turnaround accelerated in 1990 when Bill Bratton came to NY armed with ideas from criminologist George Kelling https://t.co/ivx23liYFX</t>
  </si>
  <si>
    <t>RT @NYPDByrne: For 28 years, @BuczekLilLeague kids have played ⚾️ in the name of a fallen hero. #WATCH: @SportsCenter Sunday 11AM. https://…</t>
  </si>
  <si>
    <t>New York has hit a new high point in public safety https://t.co/LOa07Ih4KO</t>
  </si>
  <si>
    <t>If you have a gun, we want it. NO QUESTIONS ASKED. There’s still time to turn in a firearm and get $. https://t.co/YIM78CT5rY</t>
  </si>
  <si>
    <t>“I’ve always liked to help people &amp;amp; being a police officer seemed to be the best next step.” https://t.co/mbnppK7rON https://t.co/N08VEBqObS</t>
  </si>
  <si>
    <t>WANTED: M/B for robbery of a F/65 on Pennsylvania Ave at 10am, 8/3.
Call #800577TIPS https://t.co/tpOiu8eaVS</t>
  </si>
  <si>
    <t>Today in the #Bronx, turn in a gun &amp;amp; get up to $200. Keep your community safe &amp;amp; get MONEY. #WinWin https://t.co/aQd1W6m0c2</t>
  </si>
  <si>
    <t>In NYC this weekend? Plan ahead &amp;amp; enjoy with our traffic advisory: https://t.co/ynvKRF9uGK https://t.co/Z50goPTIUL</t>
  </si>
  <si>
    <t>To truly appreciate @CommissBratton’s impact on the city’s quality of life it helps to have lived here for a while. https://t.co/nQJPRdLCYL</t>
  </si>
  <si>
    <t>#ICYMI: NYPD Cops Were Out At Dozens Of Locations With Community For #NNO2016 https://t.co/l7A6QwCKKE</t>
  </si>
  <si>
    <t>RT @NYPDDetectives: Up to $10K reward for info about the murder of Karina Vetrano. Call #800577TIPS #karinavetrano #yourcityyourcall https:…</t>
  </si>
  <si>
    <t>“Like any other rookie, you want the guys to know you as a good cop,” he said. “Nothing else.” https://t.co/5zC5LtxCJX via: @RaR @nytimes</t>
  </si>
  <si>
    <t>RT @TimesSquareNYC: Happy Friday from the Crossroads of the World! https://t.co/dKVgTCMnaB</t>
  </si>
  <si>
    <t>Spread the word, Gun Buyback tomorrow in the #Bronx. Keep your neighborhood safe, get a reward. #WinWin https://t.co/EXLKF87K3C</t>
  </si>
  <si>
    <t>WANTED: M/B/30’s for forcibly touching F/18 at 3am, 7/30 at the Sutphin/Archer subway station. Call #800577TIPS https://t.co/3bPtFr0odD</t>
  </si>
  <si>
    <t>Precision policing: @NYPD73Pct cops investigated an after-hours location, recovered this illegal gun. #ItsWhatWeDo https://t.co/BbAIualoYA</t>
  </si>
  <si>
    <t>VIDEO: Help ID this red, Ford F-150 &amp;amp; driver wanted for hit/run of M/38, 5pm 8/2 in the #Bronx. Call #800577TIPS https://t.co/DqgxbBrdEp</t>
  </si>
  <si>
    <t>Good morning NYC. Here’s to a great and safe day. https://t.co/Z81RCMCJ6n</t>
  </si>
  <si>
    <t>“We will be relentless until NY is in fact the safest city in America,” Jack Maple https://t.co/Zeb7bsswjp</t>
  </si>
  <si>
    <t>"I want to commend the men &amp;amp; women of the NYPD for their ongoing dedication" @CommissBratton https://t.co/48fqHSnE44 https://t.co/XdnQDUS4mD</t>
  </si>
  <si>
    <t>Tonight, @CommissBratton &amp;amp; @NYPDChiefofDept will sit down with @errollouis on @InsideCityHall. Tune in at 7pm.</t>
  </si>
  <si>
    <t>.@NYPDDetectives need your help. Call #800577TIPS with any info on the murder of Karina Vetrano in #Queens. https://t.co/GhjcPipeTZ</t>
  </si>
  <si>
    <t>NYPD precision policing has resulted in nine take downs, removing more than 90 guns from NYC streets in July</t>
  </si>
  <si>
    <t>"It is NOT a good time to be a criminal in NYC," says Dep. Commissioner Shea on the record low crime in the City</t>
  </si>
  <si>
    <t>"Every borough in NYC is down in crime for the month of July," says Dep. Commissioner Shea. WATCH his report now: https://t.co/euL2ffYeL3</t>
  </si>
  <si>
    <t>"This is a police force that is using its talent more effectively everyday," says Mayor @BilldeBlasio https://t.co/3EUMkK4HBO</t>
  </si>
  <si>
    <t>"I want to thank the men &amp;amp; women of the NYPD for their excellence," says @CommissBratton regarding the record low crime in NYC.</t>
  </si>
  <si>
    <t>"Jack Maple was a crime fighting extraordinaire &amp;amp; we have all benefited from his life," says @CommissBratton now https://t.co/QMQypt5VPT</t>
  </si>
  <si>
    <t>#HappeningNow: Mayor @BilldeBlasio &amp;amp; @CommissBratton speak to media about record low crime rate in NYC + more. WATCH https://t.co/euL2ffYeL3</t>
  </si>
  <si>
    <t>Expansion Of Neighborhood Policing Program To 51 Percent Of NYPD Commands Citywide MORE: https://t.co/BSux8pqrUn https://t.co/jht1J2svwh</t>
  </si>
  <si>
    <t>Named Little, but his personality is HUGE. So are the hearts of NYPD cops who rescued him: https://t.co/M7XmCLEFBf https://t.co/44FSZk0M66</t>
  </si>
  <si>
    <t>YOU can help! Call #800577TIPS with any info on this male WANTED for robberies in the Bronx https://t.co/eiZuCkU1oe https://t.co/kHCnCfoWs6</t>
  </si>
  <si>
    <t>Another gun off the streets of #Harlem &amp;amp; an even safer community. Thanks @NYPD32Pct! https://t.co/X7TkKZ0nep</t>
  </si>
  <si>
    <t>RT @NYPDChiefofDept: Thx to millions who took part in #NNO2016 nationwide &amp;amp; w/ #NYPD. For cops/community, it's a shared responsibility. htt…</t>
  </si>
  <si>
    <t>.@CommissBratton speaks on his NYPD retirement, successes &amp;amp; the Dept going forward on the @CharlieRoseShow at 11pm https://t.co/eAHNujRuDX</t>
  </si>
  <si>
    <t>A glimpse into NYC's National Night Out 
Watch more: https://t.co/w9kMBbvTlt #NNO2016 https://t.co/5i2nVoyZ3S</t>
  </si>
  <si>
    <t>Reputed Members Of Violent Rockaway Queens Gang Indicted On Charges Of Conspiring To Commit Murders https://t.co/A1bfTrdRW1 @QueensDABrown</t>
  </si>
  <si>
    <t>Some great highlights from NYC's National Night Out Against Crime https://t.co/MgH3NSwqSU #NNO2016 https://t.co/kkAuxmGhzv</t>
  </si>
  <si>
    <t>RT @CharlieRoseShow: Tonight, a conversation with retiring @CommissBratton on his career and changes for the NYPD. https://t.co/nipT0EiRRW</t>
  </si>
  <si>
    <t>Protecting NYC: @NYPD63Pct cops took this illegal gun off the streets of #Brooklyn. #ItsWhatWeDo https://t.co/wOLANvutTY</t>
  </si>
  <si>
    <t>"These bills are reflective of a new era of transparency," says @CommissBratton WATCH: https://t.co/NKEh7fDAiM https://t.co/ZNc2TPJnh2</t>
  </si>
  <si>
    <t>#HappeningNow: @CommissBratton joins Mayor @BilldeBlasio for bill signing, including street renaming for our fallen https://t.co/NKEh7fDAiM</t>
  </si>
  <si>
    <t>NYPD cops were celebrating #NNO2016 AND keeping NYC. @NYPD115Pct cops took this illegal gun/drugs off the streets. https://t.co/emdKqtJ1JP</t>
  </si>
  <si>
    <t>WANTED: M/B, 5’9” for forcibly touching a F/27 on 241St #Bronx at 11am 7/19. Call #800577TIPS @NYPDSVU https://t.co/rm5BWi3wMt</t>
  </si>
  <si>
    <t>RT @FBI: FBI Director Comey on announcement by NYPD @CommissBratton https://t.co/qjXJ0uL4Ha</t>
  </si>
  <si>
    <t>"I leave behind a phenomenal NYPD...I'm very proud of what we've accomplished," @CommissBratton on @Morning_Joe https://t.co/mvcLrUgiCE</t>
  </si>
  <si>
    <t>Now on @Morning_Joe, @CommissBratton talks accomplishments, retirement &amp;amp; the NYPD. WATCH: https://t.co/avpW0SCSFJ</t>
  </si>
  <si>
    <t>"Crime in NYC has been steadily going down," @CommissBratton on @MorningEdition</t>
  </si>
  <si>
    <t>"There's no police dept in America better prepared to prevent or respond to a terrorist attack," @CommissBratton now on @MorningEdition</t>
  </si>
  <si>
    <t>Now on @MorningEdition, @CommissBratton speaks about retirement, accomplishments &amp;amp; NYPD going forward. Listen Live: https://t.co/29e6ysZxLa</t>
  </si>
  <si>
    <t>RT @JPeterDonald: Join @CommissBratton on @MorningEdition at 6:20a; @Morning_Joe at 7:30a &amp;amp; @CBSThisMorning at 8:05a w/ @NorahODonnell @cha…</t>
  </si>
  <si>
    <t>Join @CommissBratton this morning as he speaks about retirement &amp;amp; all the NYPD has accomplished. @Morning_Joe https://t.co/0foreirix0</t>
  </si>
  <si>
    <t>LIVE on #Periscope: Mayor de Blasio &amp;amp; Commissioner Bratton join Staten Island's National Night Out https://t.co/qIkREaJKqQ</t>
  </si>
  <si>
    <t>RT @NYPDTransit: District 12 checking in from the Bronx- I'll tell you this: the kids are having a great time today #NationalNightOut https…</t>
  </si>
  <si>
    <t>RT @NYPD24Pct: Come out to the #24Pct National Night Out celebration at Happy Warrior Playground (W99St/Amsterdam Avenue) https://t.co/Xt5A…</t>
  </si>
  <si>
    <t>RT @NYPD109Pct: Wonderful turnout for #NationalNightOut https://t.co/WcvKBjAiPW</t>
  </si>
  <si>
    <t>#HappeningNow: lots of fun, food &amp;amp; more at 70+ #NNO2016 NYPD events across NYC. https://t.co/DQyZN0PD6n</t>
  </si>
  <si>
    <t>RT @NYPDChiefofDept: Humbled for the opportunity to lead the #NYPD and our important work ahead. Thanks @BilldeBlasio @CommissBratton https…</t>
  </si>
  <si>
    <t>Learn more about the NYPD Neighborhood Coordination Officer Program: https://t.co/CAslLqJjH8 #NNO2016</t>
  </si>
  <si>
    <t>Incoming NYPD Commissioner, @NYPDChiefofDept sharing how the NYPD is committed to working with communities #NNO2016 https://t.co/2nmudkbVLA</t>
  </si>
  <si>
    <t>The NYPD NCO program is keeping NYC safe &amp;amp; building trust w/the community. #WinWin #NNO2016 https://t.co/M3s7W3nm0a</t>
  </si>
  <si>
    <t>51% of NYPD Precincts will have Neighborhood Coordination Officers: Protecting &amp;amp; connecting with those we serve #ItsWhatWeDo #NNO2016</t>
  </si>
  <si>
    <t>NYPD Neighborhood Policing will expand to 12 new precincts including the @NYPD114Pct #NNO2016 https://t.co/E6dhwLbqmr</t>
  </si>
  <si>
    <t>LIVE on #Periscope: Mayor de Blasio &amp;amp; Commissioner Bratton in the 114 Precinct for National Night Out https://t.co/Sc32Taie8H</t>
  </si>
  <si>
    <t>#HappeningNow: Mayor @BilldeBlasio, @CommissBratton &amp;amp; @NYPDChiefofDept join the @NYPD114Pct for #NNO2016 https://t.co/EwYsNC8Dkt</t>
  </si>
  <si>
    <t>A great time in the Bronx celebrating police-community partnerships at National Night Out. #NNO2016 https://t.co/HazLcfwen7</t>
  </si>
  <si>
    <t>RT @brooklynspec: Here’s where you can celebrate #NationalNightOut tonight in Brooklyn https://t.co/C6DaT1hnka @NYPDnews https://t.co/l4v0N…</t>
  </si>
  <si>
    <t>#TONIGHT: National Night Against Crime at 70+ locations throughout NYC. Find your location by following your local precinct. #NNO2016</t>
  </si>
  <si>
    <t>RT @CWexlerPERF: Few in U.S. policing have had such power &amp;amp; influence on our thinking as @CommissBratton. His legacy: optimism that cops ma…</t>
  </si>
  <si>
    <t>"The achievements made are not mine, they belong to the cops and the civilians of NYC." @CommissBratton https://t.co/JeLJuxEHNd</t>
  </si>
  <si>
    <t>It's time for me to move on, but this city will have a seamless transition under @NYPDChiefofDept.- @CommissBratton https://t.co/KE4oqc54VZ</t>
  </si>
  <si>
    <t>Deputy Commissioner of Intelligence and Counterterrorism John Miller will also continue in his roll under new PC @NYPDChiefofDept</t>
  </si>
  <si>
    <t>"I wish had words to explain what this man has achieved." @BilldeBlasio about @CommissBratton https://t.co/SlE055Lh2C</t>
  </si>
  <si>
    <t>"Carlos Gomez is the right man for the job of NYPD Chief of Department."-Incoming PC @NYPDChiefofDept https://t.co/zUueq2koVy</t>
  </si>
  <si>
    <t>"I am absolutely hanging around." @NYPDFIRSTDEP in reply to if he if he was staying. https://t.co/MyW8EhbPOi</t>
  </si>
  <si>
    <t>We are here for you, the people of NYC. It's a shared effort between the NYPD &amp;amp; community to protect NYC. https://t.co/3Elz7icd5l</t>
  </si>
  <si>
    <t>"I would like to introduce you to the next police commissioner of the NYPD, James O'Neill."- @BilldeBlasio https://t.co/yj3LYk5TLf</t>
  </si>
  <si>
    <t>I don't think anyone could have imagined a more productive 31 months for the NYPD.- @BilldeBlasio on @CommissBratton https://t.co/azUndd8VBc</t>
  </si>
  <si>
    <t>NYC Mayor @BilldeBlasio announcing @CommissBratton will retire in Sept., @NYPDChiefofDept will take over. Watch: https://t.co/FMsoGmM4uF</t>
  </si>
  <si>
    <t>#HappeningSoon NYC Mayor @BilldeBlasio &amp;amp; @CommissBratton to update the public. Watch live: https://t.co/FMsoGmM4uF https://t.co/s3gDyF6qC0</t>
  </si>
  <si>
    <t>Tonight is #NNO2016, come meet your NYPD. Follow local precinct Twitter accounts for more: https://t.co/eCrICA2dyq https://t.co/hC23UumMfC</t>
  </si>
  <si>
    <t>.@NYPD79Pct Neighborhood Coordination Officer not only helps keep Brooklyn safe, but he's not too bad on the drums https://t.co/5pNmru6Z5t</t>
  </si>
  <si>
    <t>ARREST Update: Zuomin Wang, 60, has been charged with Acting in Manner Injurious to a Child https://t.co/dkxpcQQvwP</t>
  </si>
  <si>
    <t>Carrying an illegal gun in NYC isn't a "wise" choice. Protecting NYC #ItsWhatWeDo https://t.co/IZXs1EKIbh @NYPD73Pct https://t.co/s48gFG96PS</t>
  </si>
  <si>
    <t>Rain won't ruin a great opportunity to engage those we protect. Here's the @NYPD83Pct at a recent block party https://t.co/drPPhITmu0</t>
  </si>
  <si>
    <t>NYPD School Safety worked with kids who created, composed &amp;amp; performed a song about making changes in the streets https://t.co/lF9SyNJ5wl</t>
  </si>
  <si>
    <t>Crime Drop In The @NYPD106Pct, One Of The City’s Best https://t.co/SyM86d2lcy @QueensChronicle https://t.co/jwR8xp2fRO</t>
  </si>
  <si>
    <t>Meet your NYPD on 8/2 at Nat'l Night Out. Follow your precinct's Twitter for more: https://t.co/eCrICA2dyq  #NNO2016 https://t.co/S8pOBbiEK8</t>
  </si>
  <si>
    <t>Your dedicated NYPD cops in the Bronx took this gun off the streets -- #ItsWhat WeDo https://t.co/k7gdWS95DH</t>
  </si>
  <si>
    <t>Please note all of these details are preliminary and the investigation is ongoing.</t>
  </si>
  <si>
    <t>This female victim is being interviewed by detectives in an effort to determine how she may have sustained her injury.</t>
  </si>
  <si>
    <t>She was taken to an area hospital &amp;amp; is in stable condition. After a brief procedure, a piece of cable wire was removed from under her scalp.</t>
  </si>
  <si>
    <t>Contemporaneous to this, a female was discovered approx. 3/4 block away, lying in a driveway near her home, with a laceration to her head</t>
  </si>
  <si>
    <t>The suspect, a 38-yr. old male w/ extensive criminal history for burglary, was transported to a local hospital where he is in stable cond.</t>
  </si>
  <si>
    <t>He was chased by officers, who apprehended him approx. one block away.</t>
  </si>
  <si>
    <t>One round was discharged from officer's service weapon, striking the suspect in the groin area. The suspect then fled the building</t>
  </si>
  <si>
    <t>After gaining entry, one uniformed officer encountered a male suspect. A struggle ensued.</t>
  </si>
  <si>
    <t>When uniformed officers arrived, the 911 caller - who resides in 1st fl. apt. - met them outside.</t>
  </si>
  <si>
    <t>The 911 caller was apparently monitoring the burglary via a remote camera feed.</t>
  </si>
  <si>
    <t>At approx. 1:30 PM, @NYPD104Pct officers responded to a burglary-in-progress 911 call at 55-38 66 St., 1st floor apt. of 2-family home.</t>
  </si>
  <si>
    <t>#HappeningNow: @nypddetectives Chief Boyce updates the media on the @NYPD104Pct Officer-involved shooting. https://t.co/9VfxPGfCpa</t>
  </si>
  <si>
    <t>RT @JPeterDonald: The press briefing will begin shortly around 4:30pm on 66th Street between Hull &amp;amp; Jay Avenues in Queens. @NYPD104Pct @NYP…</t>
  </si>
  <si>
    <t>RT @NYPDByrne: Credentialed media wishing to attend the @nypd104pct officer-involved shooting briefing should meet #DCPI staff at 66 St. &amp;amp;…</t>
  </si>
  <si>
    <t>There has been a police involved shooting in Queens within the confines of the @NYPD104Pct. More information when available</t>
  </si>
  <si>
    <t>Turn in a gun this Saturday, 8/6, &amp;amp; receive up to $200. Keep your community safe &amp;amp; get money -- #WinWin. Details: https://t.co/CWtBoolg9L</t>
  </si>
  <si>
    <t>"Since the inception of the Gun Buyback program more than 9,000 weapons have been turned in," says @CommissBratton https://t.co/ljOJOmluwm</t>
  </si>
  <si>
    <t>"We offer the opportunity for you to rid yourself of an illegal gun," says Bronx DA Clark on Gun Buyback https://t.co/jpAIdI7pWf</t>
  </si>
  <si>
    <t>#HappeningNow: @CommissBratton joins Bronx DA Clark to announce Gun Buyback locations on August 6 https://t.co/21scGcNtAa</t>
  </si>
  <si>
    <t>The NYPD never forgets those who've made sacrifices on its behalf. Thank you &amp;amp; congrats! https://t.co/jQb8LDcSdT</t>
  </si>
  <si>
    <t>"Today we honor cops who gave more than their share...those who exemplify Cops Count, Police Matter" @CommissBratton https://t.co/RGGwVQxOky</t>
  </si>
  <si>
    <t>A great day in HQ as we recognize the hard work &amp;amp; dedication of our members at an NYPD promotion ceremony! https://t.co/LaszVYTG2a</t>
  </si>
  <si>
    <t>Read more on how the NCO program has NYPD cops protecting &amp;amp; connecting with those we serve https://t.co/g2c1bCrMgH  https://t.co/PAhYkFJLCf</t>
  </si>
  <si>
    <t>Precision policing by @NYPD73Pct cops led to this illegal gun being taken off the streets of #Brooklyn https://t.co/HtCah5hRPg</t>
  </si>
  <si>
    <t>WANTED: Male ~25yrs, 5'5" 140lbs for forcibly touching a woman near 31-36 14 St, Qns. Call #800577TIPS. @NYPD114Pct https://t.co/Xc5jvaOHcX</t>
  </si>
  <si>
    <t>Thank you to St Luke's Episcopal Church for acknowledging and appreciating the hard work of our @NYPD41Pcts cops. https://t.co/YqdNXzfRrr</t>
  </si>
  <si>
    <t>RT @nypdrecruit: Future officer Jeremy gets to work. @NYPD46Pct #TheBronx https://t.co/gTEI5zCpIi</t>
  </si>
  <si>
    <t>#SilverAlert: Leroy Maingo, 67/black pants/white shirt, last on Sanford Ave #Queens 7/30 11:30am. If seen call 911 https://t.co/sQrlUwk2h7</t>
  </si>
  <si>
    <t>.@NYPDCT Critical Response Command, highly trained and always prepared. https://t.co/XKWX0mDcjm https://t.co/2CHMnZv8UR via: @nytimes</t>
  </si>
  <si>
    <t>WANTED: Asuncion Moran Barrera, 42, ~4'9" for attempted rape on Staten Island. Call #800577TIPS w/info. https://t.co/BdTzQ2UP7O</t>
  </si>
  <si>
    <t>Enjoying the weekend in NYC? Check out our traffic advisory: https://t.co/aoXJ1hBeut https://t.co/Yg7PPy6etd</t>
  </si>
  <si>
    <t>Plan ahead if you’re driving -- Via @NYC_DOT: Today #FDRDrive FULL CLOSURE in both directions btn 61st-96th from 1:30AM to 7AM</t>
  </si>
  <si>
    <t>“The NYPD is taking this step to make a difference, &amp;amp; what is great, we’re able to change the lives of young people” https://t.co/HvhZJpJMvb</t>
  </si>
  <si>
    <t>.@NYPD113Pct’s Officer Paige might need to bring his uniform to the cleaners today, but totally worth it. https://t.co/JPny95gldD</t>
  </si>
  <si>
    <t>Building trust with the communities we serve -- #ItsWhatWeDo. WATCH @CommissBratton at the #AspenSecurity Forum: https://t.co/3ldqQKoS3b</t>
  </si>
  <si>
    <t>.@NYPDTransit Cops Recover Illegal Handgun From Fare Beater https://t.co/Qk9lwPez6e https://t.co/ojDC6EOc9T</t>
  </si>
  <si>
    <t>Happy kids, happy cops. Connecting with those we serve. #ItsWhatWeDo @NYPD33Pct @PALNewYork https://t.co/TQ7URb1SH9</t>
  </si>
  <si>
    <t>There’s plenty of ways to be part of the NYPD. Here’s one.  https://t.co/oPBBIeROfa</t>
  </si>
  <si>
    <t>Planning to enjoy the weekend in NYC? Check out our traffic advisory https://t.co/aoXJ1hBeut https://t.co/y3qmxhvDqr</t>
  </si>
  <si>
    <t>Help us ID this man, found disoriented near 50 W. 68 St, Manhattan. Call #800577TIPS with any info. @NYPD20Pct https://t.co/ab5DifF59H</t>
  </si>
  <si>
    <t>Keeping #NYC safe. This illegal gun was taken off the streets of #Brooklyn by @NYPD79Pct cops. #ItsWhatWeDo https://t.co/AeMVN7K09o</t>
  </si>
  <si>
    <t>.@CommissBratton speaks at #AspenSecurity Forum on recent attacks in the U.S. &amp;amp; Europe https://t.co/0zLyWkE09D</t>
  </si>
  <si>
    <t>.@NYPDSpecialops Air Sea Rescue Team Saves Stranded Jet Skier https://t.co/DxkZrGxbav https://t.co/NVi3pLv4kl</t>
  </si>
  <si>
    <t>Sending prayers to the wife &amp;amp; two children of fallen Officer DeGuzman &amp;amp; all at @SanDiegoPD. We will #NeverForget https://t.co/NsYGzHbP1t</t>
  </si>
  <si>
    <t>RT @NYPD102Pct: The depicted individual is wanted in connection with a Child
Luring that occurred on the morning of July 27th, 2016. https:…</t>
  </si>
  <si>
    <t>Traininn to Protect NYC: Here’s 3 recruits learning from experienced @NYPD120Pct cops while they are in the academy. https://t.co/nTbazA19mx</t>
  </si>
  <si>
    <t>Here’s one example of the thousands of daily positive police-community interactions  https://t.co/yBgoWsNkHA</t>
  </si>
  <si>
    <t>WANTED: M/H 40’s, for unlawful surveillance of a F/29 at the 74St “E” train station at 5pm 7/26. Call #800577TIPS https://t.co/d3stpGwpqq</t>
  </si>
  <si>
    <t>Connecting with the people we serve. Sometimes that’s one smile at a time. Because #ItsWhatWeDo https://t.co/XDfTB0cJOF</t>
  </si>
  <si>
    <t>Our thoughts and prayers are with the @SanDiegoPD and the family of the officer https://t.co/jgXrmvoooZ</t>
  </si>
  <si>
    <t>Here’s some of the NYPD protectors of NYC. Our @NYPD77Pct cops are happy keeping #Brooklyn safe. #ItsWhatWeDo https://t.co/nELTm1dTGz</t>
  </si>
  <si>
    <t>WANTED: 2 F/H for assault/hate crime making anti-Asian slurs to a F/29 on the 1 train at 86St on 6/26. #800577TIPS https://t.co/Sx5HWBs6gj</t>
  </si>
  <si>
    <t>WANTED: M/20’s for forcibly touching a F/46 jogging in Flushing Meadow Pk 8am 7/26. Call #800577TIPS https://t.co/kHHBjozcEp</t>
  </si>
  <si>
    <t>#ICYMI: We lost a “few” chess games yesterday but made many new friends https://t.co/zoM33bkOcG #ChessWithCops https://t.co/1he9nZ20I4</t>
  </si>
  <si>
    <t>There are people wanted in NYC. YOU can help keep NYC safe &amp;amp; get a reward. #WinWin https://t.co/mgwh96XKry https://t.co/KraGUoJLCi</t>
  </si>
  <si>
    <t>A search warrant resulted in this illegal gun taken off the streets of #Brooklyn. Protecting NYC- #ItsWhatWeDo https://t.co/360nAVftB5</t>
  </si>
  <si>
    <t>WANTED: M/B driving a gray car for endangering a 10yr old child, 7am 7/27 on 102St #Queens. 
Call #800577TIPS https://t.co/h3Z3GKK8LH</t>
  </si>
  <si>
    <t>#ICYMI: Every NYPD Patrol Officer To Be Equipped With Heavy Ballistic Vests &amp;amp; Helmets https://t.co/ZE74TiGUuE https://t.co/LznM1A9uSo</t>
  </si>
  <si>
    <t>RT @NYPDSpecialops: Great work by #Harbor &amp;amp; @USCG making an arrest in regards to unlicensed firearms during a boat safety inspection https:…</t>
  </si>
  <si>
    <t>Two ‘Wicket Cool’ Cops
See how we're connecting with kids through @nypdunited https://t.co/wXNXWox2ho https://t.co/HvhZJpJMvb</t>
  </si>
  <si>
    <t>Not sure if 30+ years of police experience will help this NYPD detective in her chess match. #ChessWithCops https://t.co/FGLCvcOAzv</t>
  </si>
  <si>
    <t>Through seamless collaboration with our Federal partners we continue to keep NYC protected. https://t.co/gKWUqAeVsk</t>
  </si>
  <si>
    <t>It's stressful being an NYPD chief- that includes playing (&amp;amp; losing to?) a 10 year old in chess! #ChessWithCops https://t.co/wAtXGh3Fti</t>
  </si>
  <si>
    <t>#HappeningNow: building police-community relations in NYC one chess move at a time! #ChessWithCops https://t.co/skejig5moe</t>
  </si>
  <si>
    <t>RT @NYPDDetectives: #Wanted for a double homicide in the #Bronx on 7/25. Any info on Luis Chacon call #800577TIPS https://t.co/mOgMk6DL8u</t>
  </si>
  <si>
    <t>Helping people in need- #ItsWhatWeDo https://t.co/hm2yiME7aB</t>
  </si>
  <si>
    <t>WANTED: M/40’s for public lewdness on n/b 2 train at Court St #Brooklyn 6pm. Call #800577TIPS https://t.co/whvSLdxyXd</t>
  </si>
  <si>
    <t>It is great having the support of the community- thank you #Rockaway #Queens @NYPD100Pct  https://t.co/cSdbyzYA1V</t>
  </si>
  <si>
    <t>Help us find Carlos Oshoa- wanted in connection to the shooting of a M/52 on 7/22 in the #Bronx. Call #800577TIPS https://t.co/6OqnsKuxoJ</t>
  </si>
  <si>
    <t>Keeping NYC safe: Great training &amp;amp; demonstration of crisis communication skills &amp;amp; tactics by ESU, HNT &amp;amp; CIT. https://t.co/a2s9L8MV26</t>
  </si>
  <si>
    <t>WANTED: M/B 40’s for menacing/yelling homophobic slurs at two people at 33St/8 Ave, 1:30pm 7/11. Call #800577TIPS https://t.co/EUnchSQ2Ev</t>
  </si>
  <si>
    <t>WANTED: M/B 6’1” 195lbs for rape &amp;amp;amp; armed robbery of F/29 at 1:30am 7/25 at Dekalb/Wilson Aves. Call #800577TIPS https://t.co/nHDAP1wbcq</t>
  </si>
  <si>
    <t>Three Brooklyn Men Charged In Manhattan Federal Court For Two Bank Heists https://t.co/XSf3Rsm8SL https://t.co/NGlhRFWRbq</t>
  </si>
  <si>
    <t>#HappeningNow: 18 yrs later &amp;amp; still holds true today. Crisis communication skills being taught to our NYPD recruits. https://t.co/hRMxXP2s0k</t>
  </si>
  <si>
    <t>Help ID this man WANTED for attempted rape in Brooklyn. Call #800577TIPS https://t.co/wh4lwa6pG3 @NYPD78Pct https://t.co/KjFtSwj6SF</t>
  </si>
  <si>
    <t>"We can't do this work alone. We must do it together and this is an example of that extraordinary collaboration," says @CommissBratton</t>
  </si>
  <si>
    <t>"This case was conducted with painstaking persistence," says @CommissBratton on 3 men charged in bank heists. https://t.co/RBpybp6tse</t>
  </si>
  <si>
    <t>The crew used torches to cut holes in the roof of an HSBC bank to get inside for the heist. https://t.co/yJ7VjtQjnq</t>
  </si>
  <si>
    <t>#HappeningNow: @PreetBharara, @CommissBratton &amp;amp; @NewYorkFBI announce charges against 3 men for bank heists https://t.co/c8ZLXT4Xy5</t>
  </si>
  <si>
    <t>"The NYPD can't do it alone, we need the community to help keep J’Ouvert celebrations safe," says @NYPDChiefofDept https://t.co/97OA7zCiSu</t>
  </si>
  <si>
    <t>"We will be doubling the number of officers assigned to J’Ouvert celebrations," says @NYPDChiefofDept https://t.co/dfnEQduy2H</t>
  </si>
  <si>
    <t>"This will be the first year the parade will have a permit", says @CommissBratton about the West Indian Day Parade</t>
  </si>
  <si>
    <t>"There are many changes in the way we will police the West Indian Day Parade this year," says @CommissBratton https://t.co/AaWMsYq7qQ</t>
  </si>
  <si>
    <t>#HappeningNow: @CommissBratton, @NYPDChiefofDept &amp;amp; @BPEricAdams speak about upcoming J’Ouvert celebration https://t.co/CgtxAotaX0</t>
  </si>
  <si>
    <t>Queens Press- "Significant Crime Drop Seen in the @NYPD113Pct." Read more on how the NYPD is keeping you safe
https://t.co/kerxBfoVs6</t>
  </si>
  <si>
    <t>Proactive Dialogue at the Kingsbridge Heights Community Center with the community, @NYPD50Pct, @mayorsCAU &amp;amp; Bronx DA https://t.co/Nfwl7NxLHM</t>
  </si>
  <si>
    <t>Keeping #EastFlatbush #Brooklyn safe- another illegal gun taken off the streets by @NYPD67Pct cops https://t.co/Y2g1xFgv0Z</t>
  </si>
  <si>
    <t>Don't miss this great opportunity for youth- help spread the word https://t.co/cu5cDsOzn2</t>
  </si>
  <si>
    <t>WANTED: M/B 6’1” 195lbs for rape &amp;amp; armed robbery of F/29 at 1:30am 7/25 at Dekalb/Wilson Aves. Call #800577TIPS https://t.co/nHDAP1wbcq</t>
  </si>
  <si>
    <t>RT @CommissBratton: Finding ways to see each other. https://t.co/Z6pZHRkG9g</t>
  </si>
  <si>
    <t>Great work by @NYPD41Pct cops by taking this illegal gun &amp;amp; cash off the streets of the #Bronx. #ItsWhatWeDo https://t.co/l1nYTSoqLt</t>
  </si>
  <si>
    <t>#ICYMI @NYPD113Pct officers &amp;amp; youth expressing gratitude to our soldiers https://t.co/AjddLNE4fw</t>
  </si>
  <si>
    <t>Sometimes you just need to cool off! @PALNewYork @NYPDBklynNorth @NYPD79Pct https://t.co/7lKMZw0WX7</t>
  </si>
  <si>
    <t>RT @NYPD33Pct: #Beattheheat with a spray cap from @FDNY https://t.co/SzC4HpUwKB, and report illegally opened hydrants to @nyc311 https://t.…</t>
  </si>
  <si>
    <t>It’s a scorcher today! Here’s a few tips on how to #BeatTheHeat: https://t.co/V06SwHXtj1 https://t.co/HmVvujfpKE</t>
  </si>
  <si>
    <t>"This is a job full of risk &amp;amp; it's our job to minimize that risk,"- @NYPDChiefofDept. Watch: https://t.co/bdZpNwlU6e https://t.co/rmUsh3wl1y</t>
  </si>
  <si>
    <t>Learn more about Sgt. Armani's &amp;amp; Officer Cybulski's heroics https://t.co/j1WjToIZOW https://t.co/McFw3cuW6K</t>
  </si>
  <si>
    <t>"I think 8.5 million people would like to be doing what I'm doing, shaking Sgt. Armani's hand," @BilldeBlasio https://t.co/4mn8Uy6E8r</t>
  </si>
  <si>
    <t>"There is no department in America doing more to keep our officers &amp;amp; the public safe," @CommissBratton https://t.co/yCDYbpstVM</t>
  </si>
  <si>
    <t>Mayor @BilldeBlasio &amp;amp; @NYCCouncil have allocated more than a billion dollars for keeping officers &amp;amp; the public safe https://t.co/bdZpNwlU6e</t>
  </si>
  <si>
    <t>#HappeningNow: Mayor @BilldeBlasio &amp;amp; @CommissBratton announce new equipment to keep public &amp;amp; officers safe. WATCH: https://t.co/bdZpNwlU6e</t>
  </si>
  <si>
    <t>#HappeningSoon: Mayor @BilldeBlasio &amp;amp; @CommissBratton address media on new equipment to keep officers &amp;amp; public safe https://t.co/cFdsZYWi0Z</t>
  </si>
  <si>
    <t>WANTED: M/W/30’s 5’10” for a bank robbery on 7/23 at Chase Bank/204 W6St. Call #800577TIPS https://t.co/kUzCY5OtfH</t>
  </si>
  <si>
    <t>Learn more about our NYPD Explorers program here https://t.co/DUWTgOdL2Z https://t.co/JrJprqeG5f</t>
  </si>
  <si>
    <t>WANTED: M/H/20’s for multiple forcible touching incidents in #Queens. Call #800577TIPS @NYPD114Pct https://t.co/Exf6u3Uou1</t>
  </si>
  <si>
    <t>Forecast says it’ll be another hot day today. Be prepared if you’re heading off to the beach with these tips https://t.co/hGTp1sqh6K</t>
  </si>
  <si>
    <t>RT @CommissBratton: .@NYPDTransit Your NYPD going into harm's way to keep NYC safe - #ItsWhatWeDo. Thanks for your dedication, officers htt…</t>
  </si>
  <si>
    <t>Congrats @mikepiazza31! Thanks for your commitment to #NeverForget. https://t.co/N7iVo71yNW https://t.co/NANQzzzLRf</t>
  </si>
  <si>
    <t>Another scorcher today! Here’s a few tips on how to #BeatTheHeat https://t.co/V06SwHXtj1 https://t.co/HmVvujfpKE</t>
  </si>
  <si>
    <t>Honored to stand with our law enforcement partners. We’ll #NeverForget @EBRSheriff Deputy Brad Garafola https://t.co/ugpplS0uAk #BatonRouge</t>
  </si>
  <si>
    <t>.@NYPD79Pct Thanks for the hugs &amp;amp; making us smile, Jayla! https://t.co/Fj0H2yWZ2P</t>
  </si>
  <si>
    <t>In NYC today? So is the #NYCtri. Have a look at where there may be some traffic: https://t.co/1ZeAsIXyib https://t.co/cKqexllYdH</t>
  </si>
  <si>
    <t>RT @NYPD43Pct: What would YOU think if u saw someone with this "gun"? Our Ofcrs safely removed this BB gun from a violent criminal. https:/…</t>
  </si>
  <si>
    <t>#SilverAlert: Biyu Lin, 69, 5' 90lbs, last seen 880 53 St, Brooklyn. Call 911 if seen, #800577TIPS with info. https://t.co/9hUe4zWTgd</t>
  </si>
  <si>
    <t>RT @NYPD83Pct: Caught this young man doing graffiti cleanup. That's a good way to inspire our youth to take pride in our community. https:/…</t>
  </si>
  <si>
    <t>All Peter Cybulski has ever wanted to do is help people, his girlfriend said https://t.co/RCvf2dzeQD @SohamptonPatch https://t.co/pDZBwCPSMM</t>
  </si>
  <si>
    <t>.@NYPD61Pct Has Sixth Greatest Crime Decrease In The City https://t.co/z6ERdTwcNo Via: @SheepsheadBites https://t.co/S6dF0ID034</t>
  </si>
  <si>
    <t>It’s hot! Here’s some tips on how to #BeatTheHeat https://t.co/V06SwHXtj1 https://t.co/DmltbzhYYb</t>
  </si>
  <si>
    <t>NYPD standing with our brothers and sisters in @BRPD. https://t.co/yHy5cL8LUi</t>
  </si>
  <si>
    <t>Whether you're going to a beach or a pool this weekend, plan ahead w/our traffic advisory: https://t.co/1ZeAsIXyib https://t.co/ayGwY31Sq1</t>
  </si>
  <si>
    <t>Let’s RETWEET to thank NYPD heroes Sergeant Armani &amp;amp; Officer Cybulski. See what they said: https://t.co/agq91JRXfR https://t.co/ZxegBRHvsP</t>
  </si>
  <si>
    <t>.@NYPDDetectives would like to talk to this man WANTED for endangering the welfare of an 8Y/O boy, Qns. #800577TIPS https://t.co/Q6SJ7k09hX</t>
  </si>
  <si>
    <t>RT @CommissBratton: Staten Island's Chief Ed Delatorre got a lesson from 11-year-old DJ H2O at their annual Harmony Day https://t.co/aHqsye…</t>
  </si>
  <si>
    <t>It's a scorcher today! Here's a few tips on how to #BeatTheHeat https://t.co/V06SwHXtj1 https://t.co/HmVvujfpKE</t>
  </si>
  <si>
    <t>RT @NYPDCT: Monitoring events in unfolding in Munich, Germany shopping center
https://t.co/y9BubkMkPx</t>
  </si>
  <si>
    <t>RT @nycoem: New Yorkers can #beattheheat by getting a spray cap from @FDNY firehouses: https://t.co/46UlpD5yXJ https://t.co/vdHWQLREc7</t>
  </si>
  <si>
    <t>Hey @NYCFC @NewYorkRedBulls, check out this officer’s skills! Connecting with our youth on @PALNewYork playstreets! https://t.co/yTdyZKy8bO</t>
  </si>
  <si>
    <t>.@timfleischer7 met NYPD explosive sniffing K9 "Ellis" who is keeping NYC safe. More: https://t.co/QQAcTBZaTK  https://t.co/FYYPLjbvki</t>
  </si>
  <si>
    <t>Great collaboration &amp;amp; domestic violence outreach by @NYPD25Pct &amp;amp; @NYCHealthSystem in #EastHarlem https://t.co/aEMi6DKRuf</t>
  </si>
  <si>
    <t>WANTED: 4 M/B’s for multiple robberies &amp;amp; assault in #Brooklyn. Call #800577TIPS https://t.co/jU6iMkUV2L</t>
  </si>
  <si>
    <t>Still awake? Check out this short video on the heroic actions of two NYPD officers https://t.co/giUAfkqOWR https://t.co/EfyZPLcxip</t>
  </si>
  <si>
    <t>WANTED: Male for assaulting a man near Marcus Garvey Blvd &amp;amp; Madison St, Bklyn. #800577TIPS https://t.co/HgGUl9zWpk https://t.co/d0Au6jMI71</t>
  </si>
  <si>
    <t>RT @NYPD104Pct: Wonderful turnout to support the recently fallen @DallasPD @dartmedia @BRPD @KCKPDHQ https://t.co/0jmEoIpXcX</t>
  </si>
  <si>
    <t>RT @nycgob: "Estos dos oficiales son héroes del #NYPD, héroes de NYC". @CommissBratton https://t.co/bXeJsNNuFq @NYPDnews #ColumbusCircle</t>
  </si>
  <si>
    <t>NYPD Heroes!
"We thought, this is it, we’re not going to make it, but I’m happy no one else is going to get hurt" https://t.co/BLJaV7At9l</t>
  </si>
  <si>
    <t>"We knew what each other was thinking. We weren't going to let anything happen in Times Square," Officer Cybulski https://t.co/a34dj5Lvyx</t>
  </si>
  <si>
    <t>"These two officers are heroes of the NYPD, heroes of New York City."- @CommissBratton https://t.co/9H6KlRZJlp</t>
  </si>
  <si>
    <t>The device was secured by the sergeant &amp;amp; officer and later deemed to be a hoax device. The subject was later stopped in #ColumbusCircle</t>
  </si>
  <si>
    <t>As the man fled in his vehicle the sergeant &amp;amp; officer made the decision to drive the van out of Times Sqr with the device inside the car</t>
  </si>
  <si>
    <t>This incident began late last night when the subject tossed a make-shift device into a marked police van in Times Square</t>
  </si>
  <si>
    <t>A search of the vehicle was conducted however at this time there is no indication of any explosives present</t>
  </si>
  <si>
    <t>Initial video of the interior of the vehicle noted what appeared to be a device. After Bomb Sqd eval, it was decided to extricate the man</t>
  </si>
  <si>
    <t>Last night attempts were made to engage the man in conversation but early on the man stated he had explosives in the vehicle.</t>
  </si>
  <si>
    <t>"At 7:45am a 52y/o man was taken into custody in connection to vehicle barricade situation in #columbuscircle," @NYPDChiefofDept</t>
  </si>
  <si>
    <t>#HappeningNow: @CommissBratton &amp;amp; leadership updating the public on the #ColumbusCircle https://t.co/7yobcmrwOd</t>
  </si>
  <si>
    <t>From #columbuscircle. Incident involved NYPD units @NYPDCTB @NYPDSpecialops patrol  @NYPDDetectives HNT +more https://t.co/zcK1FCsNfg</t>
  </si>
  <si>
    <t>#HappeningSoon: @CommissBratton &amp;amp; leadership to update the press &amp;amp; public on #ColumbusCircle incident https://t.co/7khgyMp58t</t>
  </si>
  <si>
    <t>Man involved in situation in Columbus Circle taken into custody with out incident https://t.co/CDvz3tFMDC</t>
  </si>
  <si>
    <t>RT @NYPDMTN: Please avoid the area of Columbus Circle until further notice. https://t.co/e0w2axKKNU</t>
  </si>
  <si>
    <t>RT @NYPDTransit: The #ColumbusCircle closure affects the 1,A,B,C,D subway lines- Normal service expected for morning rush, but will bypass…</t>
  </si>
  <si>
    <t>RT @NYPDTransit: Due to an ongoing incident subways continue to bypass 59th #ColumbusCircle - The entire station is closed- Pls plan around…</t>
  </si>
  <si>
    <t>*REMINDER: Crime In NYC Is At Record Lows https://t.co/NVIYc6oAEa
Retweet to say thanks to your NYPD cops! https://t.co/HeOkjx4CVi</t>
  </si>
  <si>
    <t>Check out Lt. Almonte’s skills! He’s not bad at basketball either. Connecting with the community, #ItsWhatWeDo. https://t.co/Jm5c3o7qyp</t>
  </si>
  <si>
    <t>WANTED: Female 20's 5'5" for assaulting a woman on the J train in Bklyn. #800577TIPS https://t.co/35EvKlasOc https://t.co/P8RKkaUV1t</t>
  </si>
  <si>
    <t>“Those of us that survived that day,” NYPD Chief Purtell said, “we’ll never forget.” https://t.co/P7kbc5EZPR</t>
  </si>
  <si>
    <t>RT @NYPDSpecialops: Great job this morning - #ESU Dts Connelly &amp;amp; Welch dove into the East River to apprehend a perp wanted for Robbery http…</t>
  </si>
  <si>
    <t>Our prayers go out to the Kansas City Police Department &amp;amp; the family of Captain Melton. We will #NeverForget https://t.co/BFgecIuhrv</t>
  </si>
  <si>
    <t>"In addition to more cops, we have a new cadre of vapor wake K9's that protect NYC," Dep. Commissioner Miller https://t.co/nodVXcWNKT</t>
  </si>
  <si>
    <t>"Because of Mayor @BilldeBlasio, @CommissBratton &amp;amp; @NYCCouncil we have 500 new elite @NYPDCT cops to protect NYC," Dep. Commissioner Miller</t>
  </si>
  <si>
    <t>Dep Commissioner Miller speaks on recent terror attacks around the world, "inspired" attackers &amp;amp; use of social media https://t.co/wQ6C7QsSrd</t>
  </si>
  <si>
    <t>#HappeningNow: Dep. Commissioner of Intel &amp;amp; @NYPDCT John Miller speaks to @ABetterNY on the trends in terrorism &amp;amp; how the NYPD protects NYC.</t>
  </si>
  <si>
    <t>Help ID 3 male teens WANTED for armed robbery of a 16y/o, White Plains Rd &amp;amp; Nereid Ave subway stn. Call #800577TIPS https://t.co/qbMhvMWVbm</t>
  </si>
  <si>
    <t>Everyone needs a helping hand every now &amp;amp; then (especially when you fall off your skateboard). Thx Officer Shroeder! https://t.co/9jHCZZKObs</t>
  </si>
  <si>
    <t>WANTED: Male 5’8” 170lbs for forcibly touching women in Queens. Call #800577TIPS w/info. @NYPD107Pct https://t.co/HX0RafXH1C</t>
  </si>
  <si>
    <t>WANTED: M/B 5’8” 220lbs for forcibly touching a F/25 on the 2 train at 174 St station 5:30am 7/5. Call #800577TIPS https://t.co/49yZG8nhwV</t>
  </si>
  <si>
    <t>.@NYPD40Pct Officer Campoverde stopped by our Crisis training to talk about de-escalation https://t.co/M0PsLvLgRq https://t.co/B46Meq68IL</t>
  </si>
  <si>
    <t>A few special kids came to visit NYPD HQ today. Have a look at our @Snapchat story. @SunshineKidsOrg https://t.co/UMLRVJOYAL</t>
  </si>
  <si>
    <t>Partnership Between NYPD &amp;amp; Bronx DA Takes Guns &amp;amp; Gunrunners Off The Street. #ItsWhatWeDo https://t.co/gMbGeMxvei https://t.co/9KtDqr1C3C</t>
  </si>
  <si>
    <t>RT @SunshineKidsOrg: @SunshineKidsOrg hanging out with NYPD! @NYPDnews #ssknybb2016 https://t.co/Qp2b65gl0L</t>
  </si>
  <si>
    <t>Now at HQ, @CommissBratton &amp;amp; @NYPDChiefofDept welcome #SunshineKids as they stop by for a visit. #SSKNYBB2016 https://t.co/HsaFcBmdZD</t>
  </si>
  <si>
    <t>NYPD Detective Posthumously Awarded Gold Lifesavers Medal By @USCG https://t.co/2KggaHflWk https://t.co/kZtBDHSsxv</t>
  </si>
  <si>
    <t>UPDATE: A M/25 has been arrested in regard to this incident https://t.co/85FdLKvEpk</t>
  </si>
  <si>
    <t>Even though they just finished working a 12-hour tour, these @NYPD100Pct cops still made time to stop for a picture https://t.co/hcCUpPsO8t</t>
  </si>
  <si>
    <t>WANTED: M/B 5’10 for stabbing a person multiple times in front of 97-04 Rockaway Blvd at. 1pm 7/18. Call #800577TIPS https://t.co/MCattShLfH</t>
  </si>
  <si>
    <t>Read more about Det. McDonald and his recent message  https://t.co/62FLOge9Zx https://t.co/EySPyOjOal</t>
  </si>
  <si>
    <t>#SilverAlert: James Watson, 94, last seen Veterans Hosp/130 W.Kingsbridge Rd.(yellow shirt/jeans) If seen call 911. https://t.co/i1SHpi97Qp</t>
  </si>
  <si>
    <t>Many are asleep now, but NYPD cops are out there taking guns off the streets &amp;amp; keeping NYC safe. Let's say thanks https://t.co/Ld6DRpMnvU</t>
  </si>
  <si>
    <t>RT @NYPDDetectives: Today's press conference with our counterparts in the @FBI @NewYorkFBI #collaboration https://t.co/TZRVGOKBFy</t>
  </si>
  <si>
    <t>Sometimes our heroes are standing right in front of us https://t.co/x4k1SsLjJG @NYPD23Pct</t>
  </si>
  <si>
    <t>YOU can help us ID this man, 5'6" 145lbs, wanted for RAPE near 463 Berriman St, Bklyn. Call #800577TIPS w/info. https://t.co/Rv9nmbTvZl</t>
  </si>
  <si>
    <t>RT @NYPD17Pct: Prayers for law enforcement.  #thankyouseth #sethheartofgold #oldsoul https://t.co/Jz58ZCm1Vz</t>
  </si>
  <si>
    <t>Our prayers are with @BRPD, @EBRSheriff &amp;amp; families of the officers killed &amp;amp; injured in #BatonRouge. #NeverForget https://t.co/3xrprkJDXh</t>
  </si>
  <si>
    <t>Great work by dedicated @NYPD24Pct cops taking this gun off the streets of the #UWS #Manhattan. #ItsWhatWeDo https://t.co/LcGvWXrzG0</t>
  </si>
  <si>
    <t>WANTED: Multiple people in connection to an assault inside 2053 Atlantic Ave at 3am 7/17. Call #800577TIPS https://t.co/MqhPKEfTNd</t>
  </si>
  <si>
    <t>Too young to join the #NYPD? Check out the @NYPDcadet program. Great pay/tuition benefits: https://t.co/XOXZekJK6R https://t.co/AGZcGGhKsh</t>
  </si>
  <si>
    <t>WANTED: F/B/teens for assaulting a F/16 on the A/F train at Jay St #Brooklyn 11pm 6/12. Call #800577TIPS https://t.co/tbH89OMR03</t>
  </si>
  <si>
    <t>RT @CommissBratton: An important conversation w/@ScottPelley on @CBSEveningNews on how we're keeping cops safe. https://t.co/GJiuEw2xbT htt…</t>
  </si>
  <si>
    <t>.@CommissBratton speaks with @CBSNews on how the NYPD is keeping our cops safe as they keep NYC safe https://t.co/7Kk4T7JQwe @CBSEveningNews</t>
  </si>
  <si>
    <t>Tonight at 6:30 on @CBSEveningNews, @CommissBratton will discuss what the NYPD is doing to protect our cops following #BatonRouge shootings</t>
  </si>
  <si>
    <t>Information on today's police involved shooting in Brooklyn: https://t.co/nTD736kCK4 @NYPD94Pct @NYPDBklynNorth</t>
  </si>
  <si>
    <t>RT @CommissBratton: Cops can never say "it's too much to bear" even when it is, because safety -- public's &amp;amp; ours -- is paramount. We are m…</t>
  </si>
  <si>
    <t>The suspect has not yet been positively identified. The investigation is ongoing.</t>
  </si>
  <si>
    <t>Our preliminary investigation reveals the male suspect committed two gunpoint robberies moments before the police responded.</t>
  </si>
  <si>
    <t>None of the officers were struck by gunfire.</t>
  </si>
  <si>
    <t>The officers exchanged gunfire w/ the suspect, who was armed with a handgun. He was shot &amp;amp; transported to Woodhull Hospital, where he died.</t>
  </si>
  <si>
    <t>Uniformed officers from @NYPD94Pct responding to 911 calls for a gunpoint robbery in vicinity of 20 Debevoise Ave. encountered an armed male</t>
  </si>
  <si>
    <t>#HappeningNow: @NYPDBklynNorth  Commander, Assistant Chief Jeffrey Maddrey giving update on shooting in @NYPD94Pct https://t.co/UOH3FGzbGB</t>
  </si>
  <si>
    <t>New NYPD Cop Follows In The Footsteps Of Father, 9/11 Hero
https://t.co/hvylXzKYvz https://t.co/jMt2MBK7mj</t>
  </si>
  <si>
    <t>Gun recovered at scene of this morning's police involved shooting in Brooklyn. More info when available https://t.co/Afj9Y6h2my</t>
  </si>
  <si>
    <t>There's been a police involved shooting within the confines of Brooklyn's @NYPD94Pct. More information when available.</t>
  </si>
  <si>
    <t>ARREST Update: A 17-yr-old male from the Bronx has been charged with attempted rape and robbery https://t.co/5UDIFRvnxl</t>
  </si>
  <si>
    <t>.@CommissBratton sat down with @charlierose to speak on events in Dallas, police training &amp;amp; NYPD initiatives. WATCH: https://t.co/5A6ZPFOXgl</t>
  </si>
  <si>
    <t>#ICYMI: Crime in NYC is at record lows. https://t.co/cXlSlPapYw
Thank you to NYPD's men &amp;amp; women out there 24/7 https://t.co/sZj2OPwtA2</t>
  </si>
  <si>
    <t>RT @NYPDCeremonial: #HappeningNow
Procession to Dallas-Ft Worth Nat'l Cemetery for @DallasPD P.O. Patricio Zamarripa
#RIP🙏 #DallasStrong ht…</t>
  </si>
  <si>
    <t>Dialogue &amp;amp; Dunks! Check out this great police-community event that was held in the #Bronx https://t.co/nUDEsJJtNn https://t.co/KY9OMon4Dq</t>
  </si>
  <si>
    <t>Have a look at our @Snapchat for the latest on NYPD protecting NYC since the #NiceAttack &amp;amp; crime prevention tips too https://t.co/bx0SH6Oqd5</t>
  </si>
  <si>
    <t>.@NYPDChiefofDept James O’Neill Strives To Be Force For Change https://t.co/KZV397tZMT https://t.co/ls8C5Uyxib</t>
  </si>
  <si>
    <t>There's lots of events in NYC this weekend. Plan ahead &amp;amp; enjoy with the our traffic advisory https://t.co/5IbdiGfC2U https://t.co/Z4nq3d9pAk</t>
  </si>
  <si>
    <t>Tonight at 10pm on @DatelineNBC Dep. Commissioner of @NYPDCT John Miller talks protecting NYC with @CanningAndrea. https://t.co/gOzNBqjz3c</t>
  </si>
  <si>
    <t>The weekend is here &amp;amp; just in time we have some Pokémon Go safety tips. #CatchEmAll https://t.co/kCsmqFFtFH</t>
  </si>
  <si>
    <t>In this hot weather, a cup of lemonade always helps! Get more tips here: https://t.co/Em0zOGlBzf @NYPD107Pct https://t.co/7cGc5jTio3</t>
  </si>
  <si>
    <t>UPDATE: M/64 arrested for multiple grand larcenies/taking property from women including a F/73</t>
  </si>
  <si>
    <t>New Yorkers will see an even larger number of officers on the street protecting NYC, since #NiceAttack. https://t.co/kAHJH8MwRS</t>
  </si>
  <si>
    <t>Dep. Commissioner of @NYPDCT John Miller describing how the NYPD is protecting NYC since #NiceAttack https://t.co/ykmdUcI6o2</t>
  </si>
  <si>
    <t>"There are no credible threats to NYC, but the NYPD remains vigilant as always," says @CommissBratton https://t.co/4qnmvdmmMu</t>
  </si>
  <si>
    <t>#HappeningNow: @CommissBratton briefs media regarding events in Nice https://t.co/Bk80v2sqhT</t>
  </si>
  <si>
    <t>NYPD Harbor Launch 454 is now dedicated to a fallen hero, Det. Anthony Vendetti. https://t.co/t1cl66miwl</t>
  </si>
  <si>
    <t>"Today's Harbor Launch dedication is a continuation of our commitment to #NeverForget Det Venditti," @CommissBratton https://t.co/i1iWZETYLK</t>
  </si>
  <si>
    <t>As we honor Det. Venditti, killed in 1986, we take a moment to remember &amp;amp; honor those killed in the #NiceAttack https://t.co/zWeaJBG02h</t>
  </si>
  <si>
    <t>#HappeningNow: We honor and remember a fallen hero as we name NYPD Harbor Launch 454 after Det. Venditti. https://t.co/Wyi6LthOrH</t>
  </si>
  <si>
    <t>#HappeningSoon: Honoring a fallen hero as we name NYPD Harbor Launch 454 after Det. Venditti. https://t.co/WKwp0goqXu</t>
  </si>
  <si>
    <t>Help ID this male WANTED for attempted rape of a 13y/o girl near Jennings St &amp;amp; Intervale Ave, BX. Call #800577TIPS https://t.co/dNxWjx9d3w</t>
  </si>
  <si>
    <t>Great work by @NYPD52Pct cops connecting with the community to clean up the #Bronx https://t.co/uoZhx2hIfQ</t>
  </si>
  <si>
    <t>Connecting with the public: a packed house including NYPD leaders, Mayor @BilldeBlasio &amp;amp; the community in #Brooklyn https://t.co/tMGXhZnhTP</t>
  </si>
  <si>
    <t>Great info-sharing by @NYPD112Pct cops with young kids on ‘stranger danger’ in #Queens https://t.co/nGPwteVU1C</t>
  </si>
  <si>
    <t>This gun was taken off the streets by  @NYPD83Pct  cops dedicated to keeping #Brooklyn safe. #ItsWhatWeDo https://t.co/7mxEzB3mqM</t>
  </si>
  <si>
    <t>It’s Friday- here’s a few tweets coming up to let you know how the NYPD is protecting NYC, sharing info &amp;amp; working with those we protect</t>
  </si>
  <si>
    <t>RT @CommissBratton: Prayers for Nice, and a message to New York City. #NiceAttack https://t.co/NwZzR8masT</t>
  </si>
  <si>
    <t>Staten Island’s Finest Honored For Heroics  https://t.co/JeXTm4jaMG @sichamber https://t.co/odGwGU3lE8</t>
  </si>
  <si>
    <t>Members of the NYPD stand with @rcmpgrcpolice to honor 5 heroes killed in the line of duty in Dallas. #NeverForget https://t.co/OI03YgNqLR</t>
  </si>
  <si>
    <t>"In America we all need to SEE each other...we need to find ways to talk to each other," @CommissBratton on @HOT97 @LisaEvers</t>
  </si>
  <si>
    <t>"We are fortunate that we have the funds to create new trainings, thanks to Mayor @BilldeBlasio," says @CommissBratton on @HOT97 @LisaEvers</t>
  </si>
  <si>
    <t>"This morning I swore in 600 new recruits, 60% are NYC residents," says @CommissBratton now on @HOT97 @LisaEvers</t>
  </si>
  <si>
    <t>"We've starting putting all of our officers through new training, including training on implicit bias", says @CommissBratton now on @HOT97</t>
  </si>
  <si>
    <t>Listen now as @CommissBratton calls into @HOT97</t>
  </si>
  <si>
    <t>Chief Conry asks for the community's help regarding assault of 75y/o man. More: https://t.co/YdkboJtv5q #800577TIPS https://t.co/NqF3hIL4RT</t>
  </si>
  <si>
    <t>.@CommissBratton introduces Joe Vigiano whose father &amp;amp; uncle died on 9/11. He's a U.S. Marine &amp;amp; now an NYPD recruit https://t.co/vYaAU1fiyA</t>
  </si>
  <si>
    <t>Take a look NYers! These are the men &amp;amp; women that will be the guardians of NYC in 6 months. Let's say thank you https://t.co/xDd0x4awun</t>
  </si>
  <si>
    <t>"You will go into the field with the latest &amp;amp; best training, tech &amp;amp; equipment to keep NYC &amp;amp; yourself safe," say @CommissBratton to recruits</t>
  </si>
  <si>
    <t>"You took an oath today...you must always see &amp;amp; hear those you serve," says @CommissBratton to new NYPD cops https://t.co/YLFutpdQpD</t>
  </si>
  <si>
    <t>#HappeningNow: More than 500 new officers being sworn in at the NYPD Police Academy https://t.co/yJWjfLtkY2</t>
  </si>
  <si>
    <t>They didn’t like graffiti in their neighborhood so they cleaned it up. #Teamwork https://t.co/gs1dcLFA0S https://t.co/X5jGrb8cyb</t>
  </si>
  <si>
    <t>More great interagency collaboration as Brooklyn stores are inspected for dangerous #K2 https://t.co/Nrs49F3Uda</t>
  </si>
  <si>
    <t>Looking forward to having you on the team. Follow @nypdrecruit for info! https://t.co/cpQLEoHgl8</t>
  </si>
  <si>
    <t>Help us ID this man &amp;amp; woman wanted for assaulting a 75y/o man, 120 W 14 St, Manhattan. Call #800577TIPS. @NYPD6Pct https://t.co/FS02tA6au0</t>
  </si>
  <si>
    <t>Great police work, help from the community &amp;amp; some #empathy resulted in a water rescue https://t.co/lZTP1WPNPt https://t.co/KokNN5exs1</t>
  </si>
  <si>
    <t>Standing with our law enforcement partners in Texas to honor five fallen heroes. @DallasPD @dartmedia @bftfnyc https://t.co/YdShjqOq7U</t>
  </si>
  <si>
    <t>#ICYMI The NYPD and the community coming together https://t.co/qpVYsWkRoc https://t.co/1vftKkx0G9</t>
  </si>
  <si>
    <t>WANTED: For stabbing a M/49 &amp;amp; making anti-gay slurs in the #Bronx. Call #800577TIPS video: https://t.co/yFxxRAZH18 https://t.co/jCgyPgAu0T</t>
  </si>
  <si>
    <t>RT @NYPD81Pct: Great job by all involved today in the take down of K2 suppliers of the neighborhood. #together #bedstuy #bushwick https://t…</t>
  </si>
  <si>
    <t>YOU can help us ID this male wanted for attempted RAPE of an 8-YR-OLD. Call #800577TIPS. https://t.co/P38U93Ub1K https://t.co/9ByhD8mDPd</t>
  </si>
  <si>
    <t>NYPD &amp;amp; @bftfnyc standing in a sea of blue to honor @DallasPD Senior Corporal Lorne Ahrens. We will #NeverForget https://t.co/dDJq8YkFvE</t>
  </si>
  <si>
    <t>RT @NYPD34Pct: #ICYMI Our officers making a difference by taking another gun off our streets #OneLessGun #ItsWhatWeDo https://t.co/54OxTkAp…</t>
  </si>
  <si>
    <t>We, the men and woman of the NYPD, appreciate your support &amp;amp; prayers. #ThankYou https://t.co/msRUD5j3on https://t.co/6x6NrrsSYv</t>
  </si>
  <si>
    <t>NYPD cops &amp;amp; community members rescue 5 people, including children, from capsized boat https://t.co/Lx1ti5nmuo https://t.co/iBaUbySGtI</t>
  </si>
  <si>
    <t>YOU can keep NYC safe- ID these men wanted for armed robbery of a M/24 who was fixing his car. #Brooklyn #800577TIPS https://t.co/TZd1I1xHGO</t>
  </si>
  <si>
    <t>Help ID this M/H/5'5" wanted for attempted rape of a F/31 on 7/11 at 7pm near E.102St/Park Ave. Call #800577TIPS https://t.co/eVWiNL1NWj</t>
  </si>
  <si>
    <t>Tune in now to the @CharlieRoseShow as @CommissBratton discusses the tragedy in Dallas, NYC’s success vs crime &amp;amp; precision policing.</t>
  </si>
  <si>
    <t>RT @NYPDCeremonial: .@NYPDCeremonial is in Corsicana, TX paying our respects to #DART Ofc. Brent Thompson.
#RIP #Dallas5 🙏
#DallasStrong ht…</t>
  </si>
  <si>
    <t>Tonight at 11 @CommissBratton discusses precision policing, NYPD’s success vs crime, &amp;amp; more on the @CharlieRoseShow. https://t.co/SVWqdF3FKi</t>
  </si>
  <si>
    <t>RT @CommissBratton: Tonight at 11 on @CharlieRoseShow I'll talk about the tragedy in Dallas, NYC’s success vs crime &amp;amp; precision policing ht…</t>
  </si>
  <si>
    <t>There are people wanted in NYC. YOU can help keep NYC safe &amp;amp; get a reward. #WinWin https://t.co/XPrk78uJG1 https://t.co/4C31twcOLZ</t>
  </si>
  <si>
    <t>NYPD cops part of @bftfnyc honoring &amp;amp; remembering a fallen hero, @dartmedia Officer Brent Thompson. #NeverForget https://t.co/DVImAx4W63</t>
  </si>
  <si>
    <t>Bronx dogs ready for adoption after being rescued by NYPD/@ASPCA: Meet Harriett &amp;amp; Valentine https://t.co/Embxy8PWbE https://t.co/nvIhOJgPKi</t>
  </si>
  <si>
    <t>NYPD Detective Steven McDonald, a messenger of peace &amp;amp; forgiveness 30 years later. https://t.co/5igEKaEpCt https://t.co/1aXNX7ij4o</t>
  </si>
  <si>
    <t>Standing with you, @DallasPD. We will #NeverForget https://t.co/B2r7M4uTIo</t>
  </si>
  <si>
    <t>RT @NYPDCommAffairs: #HappeningNow: Opening Ceremonies of the 2016 NYPD Youth Cricket &amp;amp; Soccer League. In Flushing Meadow Park. #Queens htt…</t>
  </si>
  <si>
    <t>#ICYMI: @CommissBratton &amp;amp; @NYPDChiefofDept sat down with @errollouis on @InsideCityHall https://t.co/7v0t2G9hAg https://t.co/6k9IpaDVfR</t>
  </si>
  <si>
    <t>Information on the police involved shooting in Brooklyn on 7/11. https://t.co/t67eYozuif</t>
  </si>
  <si>
    <t>“The police are the public and the public are the police.” A great show of support in the #Bronx @NYPD43Pct https://t.co/MUqRyG4VaU</t>
  </si>
  <si>
    <t>Help ID these 3 M/B's wanted for multiple robberies in the #Bronx. Share info, get a reward. #WinWin #800577TIPS https://t.co/M3ejvERuhW</t>
  </si>
  <si>
    <t>Precision policing is strategically going after the people committing crime and it’s working https://t.co/3bw4mfi75S https://t.co/He1yPbYioO</t>
  </si>
  <si>
    <t>This suspect is described as M/B 30's, heavy-set, last seen possibly wearing a construction-type helmet.</t>
  </si>
  <si>
    <t>Our preliminary investigation indicates a second suspect fled just prior to the arrival of the @NYPD62Pct officers.</t>
  </si>
  <si>
    <t>None of the victims at the apt. where the burglary occurred were hurt, including 7 adults and an infant.</t>
  </si>
  <si>
    <t>The suspect was transported to Coney Island Hospital, where is was pronounced dead. A revolver was recovered from the shooting scene.</t>
  </si>
  <si>
    <t>Both the sergeant &amp;amp; another officer discharged their firearms, striking the suspect twice.</t>
  </si>
  <si>
    <t>After scaling a fence, the suspect was confronted by responding uniformed sergeant. The suspect pointed a revolver at the sergeant.</t>
  </si>
  <si>
    <t>Officers responded to a burglary in progress, where they observed a male fleeing the location. https://t.co/d9g3WJTbcM</t>
  </si>
  <si>
    <t>.@NYPDChiefofDept James P. O'Neill will give an update on the @Nypd62pct shooting momentarily. https://t.co/SHHH6BtGDR</t>
  </si>
  <si>
    <t>Gun recovered at scene of police involved shooting within the confines of Brooklyn's @NYPD62Pct https://t.co/9tHNRDtgtE</t>
  </si>
  <si>
    <t>There has been a police involved shooting in the confines of the @NYPD62Pct in #Brooklyn. More information when available.</t>
  </si>
  <si>
    <t>YOUR police officers keeping New Yorkers safe https://t.co/QkYnocpQiH</t>
  </si>
  <si>
    <t>RT @CommissBratton: Stopped by @InsideCityHall with @NYPDChiefofDept to speak about NYC's record low crime &amp;amp; more. Tune in at 7pm. https://…</t>
  </si>
  <si>
    <t>WANTED: Female for robbery near 288 E. Kingsbridge Rd, Bronx. Call #800577TIPS. (VIDEO) https://t.co/1UmZ3ymwPH https://t.co/9aQM5VFd1P</t>
  </si>
  <si>
    <t>RT @NYPDSpecialops: #SOD honored the veterans from the @Hope4Warriors this weekend. Thank you for your dedication and sacrifice #Heroes htt…</t>
  </si>
  <si>
    <t>RT @NYCMayorsOffice: NYC continues to be the safest big city in America with #CrimeStats at historic lows. https://t.co/kYu3YlyKl1</t>
  </si>
  <si>
    <t>Lowest Overall Index Crime For Any June In Modern CompStat Era https://t.co/HNmbQ9OjWz</t>
  </si>
  <si>
    <t>.@CommissBratton speaking now on the NYPD's Neighborhood Coordination Officer program. More: https://t.co/7lYyhcHoaQ https://t.co/rxjfzWriyv</t>
  </si>
  <si>
    <t>The NYPD's precision policing has led to 41 take downs, 24 were gang related with 491 arrests. All in the 1st 6 months of 2016. #ItsWhatWeDo</t>
  </si>
  <si>
    <t>"This is the lowest June for overall crime in the modern CompStat era," says NYPD Dep. Commissioner Shea https://t.co/gS98Bv7jzx</t>
  </si>
  <si>
    <t>"These low crime numbers reflect the extraordinary work of the members of the NYPD," says Mayor @BilldeBlasio WATCH https://t.co/rxjfzWriyv</t>
  </si>
  <si>
    <t>"Thirty months into this administration crime continues to go down in NYC," says @CommissBratton https://t.co/E8yyVBmJ50</t>
  </si>
  <si>
    <t>#HappeningNow: Mayor @BilldeBlasio &amp;amp; @CommissBratton announce historic low crime rate in NYC. WATCH LIVE: https://t.co/rxjfzWriyv</t>
  </si>
  <si>
    <t>WANTED: M/B 6'0", for assaulting a M/69 at 36th Street M/R station at 1:30pm 7/6. Call #800577TIPS. https://t.co/jBJ1nvdQmc</t>
  </si>
  <si>
    <t>Police &amp;amp; community working together is keeping NYC safe. Share info, call #800577TIPS https://t.co/CaW8AO4MwT</t>
  </si>
  <si>
    <t>"Neighbors Warm to NYPD’s New Community Cops" via @NBCNewYork &amp;amp; @MarcSantia4NY https://t.co/iJb54yfRUF https://t.co/jzy4ZdDA6c</t>
  </si>
  <si>
    <t>The best part of this photo is the smiles on their faces. #ItsWhatWeDo https://t.co/nnjdsRShTm</t>
  </si>
  <si>
    <t>“I don’t enjoy running but I am more than willing to when I have to- like chasing a suspect” https://t.co/BKEArumuwG https://t.co/HrJOVYWA6v</t>
  </si>
  <si>
    <t>Information on the police involved shooting in Brooklyn: https://t.co/aRVWQBhbq4</t>
  </si>
  <si>
    <t>Det. Yuseff Hamm of @GuardiansNYPD is helping @nypdrecruit make the #NYPD look even more like the city we serve. https://t.co/ZM3QCEFdb9</t>
  </si>
  <si>
    <t>All three officers were removed to an area hospital for observation. They were treated and released.</t>
  </si>
  <si>
    <t>All three officers discharged a total of 12 rounds - striking the armed suspect once in his right hip. He was removed to KCH &amp;amp; is stable.</t>
  </si>
  <si>
    <t>Three uniformed officers encountered an armed suspect who was observed menacing motorists w/a firearm. They ordered the suspect not to move.</t>
  </si>
  <si>
    <t>.@NYPD71Pct were responding to a call of "shots fired" &amp;amp; a "shotspotter" activation near Lefferts Ave. &amp;amp; Rogers Ave. https://t.co/c0qb0vZ2jB</t>
  </si>
  <si>
    <t>RT @NYPDByrne: #HappeningSoon: Assistant Chief Steven Powers, Patrol Borough Brooklyn South Commander, will give the update. https://t.co/S…</t>
  </si>
  <si>
    <t>There's been a police involved shooting in Brooklyn this morning. Gun recovered at scene. More info when available https://t.co/2hbv9nKG64</t>
  </si>
  <si>
    <t>RT @JPeterDonald: Also later this AM, watch @CommissBratton w/@DHSgov Sec. Johnson on @ThisWeekABC @FaceTheNation @CNNSotu @meetthepress &amp;amp;…</t>
  </si>
  <si>
    <t>Tune in this AM as @CommissBratton &amp;amp; @DHSgov Sec. Johnson speak on events in Dallas &amp;amp; more https://t.co/KgULFA4VOe https://t.co/4c66lLwyJE</t>
  </si>
  <si>
    <t>There are many events in NYC today. Plan ahead &amp;amp; enjoy with the NYPD Traffic Advisory: https://t.co/a2v55U0cOr https://t.co/YfjGB1ESPT</t>
  </si>
  <si>
    <t>Tune in Sunday AM as @CommissBratton &amp;amp; @DHSgov Sec. Johnson speak on events in Dallas &amp;amp; more https://t.co/KgULFA4VOe https://t.co/4c66lLwyJE</t>
  </si>
  <si>
    <t>RT @NYPD79Pct: Two of our #NYPD Neighborhood Coordination Officers (NCOs) at a #BedStuy #Brooklyn summer block party. https://t.co/3G48CjVQ…</t>
  </si>
  <si>
    <t>#ICYMI: The NYPD helped kick off the opening day of #palPlaystreets in #Harlem. Learn more- https://t.co/TembJcVXt7 https://t.co/1LCZPlpDd2</t>
  </si>
  <si>
    <t>Family Day in the Forest Houses &amp;amp; @NYPDPSA7's Insp. O'Sullivan took time to speak with 1 of the youngest residents https://t.co/y2Ojpg59hw</t>
  </si>
  <si>
    <t>Have a look NYC- these are some of our newest police officers excited to be protecting you. @NYPDPSA8 https://t.co/rEIyDHY0pA</t>
  </si>
  <si>
    <t>Great work by @NYPD30Pct midnight cops taking this illegal gun off the streets. Protecting NYC 24/7 - #ItsWhatWeDo https://t.co/HJs4HESwFo</t>
  </si>
  <si>
    <t>Work with us-help ID this man wanted for menacing ppl w/a knife on the Q train/Union Sq. 9am 7/7. Call #800577TIPS https://t.co/OXVpM5LZMP</t>
  </si>
  <si>
    <t>There are many events in NYC this weekend. Plan ahead &amp;amp; enjoy w/the NYPD Traffic Advisory: https://t.co/a2v55U0cOr https://t.co/YfjGB1ESPT</t>
  </si>
  <si>
    <t>.@DHSgov Sec. Johnson joined Mayor @BilldeBlasio &amp;amp; @CommissBratton at NYPD HQ today. Watch: https://t.co/ZeSSt31nEl https://t.co/akdF4P20Jn</t>
  </si>
  <si>
    <t>Watch live as Mayor @BilldeBlasio, @CommissBratton &amp;amp; @DHSgov Sec. Johnson speak on event in Dallas: https://t.co/ZeSSt31nEl</t>
  </si>
  <si>
    <t>"The trust that we've built with the community will help us go forward," @CommissBratton https://t.co/ZeSSt31nEl https://t.co/dF34XYftvQ</t>
  </si>
  <si>
    <t>"I come here to NYPD HQ to stand with law enforcement," says @DHSgov Secretary Johnson. LIVE NOW: https://t.co/ZeSSt31nEl</t>
  </si>
  <si>
    <t>"I'd like to thank @DHSgov Secretary Johnson for his support of law enforcement," @CommissBratton. WATCH LIVE: https://t.co/BKA0Sa40kn</t>
  </si>
  <si>
    <t>#HappeningNow: Mayor @BilldeBlasio, @CommissBratton &amp;amp; @DHSgov Secretary Johnson speak on events in Dallas. LIVE: https://t.co/BKA0Sa40kn</t>
  </si>
  <si>
    <t>RT @NYPD122Pct: We r thankful for a community that supports us &amp;amp; our fallen brothers &amp;amp; sisters. Thank U! #WeStandWithDallas https://t.co/vO…</t>
  </si>
  <si>
    <t>“In my role I have to make sure the people of NYC are safe AND my cops are safe too,” @NYPDChiefofDept James O’Neill https://t.co/Sd4vIxpet1</t>
  </si>
  <si>
    <t>“We can’t tolerate racial injustice &amp;amp; we can’t tolerate attacks on our police officers,” @CommissBratton https://t.co/ezD3zaXSyq</t>
  </si>
  <si>
    <t>Read the NYPD message regarding Dallas here: https://t.co/AYDIPBHbP4 https://t.co/FM9Cy3oKMF</t>
  </si>
  <si>
    <t>“Our hearts go out to our brothers and sisters in Dallas.” - @CommissBratton https://t.co/PMWAPnUmxD</t>
  </si>
  <si>
    <t>There is no direct or credible threat to New York City. https://t.co/VrHV6QtAs9</t>
  </si>
  <si>
    <t>Watch Mayor @BilldeBlasio and @CommissBratton speak about events in Dallas: https://t.co/Td961Ny6NO</t>
  </si>
  <si>
    <t>#HappeningNow: @BilldeBlasio "We stand in solidarity with the people of Dallas, with the police of Dallas"</t>
  </si>
  <si>
    <t>#HappeningSoon: NYC Mayor @BilldeBlasio, @CommissBratton &amp;amp; NYPD leadership team to speak on Dallas incident+ more https://t.co/hK9fbdwPa9</t>
  </si>
  <si>
    <t>Sending prayers to @DallasPD, @dartmedia Police &amp;amp; families of the officers killed &amp;amp; injured https://t.co/AYDIPBHbP4 https://t.co/52d0vAYdrv</t>
  </si>
  <si>
    <t>UPDATE: a M/39 has been arrested in connection to the assault/homicide of a M/42 in front of 552 Alabama Ave #Brooklyn @NYPDDetectives</t>
  </si>
  <si>
    <t>“It’s a great feeling being able to do something good and provide a perspective to people that we are there to help” https://t.co/Xd3nzgGdF2</t>
  </si>
  <si>
    <t>There are people wanted in NYC. YOU can help keep NYC safe &amp;amp; get a reward. #WinWin https://t.co/XPrk78uJG1 https://t.co/O2fN3aHTWh</t>
  </si>
  <si>
    <t>RT @fox5ny: NEW YORK'S FINEST! Cops save suicidal man from Manhattan Bridge (VIDEO) https://t.co/tnwnQ48gFh</t>
  </si>
  <si>
    <t>Connecting with the community &amp;amp; keeping children safe in #StatenIsland https://t.co/cOfACRpWic</t>
  </si>
  <si>
    <t>RT @NYPDNieves: Denuncia el maltrato animal y salva una vida https://t.co/ymlIJXIyCp via @UniNoticias https://t.co/PDjbSWhMQV</t>
  </si>
  <si>
    <t>RT @NYPD19Pct: Off duty rookie cop helps catch serial burglar/forcible toucher on #UES Outstanding work by all Officers involved! https://t…</t>
  </si>
  <si>
    <t>A few tips to #BeatTheHeat, stay safe and be healthy: https://t.co/MZDCBBsplJ https://t.co/fDu2KRDxMJ</t>
  </si>
  <si>
    <t>#SilverAlert: Humberto Medina, 80, last seen 1pm 7/6 on the 7 train at 82 St/Roosevelt Ave. If seen, call 911. https://t.co/O483LZIGPC</t>
  </si>
  <si>
    <t>Great Police Work, Great Technology https://t.co/rrUSiuvJYT @NYPDTECH https://t.co/Bogwo9dGOQ</t>
  </si>
  <si>
    <t>Helping those in need- #ItsWhatWeDo. More on our NYPD NCO’s https://t.co/g2c1bCrMgH https://t.co/321WG6d6vx</t>
  </si>
  <si>
    <t>WANTED: Akeem Murphy/33 for strangling a F/21 on the E train at Qns Blvd on 6/25. Call #800577TIPS https://t.co/8P0EpSYIR5</t>
  </si>
  <si>
    <t>Read more about the Holmes sisters- the NYPD’s “Fab Five” https://t.co/d7sDpbQDYS https://t.co/3623IYwG7c</t>
  </si>
  <si>
    <t>#SilverAlert: Marie Mercy, 85, last seen 11am 7/6 on East 31 St. #Brooklyn. She is 5’5”, 150lbs. If seen, call 911. https://t.co/xah24mH7HK</t>
  </si>
  <si>
    <t>Great work by our NCO's. read more about the program: https://t.co/7lYyhcHoaQ 
https://t.co/EaSUQjuRJw</t>
  </si>
  <si>
    <t>.@NYPDSpecialops Officers Rescue Man On Manhattan Bridge https://t.co/N9IGjRSwfQ https://t.co/Ny8CaqpAva</t>
  </si>
  <si>
    <t>RT @NYPD19Pct: Our Officers met 94y/o #UES local @LilGafer during today's heat wave &amp;amp;brought some H2o to keep her cool #BeatTheHeat https:/…</t>
  </si>
  <si>
    <t>A perfect day for the opening of #palPlaystreets in #Harlem. Learn how to get involved: https://t.co/TembJcVXt7 https://t.co/BPKfPYymtI</t>
  </si>
  <si>
    <t>Stay safe, healthy &amp;amp; cool with a few tips from NYPD, @nycoem &amp;amp; @NYCFC https://t.co/Td2iy0ayhA MORE: https://t.co/V06SwHXtj1 #BeatTheHeat</t>
  </si>
  <si>
    <t>UPDATE: 3 people arrested in connection to the stabbing death of a F/38 on 7/5 at 95 Lenox Ave #Manhattan  @NYPDDetectives #800577TIPS</t>
  </si>
  <si>
    <t>RT @nycoem: With extreme heat in NYC, New Yorkers should take precautions today &amp;amp; Thursday as temperatures rise: https://t.co/jZUN3NCd8G. #…</t>
  </si>
  <si>
    <t>RT @GMA: WATCH: REAL FIREWORKS! @NYPDBklynNorth officer proposes on the Fourth of July.
https://t.co/qrkQJptkjs</t>
  </si>
  <si>
    <t>NYPD Neighborhood Policing: Sharing The Message With Queens Businesses https://t.co/wIsrceC96k https://t.co/JZXrqAGX0q</t>
  </si>
  <si>
    <t>WANTED: Clifton Ables/51 for criminal sex act involving a M/15 in #Parkchester #Bronx on 11/1/15. Call #800577TIPS https://t.co/APcXIqIB7H</t>
  </si>
  <si>
    <t>This is precision policing: a reckless bike rider stopped, a loaded gun gets recovered by dedicated @NYPDPSA7 cops https://t.co/iHKpeNfOe9</t>
  </si>
  <si>
    <t>WANTED: 2 M/B’s for firing a gun multiple times at a cab in f/o 1234 Pacific St #Brooklyn 3pm 7/4
Call #800577TIPS https://t.co/YZ6OgKaILB</t>
  </si>
  <si>
    <t>Dedicated work done by great cops is what is keeping the #Bronx &amp;amp; NYC safe- #ItsWhatWeDo https://t.co/XeAxTN4ApU</t>
  </si>
  <si>
    <t>WANTED: M/B &amp;amp; F/B for taking large amounts of medications from numerous #StatenIsland pharmacies. Call #800577TIPS https://t.co/orPXWVdxge</t>
  </si>
  <si>
    <t>RT @NYPDDetectives: #Wanted for info re: murder on 6/30 in #Brooklyn @NYPD68Pct #800577TIPS https://t.co/1Xc7ELaSGl</t>
  </si>
  <si>
    <t>Happy 100th birthday to ret. Deputy Inspector DiRoma. He served the NYPD for 30 yrs. Thanks for sharing @NYPD50Pct https://t.co/xmwrcSZ8ph</t>
  </si>
  <si>
    <t>Determined to keep NYC safe because #ItsWhatWeDo. One example (of many)- have a look at the recent @NYPD40Pct tweets</t>
  </si>
  <si>
    <t>Our @NYPD33Pct midnight cops don’t sleep at night so you can. They recently took these illegal guns off the street https://t.co/rn0sdULUGz</t>
  </si>
  <si>
    <t>WANTED: M/W for criminal mischief/tampering with an ATM machine at MCU/1904 Surf Ave 11pm 6/30.
Call #800577TIPS https://t.co/1yGP38IpDd</t>
  </si>
  <si>
    <t>Hardworking NYPD cops from @NYPDPSA2 are keeping #Brooklyn safe with a recent arrest &amp;amp; LOTS of drugs recovered https://t.co/dlsUK16rFH</t>
  </si>
  <si>
    <t>WANTED: M/B for assault/hitting a M/30 with a baseball bat at Finest Deli on Nostrand Ave 3am 7/3. Call #800577TIPS https://t.co/Ulslu6aR6O</t>
  </si>
  <si>
    <t>UPDATE: A M/17 has been arrested in regard to this incident https://t.co/bZofKFzSUX</t>
  </si>
  <si>
    <t>Happy 240th Birthday America! Let's end the day the same way we started it- with a great song:
https://t.co/WOLojejvRK #USA</t>
  </si>
  <si>
    <t>Happy Fourth of July! https://t.co/035fLSR0GV</t>
  </si>
  <si>
    <t>Rain or shine we're out there keeping everyone safe this July 4th. https://t.co/Q7uNsZuRRW</t>
  </si>
  <si>
    <t>RT @NYPD19Pct: We always enjoy spending time w/ our friends @rmhnewyork on #4thOfJuly 🇺🇸 🎆 #UpperEastSide #UES #NYC #CopsAndKids https://t.…</t>
  </si>
  <si>
    <t>Don’t forget to check out our #July4th story on @Snapchat. #HappyFourth of July! https://t.co/6fwUQddZwF</t>
  </si>
  <si>
    <t>Some of the thousands of highly trained NYPD officers &amp;amp; dozens of K9's keeping everyone safe this July 4th https://t.co/qFcDNKpPOd</t>
  </si>
  <si>
    <t>.@NYPDSpecialops K9 Curtain is ready to celebrate July 4th &amp;amp; keep everyone safe. Come out &amp;amp; enjoy! https://t.co/JnOpq4PHIq</t>
  </si>
  <si>
    <t>RT @NYPDChiefofDept: Prepping the viewing areas on the FDR Drive...which means road closures are in effect. https://t.co/sfH9rFcXUu</t>
  </si>
  <si>
    <t>.@NYPDChiefofDept reminding everyone that fireworks are illegal. "Leave it to the professionals" https://t.co/t7Xlygjzyy</t>
  </si>
  <si>
    <t>"This is the largest detail we've ever put out on the July 4th holiday," says @NYPDChiefofDept James O'Neill</t>
  </si>
  <si>
    <t>.@CommissBratton congratulates some of the 500 highly trained cops of the Critical Response Command who protect NYC https://t.co/xJRWdbwDRv</t>
  </si>
  <si>
    <t>#HappeningNow: Mayor @BilldeBlasio &amp;amp; @CommissBratton brief NYers &amp;amp; media on July 4th security initiatives https://t.co/P8d4fBoVUs</t>
  </si>
  <si>
    <t>Aside of the safety risk of using illegal fireworks, think of the negative impact on our furry friends. Don’t do it! https://t.co/wZJPEkFFpo</t>
  </si>
  <si>
    <t>#NeverForget Detectives Lynch &amp;amp; Socha. Take a moment today to read their heroic story: https://t.co/kv8xDWAzsU https://t.co/Aff3lfwQBn</t>
  </si>
  <si>
    <t>If the link is not working for you, visit https://t.co/FMsoGmM4uF for the live video https://t.co/fuQIu3alCf</t>
  </si>
  <si>
    <t>Watch live now: An inside look at how NYPD Harbor Unit police officers are keeping NYC safe this July 4th
https://t.co/ROM3AZ4Nfu</t>
  </si>
  <si>
    <t>Get a behind the scenes look at how NYPD Harbor is ensuring a safe July 4th. Have a look at our @Snapchat story https://t.co/k3tOk0kqoL</t>
  </si>
  <si>
    <t>WANTED: 2 M/H's for armed robbery of a F/42 &amp;amp; F/25 at 37-16 Broadway #Queens 3:40am 7/1. Call #800577TIPS https://t.co/zzdx8qyDuc</t>
  </si>
  <si>
    <t>Help make this 4th of July safe- call 311 with information, 911 for crimes in progress https://t.co/4RKBHKuZBf</t>
  </si>
  <si>
    <t>WANTED: male suspect for criminal sex act on 6-year-old female, 8pm 7/2 in apt hallway on Henry St. Call #800577TIPS https://t.co/3x7zOn4j4e</t>
  </si>
  <si>
    <t>Happy 240th Birthday America! Let's start celebrating our great nation with a great song: https://t.co/OtqPsdfI2R</t>
  </si>
  <si>
    <t>Homemade fireworks similar to what may have been used in Central Park are extremely dangerous. Leave it to the pros https://t.co/5sd8ufbikX</t>
  </si>
  <si>
    <t>#SilverAlert: George Blair, 70, last seen 6am 7/2 leaving his residence on 19th Ave #Brooklyn. If seen call 911. @NYPD66Pct</t>
  </si>
  <si>
    <t>If you do this 🍺🍾🍷-- Don’t do this 🚗
Don’t hurt yourself or someone else. We’ll be on the roads too keeping everyone safe.</t>
  </si>
  <si>
    <t>The NYPD would like your input on body worn cameras. Visit https://t.co/ounXKEs59E for more. https://t.co/DiqBzTbV9Y</t>
  </si>
  <si>
    <t>WANTED: Driver of a black 2014-2015 Chevy Camaro for hit &amp;amp; run of a bicyclist near 690 Grand St, Bklyn. #800577TIPS https://t.co/hHUdKiBwHx</t>
  </si>
  <si>
    <t>Leave the fireworks to the professionals. It’s illegal &amp;amp; dangerous. https://t.co/nxi3pDUYbL</t>
  </si>
  <si>
    <t>Now on @am970TheAnswer, @CommissBratton talks 4th of July security and much more. Listen Live: https://t.co/POeds2uSZa</t>
  </si>
  <si>
    <t>Celebrating America’s 240th Independence Day in NYC? Plan ahead &amp;amp; enjoy: https://t.co/iWlOfQ9Gn5 https://t.co/lKpp4u26vE</t>
  </si>
  <si>
    <t>WANTED: Male 18-22y/o for forcibly touching a woman near Fteley Ave &amp;amp; Noble Ave, Bronx. Call #800577TIPS. @NYPD43Pct https://t.co/jg8a7O26WF</t>
  </si>
  <si>
    <t>Inside the @NYPDCT operation, how we protect NYC https://t.co/QbMZkwRouv</t>
  </si>
  <si>
    <t>RT @NYPDSpecialops: Last night #ESU entered the water during the height of the storm to rescue an EDP drowning in the Hudson R. @ 126 St ht…</t>
  </si>
  <si>
    <t>BBQ’s are fun! Hurting yourself, others &amp;amp; losing your car are NOT. Don’t drink &amp;amp; drive -- the choice is simple https://t.co/CPz9JT6Mb9</t>
  </si>
  <si>
    <t>Seen &amp;amp; unseen we’ll be out there protecting NYC’s July 4th celebrations. Keeping everyone safe -- #ItsWhatWeDo. https://t.co/Xywtk63mH1</t>
  </si>
  <si>
    <t>Meet some of @NYPDCT’s elite, highly trained vapor wake K9’s https://t.co/9oxBBQWBfz</t>
  </si>
  <si>
    <t>Enjoying 4th of July weekend in NYC? Plan ahead with the NYPD Traffic Advisory: https://t.co/6BlEjpOMXJ https://t.co/ffYAdBJ7nY</t>
  </si>
  <si>
    <t>WANTED: 3 males for robbing a 46y/o woman near Travis Avenue &amp;amp; Denker Pl., Staten Island. Call #800577TIPS w/info. https://t.co/PzgMeEmbTt</t>
  </si>
  <si>
    <t>It didn’t end well for the watermelon &amp;amp; it might not end well for you if you use fireworks. It’s illegal &amp;amp; dangerous https://t.co/ZEIISOKytx</t>
  </si>
  <si>
    <t>She said yes! Officer Peter Frantzen proposed to his girlfriend Kristie shortly after he graduated the Academy today https://t.co/ap5aGEEm4a</t>
  </si>
  <si>
    <t>"Our @NYPDCT Vapor Wake K9's are in detection mode at all times," Dep. Commissioner John Miller on July 4 security https://t.co/XaK2m6SYfe</t>
  </si>
  <si>
    <t>"We will be keeping you safe this July 4. There will be much that you see &amp;amp; much that you don't," @NYPDChiefofDept https://t.co/uAXI7UD1rR</t>
  </si>
  <si>
    <t>"There are no specific threats...NYPD will have an enhanced presence this July 4 to keep all safe," @CommissBratton https://t.co/k0zoNrccMh</t>
  </si>
  <si>
    <t>"Come out and enjoy, the NYPD is ready to keep everyone safe on July 4th," says Mayor @BilldeBlasio WATCH: https://t.co/QvWHx6MUHr</t>
  </si>
  <si>
    <t>#HappeningNow: Mayor @BilldeBlasio &amp;amp; @CommissBratton brief NYers on July 4th security. https://t.co/QvWHx6MUHr https://t.co/UZEzHLXVOM</t>
  </si>
  <si>
    <t>Meet NYC's newest guardians. Congratulations Officers! https://t.co/A6EIBFiowS</t>
  </si>
  <si>
    <t>"We have sought to do everything in our power to improve your training," @CommissBratton speaking at #NYPDgrad https://t.co/LMH4T2BbDP</t>
  </si>
  <si>
    <t>Watch the #NYPDGrad live at @TheGarden: https://t.co/BHXG57quRo</t>
  </si>
  <si>
    <t>"You're going to do amazing things for this city," says Mayor @BilldeBlasio to our newest Finest. #NYPDGrad https://t.co/irAgCBXbh3</t>
  </si>
  <si>
    <t>Congratulations to our new officers! #NYPDGrad https://t.co/GJOseRBOxl</t>
  </si>
  <si>
    <t>"The land of the free &amp;amp; the home of the brave" one of the newest Finest starts our #NYPDgrad ceremony at @TheGarden https://t.co/5Nk0ppQE99</t>
  </si>
  <si>
    <t>Here they are! The newest protectors of NYC. Let's give them a retweet. #NYPDGrad @TheGarden https://t.co/huGVtblVFv</t>
  </si>
  <si>
    <t>Don't forget to check out our @Snapchat story about the #NYPDgrad! https://t.co/Q8xzBveMKv</t>
  </si>
  <si>
    <t>#HappeningSoon: More than 1,200 new cops graduate the Police Academy at @TheGarden. #NYPDGrad https://t.co/SwRgqVF6dV</t>
  </si>
  <si>
    <t>Cops Arrest Man For Selling Fireworks In Queens https://t.co/8RKA4oPhZu https://t.co/0q0ZNGjig3</t>
  </si>
  <si>
    <t>WANTED: M/W 20’s for attempted rape of F/34 at 4am 6/26 in front of 586 16 St #Brooklyn. Call #800577TIPS https://t.co/xQUqseTCP1</t>
  </si>
  <si>
    <t>Fireworks are not only illegal, they’re dangerous too. https://t.co/m6tSV0B3Qh</t>
  </si>
  <si>
    <t>WANTED: Male, 30, 5’6” for stabbing a 23y/o man near 534 E 138 St, Bronx. Call #800577TIPS w/info. @NYPD40Pct https://t.co/8GFS1Zz5t1</t>
  </si>
  <si>
    <t>37 Violent Gang Members Arrested In #Harlem https://t.co/YyzZpvqBcs @ManhattanDA https://t.co/hYAPcQt1dd</t>
  </si>
  <si>
    <t>WANTED: M/B/5’10” for assault/slashing of M/42 at 6am 6/28 on Taylor Ave #Bronx. Call #800577TIPS https://t.co/rqrfN5ZzjK</t>
  </si>
  <si>
    <t>Three Arrested For Running A Cocaine Delivery Service https://t.co/Yqmk9FqQKi @ManhattanDA https://t.co/m6T1cBt1AO</t>
  </si>
  <si>
    <t>Tonight at @CitiField we honor the families of our fallen heroes. Thank you @answerthecall &amp;amp; @Mets! https://t.co/jsHUVSx6MR</t>
  </si>
  <si>
    <t>RT @NYPDCT: Glad to have @CommissBratton &amp;amp; Dep. Comm. Miller stop by our Critical Response Command earlier today #NYPD https://t.co/moOR50D…</t>
  </si>
  <si>
    <t>"These indictments are due to the greatest detectives in the world, great prosecutors &amp;amp; now the newest, best @NYPDTECH," @CommissBratton</t>
  </si>
  <si>
    <t>"Over the last several months we have made an extra effort to go after gangs in NYC," @CommissBratton https://t.co/R7RG7UqR5C</t>
  </si>
  <si>
    <t>RT @ManhattanDA: DA Vance: The gang members being charged today engaged in a deadly, downward spiral of revenge. https://t.co/qXMzjehg2u</t>
  </si>
  <si>
    <t>#HappeningNow: @CommissBratton &amp;amp; @ManhattanDA announce multiple gang member &amp;amp; narco ring indictments. https://t.co/HEC7XkAoJn</t>
  </si>
  <si>
    <t>"This AM is a fulfillment of the NYPD seeing the community &amp;amp; hearing their ideas," @CommissBratton at @bcfcathedral https://t.co/HMbsqDj3vs</t>
  </si>
  <si>
    <t>"This People's Police Academy is a concept not being used by any other dept," @CommissBratton now at @bcfcathedral https://t.co/b2NF8gdZNM</t>
  </si>
  <si>
    <t>#HappeningNow: @CommissBratton joins cops, NYPD leadership &amp;amp; community partners from Bronx &amp;amp; Manhattan @bcfcathedral https://t.co/tPoAIQQprG</t>
  </si>
  <si>
    <t>The streets are even safer because of your dedicated NYPD -- #ItsWhatWeDo https://t.co/ICAHr8BxBk</t>
  </si>
  <si>
    <t>WANTED: M/H/40’s for attempted rapes in #Queens. Has a red/green star tattoo on his upper arm. Call #800577TIPS https://t.co/7RHvfopq02</t>
  </si>
  <si>
    <t>“It’s The Part Of The Job We Love Most”
More on the new NYPD Neighborhood Policing Plan: https://t.co/sVMexMEeSU https://t.co/Kc0QH58CAp</t>
  </si>
  <si>
    <t>WANTED: Vernice Brown for a false report/bomb threat at 3604 Skillman Ave #Queens on 5/19. Call #800577TIPS https://t.co/uVGtAoo85v</t>
  </si>
  <si>
    <t>#Yoga teacher, Protector of NYC. Meet NYPD Police Officer Quinn: https://t.co/o1AufR5w5h https://t.co/QGeMv7ijad</t>
  </si>
  <si>
    <t>WANTED: Leroy Keels for forcibly touching a F/25 on N/B 6 train at Parkchester station 5pm 4/11. Call #800577TIPS https://t.co/WU4A7w345l</t>
  </si>
  <si>
    <t>#NeverForget Police Officer Scott Gadell https://t.co/dlmiSupL5s https://t.co/ZOYmktljP5</t>
  </si>
  <si>
    <t>Three Alleged Gunmen Indicted For The Murder Of Carey Gabay During J’ouvert Celebration https://t.co/ePzJj1OFoy https://t.co/EbvPzGbmvi</t>
  </si>
  <si>
    <t>RT @NYPDChiefofDept: Today we remember @NYPD101Pct PO Scott Gadell w pride. Future generations of Cops will #NeverForget his sacrifice. htt…</t>
  </si>
  <si>
    <t>RT @NYPDCeremonial: #HappeningNow @ #1PP
Congratulations to the 113 #NYPD SSA graduates! 🎉
@NYPDSchools https://t.co/j8NqzWofOC</t>
  </si>
  <si>
    <t>"Many meetings btwn the community &amp;amp; NYPD have taken place to ensure a safe festival this year," says @CommissBratton https://t.co/GdeZmy6HmM</t>
  </si>
  <si>
    <t>"Depraved-indifference...I can think of no two words that better describes those indicted," @CommissBratton on murder of Carey Gabay</t>
  </si>
  <si>
    <t>#HappeningNow: @CommissBratton &amp;amp; @BrooklynDA announce 3 indicted for murder of Carey Gabay during J'ourvert https://t.co/TpGAbiC0DD</t>
  </si>
  <si>
    <t>The community protecting the community. Learn more: https://t.co/PXvCtqTT2U https://t.co/XFIZLAsW0n</t>
  </si>
  <si>
    <t>WANTED: M/W/20’s for forcibly touching a F/11 on Albion Ave at 7:45am 6/23 #Queens. Call #800577TIPS https://t.co/Vvbary6wWt</t>
  </si>
  <si>
    <t>UPDATE: Jammar Lispitt, 32, arrested for murder/shooting death of a M/34 on 1/11/16 at Miller Place #Brooklyn. @NYPDDetectives</t>
  </si>
  <si>
    <t>WANTED: M/B, teens, 5’6” yelling anti-Semitic remark &amp;amp; breaking a window in f/o 2401 Nostrand Ave. Call #800577TIPS https://t.co/2xkrZaGgys</t>
  </si>
  <si>
    <t>RT @NYPD107Pct: Fireworks are illegal! Leave the show to the professionals. https://t.co/Z21UVjf0ZX</t>
  </si>
  <si>
    <t>Advisory: 11am on 6/29, two F18 Super Hornets will fly north to south over the Hudson River at altitude of approximately 1,500 to 2,000 feet</t>
  </si>
  <si>
    <t>RT @NYPD102Pct: Your city needs you! Become a School Crossing Guard! Visit https://t.co/r3y7BwGILv to apply today! https://t.co/qkEdyTHwXN</t>
  </si>
  <si>
    <t>WANTED: M/B, teens, for shooting two 19y/o males in 163-29 130 Ave, Queens. Call #800577TIPS w/info. @NYPD113Pct https://t.co/hrGcVZWocM</t>
  </si>
  <si>
    <t>Officer wellness is an important element to our crisis intervention team training.Thanks @RevGeorge2 @NYPDchaplains https://t.co/tzmIq1swJM</t>
  </si>
  <si>
    <t>WANTED: Male 20’s for public lewdness on the N train in Brooklyn. Call #800577TIPS w/info. @NYPDTransit https://t.co/OSs6OIZiZG</t>
  </si>
  <si>
    <t>A car stop for loud music led to this gun recovery in the #Bronx by @NYPD40Pct cops. Protecting NYC - #ItsWhatWeDo https://t.co/HesrJ2WjY0</t>
  </si>
  <si>
    <t>NYPD Cops Teach Staten Island Students That They’re Too Good For Drugs https://t.co/mMChv1kkCp https://t.co/J9sIKMmbkV</t>
  </si>
  <si>
    <t>RT @NYPDCT: Glad to host our Public/Private partners. Working together to keep you safe #NYPDShield https://t.co/YF6zJBl1J5 https://t.co/qv…</t>
  </si>
  <si>
    <t>#HappeningNow: @CommissBratton addresses community/business partners at the @NYPDCT Shield Conference in HQ. https://t.co/8mywOB8z0J</t>
  </si>
  <si>
    <t>A watchful eye as The Stonewall Inn becomes a National Monument -- #ItsWhatWeDo https://t.co/HhBWKmt1uj</t>
  </si>
  <si>
    <t>Great police work by the @NYPD81Pct resulting in 8 arrested &amp;amp; all of this recovered. Keeping NYC safe- #ItsWhatWeDo https://t.co/gymAkeQ58N</t>
  </si>
  <si>
    <t>Great police-community fun at the Brooklyn North vs Brooklyn South cops/youth basketball game @NYPD61Pct https://t.co/rP0kmWBML1</t>
  </si>
  <si>
    <t>MISSING: Sierra Rivera, 14 years old, last seen 3pm 6/2 near 2170 White Plains Rd #Bronx. If seen call 911. https://t.co/Qzl5H10XvS</t>
  </si>
  <si>
    <t>RT @NYPDTransit: Chief Coogan joins our members &amp;amp; parade goers as New Yorkers &amp;amp; visitors enjoy the #NYCPrideParade 
#NYPDpride https://t.co…</t>
  </si>
  <si>
    <t>The view some of @NYPDSpecialops officers saw today as everyone enjoyed a safe #NYCPride Parade https://t.co/mPGjVVA3zJ</t>
  </si>
  <si>
    <t>A view from our eyes in the sky today as we keep the #NYCPride Parade safe. https://t.co/Lv4D2Pcr4g</t>
  </si>
  <si>
    <t>RT @NYPDCT: All paws on deck for the #NYCPride Parade https://t.co/95cTUzGdGE</t>
  </si>
  <si>
    <t>RT @NYPDChiefofDept: Touching base with my Commanding Officer of Operations.- Chief Mullane, at the parade. https://t.co/WOhVP5ukU5</t>
  </si>
  <si>
    <t>We hope everyone is enjoying the #NYCPride Parade. We know we are! https://t.co/YWaVmUWuIb</t>
  </si>
  <si>
    <t>RT @CommissBratton: A great day for the #NYCPride Parade. NYPD marching &amp;amp; keeping everyone safe. Enjoy! https://t.co/xrHgh11wo3 https://t.c…</t>
  </si>
  <si>
    <t>.@NYPDCT protecting the #NYCPride Parade and showing their support. Enjoy the day, we're out there! https://t.co/lHRLZZ4LYe</t>
  </si>
  <si>
    <t>NYPD out today ensuring ALL have a great, safe day at the #NYCPride Parade. https://t.co/brSJG7nnCF</t>
  </si>
  <si>
    <t>Follow our story on @Snapchat today as we march &amp;amp; protect the #NYCPride Parade. https://t.co/RGzGv9AcYu</t>
  </si>
  <si>
    <t>Great @thedailybeast article about Muslim cops of the NYPD via @MichaelDalynyc. https://t.co/e8EcDlf5BP https://t.co/f2rol5Noqy</t>
  </si>
  <si>
    <t>The NYPD will be ensuring a safe, fun day for the #NYCPride Parade. Some info on traffic: https://t.co/mN2fPcmBCr https://t.co/K9LtD02L66</t>
  </si>
  <si>
    <t>RT @CommissBratton: The NYPD won't just be marching in the #NYC Pride Parade, we'll be protecting it too. Looking forward to a great day ht…</t>
  </si>
  <si>
    <t>Some of the 45 weapons turned in at our joint Cash for Guns event with @QueensDABrown https://t.co/K9jr6OVcas https://t.co/7e2QNhkO5k</t>
  </si>
  <si>
    <t>RT @NYPD115Pct: #HappeningNow: Expect heavy police presence in the vicinity of #LGA Airport due to a joint agency emergency drill.</t>
  </si>
  <si>
    <t>If you have a gun, we want it. Today we’ll even give you 💰💰💰 for it! No joke, no questions asked. https://t.co/imY8NZDZ1Y @QueensDABrown</t>
  </si>
  <si>
    <t>The NYPD will be keeping people safe at many events in NYC this weekend. Come enjoy: https://t.co/mN2fPcmBCr https://t.co/DTnow4ek6y</t>
  </si>
  <si>
    <t>WANTED: 4 males for slashing a 22y/o man in front 3817 White Plains Rd, Bronx. Call #800577TIPS. @NYPD47Pct https://t.co/oeAzVyIcK0</t>
  </si>
  <si>
    <t>See how @CommissBratton spent the day with Zaza for #TakeYourDogToWorkDay. https://t.co/eEcoeZNglw @ASPCA https://t.co/Kvm0SyvqXb</t>
  </si>
  <si>
    <t>RT @NYPD34Pct: Thank you @CommissBratton for joining us @BuczekLilLeague for our first playoff game. #BuildingMajorLeagueCitizens https://t…</t>
  </si>
  <si>
    <t>#HappeningNow in #WaHi, @CommissBratton joins the @BuczekLilLeague &amp;amp; a few cops for some baseball. https://t.co/DJkphAnrnw</t>
  </si>
  <si>
    <t>RT @ASPCA: Thanks for inviting us @CommissBratton @NYPDPaws! #TakeYourDogToWorkDay  https://t.co/kFJR1VY4XI</t>
  </si>
  <si>
    <t>Have a look at our @Snapchat story &amp;amp; see what @CommissBratton did for #TakeYourDogToWorkDay. @ASPCA https://t.co/JbnLnCJ3Sa</t>
  </si>
  <si>
    <t>"There are no credible threats to this weekend's @NYCPride March. We'll be out in force protecting all" Chief Galati https://t.co/lpY4VKzLeO</t>
  </si>
  <si>
    <t>"I ask you to understand fully the awesome responsibilities you enter into, the obligation, the integrity," @CommissBratton to promotees</t>
  </si>
  <si>
    <t>.@CommissBratton brings NYPD/@ASPCA rescued Zaza to our promotion ceremony. #TakeYourDogToWorkDay https://t.co/8qlDX0jcaU</t>
  </si>
  <si>
    <t>#HappeningNow: Recognizing hard work &amp;amp; dedication at our promotion ceremony in Headquarters https://t.co/bLraUXO5bn</t>
  </si>
  <si>
    <t>If you have a gun, we want it. We’ll even give you $$$ for it. No joke, no questions asked. https://t.co/2e9qJ1Gxuc https://t.co/imY8NZDZ1Y</t>
  </si>
  <si>
    <t>Cops on Staten Island’s @NYPD123Pct working 24/7 to keep NYC safe. https://t.co/RZ6VWOtwRX</t>
  </si>
  <si>
    <t>WANTED: Male, 35, 6’3 260lbs for rape of a woman in Gorman Park, #WaHi, Manhattan. Call #800577TIPS. @NYPD34Pct https://t.co/Fszmn3Gmsk</t>
  </si>
  <si>
    <t>RT @CommissBratton: Tune in at 8:15am as I speak with @JoshElliott32 on @CBSNews about how the NYPD will protect the @NYCPride March. https…</t>
  </si>
  <si>
    <t>NYPD Dep. Commissioner Susan Herman explains rules for Times Square Designated Activity Zones to costumed characters https://t.co/f4uH9hfsY0</t>
  </si>
  <si>
    <t>A safer Bronx &amp;amp; NYC due to hard working cops in the @NYPD43Pct https://t.co/TlBCjAzIr5</t>
  </si>
  <si>
    <t>RT @NYPD123Pct: #TooGood4Drugs certificate ceremony. Over 5000 5th graders in 77 schools have completed the program this yr! https://t.co/V…</t>
  </si>
  <si>
    <t>.@CommissBratton speaking now about the NYC Heritage Pride Parade security. WATCH LIVE: https://t.co/lcve91ZW2F https://t.co/unlLXIC0Bh</t>
  </si>
  <si>
    <t>"If you see something, say something. You won't have to look far for a cop at the parade or call 888-NYC-SAFE," NYPD Chief Gomez.</t>
  </si>
  <si>
    <t>"We will be increasing the number of officers assigned to this year's Heritage Pride Parade to ensure everyone's safety," @CommissBratton</t>
  </si>
  <si>
    <t>"Many Critical Response Command units deployed to theaters today in response to incident in Germany," @CommissBratton. No Known NYC Threat</t>
  </si>
  <si>
    <t>"You'll see extremely prepared NYPD officers along parade route keeping everyone safe," says Mayor @BilldeBlasio https://t.co/vZlx2IwchO</t>
  </si>
  <si>
    <t>#HappeningNow: Mayor @BilldeBlasio &amp;amp; @CommissBratton update NYers on Heritage Pride Parade security. WATCH LIVE: https://t.co/lcve92hwUd</t>
  </si>
  <si>
    <t>#HappeningSoon: Mayor @BilldeBlasio &amp;amp; @CommissBratton brief NYers on security for NYC's Heritage Pride Parade https://t.co/14AUDVlmMg</t>
  </si>
  <si>
    <t>Dedicated NYPD cops going in harm’s way to keep NYC safe https://t.co/VVRrWeHlOY</t>
  </si>
  <si>
    <t>We need your help! This male is WANTED for forcibly touching a 12Y/O girl in Brooklyn. Call #800577TIPS w/info. https://t.co/903dyDjrMh</t>
  </si>
  <si>
    <t>Community sharing responsibility to keep NYC safe by working with cops. Congrats to our Citizen Police Academy grads https://t.co/tk8et2ccjL</t>
  </si>
  <si>
    <t>WANTED: Male, teens, for punching a 16y/o girl at the Rockaway Ave sbwy stn, Queens. Call #800577TIPS. @NYPDTransit https://t.co/DilcV8lNOb</t>
  </si>
  <si>
    <t>WANTED: M/B for assault/shooting a M/22 3 times in front of 3603 Holland Ave at 6:30pm 6/20. Call #800577TIPS https://t.co/CaZ5elyfxX</t>
  </si>
  <si>
    <t>A packed house in HQ tonight as we celebrate the graduation of the NYPD Citizens Police Academy https://t.co/8j0gkhN1tn</t>
  </si>
  <si>
    <t>RT @OrlandoPolice: Some love from NYPD.  Thank you All!.  #OrlandoUnited https://t.co/Agu8gyTkEi</t>
  </si>
  <si>
    <t>.@NYPD101Pct NCO officers responded to a call for fireworks &amp;amp; recovered a fraudulent credit card machine- great job! https://t.co/OXgNaI3YOZ</t>
  </si>
  <si>
    <t>Great teamwork!  https://t.co/ww6O0Smsfh</t>
  </si>
  <si>
    <t>WANTED: M/B for attempted armed robbery at Deli/797 Stanley Ave #Brooklyn at 7am 6/16. Call #800577TIPS https://t.co/LboD1uimif</t>
  </si>
  <si>
    <t>If you have a gun, we want it. We'll even give you $ for it. No joke, no questions asked. https://t.co/2e9qJ1Gxuc https://t.co/imY8NZDZ1Y</t>
  </si>
  <si>
    <t>WANTED: M/W for public lewdness/exposing himself on the 4 Train at #UnionSquare 7pm 6/12. Call #800577TIPS https://t.co/AJv4zsVmhu</t>
  </si>
  <si>
    <t>WANTED: M/B/teens for shooting M/27 numerous times at 130 Moore Street #Brooklyn at 5pm 5/31. Call #800577TIPS https://t.co/7l3qJU3kgK</t>
  </si>
  <si>
    <t>WANTED: M/W 50’s for forcibly touching F/13 at Brightwater Ct/Coney Island Ave 8pm 6/17. Call #800577TIPS https://t.co/h11UqE7SIF</t>
  </si>
  <si>
    <t>Adorable Pets Up For Adoption In NYC, Some Even Rescued Because Of NYPD &amp;amp; @ASPCA Partnership https://t.co/86KoDnf8gb https://t.co/vlBzsXzPgC</t>
  </si>
  <si>
    <t>RT @NYPDTransit: .@toddschnitt Thank you Todd- We dispatched officers to W 4th, appears he may have moved on- will share your vid w/ our te…</t>
  </si>
  <si>
    <t>Help @NYPDPaws catch the suspect responsible for this animal cruelty. Call #800577TIPS https://t.co/9tUgiTHQiI</t>
  </si>
  <si>
    <t>#HappeningNow: We celebrate the dedication of members of the NYPD at a longevity &amp;amp; perfect attendance award ceremony https://t.co/feQCoJRONk</t>
  </si>
  <si>
    <t>RT @NYPD46Pct: Keeping our children off the streets with our Baseball, Basketball &amp;amp; Dance summer programs  https://t.co/LkGv6kSjqk</t>
  </si>
  <si>
    <t>Setting off fireworks in NYC is dangerous &amp;amp; ILLEGAL. great work by @NYPDPSA7 confiscating these &amp;amp;keeping the #Bronx https://t.co/Hwms0rYolx</t>
  </si>
  <si>
    <t>Our NYPD Explorers do fun/great things. Learn more here: https://t.co/DUWTgOdL2Z https://t.co/lNctZQgdKe</t>
  </si>
  <si>
    <t>WANTED: 2 males for animal cruelty &amp;amp; knife slashing of a M/32 at 860 Targee Street 6:40pm, 5/24. 
Call #800577TIPS https://t.co/jnpcJ5uO4W</t>
  </si>
  <si>
    <t>UPDATE: Laura Montanez, 21, arrested for murder/stabbing death of a M/H/25 at 311 E.188 Street #Bronx on 6/19. @NYPDDetectives @NYPD46Pct</t>
  </si>
  <si>
    <t>#VisionZero is about safety for EVERYONE. @NYPDPBMN confiscated 9 motorcycles this weekend. Don’t ride reckless! https://t.co/cmZ1o3nJw1</t>
  </si>
  <si>
    <t>.@NYPDPSA7 cops taking illegal fireworks off NYC streets before anyone could get hurt. Nice work! https://t.co/Pf2Uc91dlE</t>
  </si>
  <si>
    <t>Meet the O'Toole brothers. 65yrs of serving NYC between them. Let's RETWEET to say thanks! https://t.co/1PbQpnnvqy</t>
  </si>
  <si>
    <t>"Charges &amp;amp; today's arrests are a culmination of the joint investigative efforts of the NYPD, @NewYorkFBI &amp;amp; @SDNYnews," @CommissBratton</t>
  </si>
  <si>
    <t>"To investigate crimes like this we need strong partners &amp;amp; we have strong partners in the @NewYorkFBI &amp;amp; NYPD," says @PreetBharara</t>
  </si>
  <si>
    <t>RT @SDNYnews: Bharara: Alleged conduct violates basic principle that police officers are to serve the public, not help themselves to cash &amp;amp;…</t>
  </si>
  <si>
    <t>#HappeningNow: @CommissBratton stands w/@PreetBharara to announce public corruption charges of members of the NYPD https://t.co/Ueap9zSO4I</t>
  </si>
  <si>
    <t>.@NYPDTransit speaks on how officer training &amp;amp; precision policing have led to more subway sex crime arrests. WATCH: https://t.co/TRgFUNrePl</t>
  </si>
  <si>
    <t>“Our efforts to encourage reporting has helped us document &amp;amp; follow up on crimes that would otherwise have gone unreported,” @NYPDTransit</t>
  </si>
  <si>
    <t>“There've been 72 more arrests for sexually motivated crimes this year over same period last year,” @NYPDTransit speaking on subway crime</t>
  </si>
  <si>
    <t>WATCH live now as Chief of @NYPDTransit addresses the @MTA Committee meeting: https://t.co/TRgFUNrePl</t>
  </si>
  <si>
    <t>RT @NYPDTransit: Strong progress in our commitment to combat sex crimes in our subways- More details at @MTA NYCT Committee mtg 10am: https…</t>
  </si>
  <si>
    <t>Great work by @NYPD77Pct cops resulted in an arrest and all of this taken off the streets of #Brooklyn https://t.co/hu1UGwWpJZ</t>
  </si>
  <si>
    <t>WANTED: M/H 20’s for attempted rape of F/25 near Wycoff Ave/Starr St #Brooklyn 5am 6/19. Call #800577TIPS https://t.co/j1WDfBFziI</t>
  </si>
  <si>
    <t>.@NYPDTransit officer training &amp;amp; precision policing led to 70+ more subway sex offense arrests in ‘16. More Mon 10am https://t.co/TRgFUNrePl</t>
  </si>
  <si>
    <t>RT @NYPDMTN: The Malone brothers wish their dad a Happy #FathersDay #CopsAndDads https://t.co/twfsfWon5Z</t>
  </si>
  <si>
    <t>#ICYMI: @CommissBratton spoke to the @CatsRoundtable this morning about the shooting in Orlando &amp;amp; much more. https://t.co/ikmW2wUCBJ</t>
  </si>
  <si>
    <t>RT @NYPDCadets: What does it take to stay in the Cadet Corps? Find out. https://t.co/KslG740cmw @NYPD #Cadets https://t.co/3iiO81xl3d</t>
  </si>
  <si>
    <t>RT @NYPDTransit: 1/4 Looking forward to updating @MTA NYCT Committee tomorrow on excellent results addressing sex crimes in transit over pa…</t>
  </si>
  <si>
    <t>#ICYMI: Read all about our 2016 Medal Day recipients https://t.co/2v3qb2bsPj https://t.co/hStjIChWWq</t>
  </si>
  <si>
    <t>RT @CommissBratton: Happy Father’s Day! My message to the men &amp;amp; women of the NYPD: https://t.co/CuvyggRbDK https://t.co/rra7lN1Kzm</t>
  </si>
  <si>
    <t>WANTED: M/B/35 for assault of M/32 on A train at High St Station #Brooklyn 3:30pm 5/5. Call #800577TIPS https://t.co/PYQpLWZl7a</t>
  </si>
  <si>
    <t>Officer involved shooting: NYPD cops in the #Bronx responded to shots fired &amp;amp; ShotSpotter https://t.co/u1z6kCVTs1 https://t.co/zjkYUZoJGq</t>
  </si>
  <si>
    <t>.@NYPDTransit cops have made more arrests in subways for sexually motivated crimes in ‘16 vs. ‘15. More on Mon. 10am https://t.co/TRgFUNrePl</t>
  </si>
  <si>
    <t>WANTED: 2 males for animal cruelty &amp;amp; assault on a person who tried to stop them. #800577TIPS https://t.co/TGfmGlfEfA https://t.co/SaqObtIcQL</t>
  </si>
  <si>
    <t>61 more guns off the streets &amp;amp; a few people are $200 richer -- #WinWin. https://t.co/CST860Tw8q https://t.co/Ajh6yfZ1bl</t>
  </si>
  <si>
    <t>Bored on a Saturday night? Catch up on everything the NYPD has been up to by visiting https://t.co/INAZxeUlNE https://t.co/sxw1OAX4sw</t>
  </si>
  <si>
    <t>RT @NYPDDetectives: Honored to have been part of the street re-naming ceremony for Det. John Kristoffersen. We will #neverforget https://t.…</t>
  </si>
  <si>
    <t>“Through the efforts of Charlie, this is now a very different NYC....a very different NYPD," @NYPDChiefofDept https://t.co/5fTBU1v0iD</t>
  </si>
  <si>
    <t>You still have time to make NYC even safe &amp;amp; get some money too. Turn in a gun at our cash for guns event https://t.co/rTjvm2W2Zv</t>
  </si>
  <si>
    <t>RT @NYPDPaws: #yourcityyourcall #helpushelpthevoiceless https://t.co/9feh9BTZL9</t>
  </si>
  <si>
    <t>TODAY Cash For Guns 10am-4pm in Harlem. Get a gun of the street &amp;amp; get 💰💰💰 -- #WinWin https://t.co/6s6Fh4nQGp</t>
  </si>
  <si>
    <t>WANTED: M/H 20’s for assault/hitting a M/43 with a bat in front of store at 1600 BQE 4pm 3/23.
Call #800577TIPS https://t.co/2RyPCa9sph</t>
  </si>
  <si>
    <t>Tomorrow is your chance to get rid of that gun AND you can get $200. Yep, that's a #WINWIN. https://t.co/zbEzlnQs3e https://t.co/v0M8ME1vID</t>
  </si>
  <si>
    <t>RT @CommissBratton: A BATTLEFIELD on our soil. Via: @StanMcChrystal https://t.co/TACU7pbaCg</t>
  </si>
  <si>
    <t>WANTED: F/B 15, for assaulting (kicking/punching/scratching) a F/16 at the Jay St Subway Station at 11pm 6/12 #Brooklyn. Call #800577TIPS</t>
  </si>
  <si>
    <t>Responding to shots fired, @NYPD83Pct cops arrested 5 males, recovered all of this. GREAT job keeping #Bushwick safe https://t.co/81BEBh543s</t>
  </si>
  <si>
    <t>"Sgt Cochrane's courage has impacted police departments across this country." @NYPDChiefofDept https://t.co/0pIu9lNooD</t>
  </si>
  <si>
    <t>RT @NYPDChiefofDept: Today we commemorate Sgt. Charles Cochrane's vital contribution to public safety &amp;amp; human rights. https://t.co/LVbryNOL…</t>
  </si>
  <si>
    <t>Members of the NYPD, elected officials &amp;amp; the community honoring &amp;amp; remembering Sgt. Charles Cochrane https://t.co/M2Qf7ti4kN</t>
  </si>
  <si>
    <t>RT @NYPDByrne: #HappeningNow: Sgt. Cochrane, founder of @GOALny, honored with street-renaming ceremony @ Washington Place &amp;amp; 6th Ave https:/…</t>
  </si>
  <si>
    <t>#HappeningSoon: Street re-naming ceremony at the intersection of Washington Pl/Ave of Americas for Sgt Cochrane https://t.co/RTdoCfyDWn</t>
  </si>
  <si>
    <t>#Tonight Gaelic Football: Cheer on @nypdgfc vs @FDNY. Proceeds to benefit @bftfnyc https://t.co/3VXrofB0Og https://t.co/U6o6tRkxie</t>
  </si>
  <si>
    <t>Have an illegal gun (you shouldn't!)? 
Drop it off tomorrow, it's simple. It's easy. 
Get $. https://t.co/jFEVMgt4d7 https://t.co/Lsl4U16njW</t>
  </si>
  <si>
    <t>WANTED: M/H 20’s for sex abuse of F/26 at apt building on E85St. #Manhattan Call #800577TIPS https://t.co/IiMZxOhLgZ</t>
  </si>
  <si>
    <t>Cops In @NYPDPSA8 Arrest Speeding Police Impersonator Apprehended https://t.co/g5gJKOtSXY https://t.co/JkceNymBbI</t>
  </si>
  <si>
    <t>WANTED: M/H 20’s for robbery of M/61 at Grand Concourse &amp;amp; 175 St #Bronx at 8:30pm 6/2. 
Call #800577TIPS https://t.co/vPaZTYMCeU</t>
  </si>
  <si>
    <t>#SilverAlert: Susanna Terry (black jacket/blue pants) last seen on Sands St #Brooklyn 6/15. Call 911 if seen. https://t.co/3PJGDFZGry</t>
  </si>
  <si>
    <t>#VisionZero: Car stop in #Queens by @NYPD113Pct cops led to this illegal gun being taken off the streets of #Queens https://t.co/cJa4j1X31K</t>
  </si>
  <si>
    <t>WANTED: 2 males for armed robberies in the Bronx. Call #800577TIPS w/info. @NYPD46Pct https://t.co/0IkphSyxbr</t>
  </si>
  <si>
    <t>A Send Off For A Man Dedicated To Service https://t.co/lh8wGhcVW3 https://t.co/wqebsRMVuW @NYPDBklynNorth</t>
  </si>
  <si>
    <t>WANTED: M/H 50’s for public lewdness in front of 12-yr-old girl at N train station/62 St #Brooklyn Call #800577TIPS https://t.co/wZD6HgZZK1</t>
  </si>
  <si>
    <t>RT @NYPD79Pct: We thank Det.Duhaney @NYPD113Pct for amazing work w/ Det.Brown who passed away at 95 yrs old https://t.co/7L5lzQgrey https:/…</t>
  </si>
  <si>
    <t>RT @NYPD104Pct: Great event today recognizing the hard work all of our School Crossing Guards do @NYPDSchools https://t.co/5UohjdWHOC</t>
  </si>
  <si>
    <t>WANTED: M/H for attempted rape of F/33 near Warren St/42 Ave #Queens 4am 5/31. Call #800577TIPS https://t.co/JYVqq39wwG</t>
  </si>
  <si>
    <t>Read more about how dedicated NYPD police officers are keeping #Queens safe: https://t.co/fm1aGKAAZt @NYPDPSA9 https://t.co/D0TEZInBp9</t>
  </si>
  <si>
    <t>WANTED: M/H 20’s for stabbing a M/22 at Valentine/E.203St #Bronx at 10pm 6/12. Call #800577TIPS https://t.co/uObJlTiILZ</t>
  </si>
  <si>
    <t>"You can go on the radio &amp;amp; tell everyone you've been "mugged" by the commissioner," @CommissBratton to @elvisduran https://t.co/LWWRAcpYlO</t>
  </si>
  <si>
    <t>Watch as @elvisduran delivers the keynote at tonight's #NYPDPride Celebration https://t.co/laD27CMGTR #NYPDOutAndProud</t>
  </si>
  <si>
    <t>RT @NYPDChiefofDept: A privilege to speak at the #NYPDPride Celebration at Police HQ. Honored to receive the @GOALny 2016 Ally Award. https…</t>
  </si>
  <si>
    <t>Now at Headquarters -- #NYPDOutAndProud #NYPDPride https://t.co/nlSevYJZJl</t>
  </si>
  <si>
    <t>Mayor @BilldeBlasio joins the #NYPDPride celebration at Headquarters tonight. #NYPDOutAndProud https://t.co/SCqFrWwpMT</t>
  </si>
  <si>
    <t>"Everyone should feel comfortable approaching a police officer knowing they'll be treated equally," -@CommissBratton https://t.co/aEnM3Am4rt</t>
  </si>
  <si>
    <t>We stand #OrlandoUnited tonight in NYPD HQ. #NYPDPride #NYPDOutAndProud https://t.co/PEyvj3bknJ</t>
  </si>
  <si>
    <t>Getting ready to celebrate #NYPDPride in Headquarters tonight. Welcome to ALL! #NYPDOutAndProud https://t.co/IyH0eTDiiT</t>
  </si>
  <si>
    <t>Have a look at our @Snapchat story tonight as we celebrate #NYPDPride at Headquarters https://t.co/9ntZIn6Eyz</t>
  </si>
  <si>
    <t>Oxsana &amp;amp; Albina Rescued In Brooklyn By NYPD, Now Ready For Adoption At @ASPCA https://t.co/rnHnAMd9rd https://t.co/N8gDxFkUqm</t>
  </si>
  <si>
    <t>#HappeningNow: @PALNewYork kids gather with cops in NYPD HQ for the Police Commissioner for a day essay contest https://t.co/6uB4yNkGW6</t>
  </si>
  <si>
    <t>Another illegal gun off the streets of the Bronx because of the dedicated officers in the @NYPD43Pct https://t.co/yEV6rBjDrQ</t>
  </si>
  <si>
    <t>ARREST: Gaston Taveras, 18, charged with murder for the shooting/homicide of a 41y/o man near 500 W. 157 St #WaHi. #800577TIPS w/crime info</t>
  </si>
  <si>
    <t>RT @elvisduran: Check out the event I am heading to tonight, so honored to be given the Visibility Award... #NYPDOutAndProud - https://t.co…</t>
  </si>
  <si>
    <t>.@elvisduran promises not to steal anything when he comes to NYPD HQ tonight for our Pride Celebration. Looking fwd to welcoming you, Elvis!</t>
  </si>
  <si>
    <t>"We have no security concerns about the upcoming NYC Pride Parade, there'll be increased police presence" @CommissBratton on @ElvisDuranShow</t>
  </si>
  <si>
    <t>"Looking forward to having you at NYPD HQ tonight for our Pride celebration," @CommissBratton to @ElvisDuran now on the @ElvisDuranShow</t>
  </si>
  <si>
    <t>Tune in now to @Z100NewYork &amp;amp; listen to @CommissBratton live on the @ElvisDuranShow speaking about keeping NYC safe</t>
  </si>
  <si>
    <t>RT @CommissBratton: Looking forward to speaking with @elvisduran on @Z100NewYork this morning. Tune in at 7:30am: https://t.co/2ipgv3Nvp3 @…</t>
  </si>
  <si>
    <t>#SilverAlert: Doris Dunbar, 76, last seen 3400 Cannon Pl, Bronx. Call 911 if seen, #800577TIPS w/info. https://t.co/CM6szeqTkg</t>
  </si>
  <si>
    <t>Today the NYPD honored hero officers at the 2016 Medal Day https://t.co/bdEkVYHNRn</t>
  </si>
  <si>
    <t>The NYPD stands with you, Orlando https://t.co/QyWNZsoBj2</t>
  </si>
  <si>
    <t>Check out our story on @Snapchat from today’s NYPD Medal Day Ceremony https://t.co/42DHjfl50p</t>
  </si>
  <si>
    <t>These men &amp;amp; women won't just be marching in this month's Pride Parade they'll be protecting it too. #NYPDPride https://t.co/DSOJ1M4vqO</t>
  </si>
  <si>
    <t>RT @CommissBratton: Happy 241st birthday, @USArmy! #ArmyBDay https://t.co/99XyGx022H</t>
  </si>
  <si>
    <t>As we remain #OrlandoUnited, we also stand in solidarity with French @PoliceNationale
https://t.co/VbQwV8iDA8 https://t.co/a1k2HoQYDV</t>
  </si>
  <si>
    <t>Honoring those who have done so much to keep NYC so safe. Let's say thank you these officers! https://t.co/WxQmbKUxLO</t>
  </si>
  <si>
    <t>"Today we honor you for your bravery, valor, dedication &amp;amp; loss of life," @CommissBratton at NYPD Medal Day https://t.co/Ln0nKUxlQp</t>
  </si>
  <si>
    <t>"You are the best of NYC," Mayor @BilldeBlasio to NYPD cops at the 2016 Medal Day ceremony https://t.co/ah5ixPgpjZ</t>
  </si>
  <si>
    <t>This year's honorees march into NYPD HQ for well deserved recognition at our 2016 Medal Day. Retweet to say congrats https://t.co/WHzkqgBsNH</t>
  </si>
  <si>
    <t>Getting ready to honor some of our heroes in the 2016 Medal Ceremony at NYPD Headquarters https://t.co/1cTJywap4X</t>
  </si>
  <si>
    <t>NCO cops from the @NYPD120Pct playing hoops to build trust in #StatenIsland with youth. https://t.co/k4hILz0GFm</t>
  </si>
  <si>
    <t>WANTED: 2 suspects, M/A (pictured) &amp;amp; M/B for multiple robberies in #Manhattan. Call #800577TIPS https://t.co/I3ztjtiPvW</t>
  </si>
  <si>
    <t>A police impersonator was caught by the real NYPD police @NYPDPSA8. Keeping @NYCHA &amp;amp; NYC safe- #ItsWhatWeDo https://t.co/0PCxwA53Pe</t>
  </si>
  <si>
    <t>WANTED: 2 suspects for assault/shooting of a M/35 at 3am 6/12 in front of 1227 Flatbush Ave. Call #800577TIPS. https://t.co/WiodMBkJrT</t>
  </si>
  <si>
    <t>Watch @CommissBratton now on @Morning_Joe speaking about gun control &amp;amp; NYPD counterterrorism efforts https://t.co/avpW0SCSFJ</t>
  </si>
  <si>
    <t>"We have 100's of Muslim officers who ironically even guard Mr. Trump outside his building," @CommissBratton now on @Morning_Joe</t>
  </si>
  <si>
    <t>"We're very fortunate that the NYPD has recently hired 1,300 new cops that will allow for more counterterrorism efforts," @CommissBratton</t>
  </si>
  <si>
    <t>Watch @CommissBratton now on @Morning_Joe speak about how the NYPD keeps NYC protected https://t.co/avpW0Slhh9</t>
  </si>
  <si>
    <t>RT @CommissBratton: This morning at 7:20am I'll stop by @Morning_Joe to speak about #Orlando &amp;amp; how the NYPD protects NYC. Watch live: https…</t>
  </si>
  <si>
    <t>RT @CommissBratton: The NYPD, your NYPD, is here to keep you safe because you are NYC. #WeAreOrlando https://t.co/Yujacsq5VC</t>
  </si>
  <si>
    <t>Tune in live as @commissbratton speaks at an Orlando vigil in the West Village on https://t.co/kC0ADSXBcq</t>
  </si>
  <si>
    <t>RT @NYPD6Pct: Thank you @NYPDCT for watching over our community #WestVillage #OrlandoUnited #PrayForOrlando https://t.co/dUPPIrQUoD</t>
  </si>
  <si>
    <t>.@CommissBratton joins Mayor @BilldeBlasio as he signs the Criminal Justice Reform Act. Watch Live: https://t.co/XJ2vP74KLx</t>
  </si>
  <si>
    <t>"The Criminal Justice Reform Act will give officers new ways to keep NYC safe without losing QOL penalties," -@CommissBratton</t>
  </si>
  <si>
    <t>"We are committed to protecting ALL communities...the NYPD's capability to prevent &amp;amp; respond to terror is 2nd to none," -@CommissBratton</t>
  </si>
  <si>
    <t>NYers should go about their business knowing NYPD is protecting them, but they can help...if you see something, say something- @BilldeBlasio</t>
  </si>
  <si>
    <t>#HappeningNow: Mayor @BilldeBlasio &amp;amp; @CommissBratton speak to media on shooting in #Orlando prior to bill signing https://t.co/N975ZDOxv5</t>
  </si>
  <si>
    <t>RT @NYPD19Pct: Thank you @NYPDSpecialops for safely capturing the #RedTailHawk who is now ready to be evaluated @NYCACC #UES https://t.co/7…</t>
  </si>
  <si>
    <t>WANTED: Male for shooting/homicide of a 29y/o woman at 700 Westchester Ave, BX. #800577TIPS https://t.co/W3WjdvEU9c https://t.co/rRXbkpBuhA</t>
  </si>
  <si>
    <t>"We get to know the good ppl in the community, it’s also a new way of finding the bad guys” https://t.co/Y0IYBkISkR https://t.co/mnAXS3klnW</t>
  </si>
  <si>
    <t>An increase in NYPD resources keeping New Yorkers safe. https://t.co/VZJatzf4Fd @donlemon</t>
  </si>
  <si>
    <t>WANTED: Male for shooting/homicide of a 31y/o man near 903 Rogers Ave, Bronx. Call #800577TIPS. @NYPD41Pct https://t.co/Gi1IJH1em2</t>
  </si>
  <si>
    <t>Tune in now as @NYPDChiefofDept speaks on @1010WINS about the shooting in #Orlando</t>
  </si>
  <si>
    <t>Tune in at 7:20am this morning as @NYPDChiefofDept speaks to @wcbs880 about the #Orlando shooting</t>
  </si>
  <si>
    <t>The NYPD stands alongside ALL of the communities it serves and protects everyday -- #ItsWhatWeDo https://t.co/LxU2LY4MW5</t>
  </si>
  <si>
    <t>A busy day in NYC under the watchful eye of our Critical Response Command &amp;amp; many other dedicate NYPD cops. https://t.co/umD3ydmXOo</t>
  </si>
  <si>
    <t>Traffic Advisory: Major traffic delays on the Belt Pkwy at the Flatbush exit due to fire. @FDNY &amp;amp; NYPD on scene.</t>
  </si>
  <si>
    <t>"@NYPDCT active shooter response capabilities have expanded greatly thanks to Mayor @BilldeBlasio." -Chief Waters https://t.co/BjFEMNYvlD</t>
  </si>
  <si>
    <t>Re: photos of the alleged #Orlando shooter wearing #NYPD clothing, there is absolutely no affiliation at this time." @NYPDChiefofDept</t>
  </si>
  <si>
    <t>"The NYPD is always in a state of vigilance &amp;amp; our anti-terror capacity will ensure a safe upcoming pride week." https://t.co/tAhNFkm3FP</t>
  </si>
  <si>
    <t>.@NYPDChiefofDept: "NYPD along w/@NewYorkFBI monitoring all leads related to #NYC stemming from #Orlando shooting." https://t.co/zqjZWFL2UE</t>
  </si>
  <si>
    <t>"We have deployed additional @NYPDCT resources throughout the City, particularly at #LGBTQ facilities to keep all NYers safe" @BilldeBlasio</t>
  </si>
  <si>
    <t>There are no credible threats to #NYC stemming from the incident in #Orlando.</t>
  </si>
  <si>
    <t>"New York City stands with the victims and families affected by this act of terror &amp;amp; hate," Mayor @BilldeBlasio https://t.co/pyH62qWhXM</t>
  </si>
  <si>
    <t>#HappeningSoon: NYC Mayor @BilldeBlasio @NYPDChiefofDept @NYPDCTB to update the public/press regarding Orlando +more https://t.co/Ok98VLCfV9</t>
  </si>
  <si>
    <t>Members of the NYPD sounding great as they march up Fifth Avenue celebrating their heritage in the @PRparadeNYC. https://t.co/m6C2DAzOyK</t>
  </si>
  <si>
    <t>Our prayers go out to those affected by the #Orlando shooting. The NYPD remains prepared to protect NYC. https://t.co/W0F05mHGgO</t>
  </si>
  <si>
    <t>#HappeningNow: Members of the NYPD celebrate their heritage in the @PRparadeNYC. Info: https://t.co/hjsvfobeLt https://t.co/QjQOylOwsX</t>
  </si>
  <si>
    <t>Learn about our NCO program &amp;amp; how it is transforming the way we keep NYC safe #SundayRead https://t.co/xt1gFVXTlL https://t.co/mvp9XVX7kw</t>
  </si>
  <si>
    <t>Planning on enjoying the @PRparadeNYC today? Here’s a few tips on traffic: https://t.co/pQsDVXOGkL #PRParade https://t.co/ohxDYppnw2</t>
  </si>
  <si>
    <t>Protecting NYC 24/7: This illegal gun was taken off the streets of #Bronx this time last night by the @NYPD43Pct https://t.co/ryHZRV7gcJ</t>
  </si>
  <si>
    <t>For Kids In Harlem, Crime Does Pay … For A Refurbished Basketball Court https://t.co/ouGTpUiP19 https://t.co/iaSnevsQmU</t>
  </si>
  <si>
    <t>RT @CommissBratton: Building trust with our Neighborhood Policing. @NYPD34Pct Det. Troppmann on @InsideCityHall: https://t.co/u8SAEx7UyF ht…</t>
  </si>
  <si>
    <t>WANTED: M/wht, 30’s for attempted abduction of a 6yr-old boy in the Bronx. Call #800577TIPS https://t.co/P2OpYm1TO1 https://t.co/Uq1Akee6aI</t>
  </si>
  <si>
    <t>WANTED: M/Wht, 20’s for endangering the welfare of a child in Brooklyn. Call #800577TIPS. https://t.co/kfV7N5nCdM https://t.co/jXHozIrpxA</t>
  </si>
  <si>
    <t>WANTED: M/B 18-25 for assault/slashing the face of F/42 on 6/5 3am in front of 167 E125St. Call #800577TIPS https://t.co/eX7IOnXdC3</t>
  </si>
  <si>
    <t>From BBQ parties to parades, if you’re in NYC this weekend plan ahead w/NYPD’s Trfc Advisory https://t.co/YIhvzT7Tap https://t.co/k0BkWRZXKo</t>
  </si>
  <si>
    <t>“The Neighborhood Policing Plan made this arrest possible,” said Officer Dilieto. https://t.co/s2ADyF2Crd https://t.co/Vxoi97VQYk</t>
  </si>
  <si>
    <t>Let's congratulate the 300+ @NYPDCadets that were sworn in today. See how you can join: https://t.co/KbmQuXEY4j https://t.co/VKDxqq2kn6</t>
  </si>
  <si>
    <t>Meet @NYPD5Pct Sergeant Chris Kakit Yip 
@BMS1912 @NYPianoSociety @carnegiehall https://t.co/8nkSQ3erKo</t>
  </si>
  <si>
    <t>. @NYPDDetectives updating the public regarding this arson incident. If you have info, share it: #800577TIPS https://t.co/80DRYsw8Ol</t>
  </si>
  <si>
    <t>#HappeningNow: 300+ young adults being sworn in as NYPD Cadets. Welcome to the greatest department in the world! https://t.co/YpIHwBr18Q</t>
  </si>
  <si>
    <t>RT @NYPDChiefofDept: Exciting evening @TheGarden last night watching NYPD Boxing Champs battle in the ring to benefit Childrens Charities h…</t>
  </si>
  <si>
    <t>WANTED: M/B 5’8” 160 lbs. for attempted rape of F/33 on 6/8 10pm near E162St &amp;amp; Sheraton Ave #Bronx. Call #800577TIPS https://t.co/5wjSiaTcpZ</t>
  </si>
  <si>
    <t>RT @NYPD110Pct: Congrats to PO’s Drummy &amp;amp; O’Brian for receiving the Cop of the Month Award #ItsWhatWeDo https://t.co/20ODE17zcQ</t>
  </si>
  <si>
    <t>WANTED: M/B, 20-30’s, 5’10”, 180 lbs. for multiple robberies in the #Bronx. Call #800577TIPS. https://t.co/GsnMEIYcuL</t>
  </si>
  <si>
    <t>Our @NYPD104Pct Crossing Guards are helpng keep our students safe. Get info on joining here: https://t.co/lM0mpu2W9h https://t.co/MFOofQxsdC</t>
  </si>
  <si>
    <t>WANTED: Suspect for arson, set wall &amp;amp; awning of church on fire with a Molotov cocktail, Staten Island. #800577TIPS https://t.co/zqp4jMp0Zh</t>
  </si>
  <si>
    <t>#ICYMI, a few great photos from yesterday’s @POTUS visit to NYC. Outstanding collaboration &amp;amp; communication! https://t.co/5Izr6v05Oo</t>
  </si>
  <si>
    <t>RT @NYPD19Pct: The #NYPD is ready to rumble benefiting Children's Charities as the Boxing Championship kicks off tonight @TheGarden https:/…</t>
  </si>
  <si>
    <t>RT @NYPDTraining: Our own Sgt. Ahmed from the Police Academy landing a punch &amp;amp; giving his all @NYPDBoxing @NYPDnews @CommissBratton https:/…</t>
  </si>
  <si>
    <t>Charity NYPD Boxing match now at @TheGarden. Let's hear it for the NYPD! https://t.co/XAYW9sGnTX</t>
  </si>
  <si>
    <t>This illegal gun was taken off the streets of #Stapleton #StatenIsland thanks to teamwork by @NYPD120Pct cops. https://t.co/Q9EnQfkZzk</t>
  </si>
  <si>
    <t>RT @NYPDTransport: Stop by #BellBoulevard today for a chance to #KnowYourLimit &amp;amp; learn about #NYC street safety with #NYPD &amp;amp; @NYC_DOT https…</t>
  </si>
  <si>
    <t>Busy brains are better than idle hands. @NYPDCommAffairs &amp;amp; JRIP have great turn out for Summer Youth Emplymnt Orient https://t.co/Tbzg61YVkP</t>
  </si>
  <si>
    <t>.@RevGeorge2 of @NYPDchaplains spoke at our CIT training to remind our cops of the importance of officer wellness. https://t.co/i7OF6nbAS0</t>
  </si>
  <si>
    <t>New designated activity zones in @TimesSquareNYC painted by our partners at @NYC_DOT. https://t.co/wAsrVAGZyb</t>
  </si>
  <si>
    <t>WANTED: M/H 20’s, Jesus/Cross tattoo on right arm, for attempted rape of F/51, College Pt #Queens. Call #800577TIPS https://t.co/FX7yIpzXRc</t>
  </si>
  <si>
    <t>Arrest made, gun &amp;amp; drugs taken off the streets of #Brooklyn by @NYPD75Pct cops. Keeping NYC- #ItsWhatWeDo https://t.co/Sf6NVrL0w3</t>
  </si>
  <si>
    <t>During #Ramadan, NYPD personnel are visiting Muslim congregations to build relationships, share safety tips &amp;amp; more https://t.co/sNonCuO8xe</t>
  </si>
  <si>
    <t>For The Children Of Harlem, Crime Does Pay … For A Refurbished Basketball Court https://t.co/lxmg5cUPYK https://t.co/gUMCvqM3rR</t>
  </si>
  <si>
    <t>.@NYPD120Pct Cops Arrest Man In Possession Of Tech 9 https://t.co/iIf7EnZnCe
Let's say thanks for keeping NYC safe https://t.co/q7wMJGssSY</t>
  </si>
  <si>
    <t>UPDATE: An individual has been apprehended in connection to the commercial robberies. https://t.co/AaS0WpaGFu</t>
  </si>
  <si>
    <t>MT @NYPD19Pct: Another illegally operated eBike off the #UpperEastSide streets #visionzero https://t.co/bDP4ejonSv</t>
  </si>
  <si>
    <t>See how you can help. More info: https://t.co/V3azUIuJDq #800577TIPS https://t.co/0oJiCfew3q</t>
  </si>
  <si>
    <t>NYPD always training, always prepared (yes for anything) https://t.co/4bjBOqOwBr #Ghostbusters https://t.co/3YyaGUrn2R</t>
  </si>
  <si>
    <t>14 Defendants Charged With Drug Trafficking And Illegal Weapons Possession In The Cypress Hills Houses In Brooklyn https://t.co/fM9hCIFEST</t>
  </si>
  <si>
    <t>WANTED: 2 M/A’s for grand larceny/unauthorized use of a credit card in #Flushing. Call #800577Tips @NYPD109Pct https://t.co/Q6M81v0uki</t>
  </si>
  <si>
    <t>RT @NYPDCT: PO Gullo from CRC K9 &amp;amp; K9 "Maddy" get interviewed by Meagan about a day in the life of a NYPD canine https://t.co/l3t46HQZMY</t>
  </si>
  <si>
    <t>WANTED: M/B for assault of a subway passenger on the A train, 3:30pm 5/5 at High St #Brooklyn. Call #800577TIPS https://t.co/zGAbt5XAhq</t>
  </si>
  <si>
    <t>Our explorers do great &amp;amp; fun things- learn more here https://t.co/DUWTgOdL2Z https://t.co/a9KNyzUx3t</t>
  </si>
  <si>
    <t>#HappeningNow: a great example of police-community interaction &amp;amp; collaboration with our partners  https://t.co/cA5xIIcd4A</t>
  </si>
  <si>
    <t>WANTED: Male 5'9" for armed robberies at restaurants in Queens. Call #800577TIPS w/info. https://t.co/Hoajn5SYiG https://t.co/XpIn7m6pto</t>
  </si>
  <si>
    <t>Chief of @NYPDTransit Honors UHF Radio Project Team https://t.co/0nYuNKYagq https://t.co/u7KGKdYMw4</t>
  </si>
  <si>
    <t>RT @CommissBratton: .@NYPD9Pct Officers Molloy &amp;amp; Radosta, some of the Finest for sure. Keep up the great work! https://t.co/Zv2uGm3eGb</t>
  </si>
  <si>
    <t>RT @NYPDCommAffairs: Great event last night promoting safety for the #LGBTQ community at the historic Stonewall Inn. #LGBTQPrideMonth https…</t>
  </si>
  <si>
    <t>Thanks @NYPD44Pct cops for saving this puppy. Rescue video via @JessicaNews12: https://t.co/euHFsyIEqt https://t.co/YNYGtVGj4r</t>
  </si>
  <si>
    <t>WANTED: F/H in connection to a M/H being shot/dropped off at Jamaica Hospital on 5/29 10pm. Call #800577TIPS https://t.co/CgTDSQ6TEk</t>
  </si>
  <si>
    <t>RT @NYPDSpecialops: 16 y.o. retired @fema Texas TF1 #K9 "Bretagne", the last surviving Ground Zero Search &amp;amp; Rescue dog, has passed #RIP htt…</t>
  </si>
  <si>
    <t>Have a look NYC- these are some of the people keeping the #Bronx safe. #ItsWhatWeDo https://t.co/WhYTv7R53e</t>
  </si>
  <si>
    <t>WANTED: M/B for taking a F/75’s purse on 6/1 at 935 Pennsylvania Ave #Brooklyn. Call #800577TIPS https://t.co/20txqZvygT</t>
  </si>
  <si>
    <t>WANTED: M/B for firing a gun towards a group of people #FarRockaway 6/6 3pm Beach 22 St. Call #800577TIPS https://t.co/M2ufyztvdv</t>
  </si>
  <si>
    <t>RT @NYPDFIRSTDEP: #onelessgun by a #dedicated officer means #onelesstragedy good job Ofcr Lynch! Stay safe &amp;amp; keep up the good work https://…</t>
  </si>
  <si>
    <t>A solar plane will conduct a flyover starting at Verrazano Bridge north to JFK Airport on 6/7 2am-3am. Plane will be followed by helicopter</t>
  </si>
  <si>
    <t>WANTED: Male 5’9” for armed robberies at restaurants in Queens. Call #800577TIPS w/info. https://t.co/Hoajn5SYiG https://t.co/XpIn7m6pto</t>
  </si>
  <si>
    <t>#DYK: Murders &amp;amp; shootings are down in NYC - weapons seizures help cut violent crime. MORE- https://t.co/ac6mbzQYox https://t.co/s55o0RrUzE</t>
  </si>
  <si>
    <t>You can help. Call #800577TIPS with info on 3 male teens wanted for assault in Queens. https://t.co/Dt2DFdcASD https://t.co/3jwjX2iVbJ</t>
  </si>
  <si>
    <t>An ocean away, but the same mission -- keeping people safe. @policiademadrid https://t.co/egvOyX79Fo</t>
  </si>
  <si>
    <t>RT @NYPDTransport: Bringing a safe driving message directly to #Queens motorists is how @NYPD111Pct &amp;amp; @NYC_DOT spend a Monday morning. http…</t>
  </si>
  <si>
    <t>Update: The unidentified woman has been identified. Thanks for your help NYC. https://t.co/rrlMgluQyP</t>
  </si>
  <si>
    <t>Rescued By The NYPD, Dudley Now Ready For Adoption At The @ASPCA https://t.co/BrSSxIcSJ5 @NYPDPaws https://t.co/97cIIjtjqw</t>
  </si>
  <si>
    <t>.@NYPD69Pct Cops Save Trapped Kitten In Brooklyn https://t.co/aeuQ8R9noA https://t.co/2okgBzk1lr</t>
  </si>
  <si>
    <t>We'd like to say congrats to recent high school grad Jonathan, son of fallen NYPD hero Det Dennis Guerra. Keep it up https://t.co/ZvhTE1cIsw</t>
  </si>
  <si>
    <t>Another gun taken off the streets of NYC- this time by @NYPD25Pct cops in #Manhattan. #ItsWhatWeDo https://t.co/Q9i0okGaJA</t>
  </si>
  <si>
    <t>NYPD cops honored by @Mets &amp;amp; David Wright https://t.co/HzDF2eVAan https://t.co/G01fpsehNO</t>
  </si>
  <si>
    <t>This loaded gun was taken off the streets by dedicated @NYPD115Pct cops in #Queens. Protecting NYC- #ItsWhatWeDo https://t.co/Q1W3ilXGkh</t>
  </si>
  <si>
    <t>RT @CommissBratton: #Ramadan Kareem to all who celebrate. My message to the men &amp;amp; women of the NYPD: https://t.co/qbgfPLihhd (Video) https:…</t>
  </si>
  <si>
    <t>Our Muslim NYPD police officers shared stories highlighting the challenges &amp;amp; opportunities of protecting NYC https://t.co/dWIfWmI8e4</t>
  </si>
  <si>
    <t>Always out there ready to go in harm’s way to keep NYC safe -- #ItsWhatWeDo https://t.co/tbIs8E3uZV @NYPDTransit</t>
  </si>
  <si>
    <t>Don’t keep us in the dark, @NYPD32Pct. Who won? https://t.co/3y9yJmTLBn</t>
  </si>
  <si>
    <t>#HappeningNow: A “little” rain won’t deter the NYPD from ensuring everyone is safe &amp;amp; enjoys the #IsraeliDayParade https://t.co/LZRNWEd7AG</t>
  </si>
  <si>
    <t>.@NYPD34Pct Officers Torres &amp;amp; Brito always have time to snap a photo with a little fan. https://t.co/DDxMbZev2O</t>
  </si>
  <si>
    <t>"I think it is precision policing, a heavy focus on gang takedowns, heavy focus on gun seizures and..."@BilldeBlasio https://t.co/N6MTwSivnm</t>
  </si>
  <si>
    <t>In Manhattan today? From 10am-4PM, 5th Ave, 57-74 St. will be closed for the @CelebrateIsrael Day Parade #TogetherOnFifth.</t>
  </si>
  <si>
    <t>WANTED: Male, 25, 210lbs for armed robbery at a deli, 162 Driggs Ave, Bklyn. Call #800577TIPS w/info. @NYPD94Pct https://t.co/eYQZjufsHc</t>
  </si>
  <si>
    <t>Help us ID a F/30’s with tattoos on left arm found unconscious on Pelham Pkwy heading into I95, BX. Call #800577TIPS https://t.co/fpEzYOHlsv</t>
  </si>
  <si>
    <t>Cool hands save dangling AC. Read the full story on Instagram: https://t.co/2xYfMobiFx https://t.co/P6Kh4XywsV</t>
  </si>
  <si>
    <t>We have yet to find anyone that likes graffiti on their own property. Share info &amp;amp; you can get a reward-Call #NYC311 https://t.co/GtUUqNwlvo</t>
  </si>
  <si>
    <t>RT @NYPDCadets: Commitment to learning is part of the job. Find out more at https://t.co/KslG740cmw @NYPDCadetCorps https://t.co/vupVDkij4j</t>
  </si>
  <si>
    <t>UPDATE: Li, Shao Qing Li, 51, arrested in attempted abduction of F/2 on May 28 near 16 Ave/80 St #Brooklyn. @NYPDDetectives @NYPD62Pct</t>
  </si>
  <si>
    <t>Always a great reminder. Enjoy your weekend NYC https://t.co/RUoevBKA8Z</t>
  </si>
  <si>
    <t>Don't let the Friday rain ruin your day. Check out this #GoPro video from our K9 Zane https://t.co/PhBsGJA1AG #ZaneCam</t>
  </si>
  <si>
    <t>WANTED: M/B 5’10” for attempted rape if F/23 at Prospect Park West/Garfield Place 4/20 5am. Call #800577TIPS (2/2) https://t.co/J4XbPagNxP</t>
  </si>
  <si>
    <t>“Unlike other large cities... New York is seeing a decrease in both shootings and homicides,” @NYPDFIRSTDEP https://t.co/ep2VEk7InF</t>
  </si>
  <si>
    <t>WANTED: M/B 5’10” for attempted rape if F/23 at Prospect Park West/Garfield Place 4/20 5am. Call #800577TIPS (1/2) https://t.co/W2E52OrPJH</t>
  </si>
  <si>
    <t>RT @NYPD67Pct: Great work by the 67th Precinct @NYPDDetectives in solving the murder of the sixteen year old #EastFlatbush #NYPD</t>
  </si>
  <si>
    <t>UPDATE: Efrain Camacho arrested for murder/shooting death of M/19 on Croton Ave #Bronx on 5/29. @NYPD48Pct @NYPDDetectives</t>
  </si>
  <si>
    <t>NYPD @NYPD34Pct Cops Honored For Their Work, Donate Their $10K Prize to @BuczekLilLeague https://t.co/041fodmSIM https://t.co/skmtu6xlL5</t>
  </si>
  <si>
    <t>WANTED: M/B 20’s for forcibly touching a F/24 in Prospect Park #Brooklyn 2:40pm 5/25. Call #800577TIPS https://t.co/NYsuty7jq2</t>
  </si>
  <si>
    <t>“Why wait until December to celebrate Christmas?” - @NYPD77Pct https://t.co/qOgwrwHfWL https://t.co/9ngkNKInnK</t>
  </si>
  <si>
    <t>News Reports: Gang Arrests, Weapons Seizures Help Cut Violent Crime In NYC https://t.co/bWTkWXHuFK https://t.co/JiqnVvCJIK</t>
  </si>
  <si>
    <t>“This is my job, this is what I'm trained to do, but these guys did it out of the goodness of their hearts." https://t.co/o1mO3XWDqI</t>
  </si>
  <si>
    <t>RT @NYCMayorsOffice: NYC is a city of 8.5 million people - with historically low crime. We're the safest big city thanks to the NYPD. https…</t>
  </si>
  <si>
    <t>Teamwork &amp;amp; effective policing skills by the @NYPD9Pct Conditions Team resulted in this gun off the streets of NYC https://t.co/QsG37qXGLI</t>
  </si>
  <si>
    <t>These new 1,200 protectors will join current NYPD cops to protect NYC &amp;amp; work with the communities we are dedicated to keeping safe</t>
  </si>
  <si>
    <t>1,200+ new NYPD recruits will graduate 7/1 to assist with efforts to prevent/reduce crime city-wide.</t>
  </si>
  <si>
    <t>Precision policing resulting in past two months +350 gang/narcotics arrests in all five NYC boroughs. https://t.co/2X0244YhQM</t>
  </si>
  <si>
    <t>Gun arrests up 22% this year. 67% increase at housing developments. This is focused, precision policing.</t>
  </si>
  <si>
    <t>.@NYPDDetectives asking the public’s assistance to help ID this person https://t.co/1qGxjHDmbO</t>
  </si>
  <si>
    <t>Every day, every month the men &amp;amp; women of the NYPD work to get illegal guns off the streets of NYC. https://t.co/vTYEhUZHEy</t>
  </si>
  <si>
    <t>June is dedicated to raising awareness of gun violence. The NYPD is dedicated to getting illegal guns off the streets of NYC.</t>
  </si>
  <si>
    <t>Crime is down 6.1% in NYC, while there is an increase in gun arrests. This is due in part to precision policing. https://t.co/QsHzhoVoyY</t>
  </si>
  <si>
    <t>Watch the press conference live at https://t.co/BPESYLewtH</t>
  </si>
  <si>
    <t>#HappeningNow: NYC Mayor @BilldeBlasio @NYPDFIRSTDEP + more updating the press &amp;amp; public https://t.co/QOCo2b8JMf</t>
  </si>
  <si>
    <t>#HappeningSoon: NYC Mayor @BilldeBlasio @NYPDFIRSTDEP &amp;amp; NYPD leadership to provide update on crime stats + more https://t.co/0MtXLwOH6K</t>
  </si>
  <si>
    <t>Information being shared includes: crisis response, counterterrorism, technology &amp;amp; community outreach https://t.co/W1MFOlSHRl</t>
  </si>
  <si>
    <t>#HappeningNow: Members of the NYPD leadership team &amp;amp; Belgium officials discussing information sharing &amp;amp; strategies https://t.co/ZbRPitBq2P</t>
  </si>
  <si>
    <t>RT @NYPD43Pct: Different day, same results! Anti-Crime continues their extraordinary work &amp;amp; remove this gun off our streets. https://t.co/g…</t>
  </si>
  <si>
    <t>WANTED: M/B for mutiple store robberies in #Queens @NYPD111Pct @NYPD106Pct @NYPD109Pct @NYPD112Pct Call #800577TIPS https://t.co/rqPf9Yqm1u</t>
  </si>
  <si>
    <t>Quick-thinking @NYPD20Pct cop snags dangling air conditioner- via @westsiderag https://t.co/iW0y1Dkofg https://t.co/ap55hPrTFv</t>
  </si>
  <si>
    <t>RT @nypdrecruit: School Safety Agents create secure places for learning. https://t.co/zsL3v5wYh2 @NYPD #NYC https://t.co/ruZP3MRmzQ</t>
  </si>
  <si>
    <t>Homicides are down in NYC [-13%] in contrast to rise elsewhere in U.S. via @Newsday 
https://t.co/ZLWkh2YYzc https://t.co/V2sLmLVI2q</t>
  </si>
  <si>
    <t>“Being a New York City Police Officer is the only job I ever wanted” https://t.co/siRjJujpiI https://t.co/4uPIbPPY3l</t>
  </si>
  <si>
    <t>RT @NYPDauxiliary: Thank you to the Sing Tao Daily news for featuring the Auxiliary Program. https://t.co/E3V8XbjsVv</t>
  </si>
  <si>
    <t>Working with the community to raise awareness of scams &amp;amp; share safety tips https://t.co/FTJ2fGl6yM</t>
  </si>
  <si>
    <t>RT @NYPDCommAffairs: Help get involved with keeping your neighborhood clean. Sharing a tip is easy. https://t.co/MZxzMU4HCK</t>
  </si>
  <si>
    <t>WANTED: 2 suspects for robbery of M/14 on 5/18 10pm near Jerome Ave/W.Fordham Rd #Bronx Call #800577TIPS https://t.co/v05AbkMVNE</t>
  </si>
  <si>
    <t>Great work by the @NYPD79Pct for taking this loaded, ILLEGAL gun off the streets of #Brooklyn. #ItsWhatWeDo https://t.co/nP5rhIWUFV</t>
  </si>
  <si>
    <t>WANTED: F/W 5’6” for multiple bank robberies in the #Bronx recently Chase Bank, 185 W231st. Call #800577TIPS https://t.co/fAUVHC3MQn</t>
  </si>
  <si>
    <t>RT @NYPDPaws: June is National Pet Preparedness Month. Make ur pet part of ur emergency preparedness plan
https://t.co/ek8b3eoltJ https://t…</t>
  </si>
  <si>
    <t>From Riverdale to the Rockaways, the NYPD &amp;amp; Ny'ers enjoyed their #MemorialDay parades: https://t.co/ZzKHs86yr9 https://t.co/BwvXYuL6T6</t>
  </si>
  <si>
    <t>RT @NYPDMTN: Last day of #BikeMonth🚴🏼, please #BikeSmart. Be aware of your surroundings-that means you too #drivers🚗 https://t.co/RaIplsOJET</t>
  </si>
  <si>
    <t>WANTED: F/A for attempted child abduction of F/2 10am 5/28 in #Brooklyn confines of @NYPD62Pct. Call #800577TIPS https://t.co/eaJzndmbkw</t>
  </si>
  <si>
    <t>Correction- it was our @NYPDPSA8 officers doing great work in this incident https://t.co/MTa8TQkzkt</t>
  </si>
  <si>
    <t>Great work by our Harbor Unit officers who rescued two people who drifted far off shore while out over the weekend https://t.co/iIYxiHSznD</t>
  </si>
  <si>
    <t>Great @NYPD62Pct police work &amp;amp; collaboration led to these guns taken off the streets of #Brooklyn #ItsWhatWeDo https://t.co/X3fXmsfqxI</t>
  </si>
  <si>
    <t>Learning from the best: our @NYPD109Pct recruits getting tips from our elite @NYPDSpecialops ESU members https://t.co/OvU7hQB1CD</t>
  </si>
  <si>
    <t>NYPD @NYPDPSA4 NCO officers arrest suspect wanted for multiple robberies in the #Bronx https://t.co/B6E12WBpuh https://t.co/MIzaWaubPl</t>
  </si>
  <si>
    <t>WANTED: M/20’s for sexual abuse of F/23 in elevator near St Nicholas Ave/Amsterdam Ave. Call #800577TIPS https://t.co/KvcE3znttU</t>
  </si>
  <si>
    <t>A reminder of why we celebrate #MemorialDay https://t.co/YNTfkrBLRD https://t.co/fHHvKpOA6W</t>
  </si>
  <si>
    <t>RT @NYPDCeremonial: .@NYPDCeremonial Color Guard Obs. the 3pm Moment of Silence in Remembrance of Fallen Brave Men &amp;amp; Women
#MemorialDay🙏 ht…</t>
  </si>
  <si>
    <t>A #MemorialDay message from @NYPDChiefofDept &amp;amp; other NYPD members https://t.co/K6edGn0jQf</t>
  </si>
  <si>
    <t>Let’s take a moment to remember why we celebrate #MemorialDay https://t.co/DESvy8Tr3k https://t.co/5jZjlCTw3q</t>
  </si>
  <si>
    <t>Don’t let the rain ruin your plans. There’s still fun #FleetWeekNYC activities planned today https://t.co/gJbWu6dXtq https://t.co/TQDtFKOmgM</t>
  </si>
  <si>
    <t>Great job by NYPD police officers because #ItsWhatWeDo https://t.co/yddDVnFm0M</t>
  </si>
  <si>
    <t>Two illegal guns taken off the streets of the #Bronx in two different incidents. Keeping NYC safe- #ItsWhatWeDo https://t.co/NpSQYz98Xw</t>
  </si>
  <si>
    <t>WANTED: M/B for mutiple robberies in #Queens. Call #800577TIPS with info. @NYPD109Pct @NYPD106Pct https://t.co/4RnTemLOeB</t>
  </si>
  <si>
    <t>UPDATE: Dorothy Curry, 55, arrested in the stabbing death of a F/48 from 5/28 in #Brooklyn</t>
  </si>
  <si>
    <t>Great opportunity for the @NYPD109Pct to meet new friends at the College Pt #Queens Memorial Day Parade https://t.co/EaKKCNvt7a</t>
  </si>
  <si>
    <t>Learn more about the NYPD Explorers program here: https://t.co/DUWTgOdL2Z https://t.co/OsQReL7ULJ</t>
  </si>
  <si>
    <t>RT @NYPD104Pct: Happy to see such a large turnout for todays #MemorialDay Parade in #Maspeth https://t.co/QOQHfFMkn7</t>
  </si>
  <si>
    <t>RT @NYPD94Pct: Thanks to all who came to cheer for our service men and women. It was a great turnout on this beautiful day. https://t.co/yg…</t>
  </si>
  <si>
    <t>Let's remember what #MemorialDay weekend is all about. Full list of parades: https://t.co/xDKkpk7iRQ #FleetWeekNYC https://t.co/SuL2bgaQQy</t>
  </si>
  <si>
    <t>WANTED: 4 suspects for assault/stabbing of a M/23 at Franklin Ave/Prospect Pl #Brooklyn 9pm 5/24. Call #800577TIPS https://t.co/u0z7slExvt</t>
  </si>
  <si>
    <t>Going out this #MemorialDayWeekend &amp;amp; having a drink? Be safe, don’t drink &amp;amp; drive. Remember we’ll be out too! https://t.co/CPz9JT6Mb9</t>
  </si>
  <si>
    <t>RT @NYPDSpecialops: NOW: #ArmyCorpsofEngineers secure the plane wreckage and #Harbor #SCUBA provide an escort for further investigation htt…</t>
  </si>
  <si>
    <t>Becoming An @NYPDauxiliary Officer https://t.co/n8PuLYcVFS https://t.co/Mu1ozl62Lp</t>
  </si>
  <si>
    <t>RT @FDNY: Using your grill for the first time after winter storage? Be #FDNYSmart w/ these safety tips https://t.co/icW1alWUqU https://t.co…</t>
  </si>
  <si>
    <t>In NYC this weekend? Plan ahead &amp;amp; enjoy with the NYPD Traffic Advisory: https://t.co/rGACHgEAC8 https://t.co/YU5jv8FZgC</t>
  </si>
  <si>
    <t>WANTED: for burglary of a store at 154 E.70St #Manhattan at 10:40pm 4/18. Call #800577TIPS https://t.co/b7eoIO1i1g</t>
  </si>
  <si>
    <t>Just about this time yesterday when most were asleep NYPD cops made #StatenIsland &amp;amp; all of NYC even safer. https://t.co/Lg3FPYfafO</t>
  </si>
  <si>
    <t>UPDATE: Information on small plane going into the Hudson River near West 79 Street, Manhattan: https://t.co/TXz9O9mDH8</t>
  </si>
  <si>
    <t>NYPD &amp;amp; @FDNY joint operation ongoing in response to a small plane landing in the Hudson River near 79 St https://t.co/HEbhbbMjX8</t>
  </si>
  <si>
    <t>Elite Training For NYPD Patrol Officers Keeps Cops &amp;amp; Community Safe https://t.co/3kbuYhjVPq https://t.co/GcInxBGqAq</t>
  </si>
  <si>
    <t>#MemorialDayWeekend is here! Remember to drive safe. If you’re behind the wheel stay sober. https://t.co/CPz9JT6Mb9</t>
  </si>
  <si>
    <t>RT @NYPDTransit: BUSTED, 26 yrs later-Officer Roca stopped a farebeater &amp;amp; discovered he was wanted in Mass. for an Att Murder in 1990 https…</t>
  </si>
  <si>
    <t>RT @CommissBratton: A great presentation by the NYPD on crisis communication training at today's PERF Conf. https://t.co/LK1FnLU04X https:/…</t>
  </si>
  <si>
    <t>Great teamwork to connect with the public &amp;amp; share info https://t.co/EQbDxSG5cB</t>
  </si>
  <si>
    <t>NYPD Cops &amp;amp; Partners Take Down Gang On Staten Island https://t.co/RMLsFGKekJ https://t.co/Lg3FPYwLEo</t>
  </si>
  <si>
    <t>#HappeningNow: The NYPD sharing with PERF/law enforcement partners their crisis communication skills. https://t.co/yupWyPOcdi</t>
  </si>
  <si>
    <t>Constantly protecting the people of NYC- #ItsWhatWeDo https://t.co/sklISiapF9</t>
  </si>
  <si>
    <t>WANTED: 2 suspects for attempted rape &amp;amp; assault of F/25 near Ocean Ave/Tennis Court at 2am 5/25. Call #800577TIPS https://t.co/Bb7FFg45BP</t>
  </si>
  <si>
    <t>Here’s @NYPD61Pct cops welcoming some of our troops to NYC. Get more #FleetWeekNYC info: https://t.co/FW2rmHunWp https://t.co/BgrQQ1p9mi</t>
  </si>
  <si>
    <t>WANTED: Brett Bernstein for forcible touching in 3 incidents, recently a F/14. have info? Call #800577TIPS https://t.co/cBvbn9iAIK</t>
  </si>
  <si>
    <t>"NYPD's Neighborhood Policing initiative is based on building trust with community," @CommissBratton on @Morning_Joe https://t.co/elouUWYRxO</t>
  </si>
  <si>
    <t>"Great info &amp;amp; idea sharing at this week's conference...today will be a presentation on de-escalation," @CommissBratton now on @Morning_Joe</t>
  </si>
  <si>
    <t>.@CommissBratton &amp;amp; @CWexlerPERF now on @Morning_Joe speaking about Chiefs Conference being held in NYC. https://t.co/nSRDnGvNTD</t>
  </si>
  <si>
    <t>Coming up at 7:40am watch @CommissBratton on the @Morning_Joe Show. LIVE: https://t.co/avpW0SCSFJ https://t.co/LgG1KsW27P</t>
  </si>
  <si>
    <t>RT @CommissBratton: Tune in this morning at 7:40am as @CWexlerPERF &amp;amp; I stop by @Morning_Joe to discuss this week’s Chiefs Conf. WATCH: http…</t>
  </si>
  <si>
    <t>Keeping NYC safe- this illegal gun was taken off the streets of the #Bronx thanks to great work by @NYPD43Pct cops https://t.co/AHMxGMoxZJ</t>
  </si>
  <si>
    <t>Great police-community collaboration resulting in a clean neighborhood https://t.co/TnEgmRtI4r</t>
  </si>
  <si>
    <t>ARREST UPDATE: Roland Collins (A.K.A. Troy Ave), 33, charged with Attempted Murder &amp;amp; Criminal Possession of a Weapon https://t.co/pb7IbuwbK5</t>
  </si>
  <si>
    <t>WANTED: Info/witnesses regarding homicide at Irving Plaza in Manhattan. Call #800577TIPS. https://t.co/HuL0YszMK8 https://t.co/hto8W6M42D</t>
  </si>
  <si>
    <t>Our very own Chief of @NYPDTransit Joe Fox showing support for #RedNoseDay with one of our smallest biggest fans! https://t.co/q7PezAvbPU</t>
  </si>
  <si>
    <t>#SilverAlert: Joseph Pauyo, 81, last seen 11am 5/25 at 3457 Nostrand Ave #Brooklyn. If seen, call 911. https://t.co/KnItsmiTV9</t>
  </si>
  <si>
    <t>NYPD's Chief Delatorre speaking to police leaders about heroin use issues in NYC at today's PERF Conference https://t.co/Q46rBA41xv</t>
  </si>
  <si>
    <t>.@CommissBratton &amp;amp; other past recipients of the Gary Hayes Award present Burlington, VT Chief with this year's honor https://t.co/LNZMw2EpbP</t>
  </si>
  <si>
    <t>#HappeningNow NYPD leadership at the PERF town hall w/other national police leaders discussing important issues https://t.co/gdKgF38dKX</t>
  </si>
  <si>
    <t>RT @LenToddWOR: We have @CommissBratton with us LIVE right now. Listen: https://t.co/Fk5s3vGA1C #NYPD https://t.co/rL5PDlAsOJ</t>
  </si>
  <si>
    <t>Determined to keeping NYC safe: 3rd illegal gun taken off the streets by @NYPDPSA7 Anti-Crime in a week #Bronx https://t.co/XqPmAabATL</t>
  </si>
  <si>
    <t>Great proactive community engagement: “Cops &amp;amp; Coffee” in #StatenIsland by @NYPD122Pct cops https://t.co/iN1kGOMfng</t>
  </si>
  <si>
    <t>WANTED: M/B 20’s for forcibly touching a F/24 in Prospect Park #Brooklyn 2:40pm 5/25. Call #800577TIPS https://t.co/w4235Gr0kU</t>
  </si>
  <si>
    <t>#FleetWeekNYC is here &amp;amp; free events throughout NYC during the next few days. Get info here: https://t.co/rD2ggWCbzr https://t.co/PFe2Xe4ODZ</t>
  </si>
  <si>
    <t>UPDATE on shooting Wednesday night in Irving Plaza. https://t.co/HuL0YszMK8</t>
  </si>
  <si>
    <t>Listen now to @wcbs880 as @CommissBratton updates NYers on shooting in Irving Plaza and more.</t>
  </si>
  <si>
    <t>RT @CommissBratton: Tune in at 7:30am to @wcbs880 as I update New Yorkers on their NYPD.</t>
  </si>
  <si>
    <t>UPDATE: Of the 4 people shot earlier in 17 Irving Pl., 1 person is deceased. No arrests, investigation ongoing. More details when available</t>
  </si>
  <si>
    <t>UPDATE: Total of four people were shot at concert venue, 17 Irving Place, Manhattan. https://t.co/2NWCFgX72z</t>
  </si>
  <si>
    <t>Three people shot at 17 Irving Place in Manhattan. Scene safe at this time. Please stay clear of area. More details to follow.</t>
  </si>
  <si>
    <t>NYPD K9 Detective Helps Deliver Baby In Brooklyn https://t.co/Y0XpT0oW6M https://t.co/C1t40nEWye</t>
  </si>
  <si>
    <t>Tonight at 11 on @CBSNewYork get an inside look at @NYPDCT’s World Trade Center security with @mauriceduboistv https://t.co/JzFaeIFzqi</t>
  </si>
  <si>
    <t>Watch Tonight: @TimFleischer7 has an exclusive look at our @FleetWeekNYC  security measures https://t.co/Tax9jxdNvo https://t.co/QWJf4R7BRk</t>
  </si>
  <si>
    <t>Protecting “Brooklyn” &amp;amp; the people of #Brooklyn. #ItsWhatWeDo https://t.co/XlBcg8JcuE https://t.co/XgsxoKae3R</t>
  </si>
  <si>
    <t>WANTED: Male Hisp or Indian for attempted rape of F/21 in Brooklyn. Call #800577TIPS. MORE: https://t.co/4KVmyTTSFd https://t.co/dc1psJyOE4</t>
  </si>
  <si>
    <t>Dedicated cops in #Bushwick's @NYPD83Pct keeping the community safe. https://t.co/O9W5KHljaw</t>
  </si>
  <si>
    <t>List now to @am970TheAnswer as @CommissBratton speaks to @JohnGambling. https://t.co/POeds2uSZa</t>
  </si>
  <si>
    <t>Keeping the waterways around the City safe for #FleetWeekNYC with our partners in the @USCG https://t.co/OkqeNEnbdc</t>
  </si>
  <si>
    <t>Chuck Wexler sharing how PERF along w/Major Cities Chiefs &amp;amp; NEI are increasing info sharing among police departments https://t.co/96PERXwO62</t>
  </si>
  <si>
    <t>#HappeningNow: @CommissBratton joins Major Cities Chiefs &amp;amp; Police Exec Research Forum to brief media on today's Conf https://t.co/9YzQd6CtI7</t>
  </si>
  <si>
    <t>Neighborhood Coordination Officers now speaking to law enforcement leaders on how new @NYPDTECH helps them every day https://t.co/kc2nPcXmV4</t>
  </si>
  <si>
    <t>.@NYPDTECH speaking now to law enforcement leaders about the NYPD's technology advancements &amp;amp; innovations https://t.co/YrqCDtQNPV</t>
  </si>
  <si>
    <t>Read more about our neighborhood policing strategy that @BilldeBlasio is sharing w/police chiefs from across U.S. 
https://t.co/0GBJPpc23g</t>
  </si>
  <si>
    <t>"You have so much to be proud of." - Mayor @BilldeBlasio offering his thanks to police leaders gathered in NYC https://t.co/HaQ4p94QtZ</t>
  </si>
  <si>
    <t>.@CommissBratton welcomes 100's of police leaders from across U.S. at Major Cities Chiefs, NEI, PERF Conf in NYC https://t.co/cQZu8XNT95</t>
  </si>
  <si>
    <t>HappeningNow: Major Cities Chiefs, NEI &amp;amp; PERF holding their meeting in NYC w/police leaders from across the nation https://t.co/5Cw0834rKe</t>
  </si>
  <si>
    <t>WANTED: 2 males for armed robbery of a M/21 at 357 E.163 St #Bronx at 9pm 5/10. Call #800577TIPS with info. https://t.co/ITfNyvkUyE</t>
  </si>
  <si>
    <t>Saving kittens &amp;amp; taking illegal guns off the streets of NYC. All in one day- #ItsWhatWeDo https://t.co/tql7GuhW9O https://t.co/PoQfUgXF6m</t>
  </si>
  <si>
    <t>Looking forward to welcoming all of our U.S. Military for #FleetWeekNYC. https://t.co/RnIjcu2ZEr</t>
  </si>
  <si>
    <t>Primo has had no time for a summer cut. @NYPDSpecialops has been pretty busy protecting NYC https://t.co/Yf00hn8pbL https://t.co/vJKLTsdy0R</t>
  </si>
  <si>
    <t>#ICYMI: @CommissBratton spoke to @BrianLehrer today about quality of life offenses, NYC’s record low crime &amp;amp; more https://t.co/xk9fIYjtKu</t>
  </si>
  <si>
    <t>Bronx Man Charged In Manhattan Federal Court With Attempting To Provide Material Support To Isil https://t.co/TlWYq66liI</t>
  </si>
  <si>
    <t>Rescued by NYPD &amp;amp; @ASPCA, Arnold is now ready to be adopted https://t.co/LZR6jywb0j https://t.co/v0A2rD1kCb</t>
  </si>
  <si>
    <t>MISSING: Madison Gordon, 10 yrs old, last seen on Home St #Bronx, Monday 9:30pm https://t.co/5boMv8xSxy #800577TIPS https://t.co/TUYhNj1jjk</t>
  </si>
  <si>
    <t>RT @CommissBratton: Spoke to @BrianLehrer today on NYC's record low crime, quality of life offenses &amp;amp; this week's Chiefs conf. Listen: http…</t>
  </si>
  <si>
    <t>"We're in the process of issuing all of our cops overdose antidote...many successful saves by cops," @CommissBratton on heroin use in NYC</t>
  </si>
  <si>
    <t>"We have a major Neighborhood Policing initiative in NYC to increase trust with the community," @CommissBratton on @BrianLehrer Show</t>
  </si>
  <si>
    <t>"What we fought for &amp;amp; were able to preserve is that these offenses are not decriminalized," @CommissBratton now on @BrianLehrer</t>
  </si>
  <si>
    <t>.@CommissBratton speaking to change of penalties for some quality of life offenses. Listen now to @BrianLehrer https://t.co/G0nqph8CM3</t>
  </si>
  <si>
    <t>"NYPD will hosting ~70 police execs from around country this week to discuss policing," @CommissBratton on PERF &amp;amp; Major Cities Chiefs Conf</t>
  </si>
  <si>
    <t>"We're projecting that 2016 will have the lowest crime rate in NYC history," says @CommissBratton now w/@BrianLehrer https://t.co/G0nqph8CM3</t>
  </si>
  <si>
    <t>Listen live now as @CommissBratton speaks on the @BrianLehrer Show. https://t.co/G0nqph8CM3</t>
  </si>
  <si>
    <t>"One of the things that we practice in the precinct is quality arrests.”- @NYPD62Pct: https://t.co/PiVwFbqwI2 https://t.co/LnlUJMAm9A</t>
  </si>
  <si>
    <t>NYPD Will Expand Neighborhood Policing Program To 40 Precincts https://t.co/vic6CYZ0Ei https://t.co/8robg5faag https://t.co/gWdi1ZaYm5</t>
  </si>
  <si>
    <t>WANTED: Jeffrey Mahon, 49, for sex abuse of a F/23 near 1932 Bway, Manhattan. Call #800577TIPS. https://t.co/iHZZF18BLk</t>
  </si>
  <si>
    <t>WANTED: Male for attempting to rape a 26y/o woman near Harman St &amp;amp; Seneca Ave Queens. Call #800577TIPS. @NYPD104Pct https://t.co/kri9mSB4sN</t>
  </si>
  <si>
    <t>NYPD cops &amp;amp; @bftfnyc coming together with community for a great cause. https://t.co/gg2RqTuh2A</t>
  </si>
  <si>
    <t>WANTED: Male 30's for public lewdness on the A train in Queens. Call #800577TIPS. https://t.co/3LaMJjB4HB https://t.co/Rr13goLFMk</t>
  </si>
  <si>
    <t>RT @NYPDSpecialops: #Aviation @WestPoint_USMA @USArmy #BlackKnights conduct a practice jump for yesterdays #FunCityBowl @FDNY @one_bell htt…</t>
  </si>
  <si>
    <t>RT @NYPDPaws: Dogs can get heatstroke or die within 15 minutes of being left in a hot car! Dont kill ur bestfriend @ASPCA @NYCACC https://t…</t>
  </si>
  <si>
    <t>.@NYPDTransit is home to one of the five NYPD canine units. Learn how they protect NYC's subways: https://t.co/7PS9GzMW2d Via: @EpochTimes</t>
  </si>
  <si>
    <t>Join us in sending thoughts &amp;amp; prayers to @AuburnMAPolice &amp;amp; family of Officer Ron Tarentino Jr. We will #NeverForget https://t.co/9N4VhmoN24</t>
  </si>
  <si>
    <t>RT @CommissBratton: The NYPD's new precision policing is built on 5 T's: Trust, Training, Technology, Taking on Terror &amp;amp; Tackling Crime: ht…</t>
  </si>
  <si>
    <t>.@CommissBratton's testimony before the @NYCCouncil Public Safety &amp;amp; Finance Committees: https://t.co/pJzFAxBPzp</t>
  </si>
  <si>
    <t>Watch now as @CommissBratton &amp;amp; NYPD leadership testify before @NYCCouncil's Committee on Finance &amp;amp; Public Safety https://t.co/FMEuCUNqZR</t>
  </si>
  <si>
    <t>THE NYPD works on weekends. Have a look at some of the great work done this past weekend: https://t.co/ABQSOyGl47 https://t.co/WJ8GXxp59R</t>
  </si>
  <si>
    <t>WANTED: M/H for forcibly touching a F/46 inside store at Roosevelt Ave/74 St #Queens 4am 5/17. Call #800577TIPS https://t.co/eNuSMhEQo8</t>
  </si>
  <si>
    <t>#ICYMI: the NYPD defeated @FDNY in the #FunCityBowl. Thanks to all who supported both teams. Check this video out: https://t.co/LLeYd8TQB4</t>
  </si>
  <si>
    <t>WANTED: 2 M/B’s for armed robbery of M/46 at 2552 Pitkin Ave #Brooklyn 3am 5/16. Call #800577TIPS. https://t.co/vC65DIHPAW</t>
  </si>
  <si>
    <t>TOUCHDOWN! The #NYPD scores vs @FDNY during the #FunCityBowl https://t.co/geXJ2jvhHU</t>
  </si>
  <si>
    <t>Let's play some football! @FinestFootball takes on @FDNY today in the #FunCityBowl. Retweet to cheer on NYPD https://t.co/y4WeKY3Jn2</t>
  </si>
  <si>
    <t>.@NYPDPSA4 Officers Suarez &amp;amp; Mancuso + thousands of others are currently running in our #NYPD Memorial 5K. https://t.co/CREKY9uCtw</t>
  </si>
  <si>
    <t>Ready? Our NYPD Memorial 5K is about to start! #NeverForget https://t.co/GWC22g04TH</t>
  </si>
  <si>
    <t>#HappeningNow Thousands gather for a moment of silence prior to running in our annual NYPD Memorial 5K #NeverForget https://t.co/sV0g3AkJRE</t>
  </si>
  <si>
    <t>The Major Cities Chiefs Conf to be hosted this week in NYC consists of police execs discussing crime, counterterrorism &amp;amp; police policy.</t>
  </si>
  <si>
    <t>"We're expecting to have the safest year in recorded history in NYC in 2016," @CommissBratton on @CatsRoundtable https://t.co/POeds2uSZa</t>
  </si>
  <si>
    <t>"I'll be hosting the Major Cities Chiefs Conf this week in NYC," @CommissBratton now on @am970TheAnswer LISTEN: https://t.co/POeds2uSZa</t>
  </si>
  <si>
    <t>Now on @am970TheAnswer, @CommissBratton updates NYC on the past week in the NYPD &amp;amp; what’s happening next week. LIVE: https://t.co/POeds2uSZa</t>
  </si>
  <si>
    <t>Spending Sunday in NYC? Have a look at the NYPD Traffic Advisory: https://t.co/Xj1eSUhSSv https://t.co/VhzKYi5oak</t>
  </si>
  <si>
    <t>RT @CommissBratton: A wonderful tribute today to our fallen hero, Det. Brian Moore. A continuation of our commitment to #NeverForget. https…</t>
  </si>
  <si>
    <t>There’s still time to get tix to Sunday’s Fun City Bowl. Watch @FinestFootball take on @FDNY for a great cause. Info https://t.co/r4txC2dfJN</t>
  </si>
  <si>
    <t>RT @NYPD105Pct: Incredible turnout for the    #DetBrianMoore statue dedication in @oysterbayny. Thank you all 4 your remembrance. https://t…</t>
  </si>
  <si>
    <t>RT @NYPDPSA2: Great time had by all @NYPDPSA2 "STOP GUN VIOLENCE BIKE TOUR" Thanks to all our partners! https://t.co/9CXgT2fDHc</t>
  </si>
  <si>
    <t>#ICYMI: Cops accros NYC connected with kids in @NYCSchools for #TeamUpTuesday MORE: https://t.co/4HM5jubdNg https://t.co/GqEvz7VF6J</t>
  </si>
  <si>
    <t>WANTED: Male, 40's, for bank robberies in Midtown Manhattan. Call #800577TIPS. https://t.co/yhdTmkqRew @NYPDMTS https://t.co/apddeKuO8b</t>
  </si>
  <si>
    <t>Meet @NYPD73Pct Neighborhood Coordination Officer Grid Troci https://t.co/TmTVGNaLXd https://t.co/JxPh6UAlCX</t>
  </si>
  <si>
    <t>Dance parades to memorial runs, if you’re in NYC today have a look at our Traffic Advisory https://t.co/Xj1eSUhSSv https://t.co/VhzKYi5oak</t>
  </si>
  <si>
    <t>Sunday, Sunday, Sunday! Come out for the Fun City Bowl, @FinestFootball vs @FDNY. Great fun for a great cause. https://t.co/yzludaesmU</t>
  </si>
  <si>
    <t>Set your DVR Saturday 6am for a repeat of Line of Fire. Stories of Medal of Valor including NYPD Officer Pichardo https://t.co/cT260QGxU0</t>
  </si>
  <si>
    <t>"It's part of my job to save lives," said Officer Newman after giving overdose antidote. https://t.co/s0QE12njZY https://t.co/QQrvEqrL5y</t>
  </si>
  <si>
    <t>.@NYPDSpecialops help rescue workers from scaffolding high above Lexington Ave. in #EastHarlem earlier today https://t.co/G3cSXqfC0Z</t>
  </si>
  <si>
    <t>NYPD Honored With National Officer Safety And Officer Wellness Award https://t.co/UWqwVwShNo https://t.co/8ysLcJ4Hb7</t>
  </si>
  <si>
    <t>RT @NYPDCentralPark: #TGIF from #CentralPark @GMA @ArianaGrande #ArianaOnGMA #GoodMorningAmerica #DangerousWoman #SummerConcertSeries https…</t>
  </si>
  <si>
    <t>RT @CommissBratton: Accurate, timely info &amp;amp; relentless follow-up -- NYPD CompStat helping keep NYC safe. A great way to start the AM. https…</t>
  </si>
  <si>
    <t>Dedicated cops going harm's way working hard to keep the community they serve safe - #ItsWhatWeDo  https://t.co/C12hAkaOiD</t>
  </si>
  <si>
    <t>WANTED: Male, 18, 5'8" 150lbs for sex abuse of a F/26 near University Ave/W. 197 St. Bronx. Call #800577TIPS https://t.co/Mpbd8IHgk7</t>
  </si>
  <si>
    <t>WANTED: Male 30's 5'9" for forcibly touching a 23y/o woman at Jamaica Cntr subway, Queens. Call #800577TIPS. https://t.co/HfiKuIw9tW</t>
  </si>
  <si>
    <t>Tune in at 7am as Deputy Commissioner of Intel &amp;amp; @NYPDCT John Miller stops by @CBSThisMorning.</t>
  </si>
  <si>
    <t>NYPD Rescues Ampere, Now Ready To Be Adopted At The @ASPCA https://t.co/7SFC3hE2Qx Via @amNewYork https://t.co/aFSKIFLZy4</t>
  </si>
  <si>
    <t>#ICYMI: @CommissBratton spoke to @JohnGambling today on @am970TheAnswer https://t.co/SC6PkRaOSl</t>
  </si>
  <si>
    <t>RT @NYPDTransit: Sharp eyes and quick action by our District 20 team nabs a sex offender on the 7 train. https://t.co/BmzlIbaPBI</t>
  </si>
  <si>
    <t>Listen live now as @CommissBratton speaks to @JohnGambling on @am970TheAnswer https://t.co/POeds2uSZa</t>
  </si>
  <si>
    <t>RT @CommissBratton: Well deserved recognition for all involved in NYPD's reengineering. Thanks @NLEOMF &amp;amp; @DOJBJA https://t.co/sxXjA4xdVe ht…</t>
  </si>
  <si>
    <t>Sunday, Sunday, Sunday! Come out for the Fun City Bowl, @FinestFootball vs @FDNY. Great fun for a great cause. https://t.co/yzludaw3Lu</t>
  </si>
  <si>
    <t>Cops &amp;amp; community working together, keeping NYC safe &amp;amp; looking great. You can help (VIDEO): https://t.co/JIAo4VhKqd https://t.co/usB5MAfoWs</t>
  </si>
  <si>
    <t>WANTED: Male 30, 5’9”, 200lbs for public lewdness incidents in Bronx subways. Call #800577TIPS w/info. @NYPDTransit https://t.co/mKhclVnq59</t>
  </si>
  <si>
    <t>Off-Duty NYPD Detective Arrests Purse Snatcher https://t.co/lfEvvFJdHL @NYPDSpecialops https://t.co/1idAkPNadG</t>
  </si>
  <si>
    <t>RT @NYPDTransit: Also: Trentacosta, Harrigan &amp;amp; our TB Response team catch man taking phone from sleeping rider- Great proactive work! https…</t>
  </si>
  <si>
    <t>Dep. Commissioner Miller explaining Operation Tour de Force, investigating/arresting ticket scammers in Battery Park https://t.co/eF4sJGNRpa</t>
  </si>
  <si>
    <t>After the suspect charged officers with a knife in his hand, officers fired a total of nine times. https://t.co/mtRLFBs8TC</t>
  </si>
  <si>
    <t>.@NYPDDetectives updating NYers now on police involved shooting in Manhattan this morning. https://t.co/lV9Mh23T37</t>
  </si>
  <si>
    <t>"We will continue to stand up for the rights of ALL citizens," @CommissBratton says about community relations &amp;amp; NYPD pre-Ramadan Conf.</t>
  </si>
  <si>
    <t>#HappeningNow: @CommissBratton briefing media on the NYPD's pre-Ramadan Conf. &amp;amp; other breaking topics in NYC https://t.co/4FuXauQmWA</t>
  </si>
  <si>
    <t>Now in HQ, @CommissBratton welcomes community partners for the NYPD's annual pre-Ramadan Conference. https://t.co/xQsNTxDd4C</t>
  </si>
  <si>
    <t>The male suspect was pronounced deceased. A bystander &amp;amp; officer were taken to a local hospital, minor injuries. More info when available</t>
  </si>
  <si>
    <t>Officers ordered the suspect to drop the knife but he continued to approach them with the knife in his hand. Officers then fired at suspect</t>
  </si>
  <si>
    <t>The suspect struggled with an officer, falling to the ground. As the suspect got back up he displayed a knife https://t.co/PmuS9l5zS1</t>
  </si>
  <si>
    <t>8:20am a male suspect entered a  grocery store at 49th St &amp;amp; 8th Ave. &amp;amp; became belligerent to workers. Cops were alerted &amp;amp; confronted the man</t>
  </si>
  <si>
    <t>#HappeningNow: @NYPDChiefofDept updating NYers on this morning's shooting in Manhattan https://t.co/rkZZlG9eko</t>
  </si>
  <si>
    <t>There has been a police involved shooting near 49th Street &amp;amp; 8th Avenue in Manhattan. More details to follow.</t>
  </si>
  <si>
    <t>Congrats to our newest @NYPDauxiliary officers! Working together to keep NYC safe. Thank you for volunteering. https://t.co/qlaoHdkPJN</t>
  </si>
  <si>
    <t>Dedicated cops in the Bronx protecting the community they serve https://t.co/8vMs81d3ll</t>
  </si>
  <si>
    <t>WANTED: 4 males for armed home invasion robbery at 26 Madison St, Manhattan. Call #800577TIPS w/info. @NYPD5Pct https://t.co/F3GUEuolM1</t>
  </si>
  <si>
    <t>ARREST: Washington Dominguez, 64, charged with burglary regarding theft from Saint Spyridon Greek Orthodox Church, in #WaHi.</t>
  </si>
  <si>
    <t>UPDATE: Both individuals have been found safe https://t.co/lP5Yeu6JPa</t>
  </si>
  <si>
    <t>Help locate 3y/o Gabriella &amp;amp; Fatima Alexander, 55, last seen 41 River Terr, Man. #800577TIPS https://t.co/lMF2k0CZKo https://t.co/CsacwTi56u</t>
  </si>
  <si>
    <t>NYPD cops, always on-duty &amp;amp; always ready help -- #ItsWhatWeDo https://t.co/wP2p1eHbKq</t>
  </si>
  <si>
    <t>We definitely CRUSHED it today! Missed it? Watch here: https://t.co/qTg7NqBDOJ
And don’t forget, #UseItAndLoseIt https://t.co/uIM1pOwNaV</t>
  </si>
  <si>
    <t>Part of keeping NYC safe is sharing info. Here’s the @NYPD5Pct sharing tips on spiritual blessing scams. https://t.co/qhIfDqpdME</t>
  </si>
  <si>
    <t>Cops &amp;amp; Kids Connecting Across NYC For #TeamUpTuesday https://t.co/qXo55Z4kHv https://t.co/xIbDmmXXJs</t>
  </si>
  <si>
    <t>Coming up at 7pm, @CommissBratton sits down with @errollouis on @InsideCityHall to update NYers. Tune in!</t>
  </si>
  <si>
    <t>Cleaning up the #Bronx with help from our volunteers https://t.co/xI2rBZMYwh</t>
  </si>
  <si>
    <t>RT @NYPDCommAffairs: Visited  my 4th grade class rm 222 @ PS203  #myfavteacher Mrs. Sylvia Crystal. Shout out to your #myfavteacher https:/…</t>
  </si>
  <si>
    <t>"These bikes &amp;amp; riders are a menace &amp;amp; I would, without a doubt, say we CRUSHED it," @CommissBratton #UseItAndLoseIt https://t.co/x3a8OYmfBO</t>
  </si>
  <si>
    <t>"We receive numerous complaints about these illegal, dangerous bikes from our community partners," Chief Gomez says https://t.co/HFFbCSBOIA</t>
  </si>
  <si>
    <t>Seizures of illegal motorcycles &amp;amp; ATVs are up 96% in NYC this year. Watch the CRUSH here: https://t.co/qTg7NqBDOJ #UseItAndLoseIt</t>
  </si>
  <si>
    <t>.@CommissBratton NOW talking about the illegal motor bikes the NYPD just crushed. #UseItAndLoseIt https://t.co/wCpiyihsGt</t>
  </si>
  <si>
    <t>HappeningNow: NYPD using bulldozers to crush seized illegal dirt bikes &amp;amp; ATVs! Watch LIVE on our @facebook https://t.co/FbCFhrXiSv</t>
  </si>
  <si>
    <t>Watch us LIVE on @facebook at 1pm as the NYPD crushes seized illegal motor bikes. That’s right, #UseItAndLoseIt! https://t.co/hARU8D2EHr</t>
  </si>
  <si>
    <t>.@CommissBratton &amp;amp; @NYCSchools Carmen Farina swearing in a few 5th grade NYPD deputies at PS 112 for Team Up Tuesday https://t.co/QGoF5zaaWP</t>
  </si>
  <si>
    <t>.@CommissBratton &amp;amp; @NYCSchools Carmen Farina (&amp;amp; @MeCookieMonster!) reading Ferdinand to 1st graders at PS 112 now https://t.co/2kCHJSYIu8</t>
  </si>
  <si>
    <t>This is what we call great teamwork to clean up the neighborhood  https://t.co/CNhi4ybC6n</t>
  </si>
  <si>
    <t>Great police-community interaction (&amp;amp; slam dunks!) going on in Rockaway, Queens @NYPD100Pct https://t.co/4Bp7Nws6uQ</t>
  </si>
  <si>
    <t>Great police work by @NYPD123Pct officers led to an arrest of a woman for 2 knife-point robberies in #StatenIsland https://t.co/JasMX2CTGo</t>
  </si>
  <si>
    <t>WANTED: 2 M/B’s for robbery of M/23 taking wallet, cash + more near Troy/Church Aves on 4/22. Call #800577TIPS https://t.co/wKQhpxSIse</t>
  </si>
  <si>
    <t>WANTED: Alberto Aquino, 19, for a stabbing homicide near 363 E. 151 St, BX. Call #800577TIPS w/info. @NYPD40Pct https://t.co/uXi6tKjql6</t>
  </si>
  <si>
    <t>"NYC police officers are some of the best in the world &amp;amp; I have nothing but the highest praise for them," @CommissBratton on @1010WINS</t>
  </si>
  <si>
    <t>Listen now as @CommissBratton speaks on @1010WINS to update NYers</t>
  </si>
  <si>
    <t>RT @CommissBratton: Tune in at 7:10am as I speak to @1010WINS to update NYers about the NYPD.</t>
  </si>
  <si>
    <t>Great work! Learn more about the Explorers program https://t.co/DUWTgOdL2Z https://t.co/zchPfoiAVY</t>
  </si>
  <si>
    <t>Still tix available! Come out 5/22 &amp;amp; watch @FinestFootball vs @FDNY in the #FunCityBowl https://t.co/tZ5gmfBDfD https://t.co/GzfFhsd5q9</t>
  </si>
  <si>
    <t>WANTED: 2 males for armed robbery of man &amp;amp; woman in 1711 Morris Ave BX. Call #800577TIPS https://t.co/NjIe40NeGN https://t.co/8xPSMvwt3j</t>
  </si>
  <si>
    <t>"I'm not going anywhere for a while," -@CommissBratton NOW on @wcbs880 regarding SBA president's recent comments</t>
  </si>
  <si>
    <t>RT @GMA: WATCH: Blue blood runs in the Holmes family, rebuilding community and leaving a legacy with the NYPD. https://t.co/2oP5MzyPBH</t>
  </si>
  <si>
    <t>WANTED: M/W20’s for criminal sex act on F/27 on F train at Neptune Ave stop, 2am 5/12.
Call #800577TIPS https://t.co/10aSl0xfOU</t>
  </si>
  <si>
    <t>TODAY: Learn about our Auxiliary program at 120-55 Qns Blvd 6-7pm. https://t.co/bZdwoX69dj @NYPDauxiliary</t>
  </si>
  <si>
    <t>Good morning NYC. Have a fun &amp;amp; safe week. Photo via @NYPD33Pct https://t.co/RY2AmxNji4</t>
  </si>
  <si>
    <t>ICYMI: NYPD officers along w/ @FDNY &amp;amp; others trained together yesterday to keep NYC safe https://t.co/qohRwDJ0ci https://t.co/OUaX8AqrMv</t>
  </si>
  <si>
    <t>It’s a family affair w/the Holmes sisters. Watch as they tell their NYPD story to @RobinRoberts on @GMA today at 8am https://t.co/iISfD6vdWw</t>
  </si>
  <si>
    <t>The Holmes sisters rose through the ranks of the NYPD. Watch Monday 8am as they speak to @RobinRoberts on @GMA https://t.co/fzwqccxZVF</t>
  </si>
  <si>
    <t>Thanks to San Diego Sheriff’s Department for stopping by to honor our officers lost in the line of duty. https://t.co/sp3zIS3Zgd</t>
  </si>
  <si>
    <t>Tonight 9/8C on @DiscoveryID watch as NYPD Officer Juan Pichardo tells his story of heroics on In The Line Of Fire https://t.co/JkKzZeT5zi</t>
  </si>
  <si>
    <t>NYPD &amp;amp; Partner Agencies Hold Active Shooter Drill In Brooklyn https://t.co/4bjBOqOwBr https://t.co/cnmwG3QxrA</t>
  </si>
  <si>
    <t>The training today involved multiple agencies working as teams to rescue individuals &amp;amp; stop any threat. https://t.co/nOEz81gHtN</t>
  </si>
  <si>
    <t>"Today's training tests the NYPD's new technology &amp;amp; units &amp;amp; the seamless collaboration with our partners," says @CommissBratton</t>
  </si>
  <si>
    <t>#HappeningNow: @CommissBratton, @FDNY &amp;amp; @nycoem briefing media on today's active shooter training. https://t.co/FbfZGFLJ5C</t>
  </si>
  <si>
    <t>Training with our partner agencies today in Brooklyn to ensure we're always prepared - #ItsWhatWeDo https://t.co/S6vAPyHrZz</t>
  </si>
  <si>
    <t>These are the men &amp;amp; women that protect NYC. 
Training today with our partner agencies so you can rest easy. https://t.co/jGrZsawmB4</t>
  </si>
  <si>
    <t>Just a drill! But NYPD &amp;amp; our partners training now in Brooklyn to continue protecting NYC. https://t.co/qYtdddBhbS</t>
  </si>
  <si>
    <t>An early morning training today in Brooklyn w/@NYPDCT, @NYPDSpecialops &amp;amp; our partners to continue keeping NYC safe https://t.co/D8D6tJKIlK</t>
  </si>
  <si>
    <t>We’ll be training today to continue keeping NYC safe. 6AM-11AM Kingsborough Community College, expect to see 1st responders &amp;amp; aviation</t>
  </si>
  <si>
    <t>Share information- NOT your name. Get a reward AND keep your neighborhood safe. #WinWin #800577TIPS https://t.co/uZPJhp1NXu</t>
  </si>
  <si>
    <t>Thanks to @EmeraldNYPD for the Pipes &amp;amp; Drums &amp;amp; @RcklandBoulders for the hospitality. Let's play some @NYPDBaseball! https://t.co/eAqSdAxcKW</t>
  </si>
  <si>
    <t>Waiting out the rain, but @NYPDBaseball is ready to win tonight against @RcklandBoulders. RETWEET to cheer them on! https://t.co/kGfn2B4lTV</t>
  </si>
  <si>
    <t>Meet the @NYPDBaseball team, getting ready to play the @RcklandBoulders tonight at 6:30. Stay tuned for the score! https://t.co/rw1pdh609Q</t>
  </si>
  <si>
    <t>Honoring &amp;amp; Remembering – National #PoliceWeek 2016 https://t.co/SP4XDhHesG #NPW2016 https://t.co/w5FMZY9uK9</t>
  </si>
  <si>
    <t>Here's just one example of the NYPD's dedication to working with NY'ers to keep our city safe https://t.co/wtQnGAYqBl</t>
  </si>
  <si>
    <t>This is what we mean when we say NYPD is busy protecting #Brooklyn &amp;amp; NYC https://t.co/kwuK8k0SXY</t>
  </si>
  <si>
    <t>"No police family wants to get a knock at the door at 5am from the police chaplain" Dep Commissioner Byrne w/@greta https://t.co/Yd9liXwUex</t>
  </si>
  <si>
    <t>Teamwork: @NYPD67Pct &amp;amp; @NYPDSpecialops made arrests &amp;amp; took these loaded guns taken off the streets of #Brooklyn https://t.co/GIEEfmWMBK</t>
  </si>
  <si>
    <t>Saving lives, #ItsWhatWeDo: @NYPD62Pct cops used narcan to save a teen's life in a locked #Brooklyn public bathroom. https://t.co/tTCclx340O</t>
  </si>
  <si>
    <t>Join us in lighting a candle in honor of fallen officers this #NPW2016. LIVE NOW: https://t.co/56NYogfSiz @NLEOMF https://t.co/gzy3tbgiHo</t>
  </si>
  <si>
    <t>NYPD honoring officers from across the nation who made the ultimate sacrifice. #NeverForget #NPW2016 #PoliceWeek https://t.co/KMsbYHQp4y</t>
  </si>
  <si>
    <t>Watch @FoxNews live at 7:10pm as NYPD Dep. Commissioner Byrne joins @greta at #PoliceWeek in DC where 1000’s honor fallen officers. #NPW2016</t>
  </si>
  <si>
    <t>Spending the weekend in NYC? Enjoy &amp;amp; plan ahead with the NYPD's Traffic Advisory: https://t.co/n1ykOamxLS https://t.co/JOytigWY6q</t>
  </si>
  <si>
    <t>Statement On The Death Of Inspector Michael Ameri https://t.co/vew8Mk272z</t>
  </si>
  <si>
    <t>#SilverAlert: Joseph McWalters, 64, last seen 19 W 100 St. Man. Call 911 if seen, #800577TIPS w/info. @NYPD24Pct https://t.co/2nXN0yEv7l</t>
  </si>
  <si>
    <t>RT @NYPD10Pct: So very proud to welcome the newest @NYPD10Pct officers. Working together to make #Chelsea safer! https://t.co/LYHf9Vxe2b</t>
  </si>
  <si>
    <t>Sharing information, building trust... &amp;amp; sharing a smile- #ItsWhatWeDo https://t.co/1bXwFxpy4F</t>
  </si>
  <si>
    <t>Proactive outreach to share info &amp;amp; build trust: @NYPD43Pct cops raising awareness of domestic violence issues +more https://t.co/MdLtHzC2yU</t>
  </si>
  <si>
    <t>Protectors of NYC: @NYPD49Pct cops made an arrest &amp;amp; took this loaded gun off the streets of the #Bronx https://t.co/r1o3r6pMB9</t>
  </si>
  <si>
    <t>Organized Crime family members arrested, charged with Murder Conspiracy, Attempted Murder https://t.co/BLA0oD0qdW https://t.co/9MFGoM74yD</t>
  </si>
  <si>
    <t>UPDATE: 4 males, ages 11-14, have been arrested in connection to this school bus arso @NYPD71Pct https://t.co/OSj2rzqqZk</t>
  </si>
  <si>
    <t>RT @NYPDDetectives: #Wanted for 2 Bank Robberies in #Manhattan. Any info call #800577TIPS https://t.co/A5MvCgKbrP</t>
  </si>
  <si>
    <t>RT @CommissBratton: A day of honoring &amp;amp; remembering at the National Law Enforcement Officers Memorial in D.C. https://t.co/nC78zuvHbX https…</t>
  </si>
  <si>
    <t>Share information- NOT your name. Get a reward AND keep your neighborhood safe. #WinWin #800577TIPS https://t.co/kTYmaW8poE</t>
  </si>
  <si>
    <t>5/15 on @DiscoveryID, In The Line Of Fire will honor 3 heroic officers during #NPW2016. Watch at 8pm as @rikkijklieman hears their stories.</t>
  </si>
  <si>
    <t>NYPD School Safety Agents Honored For Creating ‘Havens For Students’ https://t.co/TnMIyYlCb6 https://t.co/mLzaUqeWn9</t>
  </si>
  <si>
    <t>"If you're a violent offender we know who you are &amp;amp; we will arrest you," says @NYPDChiefofDept James O'Neill https://t.co/8DvIzzhiGs</t>
  </si>
  <si>
    <t>In addition to these operations we also proactively engage people to encourage them to stop. (Operation Ceasefire) https://t.co/N9fYd6t5a1</t>
  </si>
  <si>
    <t>These operations have resulted in NYC having the lowest shooting numbers to date in four decades https://t.co/lz7ef9EQjY</t>
  </si>
  <si>
    <t>7 NYPD police operations in one month resulted in 219 arrested. Great teamwork between our officers &amp;amp; with our law enforcement partners.</t>
  </si>
  <si>
    <t>#HappeningNow: @NYPDChiefofDept updates media &amp;amp; NYers about recent gang takedowns making NYC safer https://t.co/eXLG4WIs5V</t>
  </si>
  <si>
    <t>#HappeningSoon: @NYPDChiefofDept @NYPDDetectives &amp;amp; others to update the public/media on Enforcement initiatives, crime stats &amp;amp; more.</t>
  </si>
  <si>
    <t>RT @NYPDSpecialops: Yesterday, retired #ESU #K9 "Duke" was laid to rest. A great dog who lived 13 great years. Duke retired in 2012 #RIP ht…</t>
  </si>
  <si>
    <t>WANTED: 2 M/H’s for police impersonation/taking property &amp;amp; money from M/29 on Baruch Dr #Manhattan Call #800577TIPS https://t.co/Dz6KlwKlI0</t>
  </si>
  <si>
    <t>WANTED: Darius Castillo/32, for striking F/21 w/his vehicle &amp;amp; leaving the scene in the #Bronx. Call #800577TIPS https://t.co/LcFHMvgMN0</t>
  </si>
  <si>
    <t>New @NYPD121Pct CO explains to the @siadvance the importance connecting w/community https://t.co/GRW7m4Ap2B https://t.co/bC9nSFZIs0</t>
  </si>
  <si>
    <t>WANTED: in connection to shooting death of M/33 at Altantic Ave/Williams Pl 2am 5/8. Call #800577TIPS https://t.co/Y4ngUgUnu2</t>
  </si>
  <si>
    <t>Defendant Charged with Conspiring and Attempting To Provide Material Support to ISIL https://t.co/zAqY2fpQXE</t>
  </si>
  <si>
    <t>We will update you when we have more information.</t>
  </si>
  <si>
    <t>One officer was bitten by the suspect during the arrest. The officer is being treated at the hospital and is in stable condition.</t>
  </si>
  <si>
    <t>An officer fired once, striking the suspect. The suspect was transported to the hospital and is listed in stable condition.</t>
  </si>
  <si>
    <t>Officers engaged an armed suspect following a car stop and recovered this loaded gun. https://t.co/LnVRpGLgNo</t>
  </si>
  <si>
    <t>There has been a police officer involved shooting within the confines of the @NYPD105Pct in Queens. More details to follow.</t>
  </si>
  <si>
    <t>What's #BushwickStrong? It's the NYPD &amp;amp; community cleaning their neighborhood of graffiti. https://t.co/JIAo4VhKqd https://t.co/wgP41PvyrY</t>
  </si>
  <si>
    <t>Members Of South #Bronx Drug Trafficking Organization Charged With Narco Trafficking &amp;amp; Firearms Offenses https://t.co/aa0x670zMV @SDNYnews</t>
  </si>
  <si>
    <t>RT @CommissBratton: We're here for the community, #ItsWhatWeDo. And you're here for us. Together there's nothing we can't do. @NYPD45Pct ht…</t>
  </si>
  <si>
    <t>Defendant Charged With Conspiring And Attempting To Provide Material Support To ISIL https://t.co/CCneGOvE07</t>
  </si>
  <si>
    <t>.@NYPDSpecialOps Officers Rescue Boaters Who Were Stranded For 24 Hours https://t.co/XQkaIA422L https://t.co/N2IhMRUaph</t>
  </si>
  <si>
    <t>ARREST: great work by transit police officers for arresting a M/53 for sexually abusing a F/30 on the 6 train at Lexington/E.86 St Station.</t>
  </si>
  <si>
    <t>Cops &amp;amp; community working together to keep families safe - #ItsWhatWeDo https://t.co/XSBEglsv5S</t>
  </si>
  <si>
    <t>WANTED: Male for 2 arson incidents in #EastHarlem - sets garbage on fire. Call #800577TIPS w/info. @NYPD23Pct https://t.co/vjGwSnZ4fj</t>
  </si>
  <si>
    <t>We need your help. This male is still WANTED for attempted rape in Man. Call #800577TIPS https://t.co/m5a4kiEOgF https://t.co/f3LKwFTNLh</t>
  </si>
  <si>
    <t>#ICYMI: NYPD "Prom Impact" Helps Teens In Need Look Great  https://t.co/cg8JFBgggQ https://t.co/wZaeYD15xu</t>
  </si>
  <si>
    <t>Cops and community connecting. Sharing the responsibility of keeping NYC safe. https://t.co/z8tD5LVrMe</t>
  </si>
  <si>
    <t>Inside The NYPD Sketch Artist Unit https://t.co/xyREZKkSbz Via: @MylesMill @PIX11News https://t.co/9w0Kz8EB1I</t>
  </si>
  <si>
    <t>WANTED: Group of males for arson. Set bus on fire in Brooklyn. Call #800577TIPS. MORE: https://t.co/sWLuTHDxyE https://t.co/AVkuxJpbft</t>
  </si>
  <si>
    <t>"We can't do enough to keep our officers safe while they keep NYC safe," says @NYPDChiefofDept on ballistic cars https://t.co/t5ghLeFS0n</t>
  </si>
  <si>
    <t>The doors &amp;amp; windows of the vehicle have been outfitted w/ballistic panels to keep cops safe while they protect NYC https://t.co/5cbLnDD9R3</t>
  </si>
  <si>
    <t>"Our officers have an obligation to protect the community &amp;amp; this administration has an obligation to protect our cops," -@CommissBratton</t>
  </si>
  <si>
    <t>#HappeningNow: @CommissBratton briefs media on new bullet resistant police vehicles https://t.co/IbPC8rHh30</t>
  </si>
  <si>
    <t>RT @NYPDPBMN: 2016 Police Officers' Remembrance #Memorial #Ceremony  #Honors 26 #fallenofficers @NYPDnews #NYPD https://t.co/djw9BNdBoE</t>
  </si>
  <si>
    <t>Rabbi Kass talking to our Crisis Intervention Team cops about passion, perseverance, #grit &amp;amp; officer wellness. https://t.co/rjCwEjZRRq</t>
  </si>
  <si>
    <t>Sending our prayers to the family, friends &amp;amp; colleagues of #KCKPD Det. Brad Lancaster. We will #NeverForget https://t.co/UNWUPvQrNf</t>
  </si>
  <si>
    <t>Info WANTED on 1999 Honda Accord, PA plate #KCN0713 for leaving accident with multiple injuries. Call #800577TIPS https://t.co/55LcbzYDvc</t>
  </si>
  <si>
    <t>WANTED: M/H/20’s robbery &amp;amp; assault of M/38 at 387 Broadway on 5/2 at 8:30pm. Have info on this? Call #800577TIPS https://t.co/n8vF1I9mqd</t>
  </si>
  <si>
    <t>Don’t get skimmed! Some great crime prevention tips from the @NYPD19Pct https://t.co/gsAV0vGHzA</t>
  </si>
  <si>
    <t>WANTED: Male ~6' for assaulting a 74-YR-OLD woman at the 65 St subway stn, Queens. Call #800577TIPS. @NYPD108Pct https://t.co/AWqeAqzBP0</t>
  </si>
  <si>
    <t>"We have NYPD detectives stationed in Europe that gather intel so we can analyze &amp;amp; protect NYC," @CommissBratton says on @SquawkCNBC</t>
  </si>
  <si>
    <t>"There'll be an increase in NYPD resources at commuting locations in response to incident in Germany," says @CommissBratton. NO known threat</t>
  </si>
  <si>
    <t>.@CommissBratton now on @SquawkCNBC speaking to smartphone encryption. Watch LIVE: https://t.co/X6G7QvcIiN https://t.co/GyJoU9xqRd</t>
  </si>
  <si>
    <t>RT @CommissBratton: Looking forward to stopping by @SquawkCNBC this morning for a good conversation. Watch live at 7:10am: https://t.co/Eqa…</t>
  </si>
  <si>
    <t>WANTED: 2 males for armed robberies in Brooklyn. Call #800577TIPS with any info. MORE: https://t.co/jRnyTJU4nM https://t.co/j65fHPO0S9</t>
  </si>
  <si>
    <t>RT @NYPDBees: 1st #NYCSwarm of the season. About 20k bees removed from Queens. thanks @NYPDSpecialops for the bucket @NYPD104Pct https://t.…</t>
  </si>
  <si>
    <t>Help ID this woman, she was found wandering inside of 210 Joralemon St (Sephora) on 5/7 #Brooklyn. Call #800577TIPS https://t.co/ZDvcofKtbm</t>
  </si>
  <si>
    <t>Cops tell of their heroics to @rikkijklieman this Sun. on @DiscoveryID. Watch an NYPD hero on In The Line Of Fire: https://t.co/Q82wIw1QLF</t>
  </si>
  <si>
    <t>Some stories are bigger than 140 characters. Read about NYC's fallen guardians: https://t.co/8zmSrsNhn4 #NPW2016 https://t.co/GdhuR2OmE1</t>
  </si>
  <si>
    <t>NYPD "Prom Impact" Helps Teens In Need Look Great https://t.co/zJRispwXe6 https://t.co/jZsSOa5Zeb</t>
  </si>
  <si>
    <t>WANTED: Male for attempted rape of a woman near Croes Ave &amp;amp; E 174 St, BX. Call #800577TIPS. https://t.co/oDjQ6XtIYN https://t.co/RMpj3og1iv</t>
  </si>
  <si>
    <t>RT @NYPD43Pct: NCO Gonzalez &amp;amp; Ofcr Goldman educate &amp;amp; chat it up with local 1st graders about the job we do &amp;amp; how to stay safe. https://t.co…</t>
  </si>
  <si>
    <t>Rescued By NYPD After Being Abused, Fulton Now Ready For Adoption At @ASPCA- Suspect Charged https://t.co/31VtoW5fsy https://t.co/cMp6j9xX2g</t>
  </si>
  <si>
    <t>Information regarding the police involved shooting in Brooklyn's @NYPD63Pct on Sunday 5/7: https://t.co/0IgEvjaoDN</t>
  </si>
  <si>
    <t>NYPD, @MetroNYCOPS &amp;amp; partner agencies start Police Unity Tour- 9/11 Memorial to @NLEOMF to honor the fallen #NPW2016 https://t.co/coYhb8BVvI</t>
  </si>
  <si>
    <t>Driver: Did I do something wrong?
Officer: Are you a mom?
Driver: Yes
Driver: The NYPD Officer handed me a rose! 
https://t.co/wwugDkhRLh</t>
  </si>
  <si>
    <t>WANTED: 3 suspects for assault of F/43 on 4/13 at 10:30pm in front of 208 E.165St #Bronx. Call #800577TIPS https://t.co/Rues3Ku9bN</t>
  </si>
  <si>
    <t>Great teamwork &amp;amp; collaboration in the @NYPD75Pct led to an arrest &amp;amp; this illegal gun recovered in #Brooklyn https://t.co/RePINdStrk</t>
  </si>
  <si>
    <t>Police-community interaction: @NYPD113Pct cops sharing #VisionZero safety tips at the Rockaway Senior Center https://t.co/22aNrG0RFY</t>
  </si>
  <si>
    <t>WANTED: 2 M/B teens for attempted robbery &amp;amp; assault of F/27 at Schenectady Ave &amp;amp; Dean St on 4/28. Call #800577TIPS https://t.co/sonn0uxeZH</t>
  </si>
  <si>
    <t>The police officers were not injured in the shooting but are being observed as a precaution. More details to follow.</t>
  </si>
  <si>
    <t>A police officer from the 63 precinct fired two shots as the suspect came towards them with a dagger.</t>
  </si>
  <si>
    <t>Police officers in the 63 precinct encountered a man with a dagger seen in this photo. https://t.co/ynJ02K8IFo</t>
  </si>
  <si>
    <t>RT @JPeterDonald: We will update reporters from the scene soon.</t>
  </si>
  <si>
    <t>RT @JPeterDonald: There has been a police officer involved shooting on Avenue T in Brooklyn in the 63 Precinct. We will have an update shor…</t>
  </si>
  <si>
    <t>Just call them your fairy godmothers! Kindhearted NYPD cops collect gowns to donate to girls so they can attend prom https://t.co/obEiQsIand</t>
  </si>
  <si>
    <t>#ICYMI: Have a look at what your local precincts have been saying https://t.co/bURFmQgfQX https://t.co/T9apeixrgI</t>
  </si>
  <si>
    <t>#SilverAlert: Alisa Meiteles last seen 85-41 Abingdon Rd, Qns. Owns grey Camry NY GAU5771. 911 if seen #800577TIPS https://t.co/1vybn81hNG</t>
  </si>
  <si>
    <t>Dynamic Mother &amp;amp; Daughter Duo Making Mark On NYPD (VIDEO) https://t.co/WSMqyBIOmM @Dianarocco https://t.co/QbV63us5FF</t>
  </si>
  <si>
    <t>RT @CommissBratton: My Mother’s Day message to the members of the NYPD: https://t.co/J9rp898hXi
Happy Mother’s Day! https://t.co/BrKW4lyMlN</t>
  </si>
  <si>
    <t>.@WFAN660 Celebrity Basketball Game Honors NYPD “Superman” Joe Lemm https://t.co/Id0qDWniNn @BoomerandCarton https://t.co/yovXJneVIT</t>
  </si>
  <si>
    <t>Some of the 81 weapons turned in at today's Gun Buy Back held in partnership w/@ManhattanDA https://t.co/UTxuIzmu1X https://t.co/Xq2y2Ne9kC</t>
  </si>
  <si>
    <t>@WFAN660 Celebrity Basketball Game Honors NYPD “Superman” Joe Lemm https://t.co/Id0qDWniNn @BoomerandCarton https://t.co/yovXJneVIT</t>
  </si>
  <si>
    <t>Young community members connecting with @NYPDCommAffairs cops at the Law Enforcement Explorer weekend at Camp Pouch https://t.co/lmLjaiSAy9</t>
  </si>
  <si>
    <t>RT @NYPD113Pct: Sgt.Clarke &amp;amp; Det.Duhaney PROM Impact 2016. The kids look amazing!!! #Cops&amp;amp;kids
@PALNewYork @QueensLibrary https://t.co/I0Db…</t>
  </si>
  <si>
    <t>So now more than 14 million people know we can dance. Here’s just a few examples of our other “moves”: https://t.co/E8U5Rwvubg</t>
  </si>
  <si>
    <t>Need a prom dress? The cops in the @NYPD113Pct are giving them away today!116-25 Guy R Brewer Blvd, Qns https://t.co/HeJzMjxwvA @PALNewYork</t>
  </si>
  <si>
    <t>TODAY: Turn in a gun and get up to $200. Guns off the street + you get money = #WinWin. Spread the word. https://t.co/fsNK1Sd5Tm</t>
  </si>
  <si>
    <t>Celebrity Team took bragging rights tonight over NYPD but the true winner is the Joe Lemm Memorial Fund #NeverForget https://t.co/ytMMaB5w4N</t>
  </si>
  <si>
    <t>RT @StJohnsBBall: Just over five minutes to go in the first half of the Joe Lemm Memorial Celebrity Game. NYPD and celebs tied at 21.  Coac…</t>
  </si>
  <si>
    <t>Get to know our fallen hero Det. Lemm before tonight's b-ball game in his honor https://t.co/hTWFkPaVWU @cc660 @StJohnsBBall @7BOOMERESIASON</t>
  </si>
  <si>
    <t>WANTED: Male for a homicide near Faile St &amp;amp; Spofford Ave, BX. Call #800577TIPS https://t.co/fgDUXw2CAj @NYPD41Pct https://t.co/nIWqngqoXR</t>
  </si>
  <si>
    <t>NYPD Memorial Day Ceremony Honors 19 Fallen Officers #NeverForget https://t.co/WKFQnmwDuJ</t>
  </si>
  <si>
    <t>Join @FinestFootball as they play NY’s Boldest at Aviator Sports Complex 6:30 tonight. Great way to spend Fri night! https://t.co/LwheWfMWHY</t>
  </si>
  <si>
    <t>Good luck to @mattymarts17 &amp;amp; the @NYIslanders tonight. Thanks for your support of the Widows' &amp;amp; Children's Fund https://t.co/gHbcjoypS2</t>
  </si>
  <si>
    <t>Great police-community interaction in #Brooklyn https://t.co/C77xzjqtr7</t>
  </si>
  <si>
    <t>TONIGHT: Come join us in Queens at @StJohnsBB for a charity basketball game with @7BOOMERESIASON @cc660 &amp;amp; others https://t.co/1o3GdxXry9</t>
  </si>
  <si>
    <t>Quality of life enforcement leads to an arrest &amp;amp; loaded gun recovered #Brooklyn. @NYPD69Pct https://t.co/LRg5G1fzb4 https://t.co/HkUSoEOkmI</t>
  </si>
  <si>
    <t>TOMORROW: Turn in a gun and get up to $200. Guns off the street + you get money= #WinWin. Spread the word. https://t.co/fsNK1Sd5Tm</t>
  </si>
  <si>
    <t>Make sure to come cheer on our rugby team as we take on @FDNY tomorrow at Gaelic Park, Bronx. https://t.co/C3MXm6SHhF</t>
  </si>
  <si>
    <t>WANTED: Male 20’s for attempted rape of a 37y/o woman near Driggs Ave &amp;amp; S. 8 St, Bklyn. Call #800577TIPS. @NYPD90Pct https://t.co/EQStmTv2eI</t>
  </si>
  <si>
    <t>Cops like those in the @NYPD121Pct go in harm’s way to take guns off NYC streets -- even when you’re asleep at 2am https://t.co/NLik87JOWa</t>
  </si>
  <si>
    <t>Looking good @policescotland! Nice touch with the bagpipes https://t.co/SEnp1FZUij #RunningManChallenge</t>
  </si>
  <si>
    <t>WANTED: Layquan Johnson for escaping Dept of Correction custody. 911 if seen. #800577TIPS https://t.co/hFn7p7yeBi https://t.co/rFJg9H7zh2</t>
  </si>
  <si>
    <t>Tonight, NYC's skyline will glow blue &amp;amp; purple to honor the fallen Finest. Thank you, @EmpireStateBldg. https://t.co/PQ9cIAxDFE</t>
  </si>
  <si>
    <t>#HappeningNow: @CommissBratton joins family members of our fallen heroes to light the @EmpireStateBldg blue &amp;amp; purple https://t.co/89mxKByxLY</t>
  </si>
  <si>
    <t>RT @NYPDInMemoriam: #HappeningNow: The names of our 19 #FallenFINEST are added to the Hall of Heroes memorial wall. #NYPD #NeverForget http…</t>
  </si>
  <si>
    <t>Join us in a moment of silence as the names of the 19 fallen members of the NYPD are read. https://t.co/8zmSrsNhn4 https://t.co/u0DFa5ydHE</t>
  </si>
  <si>
    <t>"Today is a day of remembrance where we continue to keep our promise to #NeverForget." -@CommissBratton https://t.co/1AqULdztHR</t>
  </si>
  <si>
    <t>"Today we honor 19 extraordinary individuals."- NYC Mayor @BilldeBlasio https://t.co/zdNlJIgMA6</t>
  </si>
  <si>
    <t>Join us LIVE now as we honor 19 fallen members of the NYPD at our Memorial Day Ceremony: https://t.co/sHeNHlIiXj</t>
  </si>
  <si>
    <t>#HappeningNow: Honoring 19 NYPD members; each added to our Hall of Heroes. Join us in our vow to #NeverForget https://t.co/TwZcT8UASd</t>
  </si>
  <si>
    <t>Later this morning 19 names will be added to our Hall of Heroes. We will #NeverForget those we have lost. https://t.co/aBnabjWH3L</t>
  </si>
  <si>
    <t>The Finest cops using the Finest technology to keep NYers safe https://t.co/n1Q13rFG1G</t>
  </si>
  <si>
    <t>WANTED: Male for shooting/homicide of a 41y/o man 518 Pennsylvania Ave, Bklyn. May be driving blue van. #800577TIPS https://t.co/dWidipMzC3</t>
  </si>
  <si>
    <t>WANTED: 2 males, 20’s for armed robbery on Bay St, Staten Island. Call #800577TIPS w/info. @NYPD120Pct https://t.co/8Iyd9RQ4gU</t>
  </si>
  <si>
    <t>The @NYPD45Pct &amp;amp; @BoyScouts Troop 304 helped clean up the #Bronx recently- that’s great teamwork! https://t.co/Yi6Q3Al32e</t>
  </si>
  <si>
    <t>.@NYPD34Pct Cop Feeds Hungry Baby After Helping Mother Get Medical Attention https://t.co/eylTXF0S5Q https://t.co/WbfyFJYJlD</t>
  </si>
  <si>
    <t>RT @AtlasMediaCorp: Our IN THE LINE OF FIRE show w/ the amazing @rikkijklieman premieres Sun 5/15 at 8pm @DiscoveryID #NationalPoliceWeek</t>
  </si>
  <si>
    <t>RT @AtlasMediaCorp: CELEBRATING HEROES: "IN THE LINE OF FIRE" w/ @rikkijklieman @DiscoveryID Airs Sunday 5/15 @ 8pm #RivetingStories</t>
  </si>
  <si>
    <t>100's of cops &amp;amp; members of the community gather in Queens to fulfill a promise to #NeverForget Officer Brian Moore https://t.co/E6OqiEjNzm</t>
  </si>
  <si>
    <t>There no words that I can say or anyone can say to diminish the grief.-@CommissBratton now at Officer Moore memorial https://t.co/dVSi8F4BNa</t>
  </si>
  <si>
    <t>#HappeningNow: NYPD Police Communications Technicians graduate training in a ceremony at Police Headquarters https://t.co/lTXQHEW1rr</t>
  </si>
  <si>
    <t>Correction: the event is this FRIDAY MAY 6 https://t.co/sHx3YCbPzc</t>
  </si>
  <si>
    <t>WANTED: M/W/45 for forcibly touching FEMALE/7, at Southside Food Plaza 428 Bedford Ave on 5/2. Call #800577TIPS https://t.co/7yaqKXZYy1</t>
  </si>
  <si>
    <t>People (more than 4.4 million!) seem to enjoy our dance moves. Watch: #RunningManChallenge https://t.co/w9ePSVuotx https://t.co/zZ1zcWbUhu</t>
  </si>
  <si>
    <t>Join us this Saturday to honor Det. Lemm - the NYPD "Superman" @StJohnsBBall, @7BOOMERESIASON, @cc660 https://t.co/S6nQqVIXwK</t>
  </si>
  <si>
    <t>RT @nzpolice: Kapai to @NYPDnews for accepting the #RunningManChallenge. Love your work! https://t.co/LWoR7pOmEq</t>
  </si>
  <si>
    <t>We accept the #RunningManChallenge with help from PS32 in Brooklyn &amp;amp; pass it to: @bostonpolice @policescotland @FDNY https://t.co/JtPqvElddn</t>
  </si>
  <si>
    <t>April 2016 Was NYC’s Safest April In The Modern CompStat Era https://t.co/JnuApxPpeS</t>
  </si>
  <si>
    <t>Felony arrests &amp;amp; gun seizures are up. Precision policing is keeping NYC safe &amp;amp; it’s building community trust. #ItsWhatWeDo</t>
  </si>
  <si>
    <t>Logistics for the @NYPD116Pct are not finalized. This will be done in collaboration with our elected officials &amp;amp; community partners.</t>
  </si>
  <si>
    <t>The message is clear- if you’re in a gang, use a gun &amp;amp; violence in NYC we are going to come after you. https://t.co/niyjA5Alju</t>
  </si>
  <si>
    <t>NYC is down 19 shooting incidents for the month of April. That is a 21% reduction. https://t.co/nC5hgHKMAL</t>
  </si>
  <si>
    <t>Last week’s major gang takedown was not the end of our gang emphasis to reduce violence. https://t.co/IZT51wT2kX https://t.co/NsAry8RB8Z</t>
  </si>
  <si>
    <t>The new @NYPD116Pct will continue our dedication to crime reduction, addressing quality of life concerns &amp;amp; building community trust.</t>
  </si>
  <si>
    <t>Crime prevention outreach will raise awareness of "skimming" crimes. You can help- share this video: https://t.co/3b2kXzLT2Y</t>
  </si>
  <si>
    <t>"In the month of April '16 crime fell 4.2% in NYC compared to April '15," says Mayor @BilldeBlasio. https://t.co/q8GuhGkc7U</t>
  </si>
  <si>
    <t>There will be a new precinct - @NYPD116Pct - to serve the people of Queens.- @CommissBratton https://t.co/Sijy07zq8I</t>
  </si>
  <si>
    <t>#HappeningNow: Mayor @BilldeBlasio &amp;amp; @CommissBratton update NYers/media on crime stats, new pct &amp;amp; more. WATCH LIVE: https://t.co/niyjA5Alju</t>
  </si>
  <si>
    <t>#HappeningSoon: NYC Mayor @BilldeBlasio &amp;amp; @CommissBratton to update the public/media on crime stats, new pct &amp;amp; more https://t.co/LlP7Ir9b6N</t>
  </si>
  <si>
    <t>RT @NYPDDetectives: #Wanted for a fatal hit and run in #Brooklyn on 5/1. Any info call #800577TIPS #yourcityyourcall https://t.co/QAlHqBWBe5</t>
  </si>
  <si>
    <t>WANTED: M/W/40-50’s for taking +130 medication packages from Target (2873 Richmond Terr 7pm 4/10 Call #800577TIPS https://t.co/RZ0gyWd3zS</t>
  </si>
  <si>
    <t>WANTED: two suspects for multiple burglaries of businesses in lower Manhattan. Call #800577TIPS @NYPD5Pct @NYPD7Pct</t>
  </si>
  <si>
    <t>Get involved in your local precinct community council https://t.co/hkB6CWgMhW  https://t.co/LO5XXBHBSk</t>
  </si>
  <si>
    <t>WANTED: Male, ~6', 185lbs for attempted rape of a 23y/o woman in Prospect Park, Bklyn. Call #800577TIPS. @NYPD78Pct https://t.co/x0apjwB36E</t>
  </si>
  <si>
    <t>Come out, have a great time &amp;amp; support a great cause. Join @FinestFootball &amp;amp; @FDNY for the Fun City Bowl on May 22. https://t.co/KrWnZbbBcx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</si>
</sst>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f>HYPERLINK("http://www.twitter.com/NYPDnews/status/808362075995172864", "808362075995172864")</f>
        <v>0</v>
      </c>
      <c r="B2" s="2">
        <v>42716.7258333333</v>
      </c>
      <c r="C2">
        <v>5</v>
      </c>
      <c r="D2">
        <v>6</v>
      </c>
      <c r="E2" t="s">
        <v>5</v>
      </c>
    </row>
    <row r="3" spans="1:5">
      <c r="A3">
        <f>HYPERLINK("http://www.twitter.com/NYPDnews/status/808310757133844480", "808310757133844480")</f>
        <v>0</v>
      </c>
      <c r="B3" s="2">
        <v>42716.584212963</v>
      </c>
      <c r="C3">
        <v>8</v>
      </c>
      <c r="D3">
        <v>31</v>
      </c>
      <c r="E3" t="s">
        <v>6</v>
      </c>
    </row>
    <row r="4" spans="1:5">
      <c r="A4">
        <f>HYPERLINK("http://www.twitter.com/NYPDnews/status/808306739280052229", "808306739280052229")</f>
        <v>0</v>
      </c>
      <c r="B4" s="2">
        <v>42716.573125</v>
      </c>
      <c r="C4">
        <v>95</v>
      </c>
      <c r="D4">
        <v>39</v>
      </c>
      <c r="E4" t="s">
        <v>7</v>
      </c>
    </row>
    <row r="5" spans="1:5">
      <c r="A5">
        <f>HYPERLINK("http://www.twitter.com/NYPDnews/status/808303045742395392", "808303045742395392")</f>
        <v>0</v>
      </c>
      <c r="B5" s="2">
        <v>42716.5629398148</v>
      </c>
      <c r="C5">
        <v>12</v>
      </c>
      <c r="D5">
        <v>16</v>
      </c>
      <c r="E5" t="s">
        <v>8</v>
      </c>
    </row>
    <row r="6" spans="1:5">
      <c r="A6">
        <f>HYPERLINK("http://www.twitter.com/NYPDnews/status/808299171136606208", "808299171136606208")</f>
        <v>0</v>
      </c>
      <c r="B6" s="2">
        <v>42716.5522453704</v>
      </c>
      <c r="C6">
        <v>16</v>
      </c>
      <c r="D6">
        <v>55</v>
      </c>
      <c r="E6" t="s">
        <v>9</v>
      </c>
    </row>
    <row r="7" spans="1:5">
      <c r="A7">
        <f>HYPERLINK("http://www.twitter.com/NYPDnews/status/808296553928654849", "808296553928654849")</f>
        <v>0</v>
      </c>
      <c r="B7" s="2">
        <v>42716.5450231481</v>
      </c>
      <c r="C7">
        <v>42</v>
      </c>
      <c r="D7">
        <v>8</v>
      </c>
      <c r="E7" t="s">
        <v>10</v>
      </c>
    </row>
    <row r="8" spans="1:5">
      <c r="A8">
        <f>HYPERLINK("http://www.twitter.com/NYPDnews/status/808293438194151424", "808293438194151424")</f>
        <v>0</v>
      </c>
      <c r="B8" s="2">
        <v>42716.5364236111</v>
      </c>
      <c r="C8">
        <v>0</v>
      </c>
      <c r="D8">
        <v>245</v>
      </c>
      <c r="E8" t="s">
        <v>11</v>
      </c>
    </row>
    <row r="9" spans="1:5">
      <c r="A9">
        <f>HYPERLINK("http://www.twitter.com/NYPDnews/status/808105358350815232", "808105358350815232")</f>
        <v>0</v>
      </c>
      <c r="B9" s="2">
        <v>42716.0174189815</v>
      </c>
      <c r="C9">
        <v>73</v>
      </c>
      <c r="D9">
        <v>78</v>
      </c>
      <c r="E9" t="s">
        <v>12</v>
      </c>
    </row>
    <row r="10" spans="1:5">
      <c r="A10">
        <f>HYPERLINK("http://www.twitter.com/NYPDnews/status/808063457476145152", "808063457476145152")</f>
        <v>0</v>
      </c>
      <c r="B10" s="2">
        <v>42715.9018055556</v>
      </c>
      <c r="C10">
        <v>0</v>
      </c>
      <c r="D10">
        <v>9</v>
      </c>
      <c r="E10" t="s">
        <v>13</v>
      </c>
    </row>
    <row r="11" spans="1:5">
      <c r="A11">
        <f>HYPERLINK("http://www.twitter.com/NYPDnews/status/807970826280648704", "807970826280648704")</f>
        <v>0</v>
      </c>
      <c r="B11" s="2">
        <v>42715.6461921296</v>
      </c>
      <c r="C11">
        <v>44</v>
      </c>
      <c r="D11">
        <v>15</v>
      </c>
      <c r="E11" t="s">
        <v>14</v>
      </c>
    </row>
    <row r="12" spans="1:5">
      <c r="A12">
        <f>HYPERLINK("http://www.twitter.com/NYPDnews/status/807966995350224896", "807966995350224896")</f>
        <v>0</v>
      </c>
      <c r="B12" s="2">
        <v>42715.6356134259</v>
      </c>
      <c r="C12">
        <v>66</v>
      </c>
      <c r="D12">
        <v>16</v>
      </c>
      <c r="E12" t="s">
        <v>15</v>
      </c>
    </row>
    <row r="13" spans="1:5">
      <c r="A13">
        <f>HYPERLINK("http://www.twitter.com/NYPDnews/status/807963367231160325", "807963367231160325")</f>
        <v>0</v>
      </c>
      <c r="B13" s="2">
        <v>42715.6256018519</v>
      </c>
      <c r="C13">
        <v>138</v>
      </c>
      <c r="D13">
        <v>28</v>
      </c>
      <c r="E13" t="s">
        <v>16</v>
      </c>
    </row>
    <row r="14" spans="1:5">
      <c r="A14">
        <f>HYPERLINK("http://www.twitter.com/NYPDnews/status/807959427194191875", "807959427194191875")</f>
        <v>0</v>
      </c>
      <c r="B14" s="2">
        <v>42715.6147337963</v>
      </c>
      <c r="C14">
        <v>49</v>
      </c>
      <c r="D14">
        <v>8</v>
      </c>
      <c r="E14" t="s">
        <v>17</v>
      </c>
    </row>
    <row r="15" spans="1:5">
      <c r="A15">
        <f>HYPERLINK("http://www.twitter.com/NYPDnews/status/807954361603198976", "807954361603198976")</f>
        <v>0</v>
      </c>
      <c r="B15" s="2">
        <v>42715.6007523148</v>
      </c>
      <c r="C15">
        <v>71</v>
      </c>
      <c r="D15">
        <v>22</v>
      </c>
      <c r="E15" t="s">
        <v>18</v>
      </c>
    </row>
    <row r="16" spans="1:5">
      <c r="A16">
        <f>HYPERLINK("http://www.twitter.com/NYPDnews/status/807930711365877760", "807930711365877760")</f>
        <v>0</v>
      </c>
      <c r="B16" s="2">
        <v>42715.5354861111</v>
      </c>
      <c r="C16">
        <v>29</v>
      </c>
      <c r="D16">
        <v>76</v>
      </c>
      <c r="E16" t="s">
        <v>19</v>
      </c>
    </row>
    <row r="17" spans="1:5">
      <c r="A17">
        <f>HYPERLINK("http://www.twitter.com/NYPDnews/status/807755605322723328", "807755605322723328")</f>
        <v>0</v>
      </c>
      <c r="B17" s="2">
        <v>42715.0522916667</v>
      </c>
      <c r="C17">
        <v>82</v>
      </c>
      <c r="D17">
        <v>21</v>
      </c>
      <c r="E17" t="s">
        <v>20</v>
      </c>
    </row>
    <row r="18" spans="1:5">
      <c r="A18">
        <f>HYPERLINK("http://www.twitter.com/NYPDnews/status/807724114219778048", "807724114219778048")</f>
        <v>0</v>
      </c>
      <c r="B18" s="2">
        <v>42714.9653935185</v>
      </c>
      <c r="C18">
        <v>54</v>
      </c>
      <c r="D18">
        <v>16</v>
      </c>
      <c r="E18" t="s">
        <v>21</v>
      </c>
    </row>
    <row r="19" spans="1:5">
      <c r="A19">
        <f>HYPERLINK("http://www.twitter.com/NYPDnews/status/807706763915042817", "807706763915042817")</f>
        <v>0</v>
      </c>
      <c r="B19" s="2">
        <v>42714.9175115741</v>
      </c>
      <c r="C19">
        <v>0</v>
      </c>
      <c r="D19">
        <v>82</v>
      </c>
      <c r="E19" t="s">
        <v>22</v>
      </c>
    </row>
    <row r="20" spans="1:5">
      <c r="A20">
        <f>HYPERLINK("http://www.twitter.com/NYPDnews/status/807684749510647808", "807684749510647808")</f>
        <v>0</v>
      </c>
      <c r="B20" s="2">
        <v>42714.8567592593</v>
      </c>
      <c r="C20">
        <v>121</v>
      </c>
      <c r="D20">
        <v>46</v>
      </c>
      <c r="E20" t="s">
        <v>23</v>
      </c>
    </row>
    <row r="21" spans="1:5">
      <c r="A21">
        <f>HYPERLINK("http://www.twitter.com/NYPDnews/status/807639808734531584", "807639808734531584")</f>
        <v>0</v>
      </c>
      <c r="B21" s="2">
        <v>42714.7327546296</v>
      </c>
      <c r="C21">
        <v>20</v>
      </c>
      <c r="D21">
        <v>19</v>
      </c>
      <c r="E21" t="s">
        <v>24</v>
      </c>
    </row>
    <row r="22" spans="1:5">
      <c r="A22">
        <f>HYPERLINK("http://www.twitter.com/NYPDnews/status/807631528364740608", "807631528364740608")</f>
        <v>0</v>
      </c>
      <c r="B22" s="2">
        <v>42714.7099074074</v>
      </c>
      <c r="C22">
        <v>44</v>
      </c>
      <c r="D22">
        <v>40</v>
      </c>
      <c r="E22" t="s">
        <v>25</v>
      </c>
    </row>
    <row r="23" spans="1:5">
      <c r="A23">
        <f>HYPERLINK("http://www.twitter.com/NYPDnews/status/807602061667921920", "807602061667921920")</f>
        <v>0</v>
      </c>
      <c r="B23" s="2">
        <v>42714.628587963</v>
      </c>
      <c r="C23">
        <v>23</v>
      </c>
      <c r="D23">
        <v>13</v>
      </c>
      <c r="E23" t="s">
        <v>26</v>
      </c>
    </row>
    <row r="24" spans="1:5">
      <c r="A24">
        <f>HYPERLINK("http://www.twitter.com/NYPDnews/status/807591990938451968", "807591990938451968")</f>
        <v>0</v>
      </c>
      <c r="B24" s="2">
        <v>42714.6007986111</v>
      </c>
      <c r="C24">
        <v>100</v>
      </c>
      <c r="D24">
        <v>25</v>
      </c>
      <c r="E24" t="s">
        <v>27</v>
      </c>
    </row>
    <row r="25" spans="1:5">
      <c r="A25">
        <f>HYPERLINK("http://www.twitter.com/NYPDnews/status/807579406894059521", "807579406894059521")</f>
        <v>0</v>
      </c>
      <c r="B25" s="2">
        <v>42714.5660763889</v>
      </c>
      <c r="C25">
        <v>20</v>
      </c>
      <c r="D25">
        <v>45</v>
      </c>
      <c r="E25" t="s">
        <v>28</v>
      </c>
    </row>
    <row r="26" spans="1:5">
      <c r="A26">
        <f>HYPERLINK("http://www.twitter.com/NYPDnews/status/807570641616588800", "807570641616588800")</f>
        <v>0</v>
      </c>
      <c r="B26" s="2">
        <v>42714.5418865741</v>
      </c>
      <c r="C26">
        <v>39</v>
      </c>
      <c r="D26">
        <v>20</v>
      </c>
      <c r="E26" t="s">
        <v>29</v>
      </c>
    </row>
    <row r="27" spans="1:5">
      <c r="A27">
        <f>HYPERLINK("http://www.twitter.com/NYPDnews/status/807385637510909952", "807385637510909952")</f>
        <v>0</v>
      </c>
      <c r="B27" s="2">
        <v>42714.0313773148</v>
      </c>
      <c r="C27">
        <v>50</v>
      </c>
      <c r="D27">
        <v>146</v>
      </c>
      <c r="E27" t="s">
        <v>30</v>
      </c>
    </row>
    <row r="28" spans="1:5">
      <c r="A28">
        <f>HYPERLINK("http://www.twitter.com/NYPDnews/status/807376829766057984", "807376829766057984")</f>
        <v>0</v>
      </c>
      <c r="B28" s="2">
        <v>42714.0070717593</v>
      </c>
      <c r="C28">
        <v>86</v>
      </c>
      <c r="D28">
        <v>23</v>
      </c>
      <c r="E28" t="s">
        <v>31</v>
      </c>
    </row>
    <row r="29" spans="1:5">
      <c r="A29">
        <f>HYPERLINK("http://www.twitter.com/NYPDnews/status/807367996041818113", "807367996041818113")</f>
        <v>0</v>
      </c>
      <c r="B29" s="2">
        <v>42713.9826967593</v>
      </c>
      <c r="C29">
        <v>31</v>
      </c>
      <c r="D29">
        <v>12</v>
      </c>
      <c r="E29" t="s">
        <v>32</v>
      </c>
    </row>
    <row r="30" spans="1:5">
      <c r="A30">
        <f>HYPERLINK("http://www.twitter.com/NYPDnews/status/807356686604390401", "807356686604390401")</f>
        <v>0</v>
      </c>
      <c r="B30" s="2">
        <v>42713.9514814815</v>
      </c>
      <c r="C30">
        <v>12</v>
      </c>
      <c r="D30">
        <v>34</v>
      </c>
      <c r="E30" t="s">
        <v>33</v>
      </c>
    </row>
    <row r="31" spans="1:5">
      <c r="A31">
        <f>HYPERLINK("http://www.twitter.com/NYPDnews/status/807295039185555457", "807295039185555457")</f>
        <v>0</v>
      </c>
      <c r="B31" s="2">
        <v>42713.7813657407</v>
      </c>
      <c r="C31">
        <v>0</v>
      </c>
      <c r="D31">
        <v>26</v>
      </c>
      <c r="E31" t="s">
        <v>34</v>
      </c>
    </row>
    <row r="32" spans="1:5">
      <c r="A32">
        <f>HYPERLINK("http://www.twitter.com/NYPDnews/status/807223382295121921", "807223382295121921")</f>
        <v>0</v>
      </c>
      <c r="B32" s="2">
        <v>42713.5836342593</v>
      </c>
      <c r="C32">
        <v>25</v>
      </c>
      <c r="D32">
        <v>80</v>
      </c>
      <c r="E32" t="s">
        <v>35</v>
      </c>
    </row>
    <row r="33" spans="1:5">
      <c r="A33">
        <f>HYPERLINK("http://www.twitter.com/NYPDnews/status/807219585074233345", "807219585074233345")</f>
        <v>0</v>
      </c>
      <c r="B33" s="2">
        <v>42713.5731597222</v>
      </c>
      <c r="C33">
        <v>393</v>
      </c>
      <c r="D33">
        <v>131</v>
      </c>
      <c r="E33" t="s">
        <v>36</v>
      </c>
    </row>
    <row r="34" spans="1:5">
      <c r="A34">
        <f>HYPERLINK("http://www.twitter.com/NYPDnews/status/807215828680720384", "807215828680720384")</f>
        <v>0</v>
      </c>
      <c r="B34" s="2">
        <v>42713.5627893519</v>
      </c>
      <c r="C34">
        <v>60</v>
      </c>
      <c r="D34">
        <v>13</v>
      </c>
      <c r="E34" t="s">
        <v>37</v>
      </c>
    </row>
    <row r="35" spans="1:5">
      <c r="A35">
        <f>HYPERLINK("http://www.twitter.com/NYPDnews/status/807212032848183296", "807212032848183296")</f>
        <v>0</v>
      </c>
      <c r="B35" s="2">
        <v>42713.5523148148</v>
      </c>
      <c r="C35">
        <v>85</v>
      </c>
      <c r="D35">
        <v>20</v>
      </c>
      <c r="E35" t="s">
        <v>38</v>
      </c>
    </row>
    <row r="36" spans="1:5">
      <c r="A36">
        <f>HYPERLINK("http://www.twitter.com/NYPDnews/status/807208241864278016", "807208241864278016")</f>
        <v>0</v>
      </c>
      <c r="B36" s="2">
        <v>42713.5418518518</v>
      </c>
      <c r="C36">
        <v>41</v>
      </c>
      <c r="D36">
        <v>115</v>
      </c>
      <c r="E36" t="s">
        <v>39</v>
      </c>
    </row>
    <row r="37" spans="1:5">
      <c r="A37">
        <f>HYPERLINK("http://www.twitter.com/NYPDnews/status/807029522260443136", "807029522260443136")</f>
        <v>0</v>
      </c>
      <c r="B37" s="2">
        <v>42713.0486805556</v>
      </c>
      <c r="C37">
        <v>225</v>
      </c>
      <c r="D37">
        <v>109</v>
      </c>
      <c r="E37" t="s">
        <v>40</v>
      </c>
    </row>
    <row r="38" spans="1:5">
      <c r="A38">
        <f>HYPERLINK("http://www.twitter.com/NYPDnews/status/807028278280257536", "807028278280257536")</f>
        <v>0</v>
      </c>
      <c r="B38" s="2">
        <v>42713.0452546296</v>
      </c>
      <c r="C38">
        <v>43</v>
      </c>
      <c r="D38">
        <v>15</v>
      </c>
      <c r="E38" t="s">
        <v>41</v>
      </c>
    </row>
    <row r="39" spans="1:5">
      <c r="A39">
        <f>HYPERLINK("http://www.twitter.com/NYPDnews/status/807020720127672320", "807020720127672320")</f>
        <v>0</v>
      </c>
      <c r="B39" s="2">
        <v>42713.0243981481</v>
      </c>
      <c r="C39">
        <v>8</v>
      </c>
      <c r="D39">
        <v>30</v>
      </c>
      <c r="E39" t="s">
        <v>42</v>
      </c>
    </row>
    <row r="40" spans="1:5">
      <c r="A40">
        <f>HYPERLINK("http://www.twitter.com/NYPDnews/status/807008168316403714", "807008168316403714")</f>
        <v>0</v>
      </c>
      <c r="B40" s="2">
        <v>42712.9897569444</v>
      </c>
      <c r="C40">
        <v>127</v>
      </c>
      <c r="D40">
        <v>22</v>
      </c>
      <c r="E40" t="s">
        <v>43</v>
      </c>
    </row>
    <row r="41" spans="1:5">
      <c r="A41">
        <f>HYPERLINK("http://www.twitter.com/NYPDnews/status/806996953296998400", "806996953296998400")</f>
        <v>0</v>
      </c>
      <c r="B41" s="2">
        <v>42712.9588078704</v>
      </c>
      <c r="C41">
        <v>8</v>
      </c>
      <c r="D41">
        <v>28</v>
      </c>
      <c r="E41" t="s">
        <v>44</v>
      </c>
    </row>
    <row r="42" spans="1:5">
      <c r="A42">
        <f>HYPERLINK("http://www.twitter.com/NYPDnews/status/806983012516855808", "806983012516855808")</f>
        <v>0</v>
      </c>
      <c r="B42" s="2">
        <v>42712.9203356481</v>
      </c>
      <c r="C42">
        <v>42</v>
      </c>
      <c r="D42">
        <v>16</v>
      </c>
      <c r="E42" t="s">
        <v>32</v>
      </c>
    </row>
    <row r="43" spans="1:5">
      <c r="A43">
        <f>HYPERLINK("http://www.twitter.com/NYPDnews/status/806969267946192900", "806969267946192900")</f>
        <v>0</v>
      </c>
      <c r="B43" s="2">
        <v>42712.8824074074</v>
      </c>
      <c r="C43">
        <v>0</v>
      </c>
      <c r="D43">
        <v>24</v>
      </c>
      <c r="E43" t="s">
        <v>45</v>
      </c>
    </row>
    <row r="44" spans="1:5">
      <c r="A44">
        <f>HYPERLINK("http://www.twitter.com/NYPDnews/status/806861029523197952", "806861029523197952")</f>
        <v>0</v>
      </c>
      <c r="B44" s="2">
        <v>42712.5837268519</v>
      </c>
      <c r="C44">
        <v>323</v>
      </c>
      <c r="D44">
        <v>144</v>
      </c>
      <c r="E44" t="s">
        <v>46</v>
      </c>
    </row>
    <row r="45" spans="1:5">
      <c r="A45">
        <f>HYPERLINK("http://www.twitter.com/NYPDnews/status/806857154837811200", "806857154837811200")</f>
        <v>0</v>
      </c>
      <c r="B45" s="2">
        <v>42712.5730439815</v>
      </c>
      <c r="C45">
        <v>33</v>
      </c>
      <c r="D45">
        <v>15</v>
      </c>
      <c r="E45" t="s">
        <v>47</v>
      </c>
    </row>
    <row r="46" spans="1:5">
      <c r="A46">
        <f>HYPERLINK("http://www.twitter.com/NYPDnews/status/806853402022051840", "806853402022051840")</f>
        <v>0</v>
      </c>
      <c r="B46" s="2">
        <v>42712.5626851852</v>
      </c>
      <c r="C46">
        <v>26</v>
      </c>
      <c r="D46">
        <v>11</v>
      </c>
      <c r="E46" t="s">
        <v>48</v>
      </c>
    </row>
    <row r="47" spans="1:5">
      <c r="A47">
        <f>HYPERLINK("http://www.twitter.com/NYPDnews/status/806849598140674048", "806849598140674048")</f>
        <v>0</v>
      </c>
      <c r="B47" s="2">
        <v>42712.5521875</v>
      </c>
      <c r="C47">
        <v>76</v>
      </c>
      <c r="D47">
        <v>16</v>
      </c>
      <c r="E47" t="s">
        <v>49</v>
      </c>
    </row>
    <row r="48" spans="1:5">
      <c r="A48">
        <f>HYPERLINK("http://www.twitter.com/NYPDnews/status/806845897179090945", "806845897179090945")</f>
        <v>0</v>
      </c>
      <c r="B48" s="2">
        <v>42712.5419791667</v>
      </c>
      <c r="C48">
        <v>19</v>
      </c>
      <c r="D48">
        <v>66</v>
      </c>
      <c r="E48" t="s">
        <v>50</v>
      </c>
    </row>
    <row r="49" spans="1:5">
      <c r="A49">
        <f>HYPERLINK("http://www.twitter.com/NYPDnews/status/806657119617433603", "806657119617433603")</f>
        <v>0</v>
      </c>
      <c r="B49" s="2">
        <v>42712.0210416667</v>
      </c>
      <c r="C49">
        <v>71</v>
      </c>
      <c r="D49">
        <v>29</v>
      </c>
      <c r="E49" t="s">
        <v>51</v>
      </c>
    </row>
    <row r="50" spans="1:5">
      <c r="A50">
        <f>HYPERLINK("http://www.twitter.com/NYPDnews/status/806649662274936833", "806649662274936833")</f>
        <v>0</v>
      </c>
      <c r="B50" s="2">
        <v>42712.000462963</v>
      </c>
      <c r="C50">
        <v>18</v>
      </c>
      <c r="D50">
        <v>5</v>
      </c>
      <c r="E50" t="s">
        <v>52</v>
      </c>
    </row>
    <row r="51" spans="1:5">
      <c r="A51">
        <f>HYPERLINK("http://www.twitter.com/NYPDnews/status/806638216807858185", "806638216807858185")</f>
        <v>0</v>
      </c>
      <c r="B51" s="2">
        <v>42711.9688888889</v>
      </c>
      <c r="C51">
        <v>16</v>
      </c>
      <c r="D51">
        <v>58</v>
      </c>
      <c r="E51" t="s">
        <v>53</v>
      </c>
    </row>
    <row r="52" spans="1:5">
      <c r="A52">
        <f>HYPERLINK("http://www.twitter.com/NYPDnews/status/806628150780239872", "806628150780239872")</f>
        <v>0</v>
      </c>
      <c r="B52" s="2">
        <v>42711.9411111111</v>
      </c>
      <c r="C52">
        <v>57</v>
      </c>
      <c r="D52">
        <v>29</v>
      </c>
      <c r="E52" t="s">
        <v>54</v>
      </c>
    </row>
    <row r="53" spans="1:5">
      <c r="A53">
        <f>HYPERLINK("http://www.twitter.com/NYPDnews/status/806570012689498113", "806570012689498113")</f>
        <v>0</v>
      </c>
      <c r="B53" s="2">
        <v>42711.7806828704</v>
      </c>
      <c r="C53">
        <v>0</v>
      </c>
      <c r="D53">
        <v>45</v>
      </c>
      <c r="E53" t="s">
        <v>55</v>
      </c>
    </row>
    <row r="54" spans="1:5">
      <c r="A54">
        <f>HYPERLINK("http://www.twitter.com/NYPDnews/status/806563176116584448", "806563176116584448")</f>
        <v>0</v>
      </c>
      <c r="B54" s="2">
        <v>42711.7618171296</v>
      </c>
      <c r="C54">
        <v>10</v>
      </c>
      <c r="D54">
        <v>28</v>
      </c>
      <c r="E54" t="s">
        <v>56</v>
      </c>
    </row>
    <row r="55" spans="1:5">
      <c r="A55">
        <f>HYPERLINK("http://www.twitter.com/NYPDnews/status/806557686762532868", "806557686762532868")</f>
        <v>0</v>
      </c>
      <c r="B55" s="2">
        <v>42711.7466666667</v>
      </c>
      <c r="C55">
        <v>148</v>
      </c>
      <c r="D55">
        <v>66</v>
      </c>
      <c r="E55" t="s">
        <v>57</v>
      </c>
    </row>
    <row r="56" spans="1:5">
      <c r="A56">
        <f>HYPERLINK("http://www.twitter.com/NYPDnews/status/806549445458460674", "806549445458460674")</f>
        <v>0</v>
      </c>
      <c r="B56" s="2">
        <v>42711.7239236111</v>
      </c>
      <c r="C56">
        <v>34</v>
      </c>
      <c r="D56">
        <v>69</v>
      </c>
      <c r="E56" t="s">
        <v>58</v>
      </c>
    </row>
    <row r="57" spans="1:5">
      <c r="A57">
        <f>HYPERLINK("http://www.twitter.com/NYPDnews/status/806494794373615616", "806494794373615616")</f>
        <v>0</v>
      </c>
      <c r="B57" s="2">
        <v>42711.5731134259</v>
      </c>
      <c r="C57">
        <v>16</v>
      </c>
      <c r="D57">
        <v>40</v>
      </c>
      <c r="E57" t="s">
        <v>59</v>
      </c>
    </row>
    <row r="58" spans="1:5">
      <c r="A58">
        <f>HYPERLINK("http://www.twitter.com/NYPDnews/status/806491132276379648", "806491132276379648")</f>
        <v>0</v>
      </c>
      <c r="B58" s="2">
        <v>42711.5630092593</v>
      </c>
      <c r="C58">
        <v>57</v>
      </c>
      <c r="D58">
        <v>13</v>
      </c>
      <c r="E58" t="s">
        <v>60</v>
      </c>
    </row>
    <row r="59" spans="1:5">
      <c r="A59">
        <f>HYPERLINK("http://www.twitter.com/NYPDnews/status/806487213982752769", "806487213982752769")</f>
        <v>0</v>
      </c>
      <c r="B59" s="2">
        <v>42711.5521990741</v>
      </c>
      <c r="C59">
        <v>143</v>
      </c>
      <c r="D59">
        <v>63</v>
      </c>
      <c r="E59" t="s">
        <v>61</v>
      </c>
    </row>
    <row r="60" spans="1:5">
      <c r="A60">
        <f>HYPERLINK("http://www.twitter.com/NYPDnews/status/806483519224631301", "806483519224631301")</f>
        <v>0</v>
      </c>
      <c r="B60" s="2">
        <v>42711.5420023148</v>
      </c>
      <c r="C60">
        <v>46</v>
      </c>
      <c r="D60">
        <v>21</v>
      </c>
      <c r="E60" t="s">
        <v>62</v>
      </c>
    </row>
    <row r="61" spans="1:5">
      <c r="A61">
        <f>HYPERLINK("http://www.twitter.com/NYPDnews/status/806288385837039616", "806288385837039616")</f>
        <v>0</v>
      </c>
      <c r="B61" s="2">
        <v>42711.0035300926</v>
      </c>
      <c r="C61">
        <v>363</v>
      </c>
      <c r="D61">
        <v>119</v>
      </c>
      <c r="E61" t="s">
        <v>63</v>
      </c>
    </row>
    <row r="62" spans="1:5">
      <c r="A62">
        <f>HYPERLINK("http://www.twitter.com/NYPDnews/status/806272135224324097", "806272135224324097")</f>
        <v>0</v>
      </c>
      <c r="B62" s="2">
        <v>42710.9586921296</v>
      </c>
      <c r="C62">
        <v>44</v>
      </c>
      <c r="D62">
        <v>20</v>
      </c>
      <c r="E62" t="s">
        <v>64</v>
      </c>
    </row>
    <row r="63" spans="1:5">
      <c r="A63">
        <f>HYPERLINK("http://www.twitter.com/NYPDnews/status/806259461396582405", "806259461396582405")</f>
        <v>0</v>
      </c>
      <c r="B63" s="2">
        <v>42710.9237152778</v>
      </c>
      <c r="C63">
        <v>16</v>
      </c>
      <c r="D63">
        <v>30</v>
      </c>
      <c r="E63" t="s">
        <v>65</v>
      </c>
    </row>
    <row r="64" spans="1:5">
      <c r="A64">
        <f>HYPERLINK("http://www.twitter.com/NYPDnews/status/806217817699844096", "806217817699844096")</f>
        <v>0</v>
      </c>
      <c r="B64" s="2">
        <v>42710.8088078704</v>
      </c>
      <c r="C64">
        <v>0</v>
      </c>
      <c r="D64">
        <v>97</v>
      </c>
      <c r="E64" t="s">
        <v>66</v>
      </c>
    </row>
    <row r="65" spans="1:5">
      <c r="A65">
        <f>HYPERLINK("http://www.twitter.com/NYPDnews/status/806187763506802690", "806187763506802690")</f>
        <v>0</v>
      </c>
      <c r="B65" s="2">
        <v>42710.7258680556</v>
      </c>
      <c r="C65">
        <v>347</v>
      </c>
      <c r="D65">
        <v>144</v>
      </c>
      <c r="E65" t="s">
        <v>67</v>
      </c>
    </row>
    <row r="66" spans="1:5">
      <c r="A66">
        <f>HYPERLINK("http://www.twitter.com/NYPDnews/status/806151344147091458", "806151344147091458")</f>
        <v>0</v>
      </c>
      <c r="B66" s="2">
        <v>42710.6253703704</v>
      </c>
      <c r="C66">
        <v>14</v>
      </c>
      <c r="D66">
        <v>5</v>
      </c>
      <c r="E66" t="s">
        <v>68</v>
      </c>
    </row>
    <row r="67" spans="1:5">
      <c r="A67">
        <f>HYPERLINK("http://www.twitter.com/NYPDnews/status/806148940026511360", "806148940026511360")</f>
        <v>0</v>
      </c>
      <c r="B67" s="2">
        <v>42710.6187384259</v>
      </c>
      <c r="C67">
        <v>6</v>
      </c>
      <c r="D67">
        <v>3</v>
      </c>
      <c r="E67" t="s">
        <v>69</v>
      </c>
    </row>
    <row r="68" spans="1:5">
      <c r="A68">
        <f>HYPERLINK("http://www.twitter.com/NYPDnews/status/806147257007489025", "806147257007489025")</f>
        <v>0</v>
      </c>
      <c r="B68" s="2">
        <v>42710.6140972222</v>
      </c>
      <c r="C68">
        <v>27</v>
      </c>
      <c r="D68">
        <v>9</v>
      </c>
      <c r="E68" t="s">
        <v>70</v>
      </c>
    </row>
    <row r="69" spans="1:5">
      <c r="A69">
        <f>HYPERLINK("http://www.twitter.com/NYPDnews/status/806145237387243520", "806145237387243520")</f>
        <v>0</v>
      </c>
      <c r="B69" s="2">
        <v>42710.6085185185</v>
      </c>
      <c r="C69">
        <v>12</v>
      </c>
      <c r="D69">
        <v>2</v>
      </c>
      <c r="E69" t="s">
        <v>71</v>
      </c>
    </row>
    <row r="70" spans="1:5">
      <c r="A70">
        <f>HYPERLINK("http://www.twitter.com/NYPDnews/status/806143735394422784", "806143735394422784")</f>
        <v>0</v>
      </c>
      <c r="B70" s="2">
        <v>42710.604375</v>
      </c>
      <c r="C70">
        <v>8</v>
      </c>
      <c r="D70">
        <v>9</v>
      </c>
      <c r="E70" t="s">
        <v>72</v>
      </c>
    </row>
    <row r="71" spans="1:5">
      <c r="A71">
        <f>HYPERLINK("http://www.twitter.com/NYPDnews/status/806135783463718912", "806135783463718912")</f>
        <v>0</v>
      </c>
      <c r="B71" s="2">
        <v>42710.5824305556</v>
      </c>
      <c r="C71">
        <v>11</v>
      </c>
      <c r="D71">
        <v>6</v>
      </c>
      <c r="E71" t="s">
        <v>73</v>
      </c>
    </row>
    <row r="72" spans="1:5">
      <c r="A72">
        <f>HYPERLINK("http://www.twitter.com/NYPDnews/status/806124813349777408", "806124813349777408")</f>
        <v>0</v>
      </c>
      <c r="B72" s="2">
        <v>42710.5521643519</v>
      </c>
      <c r="C72">
        <v>26</v>
      </c>
      <c r="D72">
        <v>93</v>
      </c>
      <c r="E72" t="s">
        <v>74</v>
      </c>
    </row>
    <row r="73" spans="1:5">
      <c r="A73">
        <f>HYPERLINK("http://www.twitter.com/NYPDnews/status/806121142729797633", "806121142729797633")</f>
        <v>0</v>
      </c>
      <c r="B73" s="2">
        <v>42710.542037037</v>
      </c>
      <c r="C73">
        <v>64</v>
      </c>
      <c r="D73">
        <v>21</v>
      </c>
      <c r="E73" t="s">
        <v>75</v>
      </c>
    </row>
    <row r="74" spans="1:5">
      <c r="A74">
        <f>HYPERLINK("http://www.twitter.com/NYPDnews/status/806107195599421441", "806107195599421441")</f>
        <v>0</v>
      </c>
      <c r="B74" s="2">
        <v>42710.5035416667</v>
      </c>
      <c r="C74">
        <v>10</v>
      </c>
      <c r="D74">
        <v>11</v>
      </c>
      <c r="E74" t="s">
        <v>76</v>
      </c>
    </row>
    <row r="75" spans="1:5">
      <c r="A75">
        <f>HYPERLINK("http://www.twitter.com/NYPDnews/status/805949929474490368", "805949929474490368")</f>
        <v>0</v>
      </c>
      <c r="B75" s="2">
        <v>42710.0695717593</v>
      </c>
      <c r="C75">
        <v>24</v>
      </c>
      <c r="D75">
        <v>44</v>
      </c>
      <c r="E75" t="s">
        <v>77</v>
      </c>
    </row>
    <row r="76" spans="1:5">
      <c r="A76">
        <f>HYPERLINK("http://www.twitter.com/NYPDnews/status/805932357748424704", "805932357748424704")</f>
        <v>0</v>
      </c>
      <c r="B76" s="2">
        <v>42710.021087963</v>
      </c>
      <c r="C76">
        <v>115</v>
      </c>
      <c r="D76">
        <v>21</v>
      </c>
      <c r="E76" t="s">
        <v>78</v>
      </c>
    </row>
    <row r="77" spans="1:5">
      <c r="A77">
        <f>HYPERLINK("http://www.twitter.com/NYPDnews/status/805918454121398272", "805918454121398272")</f>
        <v>0</v>
      </c>
      <c r="B77" s="2">
        <v>42709.9827199074</v>
      </c>
      <c r="C77">
        <v>79</v>
      </c>
      <c r="D77">
        <v>43</v>
      </c>
      <c r="E77" t="s">
        <v>79</v>
      </c>
    </row>
    <row r="78" spans="1:5">
      <c r="A78">
        <f>HYPERLINK("http://www.twitter.com/NYPDnews/status/805907149922693120", "805907149922693120")</f>
        <v>0</v>
      </c>
      <c r="B78" s="2">
        <v>42709.9515277778</v>
      </c>
      <c r="C78">
        <v>21</v>
      </c>
      <c r="D78">
        <v>63</v>
      </c>
      <c r="E78" t="s">
        <v>80</v>
      </c>
    </row>
    <row r="79" spans="1:5">
      <c r="A79">
        <f>HYPERLINK("http://www.twitter.com/NYPDnews/status/805895914007175169", "805895914007175169")</f>
        <v>0</v>
      </c>
      <c r="B79" s="2">
        <v>42709.9205208333</v>
      </c>
      <c r="C79">
        <v>29</v>
      </c>
      <c r="D79">
        <v>20</v>
      </c>
      <c r="E79" t="s">
        <v>81</v>
      </c>
    </row>
    <row r="80" spans="1:5">
      <c r="A80">
        <f>HYPERLINK("http://www.twitter.com/NYPDnews/status/805836300700057601", "805836300700057601")</f>
        <v>0</v>
      </c>
      <c r="B80" s="2">
        <v>42709.7560185185</v>
      </c>
      <c r="C80">
        <v>0</v>
      </c>
      <c r="D80">
        <v>27</v>
      </c>
      <c r="E80" t="s">
        <v>82</v>
      </c>
    </row>
    <row r="81" spans="1:5">
      <c r="A81">
        <f>HYPERLINK("http://www.twitter.com/NYPDnews/status/805835478398337024", "805835478398337024")</f>
        <v>0</v>
      </c>
      <c r="B81" s="2">
        <v>42709.75375</v>
      </c>
      <c r="C81">
        <v>60</v>
      </c>
      <c r="D81">
        <v>24</v>
      </c>
      <c r="E81" t="s">
        <v>83</v>
      </c>
    </row>
    <row r="82" spans="1:5">
      <c r="A82">
        <f>HYPERLINK("http://www.twitter.com/NYPDnews/status/805833775003430912", "805833775003430912")</f>
        <v>0</v>
      </c>
      <c r="B82" s="2">
        <v>42709.7490509259</v>
      </c>
      <c r="C82">
        <v>135</v>
      </c>
      <c r="D82">
        <v>60</v>
      </c>
      <c r="E82" t="s">
        <v>84</v>
      </c>
    </row>
    <row r="83" spans="1:5">
      <c r="A83">
        <f>HYPERLINK("http://www.twitter.com/NYPDnews/status/805821114891075588", "805821114891075588")</f>
        <v>0</v>
      </c>
      <c r="B83" s="2">
        <v>42709.7141087963</v>
      </c>
      <c r="C83">
        <v>0</v>
      </c>
      <c r="D83">
        <v>47</v>
      </c>
      <c r="E83" t="s">
        <v>85</v>
      </c>
    </row>
    <row r="84" spans="1:5">
      <c r="A84">
        <f>HYPERLINK("http://www.twitter.com/NYPDnews/status/805798378365943808", "805798378365943808")</f>
        <v>0</v>
      </c>
      <c r="B84" s="2">
        <v>42709.6513773148</v>
      </c>
      <c r="C84">
        <v>66</v>
      </c>
      <c r="D84">
        <v>18</v>
      </c>
      <c r="E84" t="s">
        <v>86</v>
      </c>
    </row>
    <row r="85" spans="1:5">
      <c r="A85">
        <f>HYPERLINK("http://www.twitter.com/NYPDnews/status/805795122491297792", "805795122491297792")</f>
        <v>0</v>
      </c>
      <c r="B85" s="2">
        <v>42709.6423842593</v>
      </c>
      <c r="C85">
        <v>87</v>
      </c>
      <c r="D85">
        <v>36</v>
      </c>
      <c r="E85" t="s">
        <v>87</v>
      </c>
    </row>
    <row r="86" spans="1:5">
      <c r="A86">
        <f>HYPERLINK("http://www.twitter.com/NYPDnews/status/805792063224762368", "805792063224762368")</f>
        <v>0</v>
      </c>
      <c r="B86" s="2">
        <v>42709.6339467593</v>
      </c>
      <c r="C86">
        <v>100</v>
      </c>
      <c r="D86">
        <v>64</v>
      </c>
      <c r="E86" t="s">
        <v>88</v>
      </c>
    </row>
    <row r="87" spans="1:5">
      <c r="A87">
        <f>HYPERLINK("http://www.twitter.com/NYPDnews/status/805789747994038273", "805789747994038273")</f>
        <v>0</v>
      </c>
      <c r="B87" s="2">
        <v>42709.6275578704</v>
      </c>
      <c r="C87">
        <v>18</v>
      </c>
      <c r="D87">
        <v>7</v>
      </c>
      <c r="E87" t="s">
        <v>89</v>
      </c>
    </row>
    <row r="88" spans="1:5">
      <c r="A88">
        <f>HYPERLINK("http://www.twitter.com/NYPDnews/status/805787155771564032", "805787155771564032")</f>
        <v>0</v>
      </c>
      <c r="B88" s="2">
        <v>42709.6204050926</v>
      </c>
      <c r="C88">
        <v>21</v>
      </c>
      <c r="D88">
        <v>9</v>
      </c>
      <c r="E88" t="s">
        <v>90</v>
      </c>
    </row>
    <row r="89" spans="1:5">
      <c r="A89">
        <f>HYPERLINK("http://www.twitter.com/NYPDnews/status/805769984521732096", "805769984521732096")</f>
        <v>0</v>
      </c>
      <c r="B89" s="2">
        <v>42709.5730208333</v>
      </c>
      <c r="C89">
        <v>37</v>
      </c>
      <c r="D89">
        <v>22</v>
      </c>
      <c r="E89" t="s">
        <v>91</v>
      </c>
    </row>
    <row r="90" spans="1:5">
      <c r="A90">
        <f>HYPERLINK("http://www.twitter.com/NYPDnews/status/805766072695750656", "805766072695750656")</f>
        <v>0</v>
      </c>
      <c r="B90" s="2">
        <v>42709.5622222222</v>
      </c>
      <c r="C90">
        <v>16</v>
      </c>
      <c r="D90">
        <v>6</v>
      </c>
      <c r="E90" t="s">
        <v>92</v>
      </c>
    </row>
    <row r="91" spans="1:5">
      <c r="A91">
        <f>HYPERLINK("http://www.twitter.com/NYPDnews/status/805762434489352192", "805762434489352192")</f>
        <v>0</v>
      </c>
      <c r="B91" s="2">
        <v>42709.5521875</v>
      </c>
      <c r="C91">
        <v>47</v>
      </c>
      <c r="D91">
        <v>13</v>
      </c>
      <c r="E91" t="s">
        <v>93</v>
      </c>
    </row>
    <row r="92" spans="1:5">
      <c r="A92">
        <f>HYPERLINK("http://www.twitter.com/NYPDnews/status/805758749453484032", "805758749453484032")</f>
        <v>0</v>
      </c>
      <c r="B92" s="2">
        <v>42709.5420138889</v>
      </c>
      <c r="C92">
        <v>11</v>
      </c>
      <c r="D92">
        <v>39</v>
      </c>
      <c r="E92" t="s">
        <v>94</v>
      </c>
    </row>
    <row r="93" spans="1:5">
      <c r="A93">
        <f>HYPERLINK("http://www.twitter.com/NYPDnews/status/805532198136934400", "805532198136934400")</f>
        <v>0</v>
      </c>
      <c r="B93" s="2">
        <v>42708.9168518518</v>
      </c>
      <c r="C93">
        <v>69</v>
      </c>
      <c r="D93">
        <v>133</v>
      </c>
      <c r="E93" t="s">
        <v>95</v>
      </c>
    </row>
    <row r="94" spans="1:5">
      <c r="A94">
        <f>HYPERLINK("http://www.twitter.com/NYPDnews/status/805460478264823808", "805460478264823808")</f>
        <v>0</v>
      </c>
      <c r="B94" s="2">
        <v>42708.7189467593</v>
      </c>
      <c r="C94">
        <v>26</v>
      </c>
      <c r="D94">
        <v>69</v>
      </c>
      <c r="E94" t="s">
        <v>96</v>
      </c>
    </row>
    <row r="95" spans="1:5">
      <c r="A95">
        <f>HYPERLINK("http://www.twitter.com/NYPDnews/status/805436549739511808", "805436549739511808")</f>
        <v>0</v>
      </c>
      <c r="B95" s="2">
        <v>42708.6529166667</v>
      </c>
      <c r="C95">
        <v>173</v>
      </c>
      <c r="D95">
        <v>87</v>
      </c>
      <c r="E95" t="s">
        <v>97</v>
      </c>
    </row>
    <row r="96" spans="1:5">
      <c r="A96">
        <f>HYPERLINK("http://www.twitter.com/NYPDnews/status/805405069067878401", "805405069067878401")</f>
        <v>0</v>
      </c>
      <c r="B96" s="2">
        <v>42708.5660416667</v>
      </c>
      <c r="C96">
        <v>50</v>
      </c>
      <c r="D96">
        <v>135</v>
      </c>
      <c r="E96" t="s">
        <v>98</v>
      </c>
    </row>
    <row r="97" spans="1:5">
      <c r="A97">
        <f>HYPERLINK("http://www.twitter.com/NYPDnews/status/805397527784787968", "805397527784787968")</f>
        <v>0</v>
      </c>
      <c r="B97" s="2">
        <v>42708.5452314815</v>
      </c>
      <c r="C97">
        <v>19</v>
      </c>
      <c r="D97">
        <v>8</v>
      </c>
      <c r="E97" t="s">
        <v>99</v>
      </c>
    </row>
    <row r="98" spans="1:5">
      <c r="A98">
        <f>HYPERLINK("http://www.twitter.com/NYPDnews/status/805236440238084098", "805236440238084098")</f>
        <v>0</v>
      </c>
      <c r="B98" s="2">
        <v>42708.1007175926</v>
      </c>
      <c r="C98">
        <v>148</v>
      </c>
      <c r="D98">
        <v>38</v>
      </c>
      <c r="E98" t="s">
        <v>100</v>
      </c>
    </row>
    <row r="99" spans="1:5">
      <c r="A99">
        <f>HYPERLINK("http://www.twitter.com/NYPDnews/status/805220906989735936", "805220906989735936")</f>
        <v>0</v>
      </c>
      <c r="B99" s="2">
        <v>42708.0578587963</v>
      </c>
      <c r="C99">
        <v>76</v>
      </c>
      <c r="D99">
        <v>21</v>
      </c>
      <c r="E99" t="s">
        <v>101</v>
      </c>
    </row>
    <row r="100" spans="1:5">
      <c r="A100">
        <f>HYPERLINK("http://www.twitter.com/NYPDnews/status/805173561849741312", "805173561849741312")</f>
        <v>0</v>
      </c>
      <c r="B100" s="2">
        <v>42707.9272106482</v>
      </c>
      <c r="C100">
        <v>101</v>
      </c>
      <c r="D100">
        <v>53</v>
      </c>
      <c r="E100" t="s">
        <v>102</v>
      </c>
    </row>
    <row r="101" spans="1:5">
      <c r="A101">
        <f>HYPERLINK("http://www.twitter.com/NYPDnews/status/805160169806106625", "805160169806106625")</f>
        <v>0</v>
      </c>
      <c r="B101" s="2">
        <v>42707.8902546296</v>
      </c>
      <c r="C101">
        <v>97</v>
      </c>
      <c r="D101">
        <v>38</v>
      </c>
      <c r="E101" t="s">
        <v>103</v>
      </c>
    </row>
    <row r="102" spans="1:5">
      <c r="A102">
        <f>HYPERLINK("http://www.twitter.com/NYPDnews/status/805148384260722689", "805148384260722689")</f>
        <v>0</v>
      </c>
      <c r="B102" s="2">
        <v>42707.8577314815</v>
      </c>
      <c r="C102">
        <v>53</v>
      </c>
      <c r="D102">
        <v>20</v>
      </c>
      <c r="E102" t="s">
        <v>104</v>
      </c>
    </row>
    <row r="103" spans="1:5">
      <c r="A103">
        <f>HYPERLINK("http://www.twitter.com/NYPDnews/status/805103081503461376", "805103081503461376")</f>
        <v>0</v>
      </c>
      <c r="B103" s="2">
        <v>42707.7327199074</v>
      </c>
      <c r="C103">
        <v>56</v>
      </c>
      <c r="D103">
        <v>35</v>
      </c>
      <c r="E103" t="s">
        <v>105</v>
      </c>
    </row>
    <row r="104" spans="1:5">
      <c r="A104">
        <f>HYPERLINK("http://www.twitter.com/NYPDnews/status/805065341118377984", "805065341118377984")</f>
        <v>0</v>
      </c>
      <c r="B104" s="2">
        <v>42707.6285763889</v>
      </c>
      <c r="C104">
        <v>32</v>
      </c>
      <c r="D104">
        <v>88</v>
      </c>
      <c r="E104" t="s">
        <v>106</v>
      </c>
    </row>
    <row r="105" spans="1:5">
      <c r="A105">
        <f>HYPERLINK("http://www.twitter.com/NYPDnews/status/805043410369384448", "805043410369384448")</f>
        <v>0</v>
      </c>
      <c r="B105" s="2">
        <v>42707.5680555556</v>
      </c>
      <c r="C105">
        <v>13</v>
      </c>
      <c r="D105">
        <v>11</v>
      </c>
      <c r="E105" t="s">
        <v>107</v>
      </c>
    </row>
    <row r="106" spans="1:5">
      <c r="A106">
        <f>HYPERLINK("http://www.twitter.com/NYPDnews/status/804837701283418112", "804837701283418112")</f>
        <v>0</v>
      </c>
      <c r="B106" s="2">
        <v>42707.0004050926</v>
      </c>
      <c r="C106">
        <v>32</v>
      </c>
      <c r="D106">
        <v>27</v>
      </c>
      <c r="E106" t="s">
        <v>108</v>
      </c>
    </row>
    <row r="107" spans="1:5">
      <c r="A107">
        <f>HYPERLINK("http://www.twitter.com/NYPDnews/status/804823747911909376", "804823747911909376")</f>
        <v>0</v>
      </c>
      <c r="B107" s="2">
        <v>42706.9619097222</v>
      </c>
      <c r="C107">
        <v>17</v>
      </c>
      <c r="D107">
        <v>30</v>
      </c>
      <c r="E107" t="s">
        <v>109</v>
      </c>
    </row>
    <row r="108" spans="1:5">
      <c r="A108">
        <f>HYPERLINK("http://www.twitter.com/NYPDnews/status/804811178492985344", "804811178492985344")</f>
        <v>0</v>
      </c>
      <c r="B108" s="2">
        <v>42706.9272222222</v>
      </c>
      <c r="C108">
        <v>174</v>
      </c>
      <c r="D108">
        <v>44</v>
      </c>
      <c r="E108" t="s">
        <v>110</v>
      </c>
    </row>
    <row r="109" spans="1:5">
      <c r="A109">
        <f>HYPERLINK("http://www.twitter.com/NYPDnews/status/804798587238486016", "804798587238486016")</f>
        <v>0</v>
      </c>
      <c r="B109" s="2">
        <v>42706.8924768519</v>
      </c>
      <c r="C109">
        <v>13</v>
      </c>
      <c r="D109">
        <v>28</v>
      </c>
      <c r="E109" t="s">
        <v>111</v>
      </c>
    </row>
    <row r="110" spans="1:5">
      <c r="A110">
        <f>HYPERLINK("http://www.twitter.com/NYPDnews/status/804740705465864195", "804740705465864195")</f>
        <v>0</v>
      </c>
      <c r="B110" s="2">
        <v>42706.7327546296</v>
      </c>
      <c r="C110">
        <v>46</v>
      </c>
      <c r="D110">
        <v>51</v>
      </c>
      <c r="E110" t="s">
        <v>112</v>
      </c>
    </row>
    <row r="111" spans="1:5">
      <c r="A111">
        <f>HYPERLINK("http://www.twitter.com/NYPDnews/status/804704419132665857", "804704419132665857")</f>
        <v>0</v>
      </c>
      <c r="B111" s="2">
        <v>42706.6326157407</v>
      </c>
      <c r="C111">
        <v>0</v>
      </c>
      <c r="D111">
        <v>13</v>
      </c>
      <c r="E111" t="s">
        <v>113</v>
      </c>
    </row>
    <row r="112" spans="1:5">
      <c r="A112">
        <f>HYPERLINK("http://www.twitter.com/NYPDnews/status/804684220375461888", "804684220375461888")</f>
        <v>0</v>
      </c>
      <c r="B112" s="2">
        <v>42706.5768865741</v>
      </c>
      <c r="C112">
        <v>20</v>
      </c>
      <c r="D112">
        <v>5</v>
      </c>
      <c r="E112" t="s">
        <v>114</v>
      </c>
    </row>
    <row r="113" spans="1:5">
      <c r="A113">
        <f>HYPERLINK("http://www.twitter.com/NYPDnews/status/804679519852494849", "804679519852494849")</f>
        <v>0</v>
      </c>
      <c r="B113" s="2">
        <v>42706.563912037</v>
      </c>
      <c r="C113">
        <v>15</v>
      </c>
      <c r="D113">
        <v>17</v>
      </c>
      <c r="E113" t="s">
        <v>115</v>
      </c>
    </row>
    <row r="114" spans="1:5">
      <c r="A114">
        <f>HYPERLINK("http://www.twitter.com/NYPDnews/status/804675273581101056", "804675273581101056")</f>
        <v>0</v>
      </c>
      <c r="B114" s="2">
        <v>42706.5521990741</v>
      </c>
      <c r="C114">
        <v>22</v>
      </c>
      <c r="D114">
        <v>38</v>
      </c>
      <c r="E114" t="s">
        <v>116</v>
      </c>
    </row>
    <row r="115" spans="1:5">
      <c r="A115">
        <f>HYPERLINK("http://www.twitter.com/NYPDnews/status/804671569641558016", "804671569641558016")</f>
        <v>0</v>
      </c>
      <c r="B115" s="2">
        <v>42706.5419675926</v>
      </c>
      <c r="C115">
        <v>20</v>
      </c>
      <c r="D115">
        <v>10</v>
      </c>
      <c r="E115" t="s">
        <v>117</v>
      </c>
    </row>
    <row r="116" spans="1:5">
      <c r="A116">
        <f>HYPERLINK("http://www.twitter.com/NYPDnews/status/804513983126532096", "804513983126532096")</f>
        <v>0</v>
      </c>
      <c r="B116" s="2">
        <v>42706.1071180556</v>
      </c>
      <c r="C116">
        <v>749</v>
      </c>
      <c r="D116">
        <v>456</v>
      </c>
      <c r="E116" t="s">
        <v>118</v>
      </c>
    </row>
    <row r="117" spans="1:5">
      <c r="A117">
        <f>HYPERLINK("http://www.twitter.com/NYPDnews/status/804499097747124224", "804499097747124224")</f>
        <v>0</v>
      </c>
      <c r="B117" s="2">
        <v>42706.0660416667</v>
      </c>
      <c r="C117">
        <v>70</v>
      </c>
      <c r="D117">
        <v>17</v>
      </c>
      <c r="E117" t="s">
        <v>119</v>
      </c>
    </row>
    <row r="118" spans="1:5">
      <c r="A118">
        <f>HYPERLINK("http://www.twitter.com/NYPDnews/status/804491548780072960", "804491548780072960")</f>
        <v>0</v>
      </c>
      <c r="B118" s="2">
        <v>42706.0452083333</v>
      </c>
      <c r="C118">
        <v>28</v>
      </c>
      <c r="D118">
        <v>15</v>
      </c>
      <c r="E118" t="s">
        <v>120</v>
      </c>
    </row>
    <row r="119" spans="1:5">
      <c r="A119">
        <f>HYPERLINK("http://www.twitter.com/NYPDnews/status/804480281684152320", "804480281684152320")</f>
        <v>0</v>
      </c>
      <c r="B119" s="2">
        <v>42706.0141203704</v>
      </c>
      <c r="C119">
        <v>66</v>
      </c>
      <c r="D119">
        <v>86</v>
      </c>
      <c r="E119" t="s">
        <v>121</v>
      </c>
    </row>
    <row r="120" spans="1:5">
      <c r="A120">
        <f>HYPERLINK("http://www.twitter.com/NYPDnews/status/804465148157108225", "804465148157108225")</f>
        <v>0</v>
      </c>
      <c r="B120" s="2">
        <v>42705.9723611111</v>
      </c>
      <c r="C120">
        <v>8</v>
      </c>
      <c r="D120">
        <v>9</v>
      </c>
      <c r="E120" t="s">
        <v>122</v>
      </c>
    </row>
    <row r="121" spans="1:5">
      <c r="A121">
        <f>HYPERLINK("http://www.twitter.com/NYPDnews/status/804453803655315456", "804453803655315456")</f>
        <v>0</v>
      </c>
      <c r="B121" s="2">
        <v>42705.9410532407</v>
      </c>
      <c r="C121">
        <v>56</v>
      </c>
      <c r="D121">
        <v>13</v>
      </c>
      <c r="E121" t="s">
        <v>123</v>
      </c>
    </row>
    <row r="122" spans="1:5">
      <c r="A122">
        <f>HYPERLINK("http://www.twitter.com/NYPDnews/status/804442520843390976", "804442520843390976")</f>
        <v>0</v>
      </c>
      <c r="B122" s="2">
        <v>42705.9099189815</v>
      </c>
      <c r="C122">
        <v>39</v>
      </c>
      <c r="D122">
        <v>28</v>
      </c>
      <c r="E122" t="s">
        <v>124</v>
      </c>
    </row>
    <row r="123" spans="1:5">
      <c r="A123">
        <f>HYPERLINK("http://www.twitter.com/NYPDnews/status/804389309432397824", "804389309432397824")</f>
        <v>0</v>
      </c>
      <c r="B123" s="2">
        <v>42705.7630787037</v>
      </c>
      <c r="C123">
        <v>77</v>
      </c>
      <c r="D123">
        <v>36</v>
      </c>
      <c r="E123" t="s">
        <v>125</v>
      </c>
    </row>
    <row r="124" spans="1:5">
      <c r="A124">
        <f>HYPERLINK("http://www.twitter.com/NYPDnews/status/804321677853204480", "804321677853204480")</f>
        <v>0</v>
      </c>
      <c r="B124" s="2">
        <v>42705.5764583333</v>
      </c>
      <c r="C124">
        <v>34</v>
      </c>
      <c r="D124">
        <v>89</v>
      </c>
      <c r="E124" t="s">
        <v>126</v>
      </c>
    </row>
    <row r="125" spans="1:5">
      <c r="A125">
        <f>HYPERLINK("http://www.twitter.com/NYPDnews/status/804316684765057025", "804316684765057025")</f>
        <v>0</v>
      </c>
      <c r="B125" s="2">
        <v>42705.5626736111</v>
      </c>
      <c r="C125">
        <v>150</v>
      </c>
      <c r="D125">
        <v>54</v>
      </c>
      <c r="E125" t="s">
        <v>127</v>
      </c>
    </row>
    <row r="126" spans="1:5">
      <c r="A126">
        <f>HYPERLINK("http://www.twitter.com/NYPDnews/status/804312898411626496", "804312898411626496")</f>
        <v>0</v>
      </c>
      <c r="B126" s="2">
        <v>42705.5522337963</v>
      </c>
      <c r="C126">
        <v>69</v>
      </c>
      <c r="D126">
        <v>24</v>
      </c>
      <c r="E126" t="s">
        <v>128</v>
      </c>
    </row>
    <row r="127" spans="1:5">
      <c r="A127">
        <f>HYPERLINK("http://www.twitter.com/NYPDnews/status/804125518786347008", "804125518786347008")</f>
        <v>0</v>
      </c>
      <c r="B127" s="2">
        <v>42705.035162037</v>
      </c>
      <c r="C127">
        <v>0</v>
      </c>
      <c r="D127">
        <v>133</v>
      </c>
      <c r="E127" t="s">
        <v>129</v>
      </c>
    </row>
    <row r="128" spans="1:5">
      <c r="A128">
        <f>HYPERLINK("http://www.twitter.com/NYPDnews/status/804104382199590912", "804104382199590912")</f>
        <v>0</v>
      </c>
      <c r="B128" s="2">
        <v>42704.9768287037</v>
      </c>
      <c r="C128">
        <v>0</v>
      </c>
      <c r="D128">
        <v>82</v>
      </c>
      <c r="E128" t="s">
        <v>130</v>
      </c>
    </row>
    <row r="129" spans="1:5">
      <c r="A129">
        <f>HYPERLINK("http://www.twitter.com/NYPDnews/status/804098973908795392", "804098973908795392")</f>
        <v>0</v>
      </c>
      <c r="B129" s="2">
        <v>42704.9619097222</v>
      </c>
      <c r="C129">
        <v>20</v>
      </c>
      <c r="D129">
        <v>49</v>
      </c>
      <c r="E129" t="s">
        <v>131</v>
      </c>
    </row>
    <row r="130" spans="1:5">
      <c r="A130">
        <f>HYPERLINK("http://www.twitter.com/NYPDnews/status/804091415357771778", "804091415357771778")</f>
        <v>0</v>
      </c>
      <c r="B130" s="2">
        <v>42704.9410532407</v>
      </c>
      <c r="C130">
        <v>12</v>
      </c>
      <c r="D130">
        <v>14</v>
      </c>
      <c r="E130" t="s">
        <v>122</v>
      </c>
    </row>
    <row r="131" spans="1:5">
      <c r="A131">
        <f>HYPERLINK("http://www.twitter.com/NYPDnews/status/804087860752240642", "804087860752240642")</f>
        <v>0</v>
      </c>
      <c r="B131" s="2">
        <v>42704.9312384259</v>
      </c>
      <c r="C131">
        <v>54</v>
      </c>
      <c r="D131">
        <v>10</v>
      </c>
      <c r="E131" t="s">
        <v>132</v>
      </c>
    </row>
    <row r="132" spans="1:5">
      <c r="A132">
        <f>HYPERLINK("http://www.twitter.com/NYPDnews/status/804071305947578368", "804071305947578368")</f>
        <v>0</v>
      </c>
      <c r="B132" s="2">
        <v>42704.8855555556</v>
      </c>
      <c r="C132">
        <v>51</v>
      </c>
      <c r="D132">
        <v>37</v>
      </c>
      <c r="E132" t="s">
        <v>133</v>
      </c>
    </row>
    <row r="133" spans="1:5">
      <c r="A133">
        <f>HYPERLINK("http://www.twitter.com/NYPDnews/status/804048647264595973", "804048647264595973")</f>
        <v>0</v>
      </c>
      <c r="B133" s="2">
        <v>42704.8230324074</v>
      </c>
      <c r="C133">
        <v>42</v>
      </c>
      <c r="D133">
        <v>23</v>
      </c>
      <c r="E133" t="s">
        <v>134</v>
      </c>
    </row>
    <row r="134" spans="1:5">
      <c r="A134">
        <f>HYPERLINK("http://www.twitter.com/NYPDnews/status/804038555244855297", "804038555244855297")</f>
        <v>0</v>
      </c>
      <c r="B134" s="2">
        <v>42704.7951851852</v>
      </c>
      <c r="C134">
        <v>33</v>
      </c>
      <c r="D134">
        <v>6</v>
      </c>
      <c r="E134" t="s">
        <v>135</v>
      </c>
    </row>
    <row r="135" spans="1:5">
      <c r="A135">
        <f>HYPERLINK("http://www.twitter.com/NYPDnews/status/803979544793415680", "803979544793415680")</f>
        <v>0</v>
      </c>
      <c r="B135" s="2">
        <v>42704.632349537</v>
      </c>
      <c r="C135">
        <v>54</v>
      </c>
      <c r="D135">
        <v>18</v>
      </c>
      <c r="E135" t="s">
        <v>136</v>
      </c>
    </row>
    <row r="136" spans="1:5">
      <c r="A136">
        <f>HYPERLINK("http://www.twitter.com/NYPDnews/status/803974011738787840", "803974011738787840")</f>
        <v>0</v>
      </c>
      <c r="B136" s="2">
        <v>42704.6170833333</v>
      </c>
      <c r="C136">
        <v>40</v>
      </c>
      <c r="D136">
        <v>11</v>
      </c>
      <c r="E136" t="s">
        <v>137</v>
      </c>
    </row>
    <row r="137" spans="1:5">
      <c r="A137">
        <f>HYPERLINK("http://www.twitter.com/NYPDnews/status/803968569411272704", "803968569411272704")</f>
        <v>0</v>
      </c>
      <c r="B137" s="2">
        <v>42704.6020601852</v>
      </c>
      <c r="C137">
        <v>74</v>
      </c>
      <c r="D137">
        <v>25</v>
      </c>
      <c r="E137" t="s">
        <v>138</v>
      </c>
    </row>
    <row r="138" spans="1:5">
      <c r="A138">
        <f>HYPERLINK("http://www.twitter.com/NYPDnews/status/803966869761888258", "803966869761888258")</f>
        <v>0</v>
      </c>
      <c r="B138" s="2">
        <v>42704.5973726852</v>
      </c>
      <c r="C138">
        <v>47</v>
      </c>
      <c r="D138">
        <v>19</v>
      </c>
      <c r="E138" t="s">
        <v>139</v>
      </c>
    </row>
    <row r="139" spans="1:5">
      <c r="A139">
        <f>HYPERLINK("http://www.twitter.com/NYPDnews/status/803959293867335680", "803959293867335680")</f>
        <v>0</v>
      </c>
      <c r="B139" s="2">
        <v>42704.5764699074</v>
      </c>
      <c r="C139">
        <v>14</v>
      </c>
      <c r="D139">
        <v>9</v>
      </c>
      <c r="E139" t="s">
        <v>140</v>
      </c>
    </row>
    <row r="140" spans="1:5">
      <c r="A140">
        <f>HYPERLINK("http://www.twitter.com/NYPDnews/status/803954400104509440", "803954400104509440")</f>
        <v>0</v>
      </c>
      <c r="B140" s="2">
        <v>42704.562962963</v>
      </c>
      <c r="C140">
        <v>83</v>
      </c>
      <c r="D140">
        <v>32</v>
      </c>
      <c r="E140" t="s">
        <v>141</v>
      </c>
    </row>
    <row r="141" spans="1:5">
      <c r="A141">
        <f>HYPERLINK("http://www.twitter.com/NYPDnews/status/803950482574155776", "803950482574155776")</f>
        <v>0</v>
      </c>
      <c r="B141" s="2">
        <v>42704.5521527778</v>
      </c>
      <c r="C141">
        <v>1184</v>
      </c>
      <c r="D141">
        <v>1081</v>
      </c>
      <c r="E141" t="s">
        <v>142</v>
      </c>
    </row>
    <row r="142" spans="1:5">
      <c r="A142">
        <f>HYPERLINK("http://www.twitter.com/NYPDnews/status/803947005299015680", "803947005299015680")</f>
        <v>0</v>
      </c>
      <c r="B142" s="2">
        <v>42704.5425578704</v>
      </c>
      <c r="C142">
        <v>61</v>
      </c>
      <c r="D142">
        <v>23</v>
      </c>
      <c r="E142" t="s">
        <v>143</v>
      </c>
    </row>
    <row r="143" spans="1:5">
      <c r="A143">
        <f>HYPERLINK("http://www.twitter.com/NYPDnews/status/803778459956822016", "803778459956822016")</f>
        <v>0</v>
      </c>
      <c r="B143" s="2">
        <v>42704.0774537037</v>
      </c>
      <c r="C143">
        <v>115</v>
      </c>
      <c r="D143">
        <v>46</v>
      </c>
      <c r="E143" t="s">
        <v>144</v>
      </c>
    </row>
    <row r="144" spans="1:5">
      <c r="A144">
        <f>HYPERLINK("http://www.twitter.com/NYPDnews/status/803739127032090624", "803739127032090624")</f>
        <v>0</v>
      </c>
      <c r="B144" s="2">
        <v>42703.9689236111</v>
      </c>
      <c r="C144">
        <v>23</v>
      </c>
      <c r="D144">
        <v>60</v>
      </c>
      <c r="E144" t="s">
        <v>145</v>
      </c>
    </row>
    <row r="145" spans="1:5">
      <c r="A145">
        <f>HYPERLINK("http://www.twitter.com/NYPDnews/status/803720345836462080", "803720345836462080")</f>
        <v>0</v>
      </c>
      <c r="B145" s="2">
        <v>42703.9170949074</v>
      </c>
      <c r="C145">
        <v>12</v>
      </c>
      <c r="D145">
        <v>47</v>
      </c>
      <c r="E145" t="s">
        <v>146</v>
      </c>
    </row>
    <row r="146" spans="1:5">
      <c r="A146">
        <f>HYPERLINK("http://www.twitter.com/NYPDnews/status/803710177589477377", "803710177589477377")</f>
        <v>0</v>
      </c>
      <c r="B146" s="2">
        <v>42703.8890393519</v>
      </c>
      <c r="C146">
        <v>58</v>
      </c>
      <c r="D146">
        <v>35</v>
      </c>
      <c r="E146" t="s">
        <v>147</v>
      </c>
    </row>
    <row r="147" spans="1:5">
      <c r="A147">
        <f>HYPERLINK("http://www.twitter.com/NYPDnews/status/803633193815457792", "803633193815457792")</f>
        <v>0</v>
      </c>
      <c r="B147" s="2">
        <v>42703.6765972222</v>
      </c>
      <c r="C147">
        <v>0</v>
      </c>
      <c r="D147">
        <v>60</v>
      </c>
      <c r="E147" t="s">
        <v>148</v>
      </c>
    </row>
    <row r="148" spans="1:5">
      <c r="A148">
        <f>HYPERLINK("http://www.twitter.com/NYPDnews/status/803630884675088384", "803630884675088384")</f>
        <v>0</v>
      </c>
      <c r="B148" s="2">
        <v>42703.6702314815</v>
      </c>
      <c r="C148">
        <v>10</v>
      </c>
      <c r="D148">
        <v>6</v>
      </c>
      <c r="E148" t="s">
        <v>149</v>
      </c>
    </row>
    <row r="149" spans="1:5">
      <c r="A149">
        <f>HYPERLINK("http://www.twitter.com/NYPDnews/status/803629652090781696", "803629652090781696")</f>
        <v>0</v>
      </c>
      <c r="B149" s="2">
        <v>42703.6668287037</v>
      </c>
      <c r="C149">
        <v>16</v>
      </c>
      <c r="D149">
        <v>6</v>
      </c>
      <c r="E149" t="s">
        <v>150</v>
      </c>
    </row>
    <row r="150" spans="1:5">
      <c r="A150">
        <f>HYPERLINK("http://www.twitter.com/NYPDnews/status/803628364766527488", "803628364766527488")</f>
        <v>0</v>
      </c>
      <c r="B150" s="2">
        <v>42703.663275463</v>
      </c>
      <c r="C150">
        <v>21</v>
      </c>
      <c r="D150">
        <v>21</v>
      </c>
      <c r="E150" t="s">
        <v>151</v>
      </c>
    </row>
    <row r="151" spans="1:5">
      <c r="A151">
        <f>HYPERLINK("http://www.twitter.com/NYPDnews/status/803627108815765504", "803627108815765504")</f>
        <v>0</v>
      </c>
      <c r="B151" s="2">
        <v>42703.6598148148</v>
      </c>
      <c r="C151">
        <v>12</v>
      </c>
      <c r="D151">
        <v>7</v>
      </c>
      <c r="E151" t="s">
        <v>152</v>
      </c>
    </row>
    <row r="152" spans="1:5">
      <c r="A152">
        <f>HYPERLINK("http://www.twitter.com/NYPDnews/status/803625858221166593", "803625858221166593")</f>
        <v>0</v>
      </c>
      <c r="B152" s="2">
        <v>42703.6563541667</v>
      </c>
      <c r="C152">
        <v>22</v>
      </c>
      <c r="D152">
        <v>15</v>
      </c>
      <c r="E152" t="s">
        <v>153</v>
      </c>
    </row>
    <row r="153" spans="1:5">
      <c r="A153">
        <f>HYPERLINK("http://www.twitter.com/NYPDnews/status/803624626257559553", "803624626257559553")</f>
        <v>0</v>
      </c>
      <c r="B153" s="2">
        <v>42703.652962963</v>
      </c>
      <c r="C153">
        <v>8</v>
      </c>
      <c r="D153">
        <v>6</v>
      </c>
      <c r="E153" t="s">
        <v>154</v>
      </c>
    </row>
    <row r="154" spans="1:5">
      <c r="A154">
        <f>HYPERLINK("http://www.twitter.com/NYPDnews/status/803619245858885632", "803619245858885632")</f>
        <v>0</v>
      </c>
      <c r="B154" s="2">
        <v>42703.6381134259</v>
      </c>
      <c r="C154">
        <v>9</v>
      </c>
      <c r="D154">
        <v>5</v>
      </c>
      <c r="E154" t="s">
        <v>155</v>
      </c>
    </row>
    <row r="155" spans="1:5">
      <c r="A155">
        <f>HYPERLINK("http://www.twitter.com/NYPDnews/status/803595699132780544", "803595699132780544")</f>
        <v>0</v>
      </c>
      <c r="B155" s="2">
        <v>42703.5731365741</v>
      </c>
      <c r="C155">
        <v>329</v>
      </c>
      <c r="D155">
        <v>84</v>
      </c>
      <c r="E155" t="s">
        <v>156</v>
      </c>
    </row>
    <row r="156" spans="1:5">
      <c r="A156">
        <f>HYPERLINK("http://www.twitter.com/NYPDnews/status/803591941455745032", "803591941455745032")</f>
        <v>0</v>
      </c>
      <c r="B156" s="2">
        <v>42703.5627662037</v>
      </c>
      <c r="C156">
        <v>26</v>
      </c>
      <c r="D156">
        <v>15</v>
      </c>
      <c r="E156" t="s">
        <v>157</v>
      </c>
    </row>
    <row r="157" spans="1:5">
      <c r="A157">
        <f>HYPERLINK("http://www.twitter.com/NYPDnews/status/803588096801538048", "803588096801538048")</f>
        <v>0</v>
      </c>
      <c r="B157" s="2">
        <v>42703.5521527778</v>
      </c>
      <c r="C157">
        <v>9</v>
      </c>
      <c r="D157">
        <v>64</v>
      </c>
      <c r="E157" t="s">
        <v>158</v>
      </c>
    </row>
    <row r="158" spans="1:5">
      <c r="A158">
        <f>HYPERLINK("http://www.twitter.com/NYPDnews/status/803584413988634624", "803584413988634624")</f>
        <v>0</v>
      </c>
      <c r="B158" s="2">
        <v>42703.5419907407</v>
      </c>
      <c r="C158">
        <v>28</v>
      </c>
      <c r="D158">
        <v>30</v>
      </c>
      <c r="E158" t="s">
        <v>159</v>
      </c>
    </row>
    <row r="159" spans="1:5">
      <c r="A159">
        <f>HYPERLINK("http://www.twitter.com/NYPDnews/status/803416631389130753", "803416631389130753")</f>
        <v>0</v>
      </c>
      <c r="B159" s="2">
        <v>42703.0790046296</v>
      </c>
      <c r="C159">
        <v>0</v>
      </c>
      <c r="D159">
        <v>47</v>
      </c>
      <c r="E159" t="s">
        <v>160</v>
      </c>
    </row>
    <row r="160" spans="1:5">
      <c r="A160">
        <f>HYPERLINK("http://www.twitter.com/NYPDnews/status/803409418155163649", "803409418155163649")</f>
        <v>0</v>
      </c>
      <c r="B160" s="2">
        <v>42703.0590972222</v>
      </c>
      <c r="C160">
        <v>63</v>
      </c>
      <c r="D160">
        <v>22</v>
      </c>
      <c r="E160" t="s">
        <v>161</v>
      </c>
    </row>
    <row r="161" spans="1:5">
      <c r="A161">
        <f>HYPERLINK("http://www.twitter.com/NYPDnews/status/803399388819296260", "803399388819296260")</f>
        <v>0</v>
      </c>
      <c r="B161" s="2">
        <v>42703.0314236111</v>
      </c>
      <c r="C161">
        <v>15</v>
      </c>
      <c r="D161">
        <v>41</v>
      </c>
      <c r="E161" t="s">
        <v>162</v>
      </c>
    </row>
    <row r="162" spans="1:5">
      <c r="A162">
        <f>HYPERLINK("http://www.twitter.com/NYPDnews/status/803391824924708865", "803391824924708865")</f>
        <v>0</v>
      </c>
      <c r="B162" s="2">
        <v>42703.0105555556</v>
      </c>
      <c r="C162">
        <v>104</v>
      </c>
      <c r="D162">
        <v>20</v>
      </c>
      <c r="E162" t="s">
        <v>163</v>
      </c>
    </row>
    <row r="163" spans="1:5">
      <c r="A163">
        <f>HYPERLINK("http://www.twitter.com/NYPDnews/status/803380601114021888", "803380601114021888")</f>
        <v>0</v>
      </c>
      <c r="B163" s="2">
        <v>42702.9795833333</v>
      </c>
      <c r="C163">
        <v>23</v>
      </c>
      <c r="D163">
        <v>52</v>
      </c>
      <c r="E163" t="s">
        <v>164</v>
      </c>
    </row>
    <row r="164" spans="1:5">
      <c r="A164">
        <f>HYPERLINK("http://www.twitter.com/NYPDnews/status/803373054902595585", "803373054902595585")</f>
        <v>0</v>
      </c>
      <c r="B164" s="2">
        <v>42702.95875</v>
      </c>
      <c r="C164">
        <v>16</v>
      </c>
      <c r="D164">
        <v>18</v>
      </c>
      <c r="E164" t="s">
        <v>165</v>
      </c>
    </row>
    <row r="165" spans="1:5">
      <c r="A165">
        <f>HYPERLINK("http://www.twitter.com/NYPDnews/status/803361675105759232", "803361675105759232")</f>
        <v>0</v>
      </c>
      <c r="B165" s="2">
        <v>42702.927349537</v>
      </c>
      <c r="C165">
        <v>255</v>
      </c>
      <c r="D165">
        <v>204</v>
      </c>
      <c r="E165" t="s">
        <v>166</v>
      </c>
    </row>
    <row r="166" spans="1:5">
      <c r="A166">
        <f>HYPERLINK("http://www.twitter.com/NYPDnews/status/803312910781022208", "803312910781022208")</f>
        <v>0</v>
      </c>
      <c r="B166" s="2">
        <v>42702.7927893518</v>
      </c>
      <c r="C166">
        <v>0</v>
      </c>
      <c r="D166">
        <v>63</v>
      </c>
      <c r="E166" t="s">
        <v>167</v>
      </c>
    </row>
    <row r="167" spans="1:5">
      <c r="A167">
        <f>HYPERLINK("http://www.twitter.com/NYPDnews/status/803289986103738368", "803289986103738368")</f>
        <v>0</v>
      </c>
      <c r="B167" s="2">
        <v>42702.729525463</v>
      </c>
      <c r="C167">
        <v>131</v>
      </c>
      <c r="D167">
        <v>40</v>
      </c>
      <c r="E167" t="s">
        <v>168</v>
      </c>
    </row>
    <row r="168" spans="1:5">
      <c r="A168">
        <f>HYPERLINK("http://www.twitter.com/NYPDnews/status/803229521319264256", "803229521319264256")</f>
        <v>0</v>
      </c>
      <c r="B168" s="2">
        <v>42702.5626736111</v>
      </c>
      <c r="C168">
        <v>59</v>
      </c>
      <c r="D168">
        <v>11</v>
      </c>
      <c r="E168" t="s">
        <v>169</v>
      </c>
    </row>
    <row r="169" spans="1:5">
      <c r="A169">
        <f>HYPERLINK("http://www.twitter.com/NYPDnews/status/803229515455627266", "803229515455627266")</f>
        <v>0</v>
      </c>
      <c r="B169" s="2">
        <v>42702.562662037</v>
      </c>
      <c r="C169">
        <v>31</v>
      </c>
      <c r="D169">
        <v>19</v>
      </c>
      <c r="E169" t="s">
        <v>170</v>
      </c>
    </row>
    <row r="170" spans="1:5">
      <c r="A170">
        <f>HYPERLINK("http://www.twitter.com/NYPDnews/status/803225716674338817", "803225716674338817")</f>
        <v>0</v>
      </c>
      <c r="B170" s="2">
        <v>42702.5521759259</v>
      </c>
      <c r="C170">
        <v>132</v>
      </c>
      <c r="D170">
        <v>27</v>
      </c>
      <c r="E170" t="s">
        <v>171</v>
      </c>
    </row>
    <row r="171" spans="1:5">
      <c r="A171">
        <f>HYPERLINK("http://www.twitter.com/NYPDnews/status/803223250419548160", "803223250419548160")</f>
        <v>0</v>
      </c>
      <c r="B171" s="2">
        <v>42702.5453703704</v>
      </c>
      <c r="C171">
        <v>59</v>
      </c>
      <c r="D171">
        <v>118</v>
      </c>
      <c r="E171" t="s">
        <v>172</v>
      </c>
    </row>
    <row r="172" spans="1:5">
      <c r="A172">
        <f>HYPERLINK("http://www.twitter.com/NYPDnews/status/803013358337294337", "803013358337294337")</f>
        <v>0</v>
      </c>
      <c r="B172" s="2">
        <v>42701.9661805556</v>
      </c>
      <c r="C172">
        <v>74</v>
      </c>
      <c r="D172">
        <v>12</v>
      </c>
      <c r="E172" t="s">
        <v>173</v>
      </c>
    </row>
    <row r="173" spans="1:5">
      <c r="A173">
        <f>HYPERLINK("http://www.twitter.com/NYPDnews/status/802951374233333760", "802951374233333760")</f>
        <v>0</v>
      </c>
      <c r="B173" s="2">
        <v>42701.7951388889</v>
      </c>
      <c r="C173">
        <v>0</v>
      </c>
      <c r="D173">
        <v>42</v>
      </c>
      <c r="E173" t="s">
        <v>174</v>
      </c>
    </row>
    <row r="174" spans="1:5">
      <c r="A174">
        <f>HYPERLINK("http://www.twitter.com/NYPDnews/status/802901135258316800", "802901135258316800")</f>
        <v>0</v>
      </c>
      <c r="B174" s="2">
        <v>42701.6565046296</v>
      </c>
      <c r="C174">
        <v>132</v>
      </c>
      <c r="D174">
        <v>30</v>
      </c>
      <c r="E174" t="s">
        <v>175</v>
      </c>
    </row>
    <row r="175" spans="1:5">
      <c r="A175">
        <f>HYPERLINK("http://www.twitter.com/NYPDnews/status/802890626731806720", "802890626731806720")</f>
        <v>0</v>
      </c>
      <c r="B175" s="2">
        <v>42701.6275115741</v>
      </c>
      <c r="C175">
        <v>32</v>
      </c>
      <c r="D175">
        <v>108</v>
      </c>
      <c r="E175" t="s">
        <v>176</v>
      </c>
    </row>
    <row r="176" spans="1:5">
      <c r="A176">
        <f>HYPERLINK("http://www.twitter.com/NYPDnews/status/802873389283246080", "802873389283246080")</f>
        <v>0</v>
      </c>
      <c r="B176" s="2">
        <v>42701.5799421296</v>
      </c>
      <c r="C176">
        <v>36</v>
      </c>
      <c r="D176">
        <v>86</v>
      </c>
      <c r="E176" t="s">
        <v>177</v>
      </c>
    </row>
    <row r="177" spans="1:5">
      <c r="A177">
        <f>HYPERLINK("http://www.twitter.com/NYPDnews/status/802641856504983552", "802641856504983552")</f>
        <v>0</v>
      </c>
      <c r="B177" s="2">
        <v>42700.9410300926</v>
      </c>
      <c r="C177">
        <v>125</v>
      </c>
      <c r="D177">
        <v>36</v>
      </c>
      <c r="E177" t="s">
        <v>178</v>
      </c>
    </row>
    <row r="178" spans="1:5">
      <c r="A178">
        <f>HYPERLINK("http://www.twitter.com/NYPDnews/status/802557655302729728", "802557655302729728")</f>
        <v>0</v>
      </c>
      <c r="B178" s="2">
        <v>42700.7086805556</v>
      </c>
      <c r="C178">
        <v>100</v>
      </c>
      <c r="D178">
        <v>26</v>
      </c>
      <c r="E178" t="s">
        <v>179</v>
      </c>
    </row>
    <row r="179" spans="1:5">
      <c r="A179">
        <f>HYPERLINK("http://www.twitter.com/NYPDnews/status/802542534933225472", "802542534933225472")</f>
        <v>0</v>
      </c>
      <c r="B179" s="2">
        <v>42700.6669560185</v>
      </c>
      <c r="C179">
        <v>26</v>
      </c>
      <c r="D179">
        <v>21</v>
      </c>
      <c r="E179" t="s">
        <v>180</v>
      </c>
    </row>
    <row r="180" spans="1:5">
      <c r="A180">
        <f>HYPERLINK("http://www.twitter.com/NYPDnews/status/802527602137239552", "802527602137239552")</f>
        <v>0</v>
      </c>
      <c r="B180" s="2">
        <v>42700.6257523148</v>
      </c>
      <c r="C180">
        <v>35</v>
      </c>
      <c r="D180">
        <v>128</v>
      </c>
      <c r="E180" t="s">
        <v>181</v>
      </c>
    </row>
    <row r="181" spans="1:5">
      <c r="A181">
        <f>HYPERLINK("http://www.twitter.com/NYPDnews/status/802523656765243392", "802523656765243392")</f>
        <v>0</v>
      </c>
      <c r="B181" s="2">
        <v>42700.6148611111</v>
      </c>
      <c r="C181">
        <v>38</v>
      </c>
      <c r="D181">
        <v>17</v>
      </c>
      <c r="E181" t="s">
        <v>182</v>
      </c>
    </row>
    <row r="182" spans="1:5">
      <c r="A182">
        <f>HYPERLINK("http://www.twitter.com/NYPDnews/status/802302117264363520", "802302117264363520")</f>
        <v>0</v>
      </c>
      <c r="B182" s="2">
        <v>42700.0035300926</v>
      </c>
      <c r="C182">
        <v>237</v>
      </c>
      <c r="D182">
        <v>51</v>
      </c>
      <c r="E182" t="s">
        <v>183</v>
      </c>
    </row>
    <row r="183" spans="1:5">
      <c r="A183">
        <f>HYPERLINK("http://www.twitter.com/NYPDnews/status/802279147208839168", "802279147208839168")</f>
        <v>0</v>
      </c>
      <c r="B183" s="2">
        <v>42699.9401388889</v>
      </c>
      <c r="C183">
        <v>0</v>
      </c>
      <c r="D183">
        <v>153</v>
      </c>
      <c r="E183" t="s">
        <v>184</v>
      </c>
    </row>
    <row r="184" spans="1:5">
      <c r="A184">
        <f>HYPERLINK("http://www.twitter.com/NYPDnews/status/802202790013571072", "802202790013571072")</f>
        <v>0</v>
      </c>
      <c r="B184" s="2">
        <v>42699.7294444444</v>
      </c>
      <c r="C184">
        <v>193</v>
      </c>
      <c r="D184">
        <v>49</v>
      </c>
      <c r="E184" t="s">
        <v>185</v>
      </c>
    </row>
    <row r="185" spans="1:5">
      <c r="A185">
        <f>HYPERLINK("http://www.twitter.com/NYPDnews/status/802142431730921472", "802142431730921472")</f>
        <v>0</v>
      </c>
      <c r="B185" s="2">
        <v>42699.5628819444</v>
      </c>
      <c r="C185">
        <v>42</v>
      </c>
      <c r="D185">
        <v>14</v>
      </c>
      <c r="E185" t="s">
        <v>186</v>
      </c>
    </row>
    <row r="186" spans="1:5">
      <c r="A186">
        <f>HYPERLINK("http://www.twitter.com/NYPDnews/status/802138603614797824", "802138603614797824")</f>
        <v>0</v>
      </c>
      <c r="B186" s="2">
        <v>42699.5523148148</v>
      </c>
      <c r="C186">
        <v>25</v>
      </c>
      <c r="D186">
        <v>90</v>
      </c>
      <c r="E186" t="s">
        <v>187</v>
      </c>
    </row>
    <row r="187" spans="1:5">
      <c r="A187">
        <f>HYPERLINK("http://www.twitter.com/NYPDnews/status/802134991450832896", "802134991450832896")</f>
        <v>0</v>
      </c>
      <c r="B187" s="2">
        <v>42699.542349537</v>
      </c>
      <c r="C187">
        <v>70</v>
      </c>
      <c r="D187">
        <v>19</v>
      </c>
      <c r="E187" t="s">
        <v>188</v>
      </c>
    </row>
    <row r="188" spans="1:5">
      <c r="A188">
        <f>HYPERLINK("http://www.twitter.com/NYPDnews/status/802127261897986048", "802127261897986048")</f>
        <v>0</v>
      </c>
      <c r="B188" s="2">
        <v>42699.5210185185</v>
      </c>
      <c r="C188">
        <v>36</v>
      </c>
      <c r="D188">
        <v>28</v>
      </c>
      <c r="E188" t="s">
        <v>189</v>
      </c>
    </row>
    <row r="189" spans="1:5">
      <c r="A189">
        <f>HYPERLINK("http://www.twitter.com/NYPDnews/status/801962748527726592", "801962748527726592")</f>
        <v>0</v>
      </c>
      <c r="B189" s="2">
        <v>42699.0670486111</v>
      </c>
      <c r="C189">
        <v>154</v>
      </c>
      <c r="D189">
        <v>53</v>
      </c>
      <c r="E189" t="s">
        <v>190</v>
      </c>
    </row>
    <row r="190" spans="1:5">
      <c r="A190">
        <f>HYPERLINK("http://www.twitter.com/NYPDnews/status/801954828356386816", "801954828356386816")</f>
        <v>0</v>
      </c>
      <c r="B190" s="2">
        <v>42699.0451967593</v>
      </c>
      <c r="C190">
        <v>67</v>
      </c>
      <c r="D190">
        <v>24</v>
      </c>
      <c r="E190" t="s">
        <v>191</v>
      </c>
    </row>
    <row r="191" spans="1:5">
      <c r="A191">
        <f>HYPERLINK("http://www.twitter.com/NYPDnews/status/801943519690690562", "801943519690690562")</f>
        <v>0</v>
      </c>
      <c r="B191" s="2">
        <v>42699.0139930556</v>
      </c>
      <c r="C191">
        <v>351</v>
      </c>
      <c r="D191">
        <v>117</v>
      </c>
      <c r="E191" t="s">
        <v>192</v>
      </c>
    </row>
    <row r="192" spans="1:5">
      <c r="A192">
        <f>HYPERLINK("http://www.twitter.com/NYPDnews/status/801934724541321216", "801934724541321216")</f>
        <v>0</v>
      </c>
      <c r="B192" s="2">
        <v>42698.9897222222</v>
      </c>
      <c r="C192">
        <v>517</v>
      </c>
      <c r="D192">
        <v>266</v>
      </c>
      <c r="E192" t="s">
        <v>193</v>
      </c>
    </row>
    <row r="193" spans="1:5">
      <c r="A193">
        <f>HYPERLINK("http://www.twitter.com/NYPDnews/status/801927168246870016", "801927168246870016")</f>
        <v>0</v>
      </c>
      <c r="B193" s="2">
        <v>42698.9688657407</v>
      </c>
      <c r="C193">
        <v>324</v>
      </c>
      <c r="D193">
        <v>171</v>
      </c>
      <c r="E193" t="s">
        <v>194</v>
      </c>
    </row>
    <row r="194" spans="1:5">
      <c r="A194">
        <f>HYPERLINK("http://www.twitter.com/NYPDnews/status/801917092098428929", "801917092098428929")</f>
        <v>0</v>
      </c>
      <c r="B194" s="2">
        <v>42698.9410648148</v>
      </c>
      <c r="C194">
        <v>71</v>
      </c>
      <c r="D194">
        <v>31</v>
      </c>
      <c r="E194" t="s">
        <v>195</v>
      </c>
    </row>
    <row r="195" spans="1:5">
      <c r="A195">
        <f>HYPERLINK("http://www.twitter.com/NYPDnews/status/801890376663597057", "801890376663597057")</f>
        <v>0</v>
      </c>
      <c r="B195" s="2">
        <v>42698.867337963</v>
      </c>
      <c r="C195">
        <v>625</v>
      </c>
      <c r="D195">
        <v>184</v>
      </c>
      <c r="E195" t="s">
        <v>196</v>
      </c>
    </row>
    <row r="196" spans="1:5">
      <c r="A196">
        <f>HYPERLINK("http://www.twitter.com/NYPDnews/status/801849793278595073", "801849793278595073")</f>
        <v>0</v>
      </c>
      <c r="B196" s="2">
        <v>42698.7553587963</v>
      </c>
      <c r="C196">
        <v>39</v>
      </c>
      <c r="D196">
        <v>19</v>
      </c>
      <c r="E196" t="s">
        <v>197</v>
      </c>
    </row>
    <row r="197" spans="1:5">
      <c r="A197">
        <f>HYPERLINK("http://www.twitter.com/NYPDnews/status/801810047529603072", "801810047529603072")</f>
        <v>0</v>
      </c>
      <c r="B197" s="2">
        <v>42698.6456712963</v>
      </c>
      <c r="C197">
        <v>445</v>
      </c>
      <c r="D197">
        <v>157</v>
      </c>
      <c r="E197" t="s">
        <v>198</v>
      </c>
    </row>
    <row r="198" spans="1:5">
      <c r="A198">
        <f>HYPERLINK("http://www.twitter.com/NYPDnews/status/801799483386380288", "801799483386380288")</f>
        <v>0</v>
      </c>
      <c r="B198" s="2">
        <v>42698.6165277778</v>
      </c>
      <c r="C198">
        <v>649</v>
      </c>
      <c r="D198">
        <v>214</v>
      </c>
      <c r="E198" t="s">
        <v>199</v>
      </c>
    </row>
    <row r="199" spans="1:5">
      <c r="A199">
        <f>HYPERLINK("http://www.twitter.com/NYPDnews/status/801792058163953664", "801792058163953664")</f>
        <v>0</v>
      </c>
      <c r="B199" s="2">
        <v>42698.5960300926</v>
      </c>
      <c r="C199">
        <v>213</v>
      </c>
      <c r="D199">
        <v>85</v>
      </c>
      <c r="E199" t="s">
        <v>200</v>
      </c>
    </row>
    <row r="200" spans="1:5">
      <c r="A200">
        <f>HYPERLINK("http://www.twitter.com/NYPDnews/status/801785490928259072", "801785490928259072")</f>
        <v>0</v>
      </c>
      <c r="B200" s="2">
        <v>42698.5779166667</v>
      </c>
      <c r="C200">
        <v>346</v>
      </c>
      <c r="D200">
        <v>99</v>
      </c>
      <c r="E200" t="s">
        <v>201</v>
      </c>
    </row>
    <row r="201" spans="1:5">
      <c r="A201">
        <f>HYPERLINK("http://www.twitter.com/NYPDnews/status/801776964159832065", "801776964159832065")</f>
        <v>0</v>
      </c>
      <c r="B201" s="2">
        <v>42698.5543865741</v>
      </c>
      <c r="C201">
        <v>164</v>
      </c>
      <c r="D201">
        <v>44</v>
      </c>
      <c r="E201" t="s">
        <v>202</v>
      </c>
    </row>
    <row r="202" spans="1:5">
      <c r="A202">
        <f>HYPERLINK("http://www.twitter.com/NYPDnews/status/801761096994525185", "801761096994525185")</f>
        <v>0</v>
      </c>
      <c r="B202" s="2">
        <v>42698.5106018518</v>
      </c>
      <c r="C202">
        <v>64</v>
      </c>
      <c r="D202">
        <v>28</v>
      </c>
      <c r="E202" t="s">
        <v>203</v>
      </c>
    </row>
    <row r="203" spans="1:5">
      <c r="A203">
        <f>HYPERLINK("http://www.twitter.com/NYPDnews/status/801640259809406976", "801640259809406976")</f>
        <v>0</v>
      </c>
      <c r="B203" s="2">
        <v>42698.1771527778</v>
      </c>
      <c r="C203">
        <v>104</v>
      </c>
      <c r="D203">
        <v>50</v>
      </c>
      <c r="E203" t="s">
        <v>204</v>
      </c>
    </row>
    <row r="204" spans="1:5">
      <c r="A204">
        <f>HYPERLINK("http://www.twitter.com/NYPDnews/status/801622169075773440", "801622169075773440")</f>
        <v>0</v>
      </c>
      <c r="B204" s="2">
        <v>42698.1272337963</v>
      </c>
      <c r="C204">
        <v>48</v>
      </c>
      <c r="D204">
        <v>44</v>
      </c>
      <c r="E204" t="s">
        <v>205</v>
      </c>
    </row>
    <row r="205" spans="1:5">
      <c r="A205">
        <f>HYPERLINK("http://www.twitter.com/NYPDnews/status/801618927834963968", "801618927834963968")</f>
        <v>0</v>
      </c>
      <c r="B205" s="2">
        <v>42698.118287037</v>
      </c>
      <c r="C205">
        <v>88</v>
      </c>
      <c r="D205">
        <v>45</v>
      </c>
      <c r="E205" t="s">
        <v>206</v>
      </c>
    </row>
    <row r="206" spans="1:5">
      <c r="A206">
        <f>HYPERLINK("http://www.twitter.com/NYPDnews/status/801600024723472394", "801600024723472394")</f>
        <v>0</v>
      </c>
      <c r="B206" s="2">
        <v>42698.0661226852</v>
      </c>
      <c r="C206">
        <v>48</v>
      </c>
      <c r="D206">
        <v>52</v>
      </c>
      <c r="E206" t="s">
        <v>207</v>
      </c>
    </row>
    <row r="207" spans="1:5">
      <c r="A207">
        <f>HYPERLINK("http://www.twitter.com/NYPDnews/status/801592460086538240", "801592460086538240")</f>
        <v>0</v>
      </c>
      <c r="B207" s="2">
        <v>42698.0452546296</v>
      </c>
      <c r="C207">
        <v>76</v>
      </c>
      <c r="D207">
        <v>22</v>
      </c>
      <c r="E207" t="s">
        <v>208</v>
      </c>
    </row>
    <row r="208" spans="1:5">
      <c r="A208">
        <f>HYPERLINK("http://www.twitter.com/NYPDnews/status/801581646088695808", "801581646088695808")</f>
        <v>0</v>
      </c>
      <c r="B208" s="2">
        <v>42698.0154050926</v>
      </c>
      <c r="C208">
        <v>189</v>
      </c>
      <c r="D208">
        <v>56</v>
      </c>
      <c r="E208" t="s">
        <v>209</v>
      </c>
    </row>
    <row r="209" spans="1:5">
      <c r="A209">
        <f>HYPERLINK("http://www.twitter.com/NYPDnews/status/801574384683118592", "801574384683118592")</f>
        <v>0</v>
      </c>
      <c r="B209" s="2">
        <v>42697.9953703704</v>
      </c>
      <c r="C209">
        <v>330</v>
      </c>
      <c r="D209">
        <v>107</v>
      </c>
      <c r="E209" t="s">
        <v>210</v>
      </c>
    </row>
    <row r="210" spans="1:5">
      <c r="A210">
        <f>HYPERLINK("http://www.twitter.com/NYPDnews/status/801566113599541248", "801566113599541248")</f>
        <v>0</v>
      </c>
      <c r="B210" s="2">
        <v>42697.9725462963</v>
      </c>
      <c r="C210">
        <v>26</v>
      </c>
      <c r="D210">
        <v>13</v>
      </c>
      <c r="E210" t="s">
        <v>211</v>
      </c>
    </row>
    <row r="211" spans="1:5">
      <c r="A211">
        <f>HYPERLINK("http://www.twitter.com/NYPDnews/status/801552959935025152", "801552959935025152")</f>
        <v>0</v>
      </c>
      <c r="B211" s="2">
        <v>42697.93625</v>
      </c>
      <c r="C211">
        <v>39</v>
      </c>
      <c r="D211">
        <v>18</v>
      </c>
      <c r="E211" t="s">
        <v>212</v>
      </c>
    </row>
    <row r="212" spans="1:5">
      <c r="A212">
        <f>HYPERLINK("http://www.twitter.com/NYPDnews/status/801551848721317888", "801551848721317888")</f>
        <v>0</v>
      </c>
      <c r="B212" s="2">
        <v>42697.9331828704</v>
      </c>
      <c r="C212">
        <v>47</v>
      </c>
      <c r="D212">
        <v>17</v>
      </c>
      <c r="E212" t="s">
        <v>213</v>
      </c>
    </row>
    <row r="213" spans="1:5">
      <c r="A213">
        <f>HYPERLINK("http://www.twitter.com/NYPDnews/status/801550802175270912", "801550802175270912")</f>
        <v>0</v>
      </c>
      <c r="B213" s="2">
        <v>42697.9302893519</v>
      </c>
      <c r="C213">
        <v>12</v>
      </c>
      <c r="D213">
        <v>8</v>
      </c>
      <c r="E213" t="s">
        <v>214</v>
      </c>
    </row>
    <row r="214" spans="1:5">
      <c r="A214">
        <f>HYPERLINK("http://www.twitter.com/NYPDnews/status/801549304641048576", "801549304641048576")</f>
        <v>0</v>
      </c>
      <c r="B214" s="2">
        <v>42697.9261574074</v>
      </c>
      <c r="C214">
        <v>9</v>
      </c>
      <c r="D214">
        <v>6</v>
      </c>
      <c r="E214" t="s">
        <v>215</v>
      </c>
    </row>
    <row r="215" spans="1:5">
      <c r="A215">
        <f>HYPERLINK("http://www.twitter.com/NYPDnews/status/801544844393009156", "801544844393009156")</f>
        <v>0</v>
      </c>
      <c r="B215" s="2">
        <v>42697.9138541667</v>
      </c>
      <c r="C215">
        <v>14</v>
      </c>
      <c r="D215">
        <v>5</v>
      </c>
      <c r="E215" t="s">
        <v>216</v>
      </c>
    </row>
    <row r="216" spans="1:5">
      <c r="A216">
        <f>HYPERLINK("http://www.twitter.com/NYPDnews/status/801540508636037121", "801540508636037121")</f>
        <v>0</v>
      </c>
      <c r="B216" s="2">
        <v>42697.9018865741</v>
      </c>
      <c r="C216">
        <v>82</v>
      </c>
      <c r="D216">
        <v>32</v>
      </c>
      <c r="E216" t="s">
        <v>217</v>
      </c>
    </row>
    <row r="217" spans="1:5">
      <c r="A217">
        <f>HYPERLINK("http://www.twitter.com/NYPDnews/status/801522424156188672", "801522424156188672")</f>
        <v>0</v>
      </c>
      <c r="B217" s="2">
        <v>42697.8519907407</v>
      </c>
      <c r="C217">
        <v>87</v>
      </c>
      <c r="D217">
        <v>36</v>
      </c>
      <c r="E217" t="s">
        <v>218</v>
      </c>
    </row>
    <row r="218" spans="1:5">
      <c r="A218">
        <f>HYPERLINK("http://www.twitter.com/NYPDnews/status/801496882568691712", "801496882568691712")</f>
        <v>0</v>
      </c>
      <c r="B218" s="2">
        <v>42697.7815046296</v>
      </c>
      <c r="C218">
        <v>46</v>
      </c>
      <c r="D218">
        <v>13</v>
      </c>
      <c r="E218" t="s">
        <v>219</v>
      </c>
    </row>
    <row r="219" spans="1:5">
      <c r="A219">
        <f>HYPERLINK("http://www.twitter.com/NYPDnews/status/801477998872588293", "801477998872588293")</f>
        <v>0</v>
      </c>
      <c r="B219" s="2">
        <v>42697.7293981481</v>
      </c>
      <c r="C219">
        <v>36</v>
      </c>
      <c r="D219">
        <v>18</v>
      </c>
      <c r="E219" t="s">
        <v>220</v>
      </c>
    </row>
    <row r="220" spans="1:5">
      <c r="A220">
        <f>HYPERLINK("http://www.twitter.com/NYPDnews/status/801470577731141638", "801470577731141638")</f>
        <v>0</v>
      </c>
      <c r="B220" s="2">
        <v>42697.708912037</v>
      </c>
      <c r="C220">
        <v>21</v>
      </c>
      <c r="D220">
        <v>14</v>
      </c>
      <c r="E220" t="s">
        <v>221</v>
      </c>
    </row>
    <row r="221" spans="1:5">
      <c r="A221">
        <f>HYPERLINK("http://www.twitter.com/NYPDnews/status/801450780695920641", "801450780695920641")</f>
        <v>0</v>
      </c>
      <c r="B221" s="2">
        <v>42697.6542939815</v>
      </c>
      <c r="C221">
        <v>0</v>
      </c>
      <c r="D221">
        <v>49</v>
      </c>
      <c r="E221" t="s">
        <v>222</v>
      </c>
    </row>
    <row r="222" spans="1:5">
      <c r="A222">
        <f>HYPERLINK("http://www.twitter.com/NYPDnews/status/801431296547422208", "801431296547422208")</f>
        <v>0</v>
      </c>
      <c r="B222" s="2">
        <v>42697.6005208333</v>
      </c>
      <c r="C222">
        <v>83</v>
      </c>
      <c r="D222">
        <v>52</v>
      </c>
      <c r="E222" t="s">
        <v>223</v>
      </c>
    </row>
    <row r="223" spans="1:5">
      <c r="A223">
        <f>HYPERLINK("http://www.twitter.com/NYPDnews/status/801421377563725828", "801421377563725828")</f>
        <v>0</v>
      </c>
      <c r="B223" s="2">
        <v>42697.5731481481</v>
      </c>
      <c r="C223">
        <v>12</v>
      </c>
      <c r="D223">
        <v>3</v>
      </c>
      <c r="E223" t="s">
        <v>224</v>
      </c>
    </row>
    <row r="224" spans="1:5">
      <c r="A224">
        <f>HYPERLINK("http://www.twitter.com/NYPDnews/status/801417664581267456", "801417664581267456")</f>
        <v>0</v>
      </c>
      <c r="B224" s="2">
        <v>42697.5629050926</v>
      </c>
      <c r="C224">
        <v>54</v>
      </c>
      <c r="D224">
        <v>7</v>
      </c>
      <c r="E224" t="s">
        <v>225</v>
      </c>
    </row>
    <row r="225" spans="1:5">
      <c r="A225">
        <f>HYPERLINK("http://www.twitter.com/NYPDnews/status/801413825283100672", "801413825283100672")</f>
        <v>0</v>
      </c>
      <c r="B225" s="2">
        <v>42697.5523148148</v>
      </c>
      <c r="C225">
        <v>13</v>
      </c>
      <c r="D225">
        <v>48</v>
      </c>
      <c r="E225" t="s">
        <v>226</v>
      </c>
    </row>
    <row r="226" spans="1:5">
      <c r="A226">
        <f>HYPERLINK("http://www.twitter.com/NYPDnews/status/801410211386888193", "801410211386888193")</f>
        <v>0</v>
      </c>
      <c r="B226" s="2">
        <v>42697.542337963</v>
      </c>
      <c r="C226">
        <v>36</v>
      </c>
      <c r="D226">
        <v>12</v>
      </c>
      <c r="E226" t="s">
        <v>227</v>
      </c>
    </row>
    <row r="227" spans="1:5">
      <c r="A227">
        <f>HYPERLINK("http://www.twitter.com/NYPDnews/status/801406237745225729", "801406237745225729")</f>
        <v>0</v>
      </c>
      <c r="B227" s="2">
        <v>42697.5313773148</v>
      </c>
      <c r="C227">
        <v>30</v>
      </c>
      <c r="D227">
        <v>17</v>
      </c>
      <c r="E227" t="s">
        <v>228</v>
      </c>
    </row>
    <row r="228" spans="1:5">
      <c r="A228">
        <f>HYPERLINK("http://www.twitter.com/NYPDnews/status/801394442628460544", "801394442628460544")</f>
        <v>0</v>
      </c>
      <c r="B228" s="2">
        <v>42697.4988194444</v>
      </c>
      <c r="C228">
        <v>7</v>
      </c>
      <c r="D228">
        <v>4</v>
      </c>
      <c r="E228" t="s">
        <v>229</v>
      </c>
    </row>
    <row r="229" spans="1:5">
      <c r="A229">
        <f>HYPERLINK("http://www.twitter.com/NYPDnews/status/801259079431757824", "801259079431757824")</f>
        <v>0</v>
      </c>
      <c r="B229" s="2">
        <v>42697.1252893519</v>
      </c>
      <c r="C229">
        <v>26</v>
      </c>
      <c r="D229">
        <v>13</v>
      </c>
      <c r="E229" t="s">
        <v>230</v>
      </c>
    </row>
    <row r="230" spans="1:5">
      <c r="A230">
        <f>HYPERLINK("http://www.twitter.com/NYPDnews/status/801230679547777024", "801230679547777024")</f>
        <v>0</v>
      </c>
      <c r="B230" s="2">
        <v>42697.0469212963</v>
      </c>
      <c r="C230">
        <v>0</v>
      </c>
      <c r="D230">
        <v>28</v>
      </c>
      <c r="E230" t="s">
        <v>231</v>
      </c>
    </row>
    <row r="231" spans="1:5">
      <c r="A231">
        <f>HYPERLINK("http://www.twitter.com/NYPDnews/status/801200992926789632", "801200992926789632")</f>
        <v>0</v>
      </c>
      <c r="B231" s="2">
        <v>42696.965</v>
      </c>
      <c r="C231">
        <v>112</v>
      </c>
      <c r="D231">
        <v>54</v>
      </c>
      <c r="E231" t="s">
        <v>232</v>
      </c>
    </row>
    <row r="232" spans="1:5">
      <c r="A232">
        <f>HYPERLINK("http://www.twitter.com/NYPDnews/status/801173577106001920", "801173577106001920")</f>
        <v>0</v>
      </c>
      <c r="B232" s="2">
        <v>42696.8893518519</v>
      </c>
      <c r="C232">
        <v>54</v>
      </c>
      <c r="D232">
        <v>106</v>
      </c>
      <c r="E232" t="s">
        <v>233</v>
      </c>
    </row>
    <row r="233" spans="1:5">
      <c r="A233">
        <f>HYPERLINK("http://www.twitter.com/NYPDnews/status/801141076128133120", "801141076128133120")</f>
        <v>0</v>
      </c>
      <c r="B233" s="2">
        <v>42696.7996643518</v>
      </c>
      <c r="C233">
        <v>103</v>
      </c>
      <c r="D233">
        <v>54</v>
      </c>
      <c r="E233" t="s">
        <v>234</v>
      </c>
    </row>
    <row r="234" spans="1:5">
      <c r="A234">
        <f>HYPERLINK("http://www.twitter.com/NYPDnews/status/801124139281055744", "801124139281055744")</f>
        <v>0</v>
      </c>
      <c r="B234" s="2">
        <v>42696.7529282407</v>
      </c>
      <c r="C234">
        <v>12</v>
      </c>
      <c r="D234">
        <v>15</v>
      </c>
      <c r="E234" t="s">
        <v>235</v>
      </c>
    </row>
    <row r="235" spans="1:5">
      <c r="A235">
        <f>HYPERLINK("http://www.twitter.com/NYPDnews/status/801121898713280513", "801121898713280513")</f>
        <v>0</v>
      </c>
      <c r="B235" s="2">
        <v>42696.7467476852</v>
      </c>
      <c r="C235">
        <v>26</v>
      </c>
      <c r="D235">
        <v>14</v>
      </c>
      <c r="E235" t="s">
        <v>236</v>
      </c>
    </row>
    <row r="236" spans="1:5">
      <c r="A236">
        <f>HYPERLINK("http://www.twitter.com/NYPDnews/status/801086681122123776", "801086681122123776")</f>
        <v>0</v>
      </c>
      <c r="B236" s="2">
        <v>42696.6495601852</v>
      </c>
      <c r="C236">
        <v>153</v>
      </c>
      <c r="D236">
        <v>43</v>
      </c>
      <c r="E236" t="s">
        <v>237</v>
      </c>
    </row>
    <row r="237" spans="1:5">
      <c r="A237">
        <f>HYPERLINK("http://www.twitter.com/NYPDnews/status/801079163503411200", "801079163503411200")</f>
        <v>0</v>
      </c>
      <c r="B237" s="2">
        <v>42696.6288194444</v>
      </c>
      <c r="C237">
        <v>147</v>
      </c>
      <c r="D237">
        <v>33</v>
      </c>
      <c r="E237" t="s">
        <v>238</v>
      </c>
    </row>
    <row r="238" spans="1:5">
      <c r="A238">
        <f>HYPERLINK("http://www.twitter.com/NYPDnews/status/801060000260947970", "801060000260947970")</f>
        <v>0</v>
      </c>
      <c r="B238" s="2">
        <v>42696.5759375</v>
      </c>
      <c r="C238">
        <v>214</v>
      </c>
      <c r="D238">
        <v>85</v>
      </c>
      <c r="E238" t="s">
        <v>239</v>
      </c>
    </row>
    <row r="239" spans="1:5">
      <c r="A239">
        <f>HYPERLINK("http://www.twitter.com/NYPDnews/status/801055200933019648", "801055200933019648")</f>
        <v>0</v>
      </c>
      <c r="B239" s="2">
        <v>42696.5626967593</v>
      </c>
      <c r="C239">
        <v>42</v>
      </c>
      <c r="D239">
        <v>13</v>
      </c>
      <c r="E239" t="s">
        <v>240</v>
      </c>
    </row>
    <row r="240" spans="1:5">
      <c r="A240">
        <f>HYPERLINK("http://www.twitter.com/NYPDnews/status/801051406715129857", "801051406715129857")</f>
        <v>0</v>
      </c>
      <c r="B240" s="2">
        <v>42696.5522222222</v>
      </c>
      <c r="C240">
        <v>51</v>
      </c>
      <c r="D240">
        <v>146</v>
      </c>
      <c r="E240" t="s">
        <v>241</v>
      </c>
    </row>
    <row r="241" spans="1:5">
      <c r="A241">
        <f>HYPERLINK("http://www.twitter.com/NYPDnews/status/801047710912671745", "801047710912671745")</f>
        <v>0</v>
      </c>
      <c r="B241" s="2">
        <v>42696.542025463</v>
      </c>
      <c r="C241">
        <v>50</v>
      </c>
      <c r="D241">
        <v>18</v>
      </c>
      <c r="E241" t="s">
        <v>242</v>
      </c>
    </row>
    <row r="242" spans="1:5">
      <c r="A242">
        <f>HYPERLINK("http://www.twitter.com/NYPDnews/status/800889569625280513", "800889569625280513")</f>
        <v>0</v>
      </c>
      <c r="B242" s="2">
        <v>42696.1056365741</v>
      </c>
      <c r="C242">
        <v>34</v>
      </c>
      <c r="D242">
        <v>16</v>
      </c>
      <c r="E242" t="s">
        <v>243</v>
      </c>
    </row>
    <row r="243" spans="1:5">
      <c r="A243">
        <f>HYPERLINK("http://www.twitter.com/NYPDnews/status/800865152862195717", "800865152862195717")</f>
        <v>0</v>
      </c>
      <c r="B243" s="2">
        <v>42696.0382638889</v>
      </c>
      <c r="C243">
        <v>57</v>
      </c>
      <c r="D243">
        <v>13</v>
      </c>
      <c r="E243" t="s">
        <v>244</v>
      </c>
    </row>
    <row r="244" spans="1:5">
      <c r="A244">
        <f>HYPERLINK("http://www.twitter.com/NYPDnews/status/800855134360178688", "800855134360178688")</f>
        <v>0</v>
      </c>
      <c r="B244" s="2">
        <v>42696.0106134259</v>
      </c>
      <c r="C244">
        <v>188</v>
      </c>
      <c r="D244">
        <v>58</v>
      </c>
      <c r="E244" t="s">
        <v>245</v>
      </c>
    </row>
    <row r="245" spans="1:5">
      <c r="A245">
        <f>HYPERLINK("http://www.twitter.com/NYPDnews/status/800845030600609792", "800845030600609792")</f>
        <v>0</v>
      </c>
      <c r="B245" s="2">
        <v>42695.9827314815</v>
      </c>
      <c r="C245">
        <v>60</v>
      </c>
      <c r="D245">
        <v>22</v>
      </c>
      <c r="E245" t="s">
        <v>246</v>
      </c>
    </row>
    <row r="246" spans="1:5">
      <c r="A246">
        <f>HYPERLINK("http://www.twitter.com/NYPDnews/status/800826164831023105", "800826164831023105")</f>
        <v>0</v>
      </c>
      <c r="B246" s="2">
        <v>42695.9306712963</v>
      </c>
      <c r="C246">
        <v>65</v>
      </c>
      <c r="D246">
        <v>21</v>
      </c>
      <c r="E246" t="s">
        <v>247</v>
      </c>
    </row>
    <row r="247" spans="1:5">
      <c r="A247">
        <f>HYPERLINK("http://www.twitter.com/NYPDnews/status/800814828210233345", "800814828210233345")</f>
        <v>0</v>
      </c>
      <c r="B247" s="2">
        <v>42695.8993981481</v>
      </c>
      <c r="C247">
        <v>19</v>
      </c>
      <c r="D247">
        <v>67</v>
      </c>
      <c r="E247" t="s">
        <v>248</v>
      </c>
    </row>
    <row r="248" spans="1:5">
      <c r="A248">
        <f>HYPERLINK("http://www.twitter.com/NYPDnews/status/800785617265315840", "800785617265315840")</f>
        <v>0</v>
      </c>
      <c r="B248" s="2">
        <v>42695.8187847222</v>
      </c>
      <c r="C248">
        <v>86</v>
      </c>
      <c r="D248">
        <v>25</v>
      </c>
      <c r="E248" t="s">
        <v>249</v>
      </c>
    </row>
    <row r="249" spans="1:5">
      <c r="A249">
        <f>HYPERLINK("http://www.twitter.com/NYPDnews/status/800737487798857728", "800737487798857728")</f>
        <v>0</v>
      </c>
      <c r="B249" s="2">
        <v>42695.6859722222</v>
      </c>
      <c r="C249">
        <v>0</v>
      </c>
      <c r="D249">
        <v>41</v>
      </c>
      <c r="E249" t="s">
        <v>250</v>
      </c>
    </row>
    <row r="250" spans="1:5">
      <c r="A250">
        <f>HYPERLINK("http://www.twitter.com/NYPDnews/status/800717944393265152", "800717944393265152")</f>
        <v>0</v>
      </c>
      <c r="B250" s="2">
        <v>42695.6320486111</v>
      </c>
      <c r="C250">
        <v>0</v>
      </c>
      <c r="D250">
        <v>34</v>
      </c>
      <c r="E250" t="s">
        <v>251</v>
      </c>
    </row>
    <row r="251" spans="1:5">
      <c r="A251">
        <f>HYPERLINK("http://www.twitter.com/NYPDnews/status/800711690954211328", "800711690954211328")</f>
        <v>0</v>
      </c>
      <c r="B251" s="2">
        <v>42695.6147916667</v>
      </c>
      <c r="C251">
        <v>40</v>
      </c>
      <c r="D251">
        <v>34</v>
      </c>
      <c r="E251" t="s">
        <v>252</v>
      </c>
    </row>
    <row r="252" spans="1:5">
      <c r="A252">
        <f>HYPERLINK("http://www.twitter.com/NYPDnews/status/800696614335770624", "800696614335770624")</f>
        <v>0</v>
      </c>
      <c r="B252" s="2">
        <v>42695.5731828704</v>
      </c>
      <c r="C252">
        <v>47</v>
      </c>
      <c r="D252">
        <v>24</v>
      </c>
      <c r="E252" t="s">
        <v>253</v>
      </c>
    </row>
    <row r="253" spans="1:5">
      <c r="A253">
        <f>HYPERLINK("http://www.twitter.com/NYPDnews/status/800692775310204929", "800692775310204929")</f>
        <v>0</v>
      </c>
      <c r="B253" s="2">
        <v>42695.5625925926</v>
      </c>
      <c r="C253">
        <v>47</v>
      </c>
      <c r="D253">
        <v>112</v>
      </c>
      <c r="E253" t="s">
        <v>254</v>
      </c>
    </row>
    <row r="254" spans="1:5">
      <c r="A254">
        <f>HYPERLINK("http://www.twitter.com/NYPDnews/status/800685602282741760", "800685602282741760")</f>
        <v>0</v>
      </c>
      <c r="B254" s="2">
        <v>42695.5428009259</v>
      </c>
      <c r="C254">
        <v>67</v>
      </c>
      <c r="D254">
        <v>15</v>
      </c>
      <c r="E254" t="s">
        <v>255</v>
      </c>
    </row>
    <row r="255" spans="1:5">
      <c r="A255">
        <f>HYPERLINK("http://www.twitter.com/NYPDnews/status/800680188963147776", "800680188963147776")</f>
        <v>0</v>
      </c>
      <c r="B255" s="2">
        <v>42695.5278587963</v>
      </c>
      <c r="C255">
        <v>20</v>
      </c>
      <c r="D255">
        <v>10</v>
      </c>
      <c r="E255" t="s">
        <v>256</v>
      </c>
    </row>
    <row r="256" spans="1:5">
      <c r="A256">
        <f>HYPERLINK("http://www.twitter.com/NYPDnews/status/800675894926811136", "800675894926811136")</f>
        <v>0</v>
      </c>
      <c r="B256" s="2">
        <v>42695.5160069444</v>
      </c>
      <c r="C256">
        <v>336</v>
      </c>
      <c r="D256">
        <v>51</v>
      </c>
      <c r="E256" t="s">
        <v>257</v>
      </c>
    </row>
    <row r="257" spans="1:5">
      <c r="A257">
        <f>HYPERLINK("http://www.twitter.com/NYPDnews/status/800521631047254016", "800521631047254016")</f>
        <v>0</v>
      </c>
      <c r="B257" s="2">
        <v>42695.0903240741</v>
      </c>
      <c r="C257">
        <v>424</v>
      </c>
      <c r="D257">
        <v>204</v>
      </c>
      <c r="E257" t="s">
        <v>258</v>
      </c>
    </row>
    <row r="258" spans="1:5">
      <c r="A258">
        <f>HYPERLINK("http://www.twitter.com/NYPDnews/status/800490200237383681", "800490200237383681")</f>
        <v>0</v>
      </c>
      <c r="B258" s="2">
        <v>42695.003587963</v>
      </c>
      <c r="C258">
        <v>45</v>
      </c>
      <c r="D258">
        <v>27</v>
      </c>
      <c r="E258" t="s">
        <v>259</v>
      </c>
    </row>
    <row r="259" spans="1:5">
      <c r="A259">
        <f>HYPERLINK("http://www.twitter.com/NYPDnews/status/800475100369666048", "800475100369666048")</f>
        <v>0</v>
      </c>
      <c r="B259" s="2">
        <v>42694.9619212963</v>
      </c>
      <c r="C259">
        <v>39</v>
      </c>
      <c r="D259">
        <v>12</v>
      </c>
      <c r="E259" t="s">
        <v>260</v>
      </c>
    </row>
    <row r="260" spans="1:5">
      <c r="A260">
        <f>HYPERLINK("http://www.twitter.com/NYPDnews/status/800467544419237888", "800467544419237888")</f>
        <v>0</v>
      </c>
      <c r="B260" s="2">
        <v>42694.9410763889</v>
      </c>
      <c r="C260">
        <v>75</v>
      </c>
      <c r="D260">
        <v>53</v>
      </c>
      <c r="E260" t="s">
        <v>261</v>
      </c>
    </row>
    <row r="261" spans="1:5">
      <c r="A261">
        <f>HYPERLINK("http://www.twitter.com/NYPDnews/status/800419097775325184", "800419097775325184")</f>
        <v>0</v>
      </c>
      <c r="B261" s="2">
        <v>42694.8073842593</v>
      </c>
      <c r="C261">
        <v>0</v>
      </c>
      <c r="D261">
        <v>12</v>
      </c>
      <c r="E261" t="s">
        <v>262</v>
      </c>
    </row>
    <row r="262" spans="1:5">
      <c r="A262">
        <f>HYPERLINK("http://www.twitter.com/NYPDnews/status/800409656191569921", "800409656191569921")</f>
        <v>0</v>
      </c>
      <c r="B262" s="2">
        <v>42694.7813310185</v>
      </c>
      <c r="C262">
        <v>6</v>
      </c>
      <c r="D262">
        <v>6</v>
      </c>
      <c r="E262" t="s">
        <v>263</v>
      </c>
    </row>
    <row r="263" spans="1:5">
      <c r="A263">
        <f>HYPERLINK("http://www.twitter.com/NYPDnews/status/800385758246871040", "800385758246871040")</f>
        <v>0</v>
      </c>
      <c r="B263" s="2">
        <v>42694.7153819444</v>
      </c>
      <c r="C263">
        <v>79</v>
      </c>
      <c r="D263">
        <v>18</v>
      </c>
      <c r="E263" t="s">
        <v>264</v>
      </c>
    </row>
    <row r="264" spans="1:5">
      <c r="A264">
        <f>HYPERLINK("http://www.twitter.com/NYPDnews/status/800353103191179264", "800353103191179264")</f>
        <v>0</v>
      </c>
      <c r="B264" s="2">
        <v>42694.6252777778</v>
      </c>
      <c r="C264">
        <v>68</v>
      </c>
      <c r="D264">
        <v>120</v>
      </c>
      <c r="E264" t="s">
        <v>265</v>
      </c>
    </row>
    <row r="265" spans="1:5">
      <c r="A265">
        <f>HYPERLINK("http://www.twitter.com/NYPDnews/status/800345533885874177", "800345533885874177")</f>
        <v>0</v>
      </c>
      <c r="B265" s="2">
        <v>42694.6043865741</v>
      </c>
      <c r="C265">
        <v>42</v>
      </c>
      <c r="D265">
        <v>10</v>
      </c>
      <c r="E265" t="s">
        <v>266</v>
      </c>
    </row>
    <row r="266" spans="1:5">
      <c r="A266">
        <f>HYPERLINK("http://www.twitter.com/NYPDnews/status/800335736423804928", "800335736423804928")</f>
        <v>0</v>
      </c>
      <c r="B266" s="2">
        <v>42694.577349537</v>
      </c>
      <c r="C266">
        <v>37</v>
      </c>
      <c r="D266">
        <v>13</v>
      </c>
      <c r="E266" t="s">
        <v>267</v>
      </c>
    </row>
    <row r="267" spans="1:5">
      <c r="A267">
        <f>HYPERLINK("http://www.twitter.com/NYPDnews/status/800335015951368192", "800335015951368192")</f>
        <v>0</v>
      </c>
      <c r="B267" s="2">
        <v>42694.5753587963</v>
      </c>
      <c r="C267">
        <v>18</v>
      </c>
      <c r="D267">
        <v>9</v>
      </c>
      <c r="E267" t="s">
        <v>268</v>
      </c>
    </row>
    <row r="268" spans="1:5">
      <c r="A268">
        <f>HYPERLINK("http://www.twitter.com/NYPDnews/status/800334695405907969", "800334695405907969")</f>
        <v>0</v>
      </c>
      <c r="B268" s="2">
        <v>42694.5744791667</v>
      </c>
      <c r="C268">
        <v>33</v>
      </c>
      <c r="D268">
        <v>11</v>
      </c>
      <c r="E268" t="s">
        <v>269</v>
      </c>
    </row>
    <row r="269" spans="1:5">
      <c r="A269">
        <f>HYPERLINK("http://www.twitter.com/NYPDnews/status/800334066918621185", "800334066918621185")</f>
        <v>0</v>
      </c>
      <c r="B269" s="2">
        <v>42694.5727430556</v>
      </c>
      <c r="C269">
        <v>58</v>
      </c>
      <c r="D269">
        <v>22</v>
      </c>
      <c r="E269" t="s">
        <v>270</v>
      </c>
    </row>
    <row r="270" spans="1:5">
      <c r="A270">
        <f>HYPERLINK("http://www.twitter.com/NYPDnews/status/800333362300796928", "800333362300796928")</f>
        <v>0</v>
      </c>
      <c r="B270" s="2">
        <v>42694.5707986111</v>
      </c>
      <c r="C270">
        <v>5</v>
      </c>
      <c r="D270">
        <v>4</v>
      </c>
      <c r="E270" t="s">
        <v>271</v>
      </c>
    </row>
    <row r="271" spans="1:5">
      <c r="A271">
        <f>HYPERLINK("http://www.twitter.com/NYPDnews/status/800322933075963904", "800322933075963904")</f>
        <v>0</v>
      </c>
      <c r="B271" s="2">
        <v>42694.542025463</v>
      </c>
      <c r="C271">
        <v>17</v>
      </c>
      <c r="D271">
        <v>10</v>
      </c>
      <c r="E271" t="s">
        <v>272</v>
      </c>
    </row>
    <row r="272" spans="1:5">
      <c r="A272">
        <f>HYPERLINK("http://www.twitter.com/NYPDnews/status/800236009245917184", "800236009245917184")</f>
        <v>0</v>
      </c>
      <c r="B272" s="2">
        <v>42694.3021527778</v>
      </c>
      <c r="C272">
        <v>127</v>
      </c>
      <c r="D272">
        <v>32</v>
      </c>
      <c r="E272" t="s">
        <v>273</v>
      </c>
    </row>
    <row r="273" spans="1:5">
      <c r="A273">
        <f>HYPERLINK("http://www.twitter.com/NYPDnews/status/800151672081125376", "800151672081125376")</f>
        <v>0</v>
      </c>
      <c r="B273" s="2">
        <v>42694.0694328704</v>
      </c>
      <c r="C273">
        <v>9</v>
      </c>
      <c r="D273">
        <v>7</v>
      </c>
      <c r="E273" t="s">
        <v>274</v>
      </c>
    </row>
    <row r="274" spans="1:5">
      <c r="A274">
        <f>HYPERLINK("http://www.twitter.com/NYPDnews/status/800091529129918464", "800091529129918464")</f>
        <v>0</v>
      </c>
      <c r="B274" s="2">
        <v>42693.9034722222</v>
      </c>
      <c r="C274">
        <v>72</v>
      </c>
      <c r="D274">
        <v>36</v>
      </c>
      <c r="E274" t="s">
        <v>275</v>
      </c>
    </row>
    <row r="275" spans="1:5">
      <c r="A275">
        <f>HYPERLINK("http://www.twitter.com/NYPDnews/status/800087895046520832", "800087895046520832")</f>
        <v>0</v>
      </c>
      <c r="B275" s="2">
        <v>42693.8934375</v>
      </c>
      <c r="C275">
        <v>26</v>
      </c>
      <c r="D275">
        <v>9</v>
      </c>
      <c r="E275" t="s">
        <v>276</v>
      </c>
    </row>
    <row r="276" spans="1:5">
      <c r="A276">
        <f>HYPERLINK("http://www.twitter.com/NYPDnews/status/800087659037065217", "800087659037065217")</f>
        <v>0</v>
      </c>
      <c r="B276" s="2">
        <v>42693.8927893518</v>
      </c>
      <c r="C276">
        <v>68</v>
      </c>
      <c r="D276">
        <v>41</v>
      </c>
      <c r="E276" t="s">
        <v>277</v>
      </c>
    </row>
    <row r="277" spans="1:5">
      <c r="A277">
        <f>HYPERLINK("http://www.twitter.com/NYPDnews/status/800087307004952576", "800087307004952576")</f>
        <v>0</v>
      </c>
      <c r="B277" s="2">
        <v>42693.8918171296</v>
      </c>
      <c r="C277">
        <v>88</v>
      </c>
      <c r="D277">
        <v>46</v>
      </c>
      <c r="E277" t="s">
        <v>278</v>
      </c>
    </row>
    <row r="278" spans="1:5">
      <c r="A278">
        <f>HYPERLINK("http://www.twitter.com/NYPDnews/status/800086955291590656", "800086955291590656")</f>
        <v>0</v>
      </c>
      <c r="B278" s="2">
        <v>42693.8908449074</v>
      </c>
      <c r="C278">
        <v>24</v>
      </c>
      <c r="D278">
        <v>27</v>
      </c>
      <c r="E278" t="s">
        <v>279</v>
      </c>
    </row>
    <row r="279" spans="1:5">
      <c r="A279">
        <f>HYPERLINK("http://www.twitter.com/NYPDnews/status/800086758742511617", "800086758742511617")</f>
        <v>0</v>
      </c>
      <c r="B279" s="2">
        <v>42693.8903009259</v>
      </c>
      <c r="C279">
        <v>15</v>
      </c>
      <c r="D279">
        <v>16</v>
      </c>
      <c r="E279" t="s">
        <v>280</v>
      </c>
    </row>
    <row r="280" spans="1:5">
      <c r="A280">
        <f>HYPERLINK("http://www.twitter.com/NYPDnews/status/800086374217089026", "800086374217089026")</f>
        <v>0</v>
      </c>
      <c r="B280" s="2">
        <v>42693.8892476852</v>
      </c>
      <c r="C280">
        <v>26</v>
      </c>
      <c r="D280">
        <v>22</v>
      </c>
      <c r="E280" t="s">
        <v>281</v>
      </c>
    </row>
    <row r="281" spans="1:5">
      <c r="A281">
        <f>HYPERLINK("http://www.twitter.com/NYPDnews/status/800086030640705536", "800086030640705536")</f>
        <v>0</v>
      </c>
      <c r="B281" s="2">
        <v>42693.8882986111</v>
      </c>
      <c r="C281">
        <v>22</v>
      </c>
      <c r="D281">
        <v>16</v>
      </c>
      <c r="E281" t="s">
        <v>282</v>
      </c>
    </row>
    <row r="282" spans="1:5">
      <c r="A282">
        <f>HYPERLINK("http://www.twitter.com/NYPDnews/status/800085397237706752", "800085397237706752")</f>
        <v>0</v>
      </c>
      <c r="B282" s="2">
        <v>42693.8865509259</v>
      </c>
      <c r="C282">
        <v>12</v>
      </c>
      <c r="D282">
        <v>7</v>
      </c>
      <c r="E282" t="s">
        <v>283</v>
      </c>
    </row>
    <row r="283" spans="1:5">
      <c r="A283">
        <f>HYPERLINK("http://www.twitter.com/NYPDnews/status/800084616191340544", "800084616191340544")</f>
        <v>0</v>
      </c>
      <c r="B283" s="2">
        <v>42693.8843981481</v>
      </c>
      <c r="C283">
        <v>13</v>
      </c>
      <c r="D283">
        <v>10</v>
      </c>
      <c r="E283" t="s">
        <v>284</v>
      </c>
    </row>
    <row r="284" spans="1:5">
      <c r="A284">
        <f>HYPERLINK("http://www.twitter.com/NYPDnews/status/800084238020132865", "800084238020132865")</f>
        <v>0</v>
      </c>
      <c r="B284" s="2">
        <v>42693.8833449074</v>
      </c>
      <c r="C284">
        <v>30</v>
      </c>
      <c r="D284">
        <v>20</v>
      </c>
      <c r="E284" t="s">
        <v>285</v>
      </c>
    </row>
    <row r="285" spans="1:5">
      <c r="A285">
        <f>HYPERLINK("http://www.twitter.com/NYPDnews/status/800082585057689604", "800082585057689604")</f>
        <v>0</v>
      </c>
      <c r="B285" s="2">
        <v>42693.8787847222</v>
      </c>
      <c r="C285">
        <v>43</v>
      </c>
      <c r="D285">
        <v>33</v>
      </c>
      <c r="E285" t="s">
        <v>286</v>
      </c>
    </row>
    <row r="286" spans="1:5">
      <c r="A286">
        <f>HYPERLINK("http://www.twitter.com/NYPDnews/status/800057365382963200", "800057365382963200")</f>
        <v>0</v>
      </c>
      <c r="B286" s="2">
        <v>42693.8091898148</v>
      </c>
      <c r="C286">
        <v>68</v>
      </c>
      <c r="D286">
        <v>96</v>
      </c>
      <c r="E286" t="s">
        <v>287</v>
      </c>
    </row>
    <row r="287" spans="1:5">
      <c r="A287">
        <f>HYPERLINK("http://www.twitter.com/NYPDnews/status/800024643696402433", "800024643696402433")</f>
        <v>0</v>
      </c>
      <c r="B287" s="2">
        <v>42693.718900463</v>
      </c>
      <c r="C287">
        <v>35</v>
      </c>
      <c r="D287">
        <v>15</v>
      </c>
      <c r="E287" t="s">
        <v>288</v>
      </c>
    </row>
    <row r="288" spans="1:5">
      <c r="A288">
        <f>HYPERLINK("http://www.twitter.com/NYPDnews/status/800008287919964160", "800008287919964160")</f>
        <v>0</v>
      </c>
      <c r="B288" s="2">
        <v>42693.6737615741</v>
      </c>
      <c r="C288">
        <v>289</v>
      </c>
      <c r="D288">
        <v>158</v>
      </c>
      <c r="E288" t="s">
        <v>289</v>
      </c>
    </row>
    <row r="289" spans="1:5">
      <c r="A289">
        <f>HYPERLINK("http://www.twitter.com/NYPDnews/status/799990749584572416", "799990749584572416")</f>
        <v>0</v>
      </c>
      <c r="B289" s="2">
        <v>42693.6253703704</v>
      </c>
      <c r="C289">
        <v>34</v>
      </c>
      <c r="D289">
        <v>13</v>
      </c>
      <c r="E289" t="s">
        <v>290</v>
      </c>
    </row>
    <row r="290" spans="1:5">
      <c r="A290">
        <f>HYPERLINK("http://www.twitter.com/NYPDnews/status/799984352306274304", "799984352306274304")</f>
        <v>0</v>
      </c>
      <c r="B290" s="2">
        <v>42693.6077199074</v>
      </c>
      <c r="C290">
        <v>95</v>
      </c>
      <c r="D290">
        <v>46</v>
      </c>
      <c r="E290" t="s">
        <v>291</v>
      </c>
    </row>
    <row r="291" spans="1:5">
      <c r="A291">
        <f>HYPERLINK("http://www.twitter.com/NYPDnews/status/799975618066661376", "799975618066661376")</f>
        <v>0</v>
      </c>
      <c r="B291" s="2">
        <v>42693.5836111111</v>
      </c>
      <c r="C291">
        <v>144</v>
      </c>
      <c r="D291">
        <v>33</v>
      </c>
      <c r="E291" t="s">
        <v>292</v>
      </c>
    </row>
    <row r="292" spans="1:5">
      <c r="A292">
        <f>HYPERLINK("http://www.twitter.com/NYPDnews/status/799964414258671616", "799964414258671616")</f>
        <v>0</v>
      </c>
      <c r="B292" s="2">
        <v>42693.5526967593</v>
      </c>
      <c r="C292">
        <v>9</v>
      </c>
      <c r="D292">
        <v>7</v>
      </c>
      <c r="E292" t="s">
        <v>293</v>
      </c>
    </row>
    <row r="293" spans="1:5">
      <c r="A293">
        <f>HYPERLINK("http://www.twitter.com/NYPDnews/status/799811112946585600", "799811112946585600")</f>
        <v>0</v>
      </c>
      <c r="B293" s="2">
        <v>42693.1296643519</v>
      </c>
      <c r="C293">
        <v>68</v>
      </c>
      <c r="D293">
        <v>33</v>
      </c>
      <c r="E293" t="s">
        <v>294</v>
      </c>
    </row>
    <row r="294" spans="1:5">
      <c r="A294">
        <f>HYPERLINK("http://www.twitter.com/NYPDnews/status/799798429501259776", "799798429501259776")</f>
        <v>0</v>
      </c>
      <c r="B294" s="2">
        <v>42693.0946643519</v>
      </c>
      <c r="C294">
        <v>0</v>
      </c>
      <c r="D294">
        <v>362</v>
      </c>
      <c r="E294" t="s">
        <v>295</v>
      </c>
    </row>
    <row r="295" spans="1:5">
      <c r="A295">
        <f>HYPERLINK("http://www.twitter.com/NYPDnews/status/799786820078895105", "799786820078895105")</f>
        <v>0</v>
      </c>
      <c r="B295" s="2">
        <v>42693.0626273148</v>
      </c>
      <c r="C295">
        <v>54</v>
      </c>
      <c r="D295">
        <v>20</v>
      </c>
      <c r="E295" t="s">
        <v>296</v>
      </c>
    </row>
    <row r="296" spans="1:5">
      <c r="A296">
        <f>HYPERLINK("http://www.twitter.com/NYPDnews/status/799780508074987520", "799780508074987520")</f>
        <v>0</v>
      </c>
      <c r="B296" s="2">
        <v>42693.0452083333</v>
      </c>
      <c r="C296">
        <v>15</v>
      </c>
      <c r="D296">
        <v>10</v>
      </c>
      <c r="E296" t="s">
        <v>297</v>
      </c>
    </row>
    <row r="297" spans="1:5">
      <c r="A297">
        <f>HYPERLINK("http://www.twitter.com/NYPDnews/status/799760350686154752", "799760350686154752")</f>
        <v>0</v>
      </c>
      <c r="B297" s="2">
        <v>42692.9895949074</v>
      </c>
      <c r="C297">
        <v>39</v>
      </c>
      <c r="D297">
        <v>101</v>
      </c>
      <c r="E297" t="s">
        <v>298</v>
      </c>
    </row>
    <row r="298" spans="1:5">
      <c r="A298">
        <f>HYPERLINK("http://www.twitter.com/NYPDnews/status/799708796872335361", "799708796872335361")</f>
        <v>0</v>
      </c>
      <c r="B298" s="2">
        <v>42692.8473263889</v>
      </c>
      <c r="C298">
        <v>51</v>
      </c>
      <c r="D298">
        <v>21</v>
      </c>
      <c r="E298" t="s">
        <v>299</v>
      </c>
    </row>
    <row r="299" spans="1:5">
      <c r="A299">
        <f>HYPERLINK("http://www.twitter.com/NYPDnews/status/799707552732872704", "799707552732872704")</f>
        <v>0</v>
      </c>
      <c r="B299" s="2">
        <v>42692.843900463</v>
      </c>
      <c r="C299">
        <v>21</v>
      </c>
      <c r="D299">
        <v>23</v>
      </c>
      <c r="E299" t="s">
        <v>300</v>
      </c>
    </row>
    <row r="300" spans="1:5">
      <c r="A300">
        <f>HYPERLINK("http://www.twitter.com/NYPDnews/status/799707227166834689", "799707227166834689")</f>
        <v>0</v>
      </c>
      <c r="B300" s="2">
        <v>42692.8429976852</v>
      </c>
      <c r="C300">
        <v>0</v>
      </c>
      <c r="D300">
        <v>15</v>
      </c>
      <c r="E300" t="s">
        <v>301</v>
      </c>
    </row>
    <row r="301" spans="1:5">
      <c r="A301">
        <f>HYPERLINK("http://www.twitter.com/NYPDnews/status/799706349072355328", "799706349072355328")</f>
        <v>0</v>
      </c>
      <c r="B301" s="2">
        <v>42692.8405787037</v>
      </c>
      <c r="C301">
        <v>17</v>
      </c>
      <c r="D301">
        <v>5</v>
      </c>
      <c r="E301" t="s">
        <v>302</v>
      </c>
    </row>
    <row r="302" spans="1:5">
      <c r="A302">
        <f>HYPERLINK("http://www.twitter.com/NYPDnews/status/799705464195969028", "799705464195969028")</f>
        <v>0</v>
      </c>
      <c r="B302" s="2">
        <v>42692.8381365741</v>
      </c>
      <c r="C302">
        <v>15</v>
      </c>
      <c r="D302">
        <v>15</v>
      </c>
      <c r="E302" t="s">
        <v>303</v>
      </c>
    </row>
    <row r="303" spans="1:5">
      <c r="A303">
        <f>HYPERLINK("http://www.twitter.com/NYPDnews/status/799705218372014080", "799705218372014080")</f>
        <v>0</v>
      </c>
      <c r="B303" s="2">
        <v>42692.8374537037</v>
      </c>
      <c r="C303">
        <v>16</v>
      </c>
      <c r="D303">
        <v>16</v>
      </c>
      <c r="E303" t="s">
        <v>304</v>
      </c>
    </row>
    <row r="304" spans="1:5">
      <c r="A304">
        <f>HYPERLINK("http://www.twitter.com/NYPDnews/status/799704720667475972", "799704720667475972")</f>
        <v>0</v>
      </c>
      <c r="B304" s="2">
        <v>42692.8360763889</v>
      </c>
      <c r="C304">
        <v>29</v>
      </c>
      <c r="D304">
        <v>22</v>
      </c>
      <c r="E304" t="s">
        <v>305</v>
      </c>
    </row>
    <row r="305" spans="1:5">
      <c r="A305">
        <f>HYPERLINK("http://www.twitter.com/NYPDnews/status/799704186732494849", "799704186732494849")</f>
        <v>0</v>
      </c>
      <c r="B305" s="2">
        <v>42692.8346064815</v>
      </c>
      <c r="C305">
        <v>31</v>
      </c>
      <c r="D305">
        <v>13</v>
      </c>
      <c r="E305" t="s">
        <v>306</v>
      </c>
    </row>
    <row r="306" spans="1:5">
      <c r="A306">
        <f>HYPERLINK("http://www.twitter.com/NYPDnews/status/799702364022132736", "799702364022132736")</f>
        <v>0</v>
      </c>
      <c r="B306" s="2">
        <v>42692.8295717593</v>
      </c>
      <c r="C306">
        <v>9</v>
      </c>
      <c r="D306">
        <v>6</v>
      </c>
      <c r="E306" t="s">
        <v>307</v>
      </c>
    </row>
    <row r="307" spans="1:5">
      <c r="A307">
        <f>HYPERLINK("http://www.twitter.com/NYPDnews/status/799701928640802816", "799701928640802816")</f>
        <v>0</v>
      </c>
      <c r="B307" s="2">
        <v>42692.8283796296</v>
      </c>
      <c r="C307">
        <v>31</v>
      </c>
      <c r="D307">
        <v>10</v>
      </c>
      <c r="E307" t="s">
        <v>308</v>
      </c>
    </row>
    <row r="308" spans="1:5">
      <c r="A308">
        <f>HYPERLINK("http://www.twitter.com/NYPDnews/status/799701141856669696", "799701141856669696")</f>
        <v>0</v>
      </c>
      <c r="B308" s="2">
        <v>42692.8262037037</v>
      </c>
      <c r="C308">
        <v>52</v>
      </c>
      <c r="D308">
        <v>28</v>
      </c>
      <c r="E308" t="s">
        <v>309</v>
      </c>
    </row>
    <row r="309" spans="1:5">
      <c r="A309">
        <f>HYPERLINK("http://www.twitter.com/NYPDnews/status/799700354673864705", "799700354673864705")</f>
        <v>0</v>
      </c>
      <c r="B309" s="2">
        <v>42692.8240277778</v>
      </c>
      <c r="C309">
        <v>37</v>
      </c>
      <c r="D309">
        <v>20</v>
      </c>
      <c r="E309" t="s">
        <v>310</v>
      </c>
    </row>
    <row r="310" spans="1:5">
      <c r="A310">
        <f>HYPERLINK("http://www.twitter.com/NYPDnews/status/799699425148841985", "799699425148841985")</f>
        <v>0</v>
      </c>
      <c r="B310" s="2">
        <v>42692.8214699074</v>
      </c>
      <c r="C310">
        <v>36</v>
      </c>
      <c r="D310">
        <v>19</v>
      </c>
      <c r="E310" t="s">
        <v>311</v>
      </c>
    </row>
    <row r="311" spans="1:5">
      <c r="A311">
        <f>HYPERLINK("http://www.twitter.com/NYPDnews/status/799694014085758976", "799694014085758976")</f>
        <v>0</v>
      </c>
      <c r="B311" s="2">
        <v>42692.8065393519</v>
      </c>
      <c r="C311">
        <v>15</v>
      </c>
      <c r="D311">
        <v>9</v>
      </c>
      <c r="E311" t="s">
        <v>312</v>
      </c>
    </row>
    <row r="312" spans="1:5">
      <c r="A312">
        <f>HYPERLINK("http://www.twitter.com/NYPDnews/status/799693701354319873", "799693701354319873")</f>
        <v>0</v>
      </c>
      <c r="B312" s="2">
        <v>42692.8056712963</v>
      </c>
      <c r="C312">
        <v>11</v>
      </c>
      <c r="D312">
        <v>14</v>
      </c>
      <c r="E312" t="s">
        <v>313</v>
      </c>
    </row>
    <row r="313" spans="1:5">
      <c r="A313">
        <f>HYPERLINK("http://www.twitter.com/NYPDnews/status/799689593993961472", "799689593993961472")</f>
        <v>0</v>
      </c>
      <c r="B313" s="2">
        <v>42692.7943402778</v>
      </c>
      <c r="C313">
        <v>16</v>
      </c>
      <c r="D313">
        <v>10</v>
      </c>
      <c r="E313" t="s">
        <v>314</v>
      </c>
    </row>
    <row r="314" spans="1:5">
      <c r="A314">
        <f>HYPERLINK("http://www.twitter.com/NYPDnews/status/799648281555046400", "799648281555046400")</f>
        <v>0</v>
      </c>
      <c r="B314" s="2">
        <v>42692.6803356481</v>
      </c>
      <c r="C314">
        <v>199</v>
      </c>
      <c r="D314">
        <v>68</v>
      </c>
      <c r="E314" t="s">
        <v>315</v>
      </c>
    </row>
    <row r="315" spans="1:5">
      <c r="A315">
        <f>HYPERLINK("http://www.twitter.com/NYPDnews/status/799609415812976640", "799609415812976640")</f>
        <v>0</v>
      </c>
      <c r="B315" s="2">
        <v>42692.5730902778</v>
      </c>
      <c r="C315">
        <v>90</v>
      </c>
      <c r="D315">
        <v>33</v>
      </c>
      <c r="E315" t="s">
        <v>316</v>
      </c>
    </row>
    <row r="316" spans="1:5">
      <c r="A316">
        <f>HYPERLINK("http://www.twitter.com/NYPDnews/status/799605655829102592", "799605655829102592")</f>
        <v>0</v>
      </c>
      <c r="B316" s="2">
        <v>42692.5627083333</v>
      </c>
      <c r="C316">
        <v>30</v>
      </c>
      <c r="D316">
        <v>14</v>
      </c>
      <c r="E316" t="s">
        <v>317</v>
      </c>
    </row>
    <row r="317" spans="1:5">
      <c r="A317">
        <f>HYPERLINK("http://www.twitter.com/NYPDnews/status/799601869979054084", "799601869979054084")</f>
        <v>0</v>
      </c>
      <c r="B317" s="2">
        <v>42692.5522685185</v>
      </c>
      <c r="C317">
        <v>75</v>
      </c>
      <c r="D317">
        <v>126</v>
      </c>
      <c r="E317" t="s">
        <v>318</v>
      </c>
    </row>
    <row r="318" spans="1:5">
      <c r="A318">
        <f>HYPERLINK("http://www.twitter.com/NYPDnews/status/799598160909897729", "799598160909897729")</f>
        <v>0</v>
      </c>
      <c r="B318" s="2">
        <v>42692.542037037</v>
      </c>
      <c r="C318">
        <v>104</v>
      </c>
      <c r="D318">
        <v>22</v>
      </c>
      <c r="E318" t="s">
        <v>319</v>
      </c>
    </row>
    <row r="319" spans="1:5">
      <c r="A319">
        <f>HYPERLINK("http://www.twitter.com/NYPDnews/status/799428227785773057", "799428227785773057")</f>
        <v>0</v>
      </c>
      <c r="B319" s="2">
        <v>42692.0731018518</v>
      </c>
      <c r="C319">
        <v>28</v>
      </c>
      <c r="D319">
        <v>11</v>
      </c>
      <c r="E319" t="s">
        <v>320</v>
      </c>
    </row>
    <row r="320" spans="1:5">
      <c r="A320">
        <f>HYPERLINK("http://www.twitter.com/NYPDnews/status/799413115305725953", "799413115305725953")</f>
        <v>0</v>
      </c>
      <c r="B320" s="2">
        <v>42692.031400463</v>
      </c>
      <c r="C320">
        <v>37</v>
      </c>
      <c r="D320">
        <v>76</v>
      </c>
      <c r="E320" t="s">
        <v>321</v>
      </c>
    </row>
    <row r="321" spans="1:5">
      <c r="A321">
        <f>HYPERLINK("http://www.twitter.com/NYPDnews/status/799405559837495300", "799405559837495300")</f>
        <v>0</v>
      </c>
      <c r="B321" s="2">
        <v>42692.0105555556</v>
      </c>
      <c r="C321">
        <v>96</v>
      </c>
      <c r="D321">
        <v>29</v>
      </c>
      <c r="E321" t="s">
        <v>322</v>
      </c>
    </row>
    <row r="322" spans="1:5">
      <c r="A322">
        <f>HYPERLINK("http://www.twitter.com/NYPDnews/status/799398006357458944", "799398006357458944")</f>
        <v>0</v>
      </c>
      <c r="B322" s="2">
        <v>42691.9897106482</v>
      </c>
      <c r="C322">
        <v>21</v>
      </c>
      <c r="D322">
        <v>52</v>
      </c>
      <c r="E322" t="s">
        <v>323</v>
      </c>
    </row>
    <row r="323" spans="1:5">
      <c r="A323">
        <f>HYPERLINK("http://www.twitter.com/NYPDnews/status/799387936689127424", "799387936689127424")</f>
        <v>0</v>
      </c>
      <c r="B323" s="2">
        <v>42691.9619212963</v>
      </c>
      <c r="C323">
        <v>9</v>
      </c>
      <c r="D323">
        <v>31</v>
      </c>
      <c r="E323" t="s">
        <v>324</v>
      </c>
    </row>
    <row r="324" spans="1:5">
      <c r="A324">
        <f>HYPERLINK("http://www.twitter.com/NYPDnews/status/799329339208765440", "799329339208765440")</f>
        <v>0</v>
      </c>
      <c r="B324" s="2">
        <v>42691.8002199074</v>
      </c>
      <c r="C324">
        <v>49</v>
      </c>
      <c r="D324">
        <v>24</v>
      </c>
      <c r="E324" t="s">
        <v>325</v>
      </c>
    </row>
    <row r="325" spans="1:5">
      <c r="A325">
        <f>HYPERLINK("http://www.twitter.com/NYPDnews/status/799316041595842564", "799316041595842564")</f>
        <v>0</v>
      </c>
      <c r="B325" s="2">
        <v>42691.7635300926</v>
      </c>
      <c r="C325">
        <v>0</v>
      </c>
      <c r="D325">
        <v>22</v>
      </c>
      <c r="E325" t="s">
        <v>326</v>
      </c>
    </row>
    <row r="326" spans="1:5">
      <c r="A326">
        <f>HYPERLINK("http://www.twitter.com/NYPDnews/status/799247073044557824", "799247073044557824")</f>
        <v>0</v>
      </c>
      <c r="B326" s="2">
        <v>42691.5732175926</v>
      </c>
      <c r="C326">
        <v>72</v>
      </c>
      <c r="D326">
        <v>21</v>
      </c>
      <c r="E326" t="s">
        <v>327</v>
      </c>
    </row>
    <row r="327" spans="1:5">
      <c r="A327">
        <f>HYPERLINK("http://www.twitter.com/NYPDnews/status/799243273483194368", "799243273483194368")</f>
        <v>0</v>
      </c>
      <c r="B327" s="2">
        <v>42691.5627314815</v>
      </c>
      <c r="C327">
        <v>110</v>
      </c>
      <c r="D327">
        <v>25</v>
      </c>
      <c r="E327" t="s">
        <v>328</v>
      </c>
    </row>
    <row r="328" spans="1:5">
      <c r="A328">
        <f>HYPERLINK("http://www.twitter.com/NYPDnews/status/799239472097464320", "799239472097464320")</f>
        <v>0</v>
      </c>
      <c r="B328" s="2">
        <v>42691.5522337963</v>
      </c>
      <c r="C328">
        <v>42</v>
      </c>
      <c r="D328">
        <v>64</v>
      </c>
      <c r="E328" t="s">
        <v>329</v>
      </c>
    </row>
    <row r="329" spans="1:5">
      <c r="A329">
        <f>HYPERLINK("http://www.twitter.com/NYPDnews/status/799235751837921280", "799235751837921280")</f>
        <v>0</v>
      </c>
      <c r="B329" s="2">
        <v>42691.5419675926</v>
      </c>
      <c r="C329">
        <v>27</v>
      </c>
      <c r="D329">
        <v>7</v>
      </c>
      <c r="E329" t="s">
        <v>330</v>
      </c>
    </row>
    <row r="330" spans="1:5">
      <c r="A330">
        <f>HYPERLINK("http://www.twitter.com/NYPDnews/status/799068329281470464", "799068329281470464")</f>
        <v>0</v>
      </c>
      <c r="B330" s="2">
        <v>42691.0799768519</v>
      </c>
      <c r="C330">
        <v>73</v>
      </c>
      <c r="D330">
        <v>24</v>
      </c>
      <c r="E330" t="s">
        <v>331</v>
      </c>
    </row>
    <row r="331" spans="1:5">
      <c r="A331">
        <f>HYPERLINK("http://www.twitter.com/NYPDnews/status/799057015196749825", "799057015196749825")</f>
        <v>0</v>
      </c>
      <c r="B331" s="2">
        <v>42691.04875</v>
      </c>
      <c r="C331">
        <v>42</v>
      </c>
      <c r="D331">
        <v>16</v>
      </c>
      <c r="E331" t="s">
        <v>332</v>
      </c>
    </row>
    <row r="332" spans="1:5">
      <c r="A332">
        <f>HYPERLINK("http://www.twitter.com/NYPDnews/status/799045672456568832", "799045672456568832")</f>
        <v>0</v>
      </c>
      <c r="B332" s="2">
        <v>42691.0174537037</v>
      </c>
      <c r="C332">
        <v>40</v>
      </c>
      <c r="D332">
        <v>126</v>
      </c>
      <c r="E332" t="s">
        <v>333</v>
      </c>
    </row>
    <row r="333" spans="1:5">
      <c r="A333">
        <f>HYPERLINK("http://www.twitter.com/NYPDnews/status/799035745705086976", "799035745705086976")</f>
        <v>0</v>
      </c>
      <c r="B333" s="2">
        <v>42690.9900578704</v>
      </c>
      <c r="C333">
        <v>0</v>
      </c>
      <c r="D333">
        <v>38</v>
      </c>
      <c r="E333" t="s">
        <v>334</v>
      </c>
    </row>
    <row r="334" spans="1:5">
      <c r="A334">
        <f>HYPERLINK("http://www.twitter.com/NYPDnews/status/799034150745411585", "799034150745411585")</f>
        <v>0</v>
      </c>
      <c r="B334" s="2">
        <v>42690.9856597222</v>
      </c>
      <c r="C334">
        <v>33</v>
      </c>
      <c r="D334">
        <v>9</v>
      </c>
      <c r="E334" t="s">
        <v>335</v>
      </c>
    </row>
    <row r="335" spans="1:5">
      <c r="A335">
        <f>HYPERLINK("http://www.twitter.com/NYPDnews/status/799028078026641416", "799028078026641416")</f>
        <v>0</v>
      </c>
      <c r="B335" s="2">
        <v>42690.968900463</v>
      </c>
      <c r="C335">
        <v>14</v>
      </c>
      <c r="D335">
        <v>5</v>
      </c>
      <c r="E335" t="s">
        <v>336</v>
      </c>
    </row>
    <row r="336" spans="1:5">
      <c r="A336">
        <f>HYPERLINK("http://www.twitter.com/NYPDnews/status/798974390977363972", "798974390977363972")</f>
        <v>0</v>
      </c>
      <c r="B336" s="2">
        <v>42690.8207523148</v>
      </c>
      <c r="C336">
        <v>0</v>
      </c>
      <c r="D336">
        <v>33</v>
      </c>
      <c r="E336" t="s">
        <v>337</v>
      </c>
    </row>
    <row r="337" spans="1:5">
      <c r="A337">
        <f>HYPERLINK("http://www.twitter.com/NYPDnews/status/798888399197372416", "798888399197372416")</f>
        <v>0</v>
      </c>
      <c r="B337" s="2">
        <v>42690.5834606482</v>
      </c>
      <c r="C337">
        <v>63</v>
      </c>
      <c r="D337">
        <v>27</v>
      </c>
      <c r="E337" t="s">
        <v>338</v>
      </c>
    </row>
    <row r="338" spans="1:5">
      <c r="A338">
        <f>HYPERLINK("http://www.twitter.com/NYPDnews/status/798884648445243392", "798884648445243392")</f>
        <v>0</v>
      </c>
      <c r="B338" s="2">
        <v>42690.5731134259</v>
      </c>
      <c r="C338">
        <v>143</v>
      </c>
      <c r="D338">
        <v>34</v>
      </c>
      <c r="E338" t="s">
        <v>339</v>
      </c>
    </row>
    <row r="339" spans="1:5">
      <c r="A339">
        <f>HYPERLINK("http://www.twitter.com/NYPDnews/status/798881026995093504", "798881026995093504")</f>
        <v>0</v>
      </c>
      <c r="B339" s="2">
        <v>42690.5631134259</v>
      </c>
      <c r="C339">
        <v>110</v>
      </c>
      <c r="D339">
        <v>39</v>
      </c>
      <c r="E339" t="s">
        <v>340</v>
      </c>
    </row>
    <row r="340" spans="1:5">
      <c r="A340">
        <f>HYPERLINK("http://www.twitter.com/NYPDnews/status/798877092054175744", "798877092054175744")</f>
        <v>0</v>
      </c>
      <c r="B340" s="2">
        <v>42690.5522569444</v>
      </c>
      <c r="C340">
        <v>108</v>
      </c>
      <c r="D340">
        <v>29</v>
      </c>
      <c r="E340" t="s">
        <v>341</v>
      </c>
    </row>
    <row r="341" spans="1:5">
      <c r="A341">
        <f>HYPERLINK("http://www.twitter.com/NYPDnews/status/798873458918703104", "798873458918703104")</f>
        <v>0</v>
      </c>
      <c r="B341" s="2">
        <v>42690.5422337963</v>
      </c>
      <c r="C341">
        <v>37</v>
      </c>
      <c r="D341">
        <v>13</v>
      </c>
      <c r="E341" t="s">
        <v>342</v>
      </c>
    </row>
    <row r="342" spans="1:5">
      <c r="A342">
        <f>HYPERLINK("http://www.twitter.com/NYPDnews/status/798725400272715776", "798725400272715776")</f>
        <v>0</v>
      </c>
      <c r="B342" s="2">
        <v>42690.1336689815</v>
      </c>
      <c r="C342">
        <v>93</v>
      </c>
      <c r="D342">
        <v>29</v>
      </c>
      <c r="E342" t="s">
        <v>343</v>
      </c>
    </row>
    <row r="343" spans="1:5">
      <c r="A343">
        <f>HYPERLINK("http://www.twitter.com/NYPDnews/status/798699651453034502", "798699651453034502")</f>
        <v>0</v>
      </c>
      <c r="B343" s="2">
        <v>42690.0626157407</v>
      </c>
      <c r="C343">
        <v>22</v>
      </c>
      <c r="D343">
        <v>44</v>
      </c>
      <c r="E343" t="s">
        <v>344</v>
      </c>
    </row>
    <row r="344" spans="1:5">
      <c r="A344">
        <f>HYPERLINK("http://www.twitter.com/NYPDnews/status/798689202867175424", "798689202867175424")</f>
        <v>0</v>
      </c>
      <c r="B344" s="2">
        <v>42690.0337847222</v>
      </c>
      <c r="C344">
        <v>0</v>
      </c>
      <c r="D344">
        <v>36</v>
      </c>
      <c r="E344" t="s">
        <v>345</v>
      </c>
    </row>
    <row r="345" spans="1:5">
      <c r="A345">
        <f>HYPERLINK("http://www.twitter.com/NYPDnews/status/798678259181518848", "798678259181518848")</f>
        <v>0</v>
      </c>
      <c r="B345" s="2">
        <v>42690.003587963</v>
      </c>
      <c r="C345">
        <v>107</v>
      </c>
      <c r="D345">
        <v>32</v>
      </c>
      <c r="E345" t="s">
        <v>346</v>
      </c>
    </row>
    <row r="346" spans="1:5">
      <c r="A346">
        <f>HYPERLINK("http://www.twitter.com/NYPDnews/status/798665691331174401", "798665691331174401")</f>
        <v>0</v>
      </c>
      <c r="B346" s="2">
        <v>42689.968900463</v>
      </c>
      <c r="C346">
        <v>129</v>
      </c>
      <c r="D346">
        <v>29</v>
      </c>
      <c r="E346" t="s">
        <v>347</v>
      </c>
    </row>
    <row r="347" spans="1:5">
      <c r="A347">
        <f>HYPERLINK("http://www.twitter.com/NYPDnews/status/798653079113515008", "798653079113515008")</f>
        <v>0</v>
      </c>
      <c r="B347" s="2">
        <v>42689.9340972222</v>
      </c>
      <c r="C347">
        <v>33</v>
      </c>
      <c r="D347">
        <v>56</v>
      </c>
      <c r="E347" t="s">
        <v>348</v>
      </c>
    </row>
    <row r="348" spans="1:5">
      <c r="A348">
        <f>HYPERLINK("http://www.twitter.com/NYPDnews/status/798627923821531138", "798627923821531138")</f>
        <v>0</v>
      </c>
      <c r="B348" s="2">
        <v>42689.8646875</v>
      </c>
      <c r="C348">
        <v>82</v>
      </c>
      <c r="D348">
        <v>37</v>
      </c>
      <c r="E348" t="s">
        <v>349</v>
      </c>
    </row>
    <row r="349" spans="1:5">
      <c r="A349">
        <f>HYPERLINK("http://www.twitter.com/NYPDnews/status/798620375496019968", "798620375496019968")</f>
        <v>0</v>
      </c>
      <c r="B349" s="2">
        <v>42689.8438541667</v>
      </c>
      <c r="C349">
        <v>25</v>
      </c>
      <c r="D349">
        <v>8</v>
      </c>
      <c r="E349" t="s">
        <v>350</v>
      </c>
    </row>
    <row r="350" spans="1:5">
      <c r="A350">
        <f>HYPERLINK("http://www.twitter.com/NYPDnews/status/798567293550608384", "798567293550608384")</f>
        <v>0</v>
      </c>
      <c r="B350" s="2">
        <v>42689.6973842593</v>
      </c>
      <c r="C350">
        <v>0</v>
      </c>
      <c r="D350">
        <v>28</v>
      </c>
      <c r="E350" t="s">
        <v>351</v>
      </c>
    </row>
    <row r="351" spans="1:5">
      <c r="A351">
        <f>HYPERLINK("http://www.twitter.com/NYPDnews/status/798550944384421888", "798550944384421888")</f>
        <v>0</v>
      </c>
      <c r="B351" s="2">
        <v>42689.6522685185</v>
      </c>
      <c r="C351">
        <v>89</v>
      </c>
      <c r="D351">
        <v>35</v>
      </c>
      <c r="E351" t="s">
        <v>352</v>
      </c>
    </row>
    <row r="352" spans="1:5">
      <c r="A352">
        <f>HYPERLINK("http://www.twitter.com/NYPDnews/status/798534077511069696", "798534077511069696")</f>
        <v>0</v>
      </c>
      <c r="B352" s="2">
        <v>42689.6057175926</v>
      </c>
      <c r="C352">
        <v>108</v>
      </c>
      <c r="D352">
        <v>255</v>
      </c>
      <c r="E352" t="s">
        <v>353</v>
      </c>
    </row>
    <row r="353" spans="1:5">
      <c r="A353">
        <f>HYPERLINK("http://www.twitter.com/NYPDnews/status/798515949506793472", "798515949506793472")</f>
        <v>0</v>
      </c>
      <c r="B353" s="2">
        <v>42689.5556944444</v>
      </c>
      <c r="C353">
        <v>44</v>
      </c>
      <c r="D353">
        <v>18</v>
      </c>
      <c r="E353" t="s">
        <v>354</v>
      </c>
    </row>
    <row r="354" spans="1:5">
      <c r="A354">
        <f>HYPERLINK("http://www.twitter.com/NYPDnews/status/798514686442569728", "798514686442569728")</f>
        <v>0</v>
      </c>
      <c r="B354" s="2">
        <v>42689.5522106482</v>
      </c>
      <c r="C354">
        <v>45</v>
      </c>
      <c r="D354">
        <v>15</v>
      </c>
      <c r="E354" t="s">
        <v>355</v>
      </c>
    </row>
    <row r="355" spans="1:5">
      <c r="A355">
        <f>HYPERLINK("http://www.twitter.com/NYPDnews/status/798510996994330626", "798510996994330626")</f>
        <v>0</v>
      </c>
      <c r="B355" s="2">
        <v>42689.542025463</v>
      </c>
      <c r="C355">
        <v>40</v>
      </c>
      <c r="D355">
        <v>17</v>
      </c>
      <c r="E355" t="s">
        <v>356</v>
      </c>
    </row>
    <row r="356" spans="1:5">
      <c r="A356">
        <f>HYPERLINK("http://www.twitter.com/NYPDnews/status/798324685687627776", "798324685687627776")</f>
        <v>0</v>
      </c>
      <c r="B356" s="2">
        <v>42689.0279050926</v>
      </c>
      <c r="C356">
        <v>48</v>
      </c>
      <c r="D356">
        <v>36</v>
      </c>
      <c r="E356" t="s">
        <v>357</v>
      </c>
    </row>
    <row r="357" spans="1:5">
      <c r="A357">
        <f>HYPERLINK("http://www.twitter.com/NYPDnews/status/798312102943260672", "798312102943260672")</f>
        <v>0</v>
      </c>
      <c r="B357" s="2">
        <v>42688.9931828704</v>
      </c>
      <c r="C357">
        <v>28</v>
      </c>
      <c r="D357">
        <v>16</v>
      </c>
      <c r="E357" t="s">
        <v>358</v>
      </c>
    </row>
    <row r="358" spans="1:5">
      <c r="A358">
        <f>HYPERLINK("http://www.twitter.com/NYPDnews/status/798307142851694592", "798307142851694592")</f>
        <v>0</v>
      </c>
      <c r="B358" s="2">
        <v>42688.9795023148</v>
      </c>
      <c r="C358">
        <v>34</v>
      </c>
      <c r="D358">
        <v>81</v>
      </c>
      <c r="E358" t="s">
        <v>359</v>
      </c>
    </row>
    <row r="359" spans="1:5">
      <c r="A359">
        <f>HYPERLINK("http://www.twitter.com/NYPDnews/status/798297176191418373", "798297176191418373")</f>
        <v>0</v>
      </c>
      <c r="B359" s="2">
        <v>42688.9520023148</v>
      </c>
      <c r="C359">
        <v>166</v>
      </c>
      <c r="D359">
        <v>82</v>
      </c>
      <c r="E359" t="s">
        <v>360</v>
      </c>
    </row>
    <row r="360" spans="1:5">
      <c r="A360">
        <f>HYPERLINK("http://www.twitter.com/NYPDnews/status/798286932346335234", "798286932346335234")</f>
        <v>0</v>
      </c>
      <c r="B360" s="2">
        <v>42688.9237268519</v>
      </c>
      <c r="C360">
        <v>61</v>
      </c>
      <c r="D360">
        <v>15</v>
      </c>
      <c r="E360" t="s">
        <v>361</v>
      </c>
    </row>
    <row r="361" spans="1:5">
      <c r="A361">
        <f>HYPERLINK("http://www.twitter.com/NYPDnews/status/798278114900066308", "798278114900066308")</f>
        <v>0</v>
      </c>
      <c r="B361" s="2">
        <v>42688.8993981481</v>
      </c>
      <c r="C361">
        <v>19</v>
      </c>
      <c r="D361">
        <v>41</v>
      </c>
      <c r="E361" t="s">
        <v>362</v>
      </c>
    </row>
    <row r="362" spans="1:5">
      <c r="A362">
        <f>HYPERLINK("http://www.twitter.com/NYPDnews/status/798217827509420032", "798217827509420032")</f>
        <v>0</v>
      </c>
      <c r="B362" s="2">
        <v>42688.7330324074</v>
      </c>
      <c r="C362">
        <v>79</v>
      </c>
      <c r="D362">
        <v>26</v>
      </c>
      <c r="E362" t="s">
        <v>363</v>
      </c>
    </row>
    <row r="363" spans="1:5">
      <c r="A363">
        <f>HYPERLINK("http://www.twitter.com/NYPDnews/status/798209283720704000", "798209283720704000")</f>
        <v>0</v>
      </c>
      <c r="B363" s="2">
        <v>42688.7094560185</v>
      </c>
      <c r="C363">
        <v>72</v>
      </c>
      <c r="D363">
        <v>24</v>
      </c>
      <c r="E363" t="s">
        <v>364</v>
      </c>
    </row>
    <row r="364" spans="1:5">
      <c r="A364">
        <f>HYPERLINK("http://www.twitter.com/NYPDnews/status/798172748677779456", "798172748677779456")</f>
        <v>0</v>
      </c>
      <c r="B364" s="2">
        <v>42688.6086458333</v>
      </c>
      <c r="C364">
        <v>0</v>
      </c>
      <c r="D364">
        <v>16</v>
      </c>
      <c r="E364" t="s">
        <v>365</v>
      </c>
    </row>
    <row r="365" spans="1:5">
      <c r="A365">
        <f>HYPERLINK("http://www.twitter.com/NYPDnews/status/798163234511618048", "798163234511618048")</f>
        <v>0</v>
      </c>
      <c r="B365" s="2">
        <v>42688.5823842593</v>
      </c>
      <c r="C365">
        <v>0</v>
      </c>
      <c r="D365">
        <v>97</v>
      </c>
      <c r="E365" t="s">
        <v>366</v>
      </c>
    </row>
    <row r="366" spans="1:5">
      <c r="A366">
        <f>HYPERLINK("http://www.twitter.com/NYPDnews/status/798159872760172544", "798159872760172544")</f>
        <v>0</v>
      </c>
      <c r="B366" s="2">
        <v>42688.5731134259</v>
      </c>
      <c r="C366">
        <v>71</v>
      </c>
      <c r="D366">
        <v>14</v>
      </c>
      <c r="E366" t="s">
        <v>367</v>
      </c>
    </row>
    <row r="367" spans="1:5">
      <c r="A367">
        <f>HYPERLINK("http://www.twitter.com/NYPDnews/status/798152317577072640", "798152317577072640")</f>
        <v>0</v>
      </c>
      <c r="B367" s="2">
        <v>42688.5522685185</v>
      </c>
      <c r="C367">
        <v>25</v>
      </c>
      <c r="D367">
        <v>62</v>
      </c>
      <c r="E367" t="s">
        <v>368</v>
      </c>
    </row>
    <row r="368" spans="1:5">
      <c r="A368">
        <f>HYPERLINK("http://www.twitter.com/NYPDnews/status/798152316717322240", "798152316717322240")</f>
        <v>0</v>
      </c>
      <c r="B368" s="2">
        <v>42688.5522569444</v>
      </c>
      <c r="C368">
        <v>29</v>
      </c>
      <c r="D368">
        <v>28</v>
      </c>
      <c r="E368" t="s">
        <v>369</v>
      </c>
    </row>
    <row r="369" spans="1:5">
      <c r="A369">
        <f>HYPERLINK("http://www.twitter.com/NYPDnews/status/798148669006639104", "798148669006639104")</f>
        <v>0</v>
      </c>
      <c r="B369" s="2">
        <v>42688.5421990741</v>
      </c>
      <c r="C369">
        <v>83</v>
      </c>
      <c r="D369">
        <v>19</v>
      </c>
      <c r="E369" t="s">
        <v>370</v>
      </c>
    </row>
    <row r="370" spans="1:5">
      <c r="A370">
        <f>HYPERLINK("http://www.twitter.com/NYPDnews/status/797974888162041856", "797974888162041856")</f>
        <v>0</v>
      </c>
      <c r="B370" s="2">
        <v>42688.062650463</v>
      </c>
      <c r="C370">
        <v>829</v>
      </c>
      <c r="D370">
        <v>484</v>
      </c>
      <c r="E370" t="s">
        <v>371</v>
      </c>
    </row>
    <row r="371" spans="1:5">
      <c r="A371">
        <f>HYPERLINK("http://www.twitter.com/NYPDnews/status/797938365328859136", "797938365328859136")</f>
        <v>0</v>
      </c>
      <c r="B371" s="2">
        <v>42687.9618634259</v>
      </c>
      <c r="C371">
        <v>63</v>
      </c>
      <c r="D371">
        <v>21</v>
      </c>
      <c r="E371" t="s">
        <v>372</v>
      </c>
    </row>
    <row r="372" spans="1:5">
      <c r="A372">
        <f>HYPERLINK("http://www.twitter.com/NYPDnews/status/797898935155249152", "797898935155249152")</f>
        <v>0</v>
      </c>
      <c r="B372" s="2">
        <v>42687.8530671296</v>
      </c>
      <c r="C372">
        <v>78</v>
      </c>
      <c r="D372">
        <v>66</v>
      </c>
      <c r="E372" t="s">
        <v>373</v>
      </c>
    </row>
    <row r="373" spans="1:5">
      <c r="A373">
        <f>HYPERLINK("http://www.twitter.com/NYPDnews/status/797847796565020677", "797847796565020677")</f>
        <v>0</v>
      </c>
      <c r="B373" s="2">
        <v>42687.7119444444</v>
      </c>
      <c r="C373">
        <v>329</v>
      </c>
      <c r="D373">
        <v>86</v>
      </c>
      <c r="E373" t="s">
        <v>374</v>
      </c>
    </row>
    <row r="374" spans="1:5">
      <c r="A374">
        <f>HYPERLINK("http://www.twitter.com/NYPDnews/status/797816404296744961", "797816404296744961")</f>
        <v>0</v>
      </c>
      <c r="B374" s="2">
        <v>42687.6253240741</v>
      </c>
      <c r="C374">
        <v>84</v>
      </c>
      <c r="D374">
        <v>20</v>
      </c>
      <c r="E374" t="s">
        <v>375</v>
      </c>
    </row>
    <row r="375" spans="1:5">
      <c r="A375">
        <f>HYPERLINK("http://www.twitter.com/NYPDnews/status/797801274494349312", "797801274494349312")</f>
        <v>0</v>
      </c>
      <c r="B375" s="2">
        <v>42687.5835648148</v>
      </c>
      <c r="C375">
        <v>74</v>
      </c>
      <c r="D375">
        <v>17</v>
      </c>
      <c r="E375" t="s">
        <v>376</v>
      </c>
    </row>
    <row r="376" spans="1:5">
      <c r="A376">
        <f>HYPERLINK("http://www.twitter.com/NYPDnews/status/797793283602874370", "797793283602874370")</f>
        <v>0</v>
      </c>
      <c r="B376" s="2">
        <v>42687.5615162037</v>
      </c>
      <c r="C376">
        <v>59</v>
      </c>
      <c r="D376">
        <v>147</v>
      </c>
      <c r="E376" t="s">
        <v>377</v>
      </c>
    </row>
    <row r="377" spans="1:5">
      <c r="A377">
        <f>HYPERLINK("http://www.twitter.com/NYPDnews/status/797608741164220418", "797608741164220418")</f>
        <v>0</v>
      </c>
      <c r="B377" s="2">
        <v>42687.0522800926</v>
      </c>
      <c r="C377">
        <v>262</v>
      </c>
      <c r="D377">
        <v>83</v>
      </c>
      <c r="E377" t="s">
        <v>378</v>
      </c>
    </row>
    <row r="378" spans="1:5">
      <c r="A378">
        <f>HYPERLINK("http://www.twitter.com/NYPDnews/status/797591081022013440", "797591081022013440")</f>
        <v>0</v>
      </c>
      <c r="B378" s="2">
        <v>42687.0035416667</v>
      </c>
      <c r="C378">
        <v>112</v>
      </c>
      <c r="D378">
        <v>34</v>
      </c>
      <c r="E378" t="s">
        <v>379</v>
      </c>
    </row>
    <row r="379" spans="1:5">
      <c r="A379">
        <f>HYPERLINK("http://www.twitter.com/NYPDnews/status/797567235694927874", "797567235694927874")</f>
        <v>0</v>
      </c>
      <c r="B379" s="2">
        <v>42686.9377430556</v>
      </c>
      <c r="C379">
        <v>223</v>
      </c>
      <c r="D379">
        <v>61</v>
      </c>
      <c r="E379" t="s">
        <v>380</v>
      </c>
    </row>
    <row r="380" spans="1:5">
      <c r="A380">
        <f>HYPERLINK("http://www.twitter.com/NYPDnews/status/797552085571170304", "797552085571170304")</f>
        <v>0</v>
      </c>
      <c r="B380" s="2">
        <v>42686.8959375</v>
      </c>
      <c r="C380">
        <v>177</v>
      </c>
      <c r="D380">
        <v>180</v>
      </c>
      <c r="E380" t="s">
        <v>381</v>
      </c>
    </row>
    <row r="381" spans="1:5">
      <c r="A381">
        <f>HYPERLINK("http://www.twitter.com/NYPDnews/status/797520616756838400", "797520616756838400")</f>
        <v>0</v>
      </c>
      <c r="B381" s="2">
        <v>42686.8090972222</v>
      </c>
      <c r="C381">
        <v>133</v>
      </c>
      <c r="D381">
        <v>53</v>
      </c>
      <c r="E381" t="s">
        <v>382</v>
      </c>
    </row>
    <row r="382" spans="1:5">
      <c r="A382">
        <f>HYPERLINK("http://www.twitter.com/NYPDnews/status/797508136995323904", "797508136995323904")</f>
        <v>0</v>
      </c>
      <c r="B382" s="2">
        <v>42686.7746643519</v>
      </c>
      <c r="C382">
        <v>77</v>
      </c>
      <c r="D382">
        <v>65</v>
      </c>
      <c r="E382" t="s">
        <v>383</v>
      </c>
    </row>
    <row r="383" spans="1:5">
      <c r="A383">
        <f>HYPERLINK("http://www.twitter.com/NYPDnews/status/797500491571875844", "797500491571875844")</f>
        <v>0</v>
      </c>
      <c r="B383" s="2">
        <v>42686.7535648148</v>
      </c>
      <c r="C383">
        <v>61</v>
      </c>
      <c r="D383">
        <v>27</v>
      </c>
      <c r="E383" t="s">
        <v>384</v>
      </c>
    </row>
    <row r="384" spans="1:5">
      <c r="A384">
        <f>HYPERLINK("http://www.twitter.com/NYPDnews/status/797486666139271169", "797486666139271169")</f>
        <v>0</v>
      </c>
      <c r="B384" s="2">
        <v>42686.7154166667</v>
      </c>
      <c r="C384">
        <v>63</v>
      </c>
      <c r="D384">
        <v>19</v>
      </c>
      <c r="E384" t="s">
        <v>385</v>
      </c>
    </row>
    <row r="385" spans="1:5">
      <c r="A385">
        <f>HYPERLINK("http://www.twitter.com/NYPDnews/status/797461610352832512", "797461610352832512")</f>
        <v>0</v>
      </c>
      <c r="B385" s="2">
        <v>42686.6462731482</v>
      </c>
      <c r="C385">
        <v>168</v>
      </c>
      <c r="D385">
        <v>43</v>
      </c>
      <c r="E385" t="s">
        <v>386</v>
      </c>
    </row>
    <row r="386" spans="1:5">
      <c r="A386">
        <f>HYPERLINK("http://www.twitter.com/NYPDnews/status/797454190763249664", "797454190763249664")</f>
        <v>0</v>
      </c>
      <c r="B386" s="2">
        <v>42686.6257986111</v>
      </c>
      <c r="C386">
        <v>67</v>
      </c>
      <c r="D386">
        <v>21</v>
      </c>
      <c r="E386" t="s">
        <v>387</v>
      </c>
    </row>
    <row r="387" spans="1:5">
      <c r="A387">
        <f>HYPERLINK("http://www.twitter.com/NYPDnews/status/797442580728446976", "797442580728446976")</f>
        <v>0</v>
      </c>
      <c r="B387" s="2">
        <v>42686.5937615741</v>
      </c>
      <c r="C387">
        <v>30</v>
      </c>
      <c r="D387">
        <v>91</v>
      </c>
      <c r="E387" t="s">
        <v>388</v>
      </c>
    </row>
    <row r="388" spans="1:5">
      <c r="A388">
        <f>HYPERLINK("http://www.twitter.com/NYPDnews/status/797432919291740160", "797432919291740160")</f>
        <v>0</v>
      </c>
      <c r="B388" s="2">
        <v>42686.5671064815</v>
      </c>
      <c r="C388">
        <v>43</v>
      </c>
      <c r="D388">
        <v>100</v>
      </c>
      <c r="E388" t="s">
        <v>389</v>
      </c>
    </row>
    <row r="389" spans="1:5">
      <c r="A389">
        <f>HYPERLINK("http://www.twitter.com/NYPDnews/status/797299176774270977", "797299176774270977")</f>
        <v>0</v>
      </c>
      <c r="B389" s="2">
        <v>42686.1980439815</v>
      </c>
      <c r="C389">
        <v>289</v>
      </c>
      <c r="D389">
        <v>82</v>
      </c>
      <c r="E389" t="s">
        <v>390</v>
      </c>
    </row>
    <row r="390" spans="1:5">
      <c r="A390">
        <f>HYPERLINK("http://www.twitter.com/NYPDnews/status/797260656630235136", "797260656630235136")</f>
        <v>0</v>
      </c>
      <c r="B390" s="2">
        <v>42686.0917476852</v>
      </c>
      <c r="C390">
        <v>358</v>
      </c>
      <c r="D390">
        <v>152</v>
      </c>
      <c r="E390" t="s">
        <v>391</v>
      </c>
    </row>
    <row r="391" spans="1:5">
      <c r="A391">
        <f>HYPERLINK("http://www.twitter.com/NYPDnews/status/797236234770849797", "797236234770849797")</f>
        <v>0</v>
      </c>
      <c r="B391" s="2">
        <v>42686.0243518519</v>
      </c>
      <c r="C391">
        <v>131</v>
      </c>
      <c r="D391">
        <v>55</v>
      </c>
      <c r="E391" t="s">
        <v>392</v>
      </c>
    </row>
    <row r="392" spans="1:5">
      <c r="A392">
        <f>HYPERLINK("http://www.twitter.com/NYPDnews/status/797221482300641280", "797221482300641280")</f>
        <v>0</v>
      </c>
      <c r="B392" s="2">
        <v>42685.9836458333</v>
      </c>
      <c r="C392">
        <v>241</v>
      </c>
      <c r="D392">
        <v>50</v>
      </c>
      <c r="E392" t="s">
        <v>393</v>
      </c>
    </row>
    <row r="393" spans="1:5">
      <c r="A393">
        <f>HYPERLINK("http://www.twitter.com/NYPDnews/status/797155779396698112", "797155779396698112")</f>
        <v>0</v>
      </c>
      <c r="B393" s="2">
        <v>42685.802337963</v>
      </c>
      <c r="C393">
        <v>448</v>
      </c>
      <c r="D393">
        <v>170</v>
      </c>
      <c r="E393" t="s">
        <v>394</v>
      </c>
    </row>
    <row r="394" spans="1:5">
      <c r="A394">
        <f>HYPERLINK("http://www.twitter.com/NYPDnews/status/797118010586632192", "797118010586632192")</f>
        <v>0</v>
      </c>
      <c r="B394" s="2">
        <v>42685.698125</v>
      </c>
      <c r="C394">
        <v>88</v>
      </c>
      <c r="D394">
        <v>24</v>
      </c>
      <c r="E394" t="s">
        <v>395</v>
      </c>
    </row>
    <row r="395" spans="1:5">
      <c r="A395">
        <f>HYPERLINK("http://www.twitter.com/NYPDnews/status/797100434813022208", "797100434813022208")</f>
        <v>0</v>
      </c>
      <c r="B395" s="2">
        <v>42685.6496180556</v>
      </c>
      <c r="C395">
        <v>775</v>
      </c>
      <c r="D395">
        <v>622</v>
      </c>
      <c r="E395" t="s">
        <v>396</v>
      </c>
    </row>
    <row r="396" spans="1:5">
      <c r="A396">
        <f>HYPERLINK("http://www.twitter.com/NYPDnews/status/797084497934254081", "797084497934254081")</f>
        <v>0</v>
      </c>
      <c r="B396" s="2">
        <v>42685.6056481482</v>
      </c>
      <c r="C396">
        <v>148</v>
      </c>
      <c r="D396">
        <v>37</v>
      </c>
      <c r="E396" t="s">
        <v>397</v>
      </c>
    </row>
    <row r="397" spans="1:5">
      <c r="A397">
        <f>HYPERLINK("http://www.twitter.com/NYPDnews/status/797074038401232896", "797074038401232896")</f>
        <v>0</v>
      </c>
      <c r="B397" s="2">
        <v>42685.5767824074</v>
      </c>
      <c r="C397">
        <v>175</v>
      </c>
      <c r="D397">
        <v>55</v>
      </c>
      <c r="E397" t="s">
        <v>398</v>
      </c>
    </row>
    <row r="398" spans="1:5">
      <c r="A398">
        <f>HYPERLINK("http://www.twitter.com/NYPDnews/status/797060147617132544", "797060147617132544")</f>
        <v>0</v>
      </c>
      <c r="B398" s="2">
        <v>42685.5384490741</v>
      </c>
      <c r="C398">
        <v>157</v>
      </c>
      <c r="D398">
        <v>59</v>
      </c>
      <c r="E398" t="s">
        <v>399</v>
      </c>
    </row>
    <row r="399" spans="1:5">
      <c r="A399">
        <f>HYPERLINK("http://www.twitter.com/NYPDnews/status/797055355050164224", "797055355050164224")</f>
        <v>0</v>
      </c>
      <c r="B399" s="2">
        <v>42685.5252199074</v>
      </c>
      <c r="C399">
        <v>565</v>
      </c>
      <c r="D399">
        <v>264</v>
      </c>
      <c r="E399" t="s">
        <v>400</v>
      </c>
    </row>
    <row r="400" spans="1:5">
      <c r="A400">
        <f>HYPERLINK("http://www.twitter.com/NYPDnews/status/796886458372071425", "796886458372071425")</f>
        <v>0</v>
      </c>
      <c r="B400" s="2">
        <v>42685.0591550926</v>
      </c>
      <c r="C400">
        <v>662</v>
      </c>
      <c r="D400">
        <v>272</v>
      </c>
      <c r="E400" t="s">
        <v>401</v>
      </c>
    </row>
    <row r="401" spans="1:5">
      <c r="A401">
        <f>HYPERLINK("http://www.twitter.com/NYPDnews/status/796876421113249793", "796876421113249793")</f>
        <v>0</v>
      </c>
      <c r="B401" s="2">
        <v>42685.0314583333</v>
      </c>
      <c r="C401">
        <v>0</v>
      </c>
      <c r="D401">
        <v>1346</v>
      </c>
      <c r="E401" t="s">
        <v>402</v>
      </c>
    </row>
    <row r="402" spans="1:5">
      <c r="A402">
        <f>HYPERLINK("http://www.twitter.com/NYPDnews/status/796867597530710016", "796867597530710016")</f>
        <v>0</v>
      </c>
      <c r="B402" s="2">
        <v>42685.0071064815</v>
      </c>
      <c r="C402">
        <v>292</v>
      </c>
      <c r="D402">
        <v>88</v>
      </c>
      <c r="E402" t="s">
        <v>403</v>
      </c>
    </row>
    <row r="403" spans="1:5">
      <c r="A403">
        <f>HYPERLINK("http://www.twitter.com/NYPDnews/status/796850155072978944", "796850155072978944")</f>
        <v>0</v>
      </c>
      <c r="B403" s="2">
        <v>42684.9589814815</v>
      </c>
      <c r="C403">
        <v>201</v>
      </c>
      <c r="D403">
        <v>97</v>
      </c>
      <c r="E403" t="s">
        <v>404</v>
      </c>
    </row>
    <row r="404" spans="1:5">
      <c r="A404">
        <f>HYPERLINK("http://www.twitter.com/NYPDnews/status/796841455465668610", "796841455465668610")</f>
        <v>0</v>
      </c>
      <c r="B404" s="2">
        <v>42684.9349768519</v>
      </c>
      <c r="C404">
        <v>163</v>
      </c>
      <c r="D404">
        <v>67</v>
      </c>
      <c r="E404" t="s">
        <v>405</v>
      </c>
    </row>
    <row r="405" spans="1:5">
      <c r="A405">
        <f>HYPERLINK("http://www.twitter.com/NYPDnews/status/796789994157445121", "796789994157445121")</f>
        <v>0</v>
      </c>
      <c r="B405" s="2">
        <v>42684.792962963</v>
      </c>
      <c r="C405">
        <v>811</v>
      </c>
      <c r="D405">
        <v>419</v>
      </c>
      <c r="E405" t="s">
        <v>406</v>
      </c>
    </row>
    <row r="406" spans="1:5">
      <c r="A406">
        <f>HYPERLINK("http://www.twitter.com/NYPDnews/status/796780747210297344", "796780747210297344")</f>
        <v>0</v>
      </c>
      <c r="B406" s="2">
        <v>42684.7674537037</v>
      </c>
      <c r="C406">
        <v>87</v>
      </c>
      <c r="D406">
        <v>30</v>
      </c>
      <c r="E406" t="s">
        <v>407</v>
      </c>
    </row>
    <row r="407" spans="1:5">
      <c r="A407">
        <f>HYPERLINK("http://www.twitter.com/NYPDnews/status/796778862407536641", "796778862407536641")</f>
        <v>0</v>
      </c>
      <c r="B407" s="2">
        <v>42684.7622453704</v>
      </c>
      <c r="C407">
        <v>151</v>
      </c>
      <c r="D407">
        <v>64</v>
      </c>
      <c r="E407" t="s">
        <v>408</v>
      </c>
    </row>
    <row r="408" spans="1:5">
      <c r="A408">
        <f>HYPERLINK("http://www.twitter.com/NYPDnews/status/796747416598966272", "796747416598966272")</f>
        <v>0</v>
      </c>
      <c r="B408" s="2">
        <v>42684.675474537</v>
      </c>
      <c r="C408">
        <v>579</v>
      </c>
      <c r="D408">
        <v>326</v>
      </c>
      <c r="E408" t="s">
        <v>409</v>
      </c>
    </row>
    <row r="409" spans="1:5">
      <c r="A409">
        <f>HYPERLINK("http://www.twitter.com/NYPDnews/status/796727678086873088", "796727678086873088")</f>
        <v>0</v>
      </c>
      <c r="B409" s="2">
        <v>42684.6210069444</v>
      </c>
      <c r="C409">
        <v>716</v>
      </c>
      <c r="D409">
        <v>321</v>
      </c>
      <c r="E409" t="s">
        <v>410</v>
      </c>
    </row>
    <row r="410" spans="1:5">
      <c r="A410">
        <f>HYPERLINK("http://www.twitter.com/NYPDnews/status/796710295171432449", "796710295171432449")</f>
        <v>0</v>
      </c>
      <c r="B410" s="2">
        <v>42684.5730439815</v>
      </c>
      <c r="C410">
        <v>74</v>
      </c>
      <c r="D410">
        <v>21</v>
      </c>
      <c r="E410" t="s">
        <v>411</v>
      </c>
    </row>
    <row r="411" spans="1:5">
      <c r="A411">
        <f>HYPERLINK("http://www.twitter.com/NYPDnews/status/796706566619754496", "796706566619754496")</f>
        <v>0</v>
      </c>
      <c r="B411" s="2">
        <v>42684.5627546296</v>
      </c>
      <c r="C411">
        <v>64</v>
      </c>
      <c r="D411">
        <v>22</v>
      </c>
      <c r="E411" t="s">
        <v>412</v>
      </c>
    </row>
    <row r="412" spans="1:5">
      <c r="A412">
        <f>HYPERLINK("http://www.twitter.com/NYPDnews/status/796702756258119680", "796702756258119680")</f>
        <v>0</v>
      </c>
      <c r="B412" s="2">
        <v>42684.5522337963</v>
      </c>
      <c r="C412">
        <v>20</v>
      </c>
      <c r="D412">
        <v>52</v>
      </c>
      <c r="E412" t="s">
        <v>413</v>
      </c>
    </row>
    <row r="413" spans="1:5">
      <c r="A413">
        <f>HYPERLINK("http://www.twitter.com/NYPDnews/status/796696703307051008", "796696703307051008")</f>
        <v>0</v>
      </c>
      <c r="B413" s="2">
        <v>42684.5355324074</v>
      </c>
      <c r="C413">
        <v>456</v>
      </c>
      <c r="D413">
        <v>270</v>
      </c>
      <c r="E413" t="s">
        <v>414</v>
      </c>
    </row>
    <row r="414" spans="1:5">
      <c r="A414">
        <f>HYPERLINK("http://www.twitter.com/NYPDnews/status/796678547448430592", "796678547448430592")</f>
        <v>0</v>
      </c>
      <c r="B414" s="2">
        <v>42684.4854282407</v>
      </c>
      <c r="C414">
        <v>139</v>
      </c>
      <c r="D414">
        <v>36</v>
      </c>
      <c r="E414" t="s">
        <v>415</v>
      </c>
    </row>
    <row r="415" spans="1:5">
      <c r="A415">
        <f>HYPERLINK("http://www.twitter.com/NYPDnews/status/796503937478197248", "796503937478197248")</f>
        <v>0</v>
      </c>
      <c r="B415" s="2">
        <v>42684.003599537</v>
      </c>
      <c r="C415">
        <v>679</v>
      </c>
      <c r="D415">
        <v>269</v>
      </c>
      <c r="E415" t="s">
        <v>416</v>
      </c>
    </row>
    <row r="416" spans="1:5">
      <c r="A416">
        <f>HYPERLINK("http://www.twitter.com/NYPDnews/status/796487738895765505", "796487738895765505")</f>
        <v>0</v>
      </c>
      <c r="B416" s="2">
        <v>42683.958900463</v>
      </c>
      <c r="C416">
        <v>16</v>
      </c>
      <c r="D416">
        <v>40</v>
      </c>
      <c r="E416" t="s">
        <v>417</v>
      </c>
    </row>
    <row r="417" spans="1:5">
      <c r="A417">
        <f>HYPERLINK("http://www.twitter.com/NYPDnews/status/796477515149803520", "796477515149803520")</f>
        <v>0</v>
      </c>
      <c r="B417" s="2">
        <v>42683.9306944444</v>
      </c>
      <c r="C417">
        <v>111</v>
      </c>
      <c r="D417">
        <v>35</v>
      </c>
      <c r="E417" t="s">
        <v>418</v>
      </c>
    </row>
    <row r="418" spans="1:5">
      <c r="A418">
        <f>HYPERLINK("http://www.twitter.com/NYPDnews/status/796446701280174081", "796446701280174081")</f>
        <v>0</v>
      </c>
      <c r="B418" s="2">
        <v>42683.8456597222</v>
      </c>
      <c r="C418">
        <v>0</v>
      </c>
      <c r="D418">
        <v>69</v>
      </c>
      <c r="E418" t="s">
        <v>419</v>
      </c>
    </row>
    <row r="419" spans="1:5">
      <c r="A419">
        <f>HYPERLINK("http://www.twitter.com/NYPDnews/status/796415894750711809", "796415894750711809")</f>
        <v>0</v>
      </c>
      <c r="B419" s="2">
        <v>42683.7606481481</v>
      </c>
      <c r="C419">
        <v>94</v>
      </c>
      <c r="D419">
        <v>24</v>
      </c>
      <c r="E419" t="s">
        <v>420</v>
      </c>
    </row>
    <row r="420" spans="1:5">
      <c r="A420">
        <f>HYPERLINK("http://www.twitter.com/NYPDnews/status/796399602987626497", "796399602987626497")</f>
        <v>0</v>
      </c>
      <c r="B420" s="2">
        <v>42683.7156944444</v>
      </c>
      <c r="C420">
        <v>0</v>
      </c>
      <c r="D420">
        <v>101</v>
      </c>
      <c r="E420" t="s">
        <v>421</v>
      </c>
    </row>
    <row r="421" spans="1:5">
      <c r="A421">
        <f>HYPERLINK("http://www.twitter.com/NYPDnews/status/796351768317874176", "796351768317874176")</f>
        <v>0</v>
      </c>
      <c r="B421" s="2">
        <v>42683.5836921296</v>
      </c>
      <c r="C421">
        <v>303</v>
      </c>
      <c r="D421">
        <v>139</v>
      </c>
      <c r="E421" t="s">
        <v>422</v>
      </c>
    </row>
    <row r="422" spans="1:5">
      <c r="A422">
        <f>HYPERLINK("http://www.twitter.com/NYPDnews/status/796347710429425665", "796347710429425665")</f>
        <v>0</v>
      </c>
      <c r="B422" s="2">
        <v>42683.5725</v>
      </c>
      <c r="C422">
        <v>58</v>
      </c>
      <c r="D422">
        <v>17</v>
      </c>
      <c r="E422" t="s">
        <v>423</v>
      </c>
    </row>
    <row r="423" spans="1:5">
      <c r="A423">
        <f>HYPERLINK("http://www.twitter.com/NYPDnews/status/796344183674064897", "796344183674064897")</f>
        <v>0</v>
      </c>
      <c r="B423" s="2">
        <v>42683.5627662037</v>
      </c>
      <c r="C423">
        <v>20</v>
      </c>
      <c r="D423">
        <v>54</v>
      </c>
      <c r="E423" t="s">
        <v>424</v>
      </c>
    </row>
    <row r="424" spans="1:5">
      <c r="A424">
        <f>HYPERLINK("http://www.twitter.com/NYPDnews/status/796340363317415936", "796340363317415936")</f>
        <v>0</v>
      </c>
      <c r="B424" s="2">
        <v>42683.5522222222</v>
      </c>
      <c r="C424">
        <v>169</v>
      </c>
      <c r="D424">
        <v>44</v>
      </c>
      <c r="E424" t="s">
        <v>425</v>
      </c>
    </row>
    <row r="425" spans="1:5">
      <c r="A425">
        <f>HYPERLINK("http://www.twitter.com/NYPDnews/status/796336701337665536", "796336701337665536")</f>
        <v>0</v>
      </c>
      <c r="B425" s="2">
        <v>42683.5421180556</v>
      </c>
      <c r="C425">
        <v>31</v>
      </c>
      <c r="D425">
        <v>25</v>
      </c>
      <c r="E425" t="s">
        <v>426</v>
      </c>
    </row>
    <row r="426" spans="1:5">
      <c r="A426">
        <f>HYPERLINK("http://www.twitter.com/NYPDnews/status/796166445122121729", "796166445122121729")</f>
        <v>0</v>
      </c>
      <c r="B426" s="2">
        <v>42683.0723032407</v>
      </c>
      <c r="C426">
        <v>484</v>
      </c>
      <c r="D426">
        <v>192</v>
      </c>
      <c r="E426" t="s">
        <v>427</v>
      </c>
    </row>
    <row r="427" spans="1:5">
      <c r="A427">
        <f>HYPERLINK("http://www.twitter.com/NYPDnews/status/796147915005841408", "796147915005841408")</f>
        <v>0</v>
      </c>
      <c r="B427" s="2">
        <v>42683.0211689815</v>
      </c>
      <c r="C427">
        <v>183</v>
      </c>
      <c r="D427">
        <v>50</v>
      </c>
      <c r="E427" t="s">
        <v>428</v>
      </c>
    </row>
    <row r="428" spans="1:5">
      <c r="A428">
        <f>HYPERLINK("http://www.twitter.com/NYPDnews/status/796136538820276224", "796136538820276224")</f>
        <v>0</v>
      </c>
      <c r="B428" s="2">
        <v>42682.9897800926</v>
      </c>
      <c r="C428">
        <v>81</v>
      </c>
      <c r="D428">
        <v>19</v>
      </c>
      <c r="E428" t="s">
        <v>429</v>
      </c>
    </row>
    <row r="429" spans="1:5">
      <c r="A429">
        <f>HYPERLINK("http://www.twitter.com/NYPDnews/status/796125311809286148", "796125311809286148")</f>
        <v>0</v>
      </c>
      <c r="B429" s="2">
        <v>42682.9587962963</v>
      </c>
      <c r="C429">
        <v>59</v>
      </c>
      <c r="D429">
        <v>20</v>
      </c>
      <c r="E429" t="s">
        <v>430</v>
      </c>
    </row>
    <row r="430" spans="1:5">
      <c r="A430">
        <f>HYPERLINK("http://www.twitter.com/NYPDnews/status/796105142760157185", "796105142760157185")</f>
        <v>0</v>
      </c>
      <c r="B430" s="2">
        <v>42682.9031365741</v>
      </c>
      <c r="C430">
        <v>103</v>
      </c>
      <c r="D430">
        <v>36</v>
      </c>
      <c r="E430" t="s">
        <v>431</v>
      </c>
    </row>
    <row r="431" spans="1:5">
      <c r="A431">
        <f>HYPERLINK("http://www.twitter.com/NYPDnews/status/796092511043354626", "796092511043354626")</f>
        <v>0</v>
      </c>
      <c r="B431" s="2">
        <v>42682.868275463</v>
      </c>
      <c r="C431">
        <v>26</v>
      </c>
      <c r="D431">
        <v>19</v>
      </c>
      <c r="E431" t="s">
        <v>432</v>
      </c>
    </row>
    <row r="432" spans="1:5">
      <c r="A432">
        <f>HYPERLINK("http://www.twitter.com/NYPDnews/status/796073877889753089", "796073877889753089")</f>
        <v>0</v>
      </c>
      <c r="B432" s="2">
        <v>42682.8168634259</v>
      </c>
      <c r="C432">
        <v>52</v>
      </c>
      <c r="D432">
        <v>56</v>
      </c>
      <c r="E432" t="s">
        <v>433</v>
      </c>
    </row>
    <row r="433" spans="1:5">
      <c r="A433">
        <f>HYPERLINK("http://www.twitter.com/NYPDnews/status/796058494218682368", "796058494218682368")</f>
        <v>0</v>
      </c>
      <c r="B433" s="2">
        <v>42682.7744097222</v>
      </c>
      <c r="C433">
        <v>13</v>
      </c>
      <c r="D433">
        <v>40</v>
      </c>
      <c r="E433" t="s">
        <v>434</v>
      </c>
    </row>
    <row r="434" spans="1:5">
      <c r="A434">
        <f>HYPERLINK("http://www.twitter.com/NYPDnews/status/796034197836222465", "796034197836222465")</f>
        <v>0</v>
      </c>
      <c r="B434" s="2">
        <v>42682.7073726852</v>
      </c>
      <c r="C434">
        <v>223</v>
      </c>
      <c r="D434">
        <v>112</v>
      </c>
      <c r="E434" t="s">
        <v>435</v>
      </c>
    </row>
    <row r="435" spans="1:5">
      <c r="A435">
        <f>HYPERLINK("http://www.twitter.com/NYPDnews/status/795989481274900481", "795989481274900481")</f>
        <v>0</v>
      </c>
      <c r="B435" s="2">
        <v>42682.5839699074</v>
      </c>
      <c r="C435">
        <v>62</v>
      </c>
      <c r="D435">
        <v>48</v>
      </c>
      <c r="E435" t="s">
        <v>436</v>
      </c>
    </row>
    <row r="436" spans="1:5">
      <c r="A436">
        <f>HYPERLINK("http://www.twitter.com/NYPDnews/status/795985527002583043", "795985527002583043")</f>
        <v>0</v>
      </c>
      <c r="B436" s="2">
        <v>42682.5730555556</v>
      </c>
      <c r="C436">
        <v>231</v>
      </c>
      <c r="D436">
        <v>41</v>
      </c>
      <c r="E436" t="s">
        <v>437</v>
      </c>
    </row>
    <row r="437" spans="1:5">
      <c r="A437">
        <f>HYPERLINK("http://www.twitter.com/NYPDnews/status/795981798006226945", "795981798006226945")</f>
        <v>0</v>
      </c>
      <c r="B437" s="2">
        <v>42682.5627662037</v>
      </c>
      <c r="C437">
        <v>31</v>
      </c>
      <c r="D437">
        <v>9</v>
      </c>
      <c r="E437" t="s">
        <v>438</v>
      </c>
    </row>
    <row r="438" spans="1:5">
      <c r="A438">
        <f>HYPERLINK("http://www.twitter.com/NYPDnews/status/795977988810608641", "795977988810608641")</f>
        <v>0</v>
      </c>
      <c r="B438" s="2">
        <v>42682.5522569444</v>
      </c>
      <c r="C438">
        <v>75</v>
      </c>
      <c r="D438">
        <v>48</v>
      </c>
      <c r="E438" t="s">
        <v>439</v>
      </c>
    </row>
    <row r="439" spans="1:5">
      <c r="A439">
        <f>HYPERLINK("http://www.twitter.com/NYPDnews/status/795974187227738113", "795974187227738113")</f>
        <v>0</v>
      </c>
      <c r="B439" s="2">
        <v>42682.5417708333</v>
      </c>
      <c r="C439">
        <v>29</v>
      </c>
      <c r="D439">
        <v>64</v>
      </c>
      <c r="E439" t="s">
        <v>440</v>
      </c>
    </row>
    <row r="440" spans="1:5">
      <c r="A440">
        <f>HYPERLINK("http://www.twitter.com/NYPDnews/status/795799274961440768", "795799274961440768")</f>
        <v>0</v>
      </c>
      <c r="B440" s="2">
        <v>42682.0591087963</v>
      </c>
      <c r="C440">
        <v>298</v>
      </c>
      <c r="D440">
        <v>92</v>
      </c>
      <c r="E440" t="s">
        <v>441</v>
      </c>
    </row>
    <row r="441" spans="1:5">
      <c r="A441">
        <f>HYPERLINK("http://www.twitter.com/NYPDnews/status/795786695262277632", "795786695262277632")</f>
        <v>0</v>
      </c>
      <c r="B441" s="2">
        <v>42682.0243865741</v>
      </c>
      <c r="C441">
        <v>60</v>
      </c>
      <c r="D441">
        <v>20</v>
      </c>
      <c r="E441" t="s">
        <v>442</v>
      </c>
    </row>
    <row r="442" spans="1:5">
      <c r="A442">
        <f>HYPERLINK("http://www.twitter.com/NYPDnews/status/795772868160344064", "795772868160344064")</f>
        <v>0</v>
      </c>
      <c r="B442" s="2">
        <v>42681.9862384259</v>
      </c>
      <c r="C442">
        <v>207</v>
      </c>
      <c r="D442">
        <v>91</v>
      </c>
      <c r="E442" t="s">
        <v>443</v>
      </c>
    </row>
    <row r="443" spans="1:5">
      <c r="A443">
        <f>HYPERLINK("http://www.twitter.com/NYPDnews/status/795750237512073216", "795750237512073216")</f>
        <v>0</v>
      </c>
      <c r="B443" s="2">
        <v>42681.9237847222</v>
      </c>
      <c r="C443">
        <v>113</v>
      </c>
      <c r="D443">
        <v>47</v>
      </c>
      <c r="E443" t="s">
        <v>444</v>
      </c>
    </row>
    <row r="444" spans="1:5">
      <c r="A444">
        <f>HYPERLINK("http://www.twitter.com/NYPDnews/status/795701144236523520", "795701144236523520")</f>
        <v>0</v>
      </c>
      <c r="B444" s="2">
        <v>42681.7883101852</v>
      </c>
      <c r="C444">
        <v>50</v>
      </c>
      <c r="D444">
        <v>17</v>
      </c>
      <c r="E444" t="s">
        <v>445</v>
      </c>
    </row>
    <row r="445" spans="1:5">
      <c r="A445">
        <f>HYPERLINK("http://www.twitter.com/NYPDnews/status/795668251082690560", "795668251082690560")</f>
        <v>0</v>
      </c>
      <c r="B445" s="2">
        <v>42681.6975462963</v>
      </c>
      <c r="C445">
        <v>0</v>
      </c>
      <c r="D445">
        <v>55</v>
      </c>
      <c r="E445" t="s">
        <v>446</v>
      </c>
    </row>
    <row r="446" spans="1:5">
      <c r="A446">
        <f>HYPERLINK("http://www.twitter.com/NYPDnews/status/795658878629318657", "795658878629318657")</f>
        <v>0</v>
      </c>
      <c r="B446" s="2">
        <v>42681.6716782407</v>
      </c>
      <c r="C446">
        <v>63</v>
      </c>
      <c r="D446">
        <v>33</v>
      </c>
      <c r="E446" t="s">
        <v>447</v>
      </c>
    </row>
    <row r="447" spans="1:5">
      <c r="A447">
        <f>HYPERLINK("http://www.twitter.com/NYPDnews/status/795657499798073344", "795657499798073344")</f>
        <v>0</v>
      </c>
      <c r="B447" s="2">
        <v>42681.6678819444</v>
      </c>
      <c r="C447">
        <v>306</v>
      </c>
      <c r="D447">
        <v>122</v>
      </c>
      <c r="E447" t="s">
        <v>448</v>
      </c>
    </row>
    <row r="448" spans="1:5">
      <c r="A448">
        <f>HYPERLINK("http://www.twitter.com/NYPDnews/status/795653229568737280", "795653229568737280")</f>
        <v>0</v>
      </c>
      <c r="B448" s="2">
        <v>42681.656099537</v>
      </c>
      <c r="C448">
        <v>123</v>
      </c>
      <c r="D448">
        <v>61</v>
      </c>
      <c r="E448" t="s">
        <v>449</v>
      </c>
    </row>
    <row r="449" spans="1:5">
      <c r="A449">
        <f>HYPERLINK("http://www.twitter.com/NYPDnews/status/795652469862912000", "795652469862912000")</f>
        <v>0</v>
      </c>
      <c r="B449" s="2">
        <v>42681.6539930556</v>
      </c>
      <c r="C449">
        <v>70</v>
      </c>
      <c r="D449">
        <v>40</v>
      </c>
      <c r="E449" t="s">
        <v>450</v>
      </c>
    </row>
    <row r="450" spans="1:5">
      <c r="A450">
        <f>HYPERLINK("http://www.twitter.com/NYPDnews/status/795650186810900481", "795650186810900481")</f>
        <v>0</v>
      </c>
      <c r="B450" s="2">
        <v>42681.6476967593</v>
      </c>
      <c r="C450">
        <v>96</v>
      </c>
      <c r="D450">
        <v>64</v>
      </c>
      <c r="E450" t="s">
        <v>451</v>
      </c>
    </row>
    <row r="451" spans="1:5">
      <c r="A451">
        <f>HYPERLINK("http://www.twitter.com/NYPDnews/status/795646282354348032", "795646282354348032")</f>
        <v>0</v>
      </c>
      <c r="B451" s="2">
        <v>42681.6369212963</v>
      </c>
      <c r="C451">
        <v>36</v>
      </c>
      <c r="D451">
        <v>20</v>
      </c>
      <c r="E451" t="s">
        <v>452</v>
      </c>
    </row>
    <row r="452" spans="1:5">
      <c r="A452">
        <f>HYPERLINK("http://www.twitter.com/NYPDnews/status/795640737140535297", "795640737140535297")</f>
        <v>0</v>
      </c>
      <c r="B452" s="2">
        <v>42681.6216203704</v>
      </c>
      <c r="C452">
        <v>31</v>
      </c>
      <c r="D452">
        <v>28</v>
      </c>
      <c r="E452" t="s">
        <v>453</v>
      </c>
    </row>
    <row r="453" spans="1:5">
      <c r="A453">
        <f>HYPERLINK("http://www.twitter.com/NYPDnews/status/795624377136062464", "795624377136062464")</f>
        <v>0</v>
      </c>
      <c r="B453" s="2">
        <v>42681.5764814815</v>
      </c>
      <c r="C453">
        <v>209</v>
      </c>
      <c r="D453">
        <v>50</v>
      </c>
      <c r="E453" t="s">
        <v>454</v>
      </c>
    </row>
    <row r="454" spans="1:5">
      <c r="A454">
        <f>HYPERLINK("http://www.twitter.com/NYPDnews/status/795619422501269504", "795619422501269504")</f>
        <v>0</v>
      </c>
      <c r="B454" s="2">
        <v>42681.5628009259</v>
      </c>
      <c r="C454">
        <v>134</v>
      </c>
      <c r="D454">
        <v>28</v>
      </c>
      <c r="E454" t="s">
        <v>455</v>
      </c>
    </row>
    <row r="455" spans="1:5">
      <c r="A455">
        <f>HYPERLINK("http://www.twitter.com/NYPDnews/status/795615592061472769", "795615592061472769")</f>
        <v>0</v>
      </c>
      <c r="B455" s="2">
        <v>42681.5522337963</v>
      </c>
      <c r="C455">
        <v>16</v>
      </c>
      <c r="D455">
        <v>46</v>
      </c>
      <c r="E455" t="s">
        <v>456</v>
      </c>
    </row>
    <row r="456" spans="1:5">
      <c r="A456">
        <f>HYPERLINK("http://www.twitter.com/NYPDnews/status/795612159707320322", "795612159707320322")</f>
        <v>0</v>
      </c>
      <c r="B456" s="2">
        <v>42681.5427662037</v>
      </c>
      <c r="C456">
        <v>65</v>
      </c>
      <c r="D456">
        <v>14</v>
      </c>
      <c r="E456" t="s">
        <v>457</v>
      </c>
    </row>
    <row r="457" spans="1:5">
      <c r="A457">
        <f>HYPERLINK("http://www.twitter.com/NYPDnews/status/795438154329235456", "795438154329235456")</f>
        <v>0</v>
      </c>
      <c r="B457" s="2">
        <v>42681.0626041667</v>
      </c>
      <c r="C457">
        <v>71</v>
      </c>
      <c r="D457">
        <v>17</v>
      </c>
      <c r="E457" t="s">
        <v>458</v>
      </c>
    </row>
    <row r="458" spans="1:5">
      <c r="A458">
        <f>HYPERLINK("http://www.twitter.com/NYPDnews/status/795401651851038720", "795401651851038720")</f>
        <v>0</v>
      </c>
      <c r="B458" s="2">
        <v>42680.961875</v>
      </c>
      <c r="C458">
        <v>28</v>
      </c>
      <c r="D458">
        <v>11</v>
      </c>
      <c r="E458" t="s">
        <v>459</v>
      </c>
    </row>
    <row r="459" spans="1:5">
      <c r="A459">
        <f>HYPERLINK("http://www.twitter.com/NYPDnews/status/795388719029219328", "795388719029219328")</f>
        <v>0</v>
      </c>
      <c r="B459" s="2">
        <v>42680.9261805556</v>
      </c>
      <c r="C459">
        <v>157</v>
      </c>
      <c r="D459">
        <v>36</v>
      </c>
      <c r="E459" t="s">
        <v>460</v>
      </c>
    </row>
    <row r="460" spans="1:5">
      <c r="A460">
        <f>HYPERLINK("http://www.twitter.com/NYPDnews/status/795355186223058944", "795355186223058944")</f>
        <v>0</v>
      </c>
      <c r="B460" s="2">
        <v>42680.8336574074</v>
      </c>
      <c r="C460">
        <v>184</v>
      </c>
      <c r="D460">
        <v>43</v>
      </c>
      <c r="E460" t="s">
        <v>461</v>
      </c>
    </row>
    <row r="461" spans="1:5">
      <c r="A461">
        <f>HYPERLINK("http://www.twitter.com/NYPDnews/status/795334284022255621", "795334284022255621")</f>
        <v>0</v>
      </c>
      <c r="B461" s="2">
        <v>42680.7759722222</v>
      </c>
      <c r="C461">
        <v>211</v>
      </c>
      <c r="D461">
        <v>53</v>
      </c>
      <c r="E461" t="s">
        <v>462</v>
      </c>
    </row>
    <row r="462" spans="1:5">
      <c r="A462">
        <f>HYPERLINK("http://www.twitter.com/NYPDnews/status/795329067859976192", "795329067859976192")</f>
        <v>0</v>
      </c>
      <c r="B462" s="2">
        <v>42680.7615740741</v>
      </c>
      <c r="C462">
        <v>307</v>
      </c>
      <c r="D462">
        <v>69</v>
      </c>
      <c r="E462" t="s">
        <v>463</v>
      </c>
    </row>
    <row r="463" spans="1:5">
      <c r="A463">
        <f>HYPERLINK("http://www.twitter.com/NYPDnews/status/795324626519855104", "795324626519855104")</f>
        <v>0</v>
      </c>
      <c r="B463" s="2">
        <v>42680.7493287037</v>
      </c>
      <c r="C463">
        <v>132</v>
      </c>
      <c r="D463">
        <v>35</v>
      </c>
      <c r="E463" t="s">
        <v>464</v>
      </c>
    </row>
    <row r="464" spans="1:5">
      <c r="A464">
        <f>HYPERLINK("http://www.twitter.com/NYPDnews/status/795296622272008192", "795296622272008192")</f>
        <v>0</v>
      </c>
      <c r="B464" s="2">
        <v>42680.6720486111</v>
      </c>
      <c r="C464">
        <v>0</v>
      </c>
      <c r="D464">
        <v>18</v>
      </c>
      <c r="E464" t="s">
        <v>465</v>
      </c>
    </row>
    <row r="465" spans="1:5">
      <c r="A465">
        <f>HYPERLINK("http://www.twitter.com/NYPDnews/status/795290335706578944", "795290335706578944")</f>
        <v>0</v>
      </c>
      <c r="B465" s="2">
        <v>42680.6546990741</v>
      </c>
      <c r="C465">
        <v>73</v>
      </c>
      <c r="D465">
        <v>18</v>
      </c>
      <c r="E465" t="s">
        <v>466</v>
      </c>
    </row>
    <row r="466" spans="1:5">
      <c r="A466">
        <f>HYPERLINK("http://www.twitter.com/NYPDnews/status/795275834533838848", "795275834533838848")</f>
        <v>0</v>
      </c>
      <c r="B466" s="2">
        <v>42680.6146875</v>
      </c>
      <c r="C466">
        <v>240</v>
      </c>
      <c r="D466">
        <v>58</v>
      </c>
      <c r="E466" t="s">
        <v>467</v>
      </c>
    </row>
    <row r="467" spans="1:5">
      <c r="A467">
        <f>HYPERLINK("http://www.twitter.com/NYPDnews/status/795272079046246400", "795272079046246400")</f>
        <v>0</v>
      </c>
      <c r="B467" s="2">
        <v>42680.6043171296</v>
      </c>
      <c r="C467">
        <v>24</v>
      </c>
      <c r="D467">
        <v>9</v>
      </c>
      <c r="E467" t="s">
        <v>468</v>
      </c>
    </row>
    <row r="468" spans="1:5">
      <c r="A468">
        <f>HYPERLINK("http://www.twitter.com/NYPDnews/status/795265132632932352", "795265132632932352")</f>
        <v>0</v>
      </c>
      <c r="B468" s="2">
        <v>42680.585150463</v>
      </c>
      <c r="C468">
        <v>198</v>
      </c>
      <c r="D468">
        <v>54</v>
      </c>
      <c r="E468" t="s">
        <v>469</v>
      </c>
    </row>
    <row r="469" spans="1:5">
      <c r="A469">
        <f>HYPERLINK("http://www.twitter.com/NYPDnews/status/795259832244826112", "795259832244826112")</f>
        <v>0</v>
      </c>
      <c r="B469" s="2">
        <v>42680.5705208333</v>
      </c>
      <c r="C469">
        <v>0</v>
      </c>
      <c r="D469">
        <v>71</v>
      </c>
      <c r="E469" t="s">
        <v>470</v>
      </c>
    </row>
    <row r="470" spans="1:5">
      <c r="A470">
        <f>HYPERLINK("http://www.twitter.com/NYPDnews/status/795246053859741696", "795246053859741696")</f>
        <v>0</v>
      </c>
      <c r="B470" s="2">
        <v>42680.5325</v>
      </c>
      <c r="C470">
        <v>348</v>
      </c>
      <c r="D470">
        <v>101</v>
      </c>
      <c r="E470" t="s">
        <v>471</v>
      </c>
    </row>
    <row r="471" spans="1:5">
      <c r="A471">
        <f>HYPERLINK("http://www.twitter.com/NYPDnews/status/795234354586914817", "795234354586914817")</f>
        <v>0</v>
      </c>
      <c r="B471" s="2">
        <v>42680.5002199074</v>
      </c>
      <c r="C471">
        <v>38</v>
      </c>
      <c r="D471">
        <v>31</v>
      </c>
      <c r="E471" t="s">
        <v>472</v>
      </c>
    </row>
    <row r="472" spans="1:5">
      <c r="A472">
        <f>HYPERLINK("http://www.twitter.com/NYPDnews/status/795216570268184576", "795216570268184576")</f>
        <v>0</v>
      </c>
      <c r="B472" s="2">
        <v>42680.4511458333</v>
      </c>
      <c r="C472">
        <v>0</v>
      </c>
      <c r="D472">
        <v>34</v>
      </c>
      <c r="E472" t="s">
        <v>473</v>
      </c>
    </row>
    <row r="473" spans="1:5">
      <c r="A473">
        <f>HYPERLINK("http://www.twitter.com/NYPDnews/status/795054383331508224", "795054383331508224")</f>
        <v>0</v>
      </c>
      <c r="B473" s="2">
        <v>42680.003599537</v>
      </c>
      <c r="C473">
        <v>103</v>
      </c>
      <c r="D473">
        <v>36</v>
      </c>
      <c r="E473" t="s">
        <v>474</v>
      </c>
    </row>
    <row r="474" spans="1:5">
      <c r="A474">
        <f>HYPERLINK("http://www.twitter.com/NYPDnews/status/795053150399057920", "795053150399057920")</f>
        <v>0</v>
      </c>
      <c r="B474" s="2">
        <v>42680.0001967593</v>
      </c>
      <c r="C474">
        <v>1048</v>
      </c>
      <c r="D474">
        <v>377</v>
      </c>
      <c r="E474" t="s">
        <v>475</v>
      </c>
    </row>
    <row r="475" spans="1:5">
      <c r="A475">
        <f>HYPERLINK("http://www.twitter.com/NYPDnews/status/795046819898200066", "795046819898200066")</f>
        <v>0</v>
      </c>
      <c r="B475" s="2">
        <v>42679.9827199074</v>
      </c>
      <c r="C475">
        <v>87</v>
      </c>
      <c r="D475">
        <v>23</v>
      </c>
      <c r="E475" t="s">
        <v>476</v>
      </c>
    </row>
    <row r="476" spans="1:5">
      <c r="A476">
        <f>HYPERLINK("http://www.twitter.com/NYPDnews/status/795026713549926400", "795026713549926400")</f>
        <v>0</v>
      </c>
      <c r="B476" s="2">
        <v>42679.9272453704</v>
      </c>
      <c r="C476">
        <v>25</v>
      </c>
      <c r="D476">
        <v>37</v>
      </c>
      <c r="E476" t="s">
        <v>477</v>
      </c>
    </row>
    <row r="477" spans="1:5">
      <c r="A477">
        <f>HYPERLINK("http://www.twitter.com/NYPDnews/status/795015471389147136", "795015471389147136")</f>
        <v>0</v>
      </c>
      <c r="B477" s="2">
        <v>42679.8962152778</v>
      </c>
      <c r="C477">
        <v>93</v>
      </c>
      <c r="D477">
        <v>34</v>
      </c>
      <c r="E477" t="s">
        <v>478</v>
      </c>
    </row>
    <row r="478" spans="1:5">
      <c r="A478">
        <f>HYPERLINK("http://www.twitter.com/NYPDnews/status/795010333073145856", "795010333073145856")</f>
        <v>0</v>
      </c>
      <c r="B478" s="2">
        <v>42679.882037037</v>
      </c>
      <c r="C478">
        <v>28</v>
      </c>
      <c r="D478">
        <v>19</v>
      </c>
      <c r="E478" t="s">
        <v>479</v>
      </c>
    </row>
    <row r="479" spans="1:5">
      <c r="A479">
        <f>HYPERLINK("http://www.twitter.com/NYPDnews/status/795005338357497861", "795005338357497861")</f>
        <v>0</v>
      </c>
      <c r="B479" s="2">
        <v>42679.8682523148</v>
      </c>
      <c r="C479">
        <v>16</v>
      </c>
      <c r="D479">
        <v>40</v>
      </c>
      <c r="E479" t="s">
        <v>480</v>
      </c>
    </row>
    <row r="480" spans="1:5">
      <c r="A480">
        <f>HYPERLINK("http://www.twitter.com/NYPDnews/status/794986522063806464", "794986522063806464")</f>
        <v>0</v>
      </c>
      <c r="B480" s="2">
        <v>42679.8163310185</v>
      </c>
      <c r="C480">
        <v>0</v>
      </c>
      <c r="D480">
        <v>751</v>
      </c>
      <c r="E480" t="s">
        <v>481</v>
      </c>
    </row>
    <row r="481" spans="1:5">
      <c r="A481">
        <f>HYPERLINK("http://www.twitter.com/NYPDnews/status/794947688131338240", "794947688131338240")</f>
        <v>0</v>
      </c>
      <c r="B481" s="2">
        <v>42679.7091666667</v>
      </c>
      <c r="C481">
        <v>22</v>
      </c>
      <c r="D481">
        <v>16</v>
      </c>
      <c r="E481" t="s">
        <v>482</v>
      </c>
    </row>
    <row r="482" spans="1:5">
      <c r="A482">
        <f>HYPERLINK("http://www.twitter.com/NYPDnews/status/794940058876997632", "794940058876997632")</f>
        <v>0</v>
      </c>
      <c r="B482" s="2">
        <v>42679.6881134259</v>
      </c>
      <c r="C482">
        <v>70</v>
      </c>
      <c r="D482">
        <v>29</v>
      </c>
      <c r="E482" t="s">
        <v>483</v>
      </c>
    </row>
    <row r="483" spans="1:5">
      <c r="A483">
        <f>HYPERLINK("http://www.twitter.com/NYPDnews/status/794899972344922112", "794899972344922112")</f>
        <v>0</v>
      </c>
      <c r="B483" s="2">
        <v>42679.5775</v>
      </c>
      <c r="C483">
        <v>689</v>
      </c>
      <c r="D483">
        <v>256</v>
      </c>
      <c r="E483" t="s">
        <v>484</v>
      </c>
    </row>
    <row r="484" spans="1:5">
      <c r="A484">
        <f>HYPERLINK("http://www.twitter.com/NYPDnews/status/794725183005323264", "794725183005323264")</f>
        <v>0</v>
      </c>
      <c r="B484" s="2">
        <v>42679.0951736111</v>
      </c>
      <c r="C484">
        <v>0</v>
      </c>
      <c r="D484">
        <v>2727</v>
      </c>
      <c r="E484" t="s">
        <v>485</v>
      </c>
    </row>
    <row r="485" spans="1:5">
      <c r="A485">
        <f>HYPERLINK("http://www.twitter.com/NYPDnews/status/794704343832428544", "794704343832428544")</f>
        <v>0</v>
      </c>
      <c r="B485" s="2">
        <v>42679.0376736111</v>
      </c>
      <c r="C485">
        <v>1173</v>
      </c>
      <c r="D485">
        <v>968</v>
      </c>
      <c r="E485" t="s">
        <v>486</v>
      </c>
    </row>
    <row r="486" spans="1:5">
      <c r="A486">
        <f>HYPERLINK("http://www.twitter.com/NYPDnews/status/794667713901826048", "794667713901826048")</f>
        <v>0</v>
      </c>
      <c r="B486" s="2">
        <v>42678.9365856481</v>
      </c>
      <c r="C486">
        <v>4635</v>
      </c>
      <c r="D486">
        <v>3480</v>
      </c>
      <c r="E486" t="s">
        <v>487</v>
      </c>
    </row>
    <row r="487" spans="1:5">
      <c r="A487">
        <f>HYPERLINK("http://www.twitter.com/NYPDnews/status/794666340061691904", "794666340061691904")</f>
        <v>0</v>
      </c>
      <c r="B487" s="2">
        <v>42678.9328009259</v>
      </c>
      <c r="C487">
        <v>428</v>
      </c>
      <c r="D487">
        <v>476</v>
      </c>
      <c r="E487" t="s">
        <v>488</v>
      </c>
    </row>
    <row r="488" spans="1:5">
      <c r="A488">
        <f>HYPERLINK("http://www.twitter.com/NYPDnews/status/794665758697680896", "794665758697680896")</f>
        <v>0</v>
      </c>
      <c r="B488" s="2">
        <v>42678.9311921296</v>
      </c>
      <c r="C488">
        <v>85</v>
      </c>
      <c r="D488">
        <v>77</v>
      </c>
      <c r="E488" t="s">
        <v>489</v>
      </c>
    </row>
    <row r="489" spans="1:5">
      <c r="A489">
        <f>HYPERLINK("http://www.twitter.com/NYPDnews/status/794665513330835456", "794665513330835456")</f>
        <v>0</v>
      </c>
      <c r="B489" s="2">
        <v>42678.9305208333</v>
      </c>
      <c r="C489">
        <v>66</v>
      </c>
      <c r="D489">
        <v>73</v>
      </c>
      <c r="E489" t="s">
        <v>490</v>
      </c>
    </row>
    <row r="490" spans="1:5">
      <c r="A490">
        <f>HYPERLINK("http://www.twitter.com/NYPDnews/status/794665093803950080", "794665093803950080")</f>
        <v>0</v>
      </c>
      <c r="B490" s="2">
        <v>42678.9293634259</v>
      </c>
      <c r="C490">
        <v>50</v>
      </c>
      <c r="D490">
        <v>82</v>
      </c>
      <c r="E490" t="s">
        <v>491</v>
      </c>
    </row>
    <row r="491" spans="1:5">
      <c r="A491">
        <f>HYPERLINK("http://www.twitter.com/NYPDnews/status/794664287222562816", "794664287222562816")</f>
        <v>0</v>
      </c>
      <c r="B491" s="2">
        <v>42678.9271296296</v>
      </c>
      <c r="C491">
        <v>38</v>
      </c>
      <c r="D491">
        <v>47</v>
      </c>
      <c r="E491" t="s">
        <v>492</v>
      </c>
    </row>
    <row r="492" spans="1:5">
      <c r="A492">
        <f>HYPERLINK("http://www.twitter.com/NYPDnews/status/794664153776537600", "794664153776537600")</f>
        <v>0</v>
      </c>
      <c r="B492" s="2">
        <v>42678.9267708333</v>
      </c>
      <c r="C492">
        <v>29</v>
      </c>
      <c r="D492">
        <v>46</v>
      </c>
      <c r="E492" t="s">
        <v>493</v>
      </c>
    </row>
    <row r="493" spans="1:5">
      <c r="A493">
        <f>HYPERLINK("http://www.twitter.com/NYPDnews/status/794663986394464257", "794663986394464257")</f>
        <v>0</v>
      </c>
      <c r="B493" s="2">
        <v>42678.9263078704</v>
      </c>
      <c r="C493">
        <v>27</v>
      </c>
      <c r="D493">
        <v>48</v>
      </c>
      <c r="E493" t="s">
        <v>494</v>
      </c>
    </row>
    <row r="494" spans="1:5">
      <c r="A494">
        <f>HYPERLINK("http://www.twitter.com/NYPDnews/status/794663647830282240", "794663647830282240")</f>
        <v>0</v>
      </c>
      <c r="B494" s="2">
        <v>42678.9253703704</v>
      </c>
      <c r="C494">
        <v>739</v>
      </c>
      <c r="D494">
        <v>780</v>
      </c>
      <c r="E494" t="s">
        <v>495</v>
      </c>
    </row>
    <row r="495" spans="1:5">
      <c r="A495">
        <f>HYPERLINK("http://www.twitter.com/NYPDnews/status/794662758012874753", "794662758012874753")</f>
        <v>0</v>
      </c>
      <c r="B495" s="2">
        <v>42678.9229166667</v>
      </c>
      <c r="C495">
        <v>25</v>
      </c>
      <c r="D495">
        <v>21</v>
      </c>
      <c r="E495" t="s">
        <v>496</v>
      </c>
    </row>
    <row r="496" spans="1:5">
      <c r="A496">
        <f>HYPERLINK("http://www.twitter.com/NYPDnews/status/794662414511902724", "794662414511902724")</f>
        <v>0</v>
      </c>
      <c r="B496" s="2">
        <v>42678.9219675926</v>
      </c>
      <c r="C496">
        <v>23</v>
      </c>
      <c r="D496">
        <v>18</v>
      </c>
      <c r="E496" t="s">
        <v>497</v>
      </c>
    </row>
    <row r="497" spans="1:5">
      <c r="A497">
        <f>HYPERLINK("http://www.twitter.com/NYPDnews/status/794656755758329857", "794656755758329857")</f>
        <v>0</v>
      </c>
      <c r="B497" s="2">
        <v>42678.9063541667</v>
      </c>
      <c r="C497">
        <v>37</v>
      </c>
      <c r="D497">
        <v>46</v>
      </c>
      <c r="E497" t="s">
        <v>498</v>
      </c>
    </row>
    <row r="498" spans="1:5">
      <c r="A498">
        <f>HYPERLINK("http://www.twitter.com/NYPDnews/status/794628905927905280", "794628905927905280")</f>
        <v>0</v>
      </c>
      <c r="B498" s="2">
        <v>42678.8295023148</v>
      </c>
      <c r="C498">
        <v>353</v>
      </c>
      <c r="D498">
        <v>582</v>
      </c>
      <c r="E498" t="s">
        <v>499</v>
      </c>
    </row>
    <row r="499" spans="1:5">
      <c r="A499">
        <f>HYPERLINK("http://www.twitter.com/NYPDnews/status/794604953356660736", "794604953356660736")</f>
        <v>0</v>
      </c>
      <c r="B499" s="2">
        <v>42678.7634027778</v>
      </c>
      <c r="C499">
        <v>0</v>
      </c>
      <c r="D499">
        <v>36</v>
      </c>
      <c r="E499" t="s">
        <v>500</v>
      </c>
    </row>
    <row r="500" spans="1:5">
      <c r="A500">
        <f>HYPERLINK("http://www.twitter.com/NYPDnews/status/794578742421098496", "794578742421098496")</f>
        <v>0</v>
      </c>
      <c r="B500" s="2">
        <v>42678.6910763889</v>
      </c>
      <c r="C500">
        <v>111</v>
      </c>
      <c r="D500">
        <v>69</v>
      </c>
      <c r="E500" t="s">
        <v>501</v>
      </c>
    </row>
    <row r="501" spans="1:5">
      <c r="A501">
        <f>HYPERLINK("http://www.twitter.com/NYPDnews/status/794525121323143168", "794525121323143168")</f>
        <v>0</v>
      </c>
      <c r="B501" s="2">
        <v>42678.5431134259</v>
      </c>
      <c r="C501">
        <v>57</v>
      </c>
      <c r="D501">
        <v>19</v>
      </c>
      <c r="E501" t="s">
        <v>502</v>
      </c>
    </row>
    <row r="502" spans="1:5">
      <c r="A502">
        <f>HYPERLINK("http://www.twitter.com/NYPDnews/status/794520919838486529", "794520919838486529")</f>
        <v>0</v>
      </c>
      <c r="B502" s="2">
        <v>42678.5315162037</v>
      </c>
      <c r="C502">
        <v>7</v>
      </c>
      <c r="D502">
        <v>6</v>
      </c>
      <c r="E502" t="s">
        <v>503</v>
      </c>
    </row>
    <row r="503" spans="1:5">
      <c r="A503">
        <f>HYPERLINK("http://www.twitter.com/NYPDnews/status/794517071551938560", "794517071551938560")</f>
        <v>0</v>
      </c>
      <c r="B503" s="2">
        <v>42678.5208912037</v>
      </c>
      <c r="C503">
        <v>56</v>
      </c>
      <c r="D503">
        <v>126</v>
      </c>
      <c r="E503" t="s">
        <v>504</v>
      </c>
    </row>
    <row r="504" spans="1:5">
      <c r="A504">
        <f>HYPERLINK("http://www.twitter.com/NYPDnews/status/794513333793726464", "794513333793726464")</f>
        <v>0</v>
      </c>
      <c r="B504" s="2">
        <v>42678.5105787037</v>
      </c>
      <c r="C504">
        <v>29</v>
      </c>
      <c r="D504">
        <v>15</v>
      </c>
      <c r="E504" t="s">
        <v>505</v>
      </c>
    </row>
    <row r="505" spans="1:5">
      <c r="A505">
        <f>HYPERLINK("http://www.twitter.com/NYPDnews/status/794509659067547649", "794509659067547649")</f>
        <v>0</v>
      </c>
      <c r="B505" s="2">
        <v>42678.5004398148</v>
      </c>
      <c r="C505">
        <v>33</v>
      </c>
      <c r="D505">
        <v>19</v>
      </c>
      <c r="E505" t="s">
        <v>506</v>
      </c>
    </row>
    <row r="506" spans="1:5">
      <c r="A506">
        <f>HYPERLINK("http://www.twitter.com/NYPDnews/status/794344695681970177", "794344695681970177")</f>
        <v>0</v>
      </c>
      <c r="B506" s="2">
        <v>42678.0452314815</v>
      </c>
      <c r="C506">
        <v>106</v>
      </c>
      <c r="D506">
        <v>55</v>
      </c>
      <c r="E506" t="s">
        <v>507</v>
      </c>
    </row>
    <row r="507" spans="1:5">
      <c r="A507">
        <f>HYPERLINK("http://www.twitter.com/NYPDnews/status/794333406276571136", "794333406276571136")</f>
        <v>0</v>
      </c>
      <c r="B507" s="2">
        <v>42678.0140740741</v>
      </c>
      <c r="C507">
        <v>16</v>
      </c>
      <c r="D507">
        <v>26</v>
      </c>
      <c r="E507" t="s">
        <v>508</v>
      </c>
    </row>
    <row r="508" spans="1:5">
      <c r="A508">
        <f>HYPERLINK("http://www.twitter.com/NYPDnews/status/794328526656831488", "794328526656831488")</f>
        <v>0</v>
      </c>
      <c r="B508" s="2">
        <v>42678.0006134259</v>
      </c>
      <c r="C508">
        <v>12</v>
      </c>
      <c r="D508">
        <v>13</v>
      </c>
      <c r="E508" t="s">
        <v>509</v>
      </c>
    </row>
    <row r="509" spans="1:5">
      <c r="A509">
        <f>HYPERLINK("http://www.twitter.com/NYPDnews/status/794318274049822723", "794318274049822723")</f>
        <v>0</v>
      </c>
      <c r="B509" s="2">
        <v>42677.9723148148</v>
      </c>
      <c r="C509">
        <v>55</v>
      </c>
      <c r="D509">
        <v>18</v>
      </c>
      <c r="E509" t="s">
        <v>510</v>
      </c>
    </row>
    <row r="510" spans="1:5">
      <c r="A510">
        <f>HYPERLINK("http://www.twitter.com/NYPDnews/status/794306947453452288", "794306947453452288")</f>
        <v>0</v>
      </c>
      <c r="B510" s="2">
        <v>42677.9410648148</v>
      </c>
      <c r="C510">
        <v>13</v>
      </c>
      <c r="D510">
        <v>7</v>
      </c>
      <c r="E510" t="s">
        <v>511</v>
      </c>
    </row>
    <row r="511" spans="1:5">
      <c r="A511">
        <f>HYPERLINK("http://www.twitter.com/NYPDnews/status/794304455399395330", "794304455399395330")</f>
        <v>0</v>
      </c>
      <c r="B511" s="2">
        <v>42677.9341898148</v>
      </c>
      <c r="C511">
        <v>17</v>
      </c>
      <c r="D511">
        <v>35</v>
      </c>
      <c r="E511" t="s">
        <v>512</v>
      </c>
    </row>
    <row r="512" spans="1:5">
      <c r="A512">
        <f>HYPERLINK("http://www.twitter.com/NYPDnews/status/794280914373251072", "794280914373251072")</f>
        <v>0</v>
      </c>
      <c r="B512" s="2">
        <v>42677.869224537</v>
      </c>
      <c r="C512">
        <v>0</v>
      </c>
      <c r="D512">
        <v>12</v>
      </c>
      <c r="E512" t="s">
        <v>513</v>
      </c>
    </row>
    <row r="513" spans="1:5">
      <c r="A513">
        <f>HYPERLINK("http://www.twitter.com/NYPDnews/status/794264741539672064", "794264741539672064")</f>
        <v>0</v>
      </c>
      <c r="B513" s="2">
        <v>42677.8245949074</v>
      </c>
      <c r="C513">
        <v>0</v>
      </c>
      <c r="D513">
        <v>9</v>
      </c>
      <c r="E513" t="s">
        <v>514</v>
      </c>
    </row>
    <row r="514" spans="1:5">
      <c r="A514">
        <f>HYPERLINK("http://www.twitter.com/NYPDnews/status/794162436110684160", "794162436110684160")</f>
        <v>0</v>
      </c>
      <c r="B514" s="2">
        <v>42677.5422916667</v>
      </c>
      <c r="C514">
        <v>7</v>
      </c>
      <c r="D514">
        <v>24</v>
      </c>
      <c r="E514" t="s">
        <v>515</v>
      </c>
    </row>
    <row r="515" spans="1:5">
      <c r="A515">
        <f>HYPERLINK("http://www.twitter.com/NYPDnews/status/794158510753910784", "794158510753910784")</f>
        <v>0</v>
      </c>
      <c r="B515" s="2">
        <v>42677.5314583333</v>
      </c>
      <c r="C515">
        <v>59</v>
      </c>
      <c r="D515">
        <v>21</v>
      </c>
      <c r="E515" t="s">
        <v>516</v>
      </c>
    </row>
    <row r="516" spans="1:5">
      <c r="A516">
        <f>HYPERLINK("http://www.twitter.com/NYPDnews/status/794154765580206081", "794154765580206081")</f>
        <v>0</v>
      </c>
      <c r="B516" s="2">
        <v>42677.5211226852</v>
      </c>
      <c r="C516">
        <v>20</v>
      </c>
      <c r="D516">
        <v>12</v>
      </c>
      <c r="E516" t="s">
        <v>517</v>
      </c>
    </row>
    <row r="517" spans="1:5">
      <c r="A517">
        <f>HYPERLINK("http://www.twitter.com/NYPDnews/status/794150950344818688", "794150950344818688")</f>
        <v>0</v>
      </c>
      <c r="B517" s="2">
        <v>42677.5105902778</v>
      </c>
      <c r="C517">
        <v>77</v>
      </c>
      <c r="D517">
        <v>27</v>
      </c>
      <c r="E517" t="s">
        <v>518</v>
      </c>
    </row>
    <row r="518" spans="1:5">
      <c r="A518">
        <f>HYPERLINK("http://www.twitter.com/NYPDnews/status/794147294220349440", "794147294220349440")</f>
        <v>0</v>
      </c>
      <c r="B518" s="2">
        <v>42677.5005092593</v>
      </c>
      <c r="C518">
        <v>10</v>
      </c>
      <c r="D518">
        <v>9</v>
      </c>
      <c r="E518" t="s">
        <v>519</v>
      </c>
    </row>
    <row r="519" spans="1:5">
      <c r="A519">
        <f>HYPERLINK("http://www.twitter.com/NYPDnews/status/794143380662087681", "794143380662087681")</f>
        <v>0</v>
      </c>
      <c r="B519" s="2">
        <v>42677.4897106482</v>
      </c>
      <c r="C519">
        <v>17</v>
      </c>
      <c r="D519">
        <v>70</v>
      </c>
      <c r="E519" t="s">
        <v>520</v>
      </c>
    </row>
    <row r="520" spans="1:5">
      <c r="A520">
        <f>HYPERLINK("http://www.twitter.com/NYPDnews/status/794139642408927233", "794139642408927233")</f>
        <v>0</v>
      </c>
      <c r="B520" s="2">
        <v>42677.4793865741</v>
      </c>
      <c r="C520">
        <v>17</v>
      </c>
      <c r="D520">
        <v>13</v>
      </c>
      <c r="E520" t="s">
        <v>521</v>
      </c>
    </row>
    <row r="521" spans="1:5">
      <c r="A521">
        <f>HYPERLINK("http://www.twitter.com/NYPDnews/status/793983978952921088", "793983978952921088")</f>
        <v>0</v>
      </c>
      <c r="B521" s="2">
        <v>42677.049837963</v>
      </c>
      <c r="C521">
        <v>198</v>
      </c>
      <c r="D521">
        <v>77</v>
      </c>
      <c r="E521" t="s">
        <v>522</v>
      </c>
    </row>
    <row r="522" spans="1:5">
      <c r="A522">
        <f>HYPERLINK("http://www.twitter.com/NYPDnews/status/793973597752659969", "793973597752659969")</f>
        <v>0</v>
      </c>
      <c r="B522" s="2">
        <v>42677.0211921296</v>
      </c>
      <c r="C522">
        <v>76</v>
      </c>
      <c r="D522">
        <v>24</v>
      </c>
      <c r="E522" t="s">
        <v>523</v>
      </c>
    </row>
    <row r="523" spans="1:5">
      <c r="A523">
        <f>HYPERLINK("http://www.twitter.com/NYPDnews/status/793966122840289280", "793966122840289280")</f>
        <v>0</v>
      </c>
      <c r="B523" s="2">
        <v>42677.0005671296</v>
      </c>
      <c r="C523">
        <v>11</v>
      </c>
      <c r="D523">
        <v>27</v>
      </c>
      <c r="E523" t="s">
        <v>524</v>
      </c>
    </row>
    <row r="524" spans="1:5">
      <c r="A524">
        <f>HYPERLINK("http://www.twitter.com/NYPDnews/status/793954707064623104", "793954707064623104")</f>
        <v>0</v>
      </c>
      <c r="B524" s="2">
        <v>42676.9690625</v>
      </c>
      <c r="C524">
        <v>717</v>
      </c>
      <c r="D524">
        <v>463</v>
      </c>
      <c r="E524" t="s">
        <v>525</v>
      </c>
    </row>
    <row r="525" spans="1:5">
      <c r="A525">
        <f>HYPERLINK("http://www.twitter.com/NYPDnews/status/793952774224486401", "793952774224486401")</f>
        <v>0</v>
      </c>
      <c r="B525" s="2">
        <v>42676.9637268518</v>
      </c>
      <c r="C525">
        <v>0</v>
      </c>
      <c r="D525">
        <v>9</v>
      </c>
      <c r="E525" t="s">
        <v>526</v>
      </c>
    </row>
    <row r="526" spans="1:5">
      <c r="A526">
        <f>HYPERLINK("http://www.twitter.com/NYPDnews/status/793906497306656768", "793906497306656768")</f>
        <v>0</v>
      </c>
      <c r="B526" s="2">
        <v>42676.8360300926</v>
      </c>
      <c r="C526">
        <v>170</v>
      </c>
      <c r="D526">
        <v>53</v>
      </c>
      <c r="E526" t="s">
        <v>527</v>
      </c>
    </row>
    <row r="527" spans="1:5">
      <c r="A527">
        <f>HYPERLINK("http://www.twitter.com/NYPDnews/status/793861561710510080", "793861561710510080")</f>
        <v>0</v>
      </c>
      <c r="B527" s="2">
        <v>42676.712037037</v>
      </c>
      <c r="C527">
        <v>86</v>
      </c>
      <c r="D527">
        <v>30</v>
      </c>
      <c r="E527" t="s">
        <v>528</v>
      </c>
    </row>
    <row r="528" spans="1:5">
      <c r="A528">
        <f>HYPERLINK("http://www.twitter.com/NYPDnews/status/793819677197762560", "793819677197762560")</f>
        <v>0</v>
      </c>
      <c r="B528" s="2">
        <v>42676.5964583333</v>
      </c>
      <c r="C528">
        <v>65</v>
      </c>
      <c r="D528">
        <v>21</v>
      </c>
      <c r="E528" t="s">
        <v>529</v>
      </c>
    </row>
    <row r="529" spans="1:5">
      <c r="A529">
        <f>HYPERLINK("http://www.twitter.com/NYPDnews/status/793815941607981056", "793815941607981056")</f>
        <v>0</v>
      </c>
      <c r="B529" s="2">
        <v>42676.5861458333</v>
      </c>
      <c r="C529">
        <v>30</v>
      </c>
      <c r="D529">
        <v>5</v>
      </c>
      <c r="E529" t="s">
        <v>530</v>
      </c>
    </row>
    <row r="530" spans="1:5">
      <c r="A530">
        <f>HYPERLINK("http://www.twitter.com/NYPDnews/status/793807267967733760", "793807267967733760")</f>
        <v>0</v>
      </c>
      <c r="B530" s="2">
        <v>42676.5622106481</v>
      </c>
      <c r="C530">
        <v>41</v>
      </c>
      <c r="D530">
        <v>14</v>
      </c>
      <c r="E530" t="s">
        <v>531</v>
      </c>
    </row>
    <row r="531" spans="1:5">
      <c r="A531">
        <f>HYPERLINK("http://www.twitter.com/NYPDnews/status/793804780187578368", "793804780187578368")</f>
        <v>0</v>
      </c>
      <c r="B531" s="2">
        <v>42676.5553472222</v>
      </c>
      <c r="C531">
        <v>23</v>
      </c>
      <c r="D531">
        <v>13</v>
      </c>
      <c r="E531" t="s">
        <v>532</v>
      </c>
    </row>
    <row r="532" spans="1:5">
      <c r="A532">
        <f>HYPERLINK("http://www.twitter.com/NYPDnews/status/793803067787505664", "793803067787505664")</f>
        <v>0</v>
      </c>
      <c r="B532" s="2">
        <v>42676.550625</v>
      </c>
      <c r="C532">
        <v>25</v>
      </c>
      <c r="D532">
        <v>8</v>
      </c>
      <c r="E532" t="s">
        <v>533</v>
      </c>
    </row>
    <row r="533" spans="1:5">
      <c r="A533">
        <f>HYPERLINK("http://www.twitter.com/NYPDnews/status/793801872125681664", "793801872125681664")</f>
        <v>0</v>
      </c>
      <c r="B533" s="2">
        <v>42676.5473263889</v>
      </c>
      <c r="C533">
        <v>16</v>
      </c>
      <c r="D533">
        <v>6</v>
      </c>
      <c r="E533" t="s">
        <v>534</v>
      </c>
    </row>
    <row r="534" spans="1:5">
      <c r="A534">
        <f>HYPERLINK("http://www.twitter.com/NYPDnews/status/793796106979344400", "793796106979344400")</f>
        <v>0</v>
      </c>
      <c r="B534" s="2">
        <v>42676.531412037</v>
      </c>
      <c r="C534">
        <v>56</v>
      </c>
      <c r="D534">
        <v>150</v>
      </c>
      <c r="E534" t="s">
        <v>535</v>
      </c>
    </row>
    <row r="535" spans="1:5">
      <c r="A535">
        <f>HYPERLINK("http://www.twitter.com/NYPDnews/status/793792359913885697", "793792359913885697")</f>
        <v>0</v>
      </c>
      <c r="B535" s="2">
        <v>42676.5210763889</v>
      </c>
      <c r="C535">
        <v>54</v>
      </c>
      <c r="D535">
        <v>29</v>
      </c>
      <c r="E535" t="s">
        <v>536</v>
      </c>
    </row>
    <row r="536" spans="1:5">
      <c r="A536">
        <f>HYPERLINK("http://www.twitter.com/NYPDnews/status/793788565914284032", "793788565914284032")</f>
        <v>0</v>
      </c>
      <c r="B536" s="2">
        <v>42676.5106018518</v>
      </c>
      <c r="C536">
        <v>33</v>
      </c>
      <c r="D536">
        <v>16</v>
      </c>
      <c r="E536" t="s">
        <v>537</v>
      </c>
    </row>
    <row r="537" spans="1:5">
      <c r="A537">
        <f>HYPERLINK("http://www.twitter.com/NYPDnews/status/793784868614311936", "793784868614311936")</f>
        <v>0</v>
      </c>
      <c r="B537" s="2">
        <v>42676.5004050926</v>
      </c>
      <c r="C537">
        <v>22</v>
      </c>
      <c r="D537">
        <v>77</v>
      </c>
      <c r="E537" t="s">
        <v>538</v>
      </c>
    </row>
    <row r="538" spans="1:5">
      <c r="A538">
        <f>HYPERLINK("http://www.twitter.com/NYPDnews/status/793769874300469248", "793769874300469248")</f>
        <v>0</v>
      </c>
      <c r="B538" s="2">
        <v>42676.4590277778</v>
      </c>
      <c r="C538">
        <v>591</v>
      </c>
      <c r="D538">
        <v>354</v>
      </c>
      <c r="E538" t="s">
        <v>539</v>
      </c>
    </row>
    <row r="539" spans="1:5">
      <c r="A539">
        <f>HYPERLINK("http://www.twitter.com/NYPDnews/status/793627462202712064", "793627462202712064")</f>
        <v>0</v>
      </c>
      <c r="B539" s="2">
        <v>42676.0660416667</v>
      </c>
      <c r="C539">
        <v>101</v>
      </c>
      <c r="D539">
        <v>57</v>
      </c>
      <c r="E539" t="s">
        <v>540</v>
      </c>
    </row>
    <row r="540" spans="1:5">
      <c r="A540">
        <f>HYPERLINK("http://www.twitter.com/NYPDnews/status/793619925197811712", "793619925197811712")</f>
        <v>0</v>
      </c>
      <c r="B540" s="2">
        <v>42676.0452430556</v>
      </c>
      <c r="C540">
        <v>53</v>
      </c>
      <c r="D540">
        <v>15</v>
      </c>
      <c r="E540" t="s">
        <v>541</v>
      </c>
    </row>
    <row r="541" spans="1:5">
      <c r="A541">
        <f>HYPERLINK("http://www.twitter.com/NYPDnews/status/793614890502090752", "793614890502090752")</f>
        <v>0</v>
      </c>
      <c r="B541" s="2">
        <v>42676.0313541667</v>
      </c>
      <c r="C541">
        <v>7</v>
      </c>
      <c r="D541">
        <v>4</v>
      </c>
      <c r="E541" t="s">
        <v>542</v>
      </c>
    </row>
    <row r="542" spans="1:5">
      <c r="A542">
        <f>HYPERLINK("http://www.twitter.com/NYPDnews/status/793606111505031168", "793606111505031168")</f>
        <v>0</v>
      </c>
      <c r="B542" s="2">
        <v>42676.0071296296</v>
      </c>
      <c r="C542">
        <v>103</v>
      </c>
      <c r="D542">
        <v>20</v>
      </c>
      <c r="E542" t="s">
        <v>543</v>
      </c>
    </row>
    <row r="543" spans="1:5">
      <c r="A543">
        <f>HYPERLINK("http://www.twitter.com/NYPDnews/status/793596069233979393", "793596069233979393")</f>
        <v>0</v>
      </c>
      <c r="B543" s="2">
        <v>42675.9794097222</v>
      </c>
      <c r="C543">
        <v>9</v>
      </c>
      <c r="D543">
        <v>25</v>
      </c>
      <c r="E543" t="s">
        <v>544</v>
      </c>
    </row>
    <row r="544" spans="1:5">
      <c r="A544">
        <f>HYPERLINK("http://www.twitter.com/NYPDnews/status/793584695359500288", "793584695359500288")</f>
        <v>0</v>
      </c>
      <c r="B544" s="2">
        <v>42675.9480324074</v>
      </c>
      <c r="C544">
        <v>58</v>
      </c>
      <c r="D544">
        <v>18</v>
      </c>
      <c r="E544" t="s">
        <v>545</v>
      </c>
    </row>
    <row r="545" spans="1:5">
      <c r="A545">
        <f>HYPERLINK("http://www.twitter.com/NYPDnews/status/793567269943148549", "793567269943148549")</f>
        <v>0</v>
      </c>
      <c r="B545" s="2">
        <v>42675.8999421296</v>
      </c>
      <c r="C545">
        <v>0</v>
      </c>
      <c r="D545">
        <v>9</v>
      </c>
      <c r="E545" t="s">
        <v>546</v>
      </c>
    </row>
    <row r="546" spans="1:5">
      <c r="A546">
        <f>HYPERLINK("http://www.twitter.com/NYPDnews/status/793550753579331584", "793550753579331584")</f>
        <v>0</v>
      </c>
      <c r="B546" s="2">
        <v>42675.8543634259</v>
      </c>
      <c r="C546">
        <v>31</v>
      </c>
      <c r="D546">
        <v>11</v>
      </c>
      <c r="E546" t="s">
        <v>547</v>
      </c>
    </row>
    <row r="547" spans="1:5">
      <c r="A547">
        <f>HYPERLINK("http://www.twitter.com/NYPDnews/status/793525329499394048", "793525329499394048")</f>
        <v>0</v>
      </c>
      <c r="B547" s="2">
        <v>42675.784212963</v>
      </c>
      <c r="C547">
        <v>0</v>
      </c>
      <c r="D547">
        <v>16</v>
      </c>
      <c r="E547" t="s">
        <v>548</v>
      </c>
    </row>
    <row r="548" spans="1:5">
      <c r="A548">
        <f>HYPERLINK("http://www.twitter.com/NYPDnews/status/793490210516529152", "793490210516529152")</f>
        <v>0</v>
      </c>
      <c r="B548" s="2">
        <v>42675.6873032407</v>
      </c>
      <c r="C548">
        <v>23</v>
      </c>
      <c r="D548">
        <v>15</v>
      </c>
      <c r="E548" t="s">
        <v>549</v>
      </c>
    </row>
    <row r="549" spans="1:5">
      <c r="A549">
        <f>HYPERLINK("http://www.twitter.com/NYPDnews/status/793487107750825984", "793487107750825984")</f>
        <v>0</v>
      </c>
      <c r="B549" s="2">
        <v>42675.6787384259</v>
      </c>
      <c r="C549">
        <v>33</v>
      </c>
      <c r="D549">
        <v>22</v>
      </c>
      <c r="E549" t="s">
        <v>550</v>
      </c>
    </row>
    <row r="550" spans="1:5">
      <c r="A550">
        <f>HYPERLINK("http://www.twitter.com/NYPDnews/status/793485462757335041", "793485462757335041")</f>
        <v>0</v>
      </c>
      <c r="B550" s="2">
        <v>42675.6742013889</v>
      </c>
      <c r="C550">
        <v>27</v>
      </c>
      <c r="D550">
        <v>19</v>
      </c>
      <c r="E550" t="s">
        <v>551</v>
      </c>
    </row>
    <row r="551" spans="1:5">
      <c r="A551">
        <f>HYPERLINK("http://www.twitter.com/NYPDnews/status/793484416928612352", "793484416928612352")</f>
        <v>0</v>
      </c>
      <c r="B551" s="2">
        <v>42675.6713078704</v>
      </c>
      <c r="C551">
        <v>14</v>
      </c>
      <c r="D551">
        <v>11</v>
      </c>
      <c r="E551" t="s">
        <v>552</v>
      </c>
    </row>
    <row r="552" spans="1:5">
      <c r="A552">
        <f>HYPERLINK("http://www.twitter.com/NYPDnews/status/793481355090857984", "793481355090857984")</f>
        <v>0</v>
      </c>
      <c r="B552" s="2">
        <v>42675.6628587963</v>
      </c>
      <c r="C552">
        <v>13</v>
      </c>
      <c r="D552">
        <v>10</v>
      </c>
      <c r="E552" t="s">
        <v>553</v>
      </c>
    </row>
    <row r="553" spans="1:5">
      <c r="A553">
        <f>HYPERLINK("http://www.twitter.com/NYPDnews/status/793471470433370114", "793471470433370114")</f>
        <v>0</v>
      </c>
      <c r="B553" s="2">
        <v>42675.6355902778</v>
      </c>
      <c r="C553">
        <v>26</v>
      </c>
      <c r="D553">
        <v>24</v>
      </c>
      <c r="E553" t="s">
        <v>554</v>
      </c>
    </row>
    <row r="554" spans="1:5">
      <c r="A554">
        <f>HYPERLINK("http://www.twitter.com/NYPDnews/status/793433753536368645", "793433753536368645")</f>
        <v>0</v>
      </c>
      <c r="B554" s="2">
        <v>42675.5315046296</v>
      </c>
      <c r="C554">
        <v>79</v>
      </c>
      <c r="D554">
        <v>25</v>
      </c>
      <c r="E554" t="s">
        <v>555</v>
      </c>
    </row>
    <row r="555" spans="1:5">
      <c r="A555">
        <f>HYPERLINK("http://www.twitter.com/NYPDnews/status/793430155452674052", "793430155452674052")</f>
        <v>0</v>
      </c>
      <c r="B555" s="2">
        <v>42675.5215740741</v>
      </c>
      <c r="C555">
        <v>21</v>
      </c>
      <c r="D555">
        <v>11</v>
      </c>
      <c r="E555" t="s">
        <v>556</v>
      </c>
    </row>
    <row r="556" spans="1:5">
      <c r="A556">
        <f>HYPERLINK("http://www.twitter.com/NYPDnews/status/793426185376133120", "793426185376133120")</f>
        <v>0</v>
      </c>
      <c r="B556" s="2">
        <v>42675.510625</v>
      </c>
      <c r="C556">
        <v>8</v>
      </c>
      <c r="D556">
        <v>31</v>
      </c>
      <c r="E556" t="s">
        <v>557</v>
      </c>
    </row>
    <row r="557" spans="1:5">
      <c r="A557">
        <f>HYPERLINK("http://www.twitter.com/NYPDnews/status/793422769438482432", "793422769438482432")</f>
        <v>0</v>
      </c>
      <c r="B557" s="2">
        <v>42675.5011921296</v>
      </c>
      <c r="C557">
        <v>80</v>
      </c>
      <c r="D557">
        <v>28</v>
      </c>
      <c r="E557" t="s">
        <v>558</v>
      </c>
    </row>
    <row r="558" spans="1:5">
      <c r="A558">
        <f>HYPERLINK("http://www.twitter.com/NYPDnews/status/793262388812341252", "793262388812341252")</f>
        <v>0</v>
      </c>
      <c r="B558" s="2">
        <v>42675.0586342593</v>
      </c>
      <c r="C558">
        <v>63</v>
      </c>
      <c r="D558">
        <v>20</v>
      </c>
      <c r="E558" t="s">
        <v>559</v>
      </c>
    </row>
    <row r="559" spans="1:5">
      <c r="A559">
        <f>HYPERLINK("http://www.twitter.com/NYPDnews/status/793251515091808256", "793251515091808256")</f>
        <v>0</v>
      </c>
      <c r="B559" s="2">
        <v>42675.0286226852</v>
      </c>
      <c r="C559">
        <v>341</v>
      </c>
      <c r="D559">
        <v>84</v>
      </c>
      <c r="E559" t="s">
        <v>560</v>
      </c>
    </row>
    <row r="560" spans="1:5">
      <c r="A560">
        <f>HYPERLINK("http://www.twitter.com/NYPDnews/status/793217221761859584", "793217221761859584")</f>
        <v>0</v>
      </c>
      <c r="B560" s="2">
        <v>42674.9339930556</v>
      </c>
      <c r="C560">
        <v>0</v>
      </c>
      <c r="D560">
        <v>28</v>
      </c>
      <c r="E560" t="s">
        <v>561</v>
      </c>
    </row>
    <row r="561" spans="1:5">
      <c r="A561">
        <f>HYPERLINK("http://www.twitter.com/NYPDnews/status/793199708189622273", "793199708189622273")</f>
        <v>0</v>
      </c>
      <c r="B561" s="2">
        <v>42674.8856712963</v>
      </c>
      <c r="C561">
        <v>53</v>
      </c>
      <c r="D561">
        <v>14</v>
      </c>
      <c r="E561" t="s">
        <v>562</v>
      </c>
    </row>
    <row r="562" spans="1:5">
      <c r="A562">
        <f>HYPERLINK("http://www.twitter.com/NYPDnews/status/793194620662517761", "793194620662517761")</f>
        <v>0</v>
      </c>
      <c r="B562" s="2">
        <v>42674.8716319444</v>
      </c>
      <c r="C562">
        <v>69</v>
      </c>
      <c r="D562">
        <v>24</v>
      </c>
      <c r="E562" t="s">
        <v>563</v>
      </c>
    </row>
    <row r="563" spans="1:5">
      <c r="A563">
        <f>HYPERLINK("http://www.twitter.com/NYPDnews/status/793187063134904320", "793187063134904320")</f>
        <v>0</v>
      </c>
      <c r="B563" s="2">
        <v>42674.850775463</v>
      </c>
      <c r="C563">
        <v>26</v>
      </c>
      <c r="D563">
        <v>12</v>
      </c>
      <c r="E563" t="s">
        <v>564</v>
      </c>
    </row>
    <row r="564" spans="1:5">
      <c r="A564">
        <f>HYPERLINK("http://www.twitter.com/NYPDnews/status/793179608757760000", "793179608757760000")</f>
        <v>0</v>
      </c>
      <c r="B564" s="2">
        <v>42674.8301967593</v>
      </c>
      <c r="C564">
        <v>0</v>
      </c>
      <c r="D564">
        <v>21</v>
      </c>
      <c r="E564" t="s">
        <v>565</v>
      </c>
    </row>
    <row r="565" spans="1:5">
      <c r="A565">
        <f>HYPERLINK("http://www.twitter.com/NYPDnews/status/793135856739647488", "793135856739647488")</f>
        <v>0</v>
      </c>
      <c r="B565" s="2">
        <v>42674.7094675926</v>
      </c>
      <c r="C565">
        <v>11</v>
      </c>
      <c r="D565">
        <v>55</v>
      </c>
      <c r="E565" t="s">
        <v>566</v>
      </c>
    </row>
    <row r="566" spans="1:5">
      <c r="A566">
        <f>HYPERLINK("http://www.twitter.com/NYPDnews/status/793124247250018305", "793124247250018305")</f>
        <v>0</v>
      </c>
      <c r="B566" s="2">
        <v>42674.6774305556</v>
      </c>
      <c r="C566">
        <v>50</v>
      </c>
      <c r="D566">
        <v>60</v>
      </c>
      <c r="E566" t="s">
        <v>567</v>
      </c>
    </row>
    <row r="567" spans="1:5">
      <c r="A567">
        <f>HYPERLINK("http://www.twitter.com/NYPDnews/status/793075312099749888", "793075312099749888")</f>
        <v>0</v>
      </c>
      <c r="B567" s="2">
        <v>42674.5423958333</v>
      </c>
      <c r="C567">
        <v>215</v>
      </c>
      <c r="D567">
        <v>100</v>
      </c>
      <c r="E567" t="s">
        <v>568</v>
      </c>
    </row>
    <row r="568" spans="1:5">
      <c r="A568">
        <f>HYPERLINK("http://www.twitter.com/NYPDnews/status/793071360058753025", "793071360058753025")</f>
        <v>0</v>
      </c>
      <c r="B568" s="2">
        <v>42674.5314930556</v>
      </c>
      <c r="C568">
        <v>27</v>
      </c>
      <c r="D568">
        <v>19</v>
      </c>
      <c r="E568" t="s">
        <v>569</v>
      </c>
    </row>
    <row r="569" spans="1:5">
      <c r="A569">
        <f>HYPERLINK("http://www.twitter.com/NYPDnews/status/793067665162199040", "793067665162199040")</f>
        <v>0</v>
      </c>
      <c r="B569" s="2">
        <v>42674.5212962963</v>
      </c>
      <c r="C569">
        <v>21</v>
      </c>
      <c r="D569">
        <v>15</v>
      </c>
      <c r="E569" t="s">
        <v>570</v>
      </c>
    </row>
    <row r="570" spans="1:5">
      <c r="A570">
        <f>HYPERLINK("http://www.twitter.com/NYPDnews/status/793063792481632257", "793063792481632257")</f>
        <v>0</v>
      </c>
      <c r="B570" s="2">
        <v>42674.5106134259</v>
      </c>
      <c r="C570">
        <v>34</v>
      </c>
      <c r="D570">
        <v>9</v>
      </c>
      <c r="E570" t="s">
        <v>571</v>
      </c>
    </row>
    <row r="571" spans="1:5">
      <c r="A571">
        <f>HYPERLINK("http://www.twitter.com/NYPDnews/status/793060109442281472", "793060109442281472")</f>
        <v>0</v>
      </c>
      <c r="B571" s="2">
        <v>42674.5004513889</v>
      </c>
      <c r="C571">
        <v>54</v>
      </c>
      <c r="D571">
        <v>112</v>
      </c>
      <c r="E571" t="s">
        <v>572</v>
      </c>
    </row>
    <row r="572" spans="1:5">
      <c r="A572">
        <f>HYPERLINK("http://www.twitter.com/NYPDnews/status/792893746341904384", "792893746341904384")</f>
        <v>0</v>
      </c>
      <c r="B572" s="2">
        <v>42674.0413773148</v>
      </c>
      <c r="C572">
        <v>470</v>
      </c>
      <c r="D572">
        <v>204</v>
      </c>
      <c r="E572" t="s">
        <v>573</v>
      </c>
    </row>
    <row r="573" spans="1:5">
      <c r="A573">
        <f>HYPERLINK("http://www.twitter.com/NYPDnews/status/792880035959103488", "792880035959103488")</f>
        <v>0</v>
      </c>
      <c r="B573" s="2">
        <v>42674.0035416667</v>
      </c>
      <c r="C573">
        <v>40</v>
      </c>
      <c r="D573">
        <v>28</v>
      </c>
      <c r="E573" t="s">
        <v>574</v>
      </c>
    </row>
    <row r="574" spans="1:5">
      <c r="A574">
        <f>HYPERLINK("http://www.twitter.com/NYPDnews/status/792871255925985280", "792871255925985280")</f>
        <v>0</v>
      </c>
      <c r="B574" s="2">
        <v>42673.9793055556</v>
      </c>
      <c r="C574">
        <v>33</v>
      </c>
      <c r="D574">
        <v>11</v>
      </c>
      <c r="E574" t="s">
        <v>575</v>
      </c>
    </row>
    <row r="575" spans="1:5">
      <c r="A575">
        <f>HYPERLINK("http://www.twitter.com/NYPDnews/status/792856967509311488", "792856967509311488")</f>
        <v>0</v>
      </c>
      <c r="B575" s="2">
        <v>42673.9398842593</v>
      </c>
      <c r="C575">
        <v>138</v>
      </c>
      <c r="D575">
        <v>37</v>
      </c>
      <c r="E575" t="s">
        <v>576</v>
      </c>
    </row>
    <row r="576" spans="1:5">
      <c r="A576">
        <f>HYPERLINK("http://www.twitter.com/NYPDnews/status/792825742417616937", "792825742417616937")</f>
        <v>0</v>
      </c>
      <c r="B576" s="2">
        <v>42673.8537152778</v>
      </c>
      <c r="C576">
        <v>92</v>
      </c>
      <c r="D576">
        <v>37</v>
      </c>
      <c r="E576" t="s">
        <v>577</v>
      </c>
    </row>
    <row r="577" spans="1:5">
      <c r="A577">
        <f>HYPERLINK("http://www.twitter.com/NYPDnews/status/792821962615693312", "792821962615693312")</f>
        <v>0</v>
      </c>
      <c r="B577" s="2">
        <v>42673.843287037</v>
      </c>
      <c r="C577">
        <v>0</v>
      </c>
      <c r="D577">
        <v>24</v>
      </c>
      <c r="E577" t="s">
        <v>578</v>
      </c>
    </row>
    <row r="578" spans="1:5">
      <c r="A578">
        <f>HYPERLINK("http://www.twitter.com/NYPDnews/status/792810939657646080", "792810939657646080")</f>
        <v>0</v>
      </c>
      <c r="B578" s="2">
        <v>42673.8128703704</v>
      </c>
      <c r="C578">
        <v>41</v>
      </c>
      <c r="D578">
        <v>22</v>
      </c>
      <c r="E578" t="s">
        <v>579</v>
      </c>
    </row>
    <row r="579" spans="1:5">
      <c r="A579">
        <f>HYPERLINK("http://www.twitter.com/NYPDnews/status/792761781076779008", "792761781076779008")</f>
        <v>0</v>
      </c>
      <c r="B579" s="2">
        <v>42673.6772222222</v>
      </c>
      <c r="C579">
        <v>141</v>
      </c>
      <c r="D579">
        <v>33</v>
      </c>
      <c r="E579" t="s">
        <v>580</v>
      </c>
    </row>
    <row r="580" spans="1:5">
      <c r="A580">
        <f>HYPERLINK("http://www.twitter.com/NYPDnews/status/792727927951589376", "792727927951589376")</f>
        <v>0</v>
      </c>
      <c r="B580" s="2">
        <v>42673.5837962963</v>
      </c>
      <c r="C580">
        <v>31</v>
      </c>
      <c r="D580">
        <v>13</v>
      </c>
      <c r="E580" t="s">
        <v>581</v>
      </c>
    </row>
    <row r="581" spans="1:5">
      <c r="A581">
        <f>HYPERLINK("http://www.twitter.com/NYPDnews/status/792720319362531328", "792720319362531328")</f>
        <v>0</v>
      </c>
      <c r="B581" s="2">
        <v>42673.5628009259</v>
      </c>
      <c r="C581">
        <v>39</v>
      </c>
      <c r="D581">
        <v>15</v>
      </c>
      <c r="E581" t="s">
        <v>582</v>
      </c>
    </row>
    <row r="582" spans="1:5">
      <c r="A582">
        <f>HYPERLINK("http://www.twitter.com/NYPDnews/status/792710215682629632", "792710215682629632")</f>
        <v>0</v>
      </c>
      <c r="B582" s="2">
        <v>42673.5349189815</v>
      </c>
      <c r="C582">
        <v>26</v>
      </c>
      <c r="D582">
        <v>22</v>
      </c>
      <c r="E582" t="s">
        <v>583</v>
      </c>
    </row>
    <row r="583" spans="1:5">
      <c r="A583">
        <f>HYPERLINK("http://www.twitter.com/NYPDnews/status/792709055714385920", "792709055714385920")</f>
        <v>0</v>
      </c>
      <c r="B583" s="2">
        <v>42673.531724537</v>
      </c>
      <c r="C583">
        <v>25</v>
      </c>
      <c r="D583">
        <v>13</v>
      </c>
      <c r="E583" t="s">
        <v>584</v>
      </c>
    </row>
    <row r="584" spans="1:5">
      <c r="A584">
        <f>HYPERLINK("http://www.twitter.com/NYPDnews/status/792708683499200512", "792708683499200512")</f>
        <v>0</v>
      </c>
      <c r="B584" s="2">
        <v>42673.5306944444</v>
      </c>
      <c r="C584">
        <v>12</v>
      </c>
      <c r="D584">
        <v>11</v>
      </c>
      <c r="E584" t="s">
        <v>585</v>
      </c>
    </row>
    <row r="585" spans="1:5">
      <c r="A585">
        <f>HYPERLINK("http://www.twitter.com/NYPDnews/status/792707981595054085", "792707981595054085")</f>
        <v>0</v>
      </c>
      <c r="B585" s="2">
        <v>42673.5287615741</v>
      </c>
      <c r="C585">
        <v>7</v>
      </c>
      <c r="D585">
        <v>3</v>
      </c>
      <c r="E585" t="s">
        <v>586</v>
      </c>
    </row>
    <row r="586" spans="1:5">
      <c r="A586">
        <f>HYPERLINK("http://www.twitter.com/NYPDnews/status/792706280012050432", "792706280012050432")</f>
        <v>0</v>
      </c>
      <c r="B586" s="2">
        <v>42673.5240625</v>
      </c>
      <c r="C586">
        <v>6</v>
      </c>
      <c r="D586">
        <v>3</v>
      </c>
      <c r="E586" t="s">
        <v>587</v>
      </c>
    </row>
    <row r="587" spans="1:5">
      <c r="A587">
        <f>HYPERLINK("http://www.twitter.com/NYPDnews/status/792699221761744896", "792699221761744896")</f>
        <v>0</v>
      </c>
      <c r="B587" s="2">
        <v>42673.5045833333</v>
      </c>
      <c r="C587">
        <v>13</v>
      </c>
      <c r="D587">
        <v>8</v>
      </c>
      <c r="E587" t="s">
        <v>588</v>
      </c>
    </row>
    <row r="588" spans="1:5">
      <c r="A588">
        <f>HYPERLINK("http://www.twitter.com/NYPDnews/status/792554411327418368", "792554411327418368")</f>
        <v>0</v>
      </c>
      <c r="B588" s="2">
        <v>42673.1049884259</v>
      </c>
      <c r="C588">
        <v>104</v>
      </c>
      <c r="D588">
        <v>112</v>
      </c>
      <c r="E588" t="s">
        <v>589</v>
      </c>
    </row>
    <row r="589" spans="1:5">
      <c r="A589">
        <f>HYPERLINK("http://www.twitter.com/NYPDnews/status/792502557826572288", "792502557826572288")</f>
        <v>0</v>
      </c>
      <c r="B589" s="2">
        <v>42672.9618981481</v>
      </c>
      <c r="C589">
        <v>73</v>
      </c>
      <c r="D589">
        <v>24</v>
      </c>
      <c r="E589" t="s">
        <v>590</v>
      </c>
    </row>
    <row r="590" spans="1:5">
      <c r="A590">
        <f>HYPERLINK("http://www.twitter.com/NYPDnews/status/792491232199073792", "792491232199073792")</f>
        <v>0</v>
      </c>
      <c r="B590" s="2">
        <v>42672.9306481481</v>
      </c>
      <c r="C590">
        <v>18</v>
      </c>
      <c r="D590">
        <v>42</v>
      </c>
      <c r="E590" t="s">
        <v>591</v>
      </c>
    </row>
    <row r="591" spans="1:5">
      <c r="A591">
        <f>HYPERLINK("http://www.twitter.com/NYPDnews/status/792483678031056896", "792483678031056896")</f>
        <v>0</v>
      </c>
      <c r="B591" s="2">
        <v>42672.9098032407</v>
      </c>
      <c r="C591">
        <v>17</v>
      </c>
      <c r="D591">
        <v>12</v>
      </c>
      <c r="E591" t="s">
        <v>592</v>
      </c>
    </row>
    <row r="592" spans="1:5">
      <c r="A592">
        <f>HYPERLINK("http://www.twitter.com/NYPDnews/status/792480589018439680", "792480589018439680")</f>
        <v>0</v>
      </c>
      <c r="B592" s="2">
        <v>42672.9012731481</v>
      </c>
      <c r="C592">
        <v>58</v>
      </c>
      <c r="D592">
        <v>21</v>
      </c>
      <c r="E592" t="s">
        <v>593</v>
      </c>
    </row>
    <row r="593" spans="1:5">
      <c r="A593">
        <f>HYPERLINK("http://www.twitter.com/NYPDnews/status/792478704060473344", "792478704060473344")</f>
        <v>0</v>
      </c>
      <c r="B593" s="2">
        <v>42672.8960763889</v>
      </c>
      <c r="C593">
        <v>65</v>
      </c>
      <c r="D593">
        <v>23</v>
      </c>
      <c r="E593" t="s">
        <v>594</v>
      </c>
    </row>
    <row r="594" spans="1:5">
      <c r="A594">
        <f>HYPERLINK("http://www.twitter.com/NYPDnews/status/792451708429492224", "792451708429492224")</f>
        <v>0</v>
      </c>
      <c r="B594" s="2">
        <v>42672.8215740741</v>
      </c>
      <c r="C594">
        <v>36</v>
      </c>
      <c r="D594">
        <v>19</v>
      </c>
      <c r="E594" t="s">
        <v>595</v>
      </c>
    </row>
    <row r="595" spans="1:5">
      <c r="A595">
        <f>HYPERLINK("http://www.twitter.com/NYPDnews/status/792430845646823424", "792430845646823424")</f>
        <v>0</v>
      </c>
      <c r="B595" s="2">
        <v>42672.7640046296</v>
      </c>
      <c r="C595">
        <v>15</v>
      </c>
      <c r="D595">
        <v>11</v>
      </c>
      <c r="E595" t="s">
        <v>596</v>
      </c>
    </row>
    <row r="596" spans="1:5">
      <c r="A596">
        <f>HYPERLINK("http://www.twitter.com/NYPDnews/status/792416998802227205", "792416998802227205")</f>
        <v>0</v>
      </c>
      <c r="B596" s="2">
        <v>42672.7257986111</v>
      </c>
      <c r="C596">
        <v>38</v>
      </c>
      <c r="D596">
        <v>20</v>
      </c>
      <c r="E596" t="s">
        <v>597</v>
      </c>
    </row>
    <row r="597" spans="1:5">
      <c r="A597">
        <f>HYPERLINK("http://www.twitter.com/NYPDnews/status/792403209620971521", "792403209620971521")</f>
        <v>0</v>
      </c>
      <c r="B597" s="2">
        <v>42672.6877430556</v>
      </c>
      <c r="C597">
        <v>33</v>
      </c>
      <c r="D597">
        <v>28</v>
      </c>
      <c r="E597" t="s">
        <v>598</v>
      </c>
    </row>
    <row r="598" spans="1:5">
      <c r="A598">
        <f>HYPERLINK("http://www.twitter.com/NYPDnews/status/792394345559232514", "792394345559232514")</f>
        <v>0</v>
      </c>
      <c r="B598" s="2">
        <v>42672.663287037</v>
      </c>
      <c r="C598">
        <v>47</v>
      </c>
      <c r="D598">
        <v>25</v>
      </c>
      <c r="E598" t="s">
        <v>599</v>
      </c>
    </row>
    <row r="599" spans="1:5">
      <c r="A599">
        <f>HYPERLINK("http://www.twitter.com/NYPDnews/status/792369184764260352", "792369184764260352")</f>
        <v>0</v>
      </c>
      <c r="B599" s="2">
        <v>42672.5938541667</v>
      </c>
      <c r="C599">
        <v>249</v>
      </c>
      <c r="D599">
        <v>112</v>
      </c>
      <c r="E599" t="s">
        <v>600</v>
      </c>
    </row>
    <row r="600" spans="1:5">
      <c r="A600">
        <f>HYPERLINK("http://www.twitter.com/NYPDnews/status/792357878439014401", "792357878439014401")</f>
        <v>0</v>
      </c>
      <c r="B600" s="2">
        <v>42672.562662037</v>
      </c>
      <c r="C600">
        <v>41</v>
      </c>
      <c r="D600">
        <v>29</v>
      </c>
      <c r="E600" t="s">
        <v>601</v>
      </c>
    </row>
    <row r="601" spans="1:5">
      <c r="A601">
        <f>HYPERLINK("http://www.twitter.com/NYPDnews/status/792337235077193729", "792337235077193729")</f>
        <v>0</v>
      </c>
      <c r="B601" s="2">
        <v>42672.5056944444</v>
      </c>
      <c r="C601">
        <v>15</v>
      </c>
      <c r="D601">
        <v>10</v>
      </c>
      <c r="E601" t="s">
        <v>602</v>
      </c>
    </row>
    <row r="602" spans="1:5">
      <c r="A602">
        <f>HYPERLINK("http://www.twitter.com/NYPDnews/status/792239459974651904", "792239459974651904")</f>
        <v>0</v>
      </c>
      <c r="B602" s="2">
        <v>42672.2358912037</v>
      </c>
      <c r="C602">
        <v>37</v>
      </c>
      <c r="D602">
        <v>32</v>
      </c>
      <c r="E602" t="s">
        <v>603</v>
      </c>
    </row>
    <row r="603" spans="1:5">
      <c r="A603">
        <f>HYPERLINK("http://www.twitter.com/NYPDnews/status/792200440037474304", "792200440037474304")</f>
        <v>0</v>
      </c>
      <c r="B603" s="2">
        <v>42672.1282060185</v>
      </c>
      <c r="C603">
        <v>15</v>
      </c>
      <c r="D603">
        <v>19</v>
      </c>
      <c r="E603" t="s">
        <v>604</v>
      </c>
    </row>
    <row r="604" spans="1:5">
      <c r="A604">
        <f>HYPERLINK("http://www.twitter.com/NYPDnews/status/792188826567446528", "792188826567446528")</f>
        <v>0</v>
      </c>
      <c r="B604" s="2">
        <v>42672.0961689815</v>
      </c>
      <c r="C604">
        <v>37</v>
      </c>
      <c r="D604">
        <v>55</v>
      </c>
      <c r="E604" t="s">
        <v>605</v>
      </c>
    </row>
    <row r="605" spans="1:5">
      <c r="A605">
        <f>HYPERLINK("http://www.twitter.com/NYPDnews/status/792169122792603652", "792169122792603652")</f>
        <v>0</v>
      </c>
      <c r="B605" s="2">
        <v>42672.0417939815</v>
      </c>
      <c r="C605">
        <v>73</v>
      </c>
      <c r="D605">
        <v>32</v>
      </c>
      <c r="E605" t="s">
        <v>606</v>
      </c>
    </row>
    <row r="606" spans="1:5">
      <c r="A606">
        <f>HYPERLINK("http://www.twitter.com/NYPDnews/status/792161631685967872", "792161631685967872")</f>
        <v>0</v>
      </c>
      <c r="B606" s="2">
        <v>42672.0211226852</v>
      </c>
      <c r="C606">
        <v>86</v>
      </c>
      <c r="D606">
        <v>26</v>
      </c>
      <c r="E606" t="s">
        <v>607</v>
      </c>
    </row>
    <row r="607" spans="1:5">
      <c r="A607">
        <f>HYPERLINK("http://www.twitter.com/NYPDnews/status/792140183697297410", "792140183697297410")</f>
        <v>0</v>
      </c>
      <c r="B607" s="2">
        <v>42671.9619328704</v>
      </c>
      <c r="C607">
        <v>19</v>
      </c>
      <c r="D607">
        <v>4</v>
      </c>
      <c r="E607" t="s">
        <v>608</v>
      </c>
    </row>
    <row r="608" spans="1:5">
      <c r="A608">
        <f>HYPERLINK("http://www.twitter.com/NYPDnews/status/792123946292416512", "792123946292416512")</f>
        <v>0</v>
      </c>
      <c r="B608" s="2">
        <v>42671.9171296296</v>
      </c>
      <c r="C608">
        <v>17</v>
      </c>
      <c r="D608">
        <v>6</v>
      </c>
      <c r="E608" t="s">
        <v>609</v>
      </c>
    </row>
    <row r="609" spans="1:5">
      <c r="A609">
        <f>HYPERLINK("http://www.twitter.com/NYPDnews/status/792115009350434816", "792115009350434816")</f>
        <v>0</v>
      </c>
      <c r="B609" s="2">
        <v>42671.8924652778</v>
      </c>
      <c r="C609">
        <v>31</v>
      </c>
      <c r="D609">
        <v>18</v>
      </c>
      <c r="E609" t="s">
        <v>610</v>
      </c>
    </row>
    <row r="610" spans="1:5">
      <c r="A610">
        <f>HYPERLINK("http://www.twitter.com/NYPDnews/status/792112499403452417", "792112499403452417")</f>
        <v>0</v>
      </c>
      <c r="B610" s="2">
        <v>42671.8855439815</v>
      </c>
      <c r="C610">
        <v>4</v>
      </c>
      <c r="D610">
        <v>27</v>
      </c>
      <c r="E610" t="s">
        <v>611</v>
      </c>
    </row>
    <row r="611" spans="1:5">
      <c r="A611">
        <f>HYPERLINK("http://www.twitter.com/NYPDnews/status/792078679442620416", "792078679442620416")</f>
        <v>0</v>
      </c>
      <c r="B611" s="2">
        <v>42671.7922106481</v>
      </c>
      <c r="C611">
        <v>39</v>
      </c>
      <c r="D611">
        <v>16</v>
      </c>
      <c r="E611" t="s">
        <v>612</v>
      </c>
    </row>
    <row r="612" spans="1:5">
      <c r="A612">
        <f>HYPERLINK("http://www.twitter.com/NYPDnews/status/792071713282519040", "792071713282519040")</f>
        <v>0</v>
      </c>
      <c r="B612" s="2">
        <v>42671.7729976852</v>
      </c>
      <c r="C612">
        <v>0</v>
      </c>
      <c r="D612">
        <v>26</v>
      </c>
      <c r="E612" t="s">
        <v>613</v>
      </c>
    </row>
    <row r="613" spans="1:5">
      <c r="A613">
        <f>HYPERLINK("http://www.twitter.com/NYPDnews/status/792050128353886209", "792050128353886209")</f>
        <v>0</v>
      </c>
      <c r="B613" s="2">
        <v>42671.7134259259</v>
      </c>
      <c r="C613">
        <v>0</v>
      </c>
      <c r="D613">
        <v>110</v>
      </c>
      <c r="E613" t="s">
        <v>614</v>
      </c>
    </row>
    <row r="614" spans="1:5">
      <c r="A614">
        <f>HYPERLINK("http://www.twitter.com/NYPDnews/status/792022272479485952", "792022272479485952")</f>
        <v>0</v>
      </c>
      <c r="B614" s="2">
        <v>42671.6365625</v>
      </c>
      <c r="C614">
        <v>29</v>
      </c>
      <c r="D614">
        <v>21</v>
      </c>
      <c r="E614" t="s">
        <v>615</v>
      </c>
    </row>
    <row r="615" spans="1:5">
      <c r="A615">
        <f>HYPERLINK("http://www.twitter.com/NYPDnews/status/792013062798733312", "792013062798733312")</f>
        <v>0</v>
      </c>
      <c r="B615" s="2">
        <v>42671.6111458333</v>
      </c>
      <c r="C615">
        <v>45</v>
      </c>
      <c r="D615">
        <v>12</v>
      </c>
      <c r="E615" t="s">
        <v>616</v>
      </c>
    </row>
    <row r="616" spans="1:5">
      <c r="A616">
        <f>HYPERLINK("http://www.twitter.com/NYPDnews/status/792009859323559936", "792009859323559936")</f>
        <v>0</v>
      </c>
      <c r="B616" s="2">
        <v>42671.6023032407</v>
      </c>
      <c r="C616">
        <v>70</v>
      </c>
      <c r="D616">
        <v>17</v>
      </c>
      <c r="E616" t="s">
        <v>617</v>
      </c>
    </row>
    <row r="617" spans="1:5">
      <c r="A617">
        <f>HYPERLINK("http://www.twitter.com/NYPDnews/status/792003021320445953", "792003021320445953")</f>
        <v>0</v>
      </c>
      <c r="B617" s="2">
        <v>42671.5834375</v>
      </c>
      <c r="C617">
        <v>121</v>
      </c>
      <c r="D617">
        <v>33</v>
      </c>
      <c r="E617" t="s">
        <v>618</v>
      </c>
    </row>
    <row r="618" spans="1:5">
      <c r="A618">
        <f>HYPERLINK("http://www.twitter.com/NYPDnews/status/791988078944681985", "791988078944681985")</f>
        <v>0</v>
      </c>
      <c r="B618" s="2">
        <v>42671.5422106481</v>
      </c>
      <c r="C618">
        <v>11</v>
      </c>
      <c r="D618">
        <v>4</v>
      </c>
      <c r="E618" t="s">
        <v>619</v>
      </c>
    </row>
    <row r="619" spans="1:5">
      <c r="A619">
        <f>HYPERLINK("http://www.twitter.com/NYPDnews/status/791984162907516929", "791984162907516929")</f>
        <v>0</v>
      </c>
      <c r="B619" s="2">
        <v>42671.531400463</v>
      </c>
      <c r="C619">
        <v>112</v>
      </c>
      <c r="D619">
        <v>34</v>
      </c>
      <c r="E619" t="s">
        <v>620</v>
      </c>
    </row>
    <row r="620" spans="1:5">
      <c r="A620">
        <f>HYPERLINK("http://www.twitter.com/NYPDnews/status/791980430933237764", "791980430933237764")</f>
        <v>0</v>
      </c>
      <c r="B620" s="2">
        <v>42671.521099537</v>
      </c>
      <c r="C620">
        <v>46</v>
      </c>
      <c r="D620">
        <v>12</v>
      </c>
      <c r="E620" t="s">
        <v>621</v>
      </c>
    </row>
    <row r="621" spans="1:5">
      <c r="A621">
        <f>HYPERLINK("http://www.twitter.com/NYPDnews/status/791976627576201216", "791976627576201216")</f>
        <v>0</v>
      </c>
      <c r="B621" s="2">
        <v>42671.5106018518</v>
      </c>
      <c r="C621">
        <v>31</v>
      </c>
      <c r="D621">
        <v>12</v>
      </c>
      <c r="E621" t="s">
        <v>622</v>
      </c>
    </row>
    <row r="622" spans="1:5">
      <c r="A622">
        <f>HYPERLINK("http://www.twitter.com/NYPDnews/status/791972902266601473", "791972902266601473")</f>
        <v>0</v>
      </c>
      <c r="B622" s="2">
        <v>42671.5003240741</v>
      </c>
      <c r="C622">
        <v>14</v>
      </c>
      <c r="D622">
        <v>37</v>
      </c>
      <c r="E622" t="s">
        <v>623</v>
      </c>
    </row>
    <row r="623" spans="1:5">
      <c r="A623">
        <f>HYPERLINK("http://www.twitter.com/NYPDnews/status/791802941585891328", "791802941585891328")</f>
        <v>0</v>
      </c>
      <c r="B623" s="2">
        <v>42671.0313194444</v>
      </c>
      <c r="C623">
        <v>51</v>
      </c>
      <c r="D623">
        <v>20</v>
      </c>
      <c r="E623" t="s">
        <v>624</v>
      </c>
    </row>
    <row r="624" spans="1:5">
      <c r="A624">
        <f>HYPERLINK("http://www.twitter.com/NYPDnews/status/791797085209321472", "791797085209321472")</f>
        <v>0</v>
      </c>
      <c r="B624" s="2">
        <v>42671.015162037</v>
      </c>
      <c r="C624">
        <v>0</v>
      </c>
      <c r="D624">
        <v>60</v>
      </c>
      <c r="E624" t="s">
        <v>625</v>
      </c>
    </row>
    <row r="625" spans="1:5">
      <c r="A625">
        <f>HYPERLINK("http://www.twitter.com/NYPDnews/status/791797000501096448", "791797000501096448")</f>
        <v>0</v>
      </c>
      <c r="B625" s="2">
        <v>42671.0149305556</v>
      </c>
      <c r="C625">
        <v>0</v>
      </c>
      <c r="D625">
        <v>16</v>
      </c>
      <c r="E625" t="s">
        <v>626</v>
      </c>
    </row>
    <row r="626" spans="1:5">
      <c r="A626">
        <f>HYPERLINK("http://www.twitter.com/NYPDnews/status/791791757969264640", "791791757969264640")</f>
        <v>0</v>
      </c>
      <c r="B626" s="2">
        <v>42671.000462963</v>
      </c>
      <c r="C626">
        <v>14</v>
      </c>
      <c r="D626">
        <v>13</v>
      </c>
      <c r="E626" t="s">
        <v>627</v>
      </c>
    </row>
    <row r="627" spans="1:5">
      <c r="A627">
        <f>HYPERLINK("http://www.twitter.com/NYPDnews/status/791780314007891968", "791780314007891968")</f>
        <v>0</v>
      </c>
      <c r="B627" s="2">
        <v>42670.9688888889</v>
      </c>
      <c r="C627">
        <v>70</v>
      </c>
      <c r="D627">
        <v>22</v>
      </c>
      <c r="E627" t="s">
        <v>628</v>
      </c>
    </row>
    <row r="628" spans="1:5">
      <c r="A628">
        <f>HYPERLINK("http://www.twitter.com/NYPDnews/status/791769069204672512", "791769069204672512")</f>
        <v>0</v>
      </c>
      <c r="B628" s="2">
        <v>42670.9378587963</v>
      </c>
      <c r="C628">
        <v>19</v>
      </c>
      <c r="D628">
        <v>16</v>
      </c>
      <c r="E628" t="s">
        <v>629</v>
      </c>
    </row>
    <row r="629" spans="1:5">
      <c r="A629">
        <f>HYPERLINK("http://www.twitter.com/NYPDnews/status/791765612427145216", "791765612427145216")</f>
        <v>0</v>
      </c>
      <c r="B629" s="2">
        <v>42670.9283101852</v>
      </c>
      <c r="C629">
        <v>126</v>
      </c>
      <c r="D629">
        <v>50</v>
      </c>
      <c r="E629" t="s">
        <v>630</v>
      </c>
    </row>
    <row r="630" spans="1:5">
      <c r="A630">
        <f>HYPERLINK("http://www.twitter.com/NYPDnews/status/791750111730798592", "791750111730798592")</f>
        <v>0</v>
      </c>
      <c r="B630" s="2">
        <v>42670.8855439815</v>
      </c>
      <c r="C630">
        <v>102</v>
      </c>
      <c r="D630">
        <v>58</v>
      </c>
      <c r="E630" t="s">
        <v>631</v>
      </c>
    </row>
    <row r="631" spans="1:5">
      <c r="A631">
        <f>HYPERLINK("http://www.twitter.com/NYPDnews/status/791740044440666114", "791740044440666114")</f>
        <v>0</v>
      </c>
      <c r="B631" s="2">
        <v>42670.8577662037</v>
      </c>
      <c r="C631">
        <v>100</v>
      </c>
      <c r="D631">
        <v>52</v>
      </c>
      <c r="E631" t="s">
        <v>632</v>
      </c>
    </row>
    <row r="632" spans="1:5">
      <c r="A632">
        <f>HYPERLINK("http://www.twitter.com/NYPDnews/status/791700537309822976", "791700537309822976")</f>
        <v>0</v>
      </c>
      <c r="B632" s="2">
        <v>42670.7487384259</v>
      </c>
      <c r="C632">
        <v>0</v>
      </c>
      <c r="D632">
        <v>44</v>
      </c>
      <c r="E632" t="s">
        <v>633</v>
      </c>
    </row>
    <row r="633" spans="1:5">
      <c r="A633">
        <f>HYPERLINK("http://www.twitter.com/NYPDnews/status/791688706642018309", "791688706642018309")</f>
        <v>0</v>
      </c>
      <c r="B633" s="2">
        <v>42670.716099537</v>
      </c>
      <c r="C633">
        <v>21</v>
      </c>
      <c r="D633">
        <v>9</v>
      </c>
      <c r="E633" t="s">
        <v>634</v>
      </c>
    </row>
    <row r="634" spans="1:5">
      <c r="A634">
        <f>HYPERLINK("http://www.twitter.com/NYPDnews/status/791662045372489728", "791662045372489728")</f>
        <v>0</v>
      </c>
      <c r="B634" s="2">
        <v>42670.6425231481</v>
      </c>
      <c r="C634">
        <v>10</v>
      </c>
      <c r="D634">
        <v>14</v>
      </c>
      <c r="E634" t="s">
        <v>635</v>
      </c>
    </row>
    <row r="635" spans="1:5">
      <c r="A635">
        <f>HYPERLINK("http://www.twitter.com/NYPDnews/status/791660601038794752", "791660601038794752")</f>
        <v>0</v>
      </c>
      <c r="B635" s="2">
        <v>42670.6385416667</v>
      </c>
      <c r="C635">
        <v>0</v>
      </c>
      <c r="D635">
        <v>43</v>
      </c>
      <c r="E635" t="s">
        <v>636</v>
      </c>
    </row>
    <row r="636" spans="1:5">
      <c r="A636">
        <f>HYPERLINK("http://www.twitter.com/NYPDnews/status/791659293904863232", "791659293904863232")</f>
        <v>0</v>
      </c>
      <c r="B636" s="2">
        <v>42670.6349305556</v>
      </c>
      <c r="C636">
        <v>11</v>
      </c>
      <c r="D636">
        <v>8</v>
      </c>
      <c r="E636" t="s">
        <v>637</v>
      </c>
    </row>
    <row r="637" spans="1:5">
      <c r="A637">
        <f>HYPERLINK("http://www.twitter.com/NYPDnews/status/791654401006010368", "791654401006010368")</f>
        <v>0</v>
      </c>
      <c r="B637" s="2">
        <v>42670.6214351852</v>
      </c>
      <c r="C637">
        <v>11</v>
      </c>
      <c r="D637">
        <v>5</v>
      </c>
      <c r="E637" t="s">
        <v>638</v>
      </c>
    </row>
    <row r="638" spans="1:5">
      <c r="A638">
        <f>HYPERLINK("http://www.twitter.com/NYPDnews/status/791621798408388609", "791621798408388609")</f>
        <v>0</v>
      </c>
      <c r="B638" s="2">
        <v>42670.5314699074</v>
      </c>
      <c r="C638">
        <v>28</v>
      </c>
      <c r="D638">
        <v>85</v>
      </c>
      <c r="E638" t="s">
        <v>639</v>
      </c>
    </row>
    <row r="639" spans="1:5">
      <c r="A639">
        <f>HYPERLINK("http://www.twitter.com/NYPDnews/status/791618029926907904", "791618029926907904")</f>
        <v>0</v>
      </c>
      <c r="B639" s="2">
        <v>42670.5210648148</v>
      </c>
      <c r="C639">
        <v>99</v>
      </c>
      <c r="D639">
        <v>32</v>
      </c>
      <c r="E639" t="s">
        <v>640</v>
      </c>
    </row>
    <row r="640" spans="1:5">
      <c r="A640">
        <f>HYPERLINK("http://www.twitter.com/NYPDnews/status/791614267204235264", "791614267204235264")</f>
        <v>0</v>
      </c>
      <c r="B640" s="2">
        <v>42670.5106828704</v>
      </c>
      <c r="C640">
        <v>12</v>
      </c>
      <c r="D640">
        <v>48</v>
      </c>
      <c r="E640" t="s">
        <v>641</v>
      </c>
    </row>
    <row r="641" spans="1:5">
      <c r="A641">
        <f>HYPERLINK("http://www.twitter.com/NYPDnews/status/791610511515381761", "791610511515381761")</f>
        <v>0</v>
      </c>
      <c r="B641" s="2">
        <v>42670.5003240741</v>
      </c>
      <c r="C641">
        <v>16</v>
      </c>
      <c r="D641">
        <v>6</v>
      </c>
      <c r="E641" t="s">
        <v>642</v>
      </c>
    </row>
    <row r="642" spans="1:5">
      <c r="A642">
        <f>HYPERLINK("http://www.twitter.com/NYPDnews/status/791581195754700800", "791581195754700800")</f>
        <v>0</v>
      </c>
      <c r="B642" s="2">
        <v>42670.4194212963</v>
      </c>
      <c r="C642">
        <v>20</v>
      </c>
      <c r="D642">
        <v>28</v>
      </c>
      <c r="E642" t="s">
        <v>643</v>
      </c>
    </row>
    <row r="643" spans="1:5">
      <c r="A643">
        <f>HYPERLINK("http://www.twitter.com/NYPDnews/status/791464320198709248", "791464320198709248")</f>
        <v>0</v>
      </c>
      <c r="B643" s="2">
        <v>42670.0969097222</v>
      </c>
      <c r="C643">
        <v>249</v>
      </c>
      <c r="D643">
        <v>123</v>
      </c>
      <c r="E643" t="s">
        <v>644</v>
      </c>
    </row>
    <row r="644" spans="1:5">
      <c r="A644">
        <f>HYPERLINK("http://www.twitter.com/NYPDnews/status/791445595097538560", "791445595097538560")</f>
        <v>0</v>
      </c>
      <c r="B644" s="2">
        <v>42670.0452314815</v>
      </c>
      <c r="C644">
        <v>93</v>
      </c>
      <c r="D644">
        <v>19</v>
      </c>
      <c r="E644" t="s">
        <v>645</v>
      </c>
    </row>
    <row r="645" spans="1:5">
      <c r="A645">
        <f>HYPERLINK("http://www.twitter.com/NYPDnews/status/791438764690243584", "791438764690243584")</f>
        <v>0</v>
      </c>
      <c r="B645" s="2">
        <v>42670.0263888889</v>
      </c>
      <c r="C645">
        <v>0</v>
      </c>
      <c r="D645">
        <v>37</v>
      </c>
      <c r="E645" t="s">
        <v>646</v>
      </c>
    </row>
    <row r="646" spans="1:5">
      <c r="A646">
        <f>HYPERLINK("http://www.twitter.com/NYPDnews/status/791431397735030784", "791431397735030784")</f>
        <v>0</v>
      </c>
      <c r="B646" s="2">
        <v>42670.0060532407</v>
      </c>
      <c r="C646">
        <v>346</v>
      </c>
      <c r="D646">
        <v>163</v>
      </c>
      <c r="E646" t="s">
        <v>647</v>
      </c>
    </row>
    <row r="647" spans="1:5">
      <c r="A647">
        <f>HYPERLINK("http://www.twitter.com/NYPDnews/status/791422025617149952", "791422025617149952")</f>
        <v>0</v>
      </c>
      <c r="B647" s="2">
        <v>42669.9801967593</v>
      </c>
      <c r="C647">
        <v>0</v>
      </c>
      <c r="D647">
        <v>11</v>
      </c>
      <c r="E647" t="s">
        <v>648</v>
      </c>
    </row>
    <row r="648" spans="1:5">
      <c r="A648">
        <f>HYPERLINK("http://www.twitter.com/NYPDnews/status/791414274992312324", "791414274992312324")</f>
        <v>0</v>
      </c>
      <c r="B648" s="2">
        <v>42669.9588078704</v>
      </c>
      <c r="C648">
        <v>31</v>
      </c>
      <c r="D648">
        <v>17</v>
      </c>
      <c r="E648" t="s">
        <v>649</v>
      </c>
    </row>
    <row r="649" spans="1:5">
      <c r="A649">
        <f>HYPERLINK("http://www.twitter.com/NYPDnews/status/791397249276317696", "791397249276317696")</f>
        <v>0</v>
      </c>
      <c r="B649" s="2">
        <v>42669.9118287037</v>
      </c>
      <c r="C649">
        <v>67</v>
      </c>
      <c r="D649">
        <v>44</v>
      </c>
      <c r="E649" t="s">
        <v>650</v>
      </c>
    </row>
    <row r="650" spans="1:5">
      <c r="A650">
        <f>HYPERLINK("http://www.twitter.com/NYPDnews/status/791376437672632320", "791376437672632320")</f>
        <v>0</v>
      </c>
      <c r="B650" s="2">
        <v>42669.8543981481</v>
      </c>
      <c r="C650">
        <v>22</v>
      </c>
      <c r="D650">
        <v>18</v>
      </c>
      <c r="E650" t="s">
        <v>598</v>
      </c>
    </row>
    <row r="651" spans="1:5">
      <c r="A651">
        <f>HYPERLINK("http://www.twitter.com/NYPDnews/status/791354165607985154", "791354165607985154")</f>
        <v>0</v>
      </c>
      <c r="B651" s="2">
        <v>42669.7929398148</v>
      </c>
      <c r="C651">
        <v>28</v>
      </c>
      <c r="D651">
        <v>29</v>
      </c>
      <c r="E651" t="s">
        <v>651</v>
      </c>
    </row>
    <row r="652" spans="1:5">
      <c r="A652">
        <f>HYPERLINK("http://www.twitter.com/NYPDnews/status/791320238214123520", "791320238214123520")</f>
        <v>0</v>
      </c>
      <c r="B652" s="2">
        <v>42669.6993171296</v>
      </c>
      <c r="C652">
        <v>94</v>
      </c>
      <c r="D652">
        <v>43</v>
      </c>
      <c r="E652" t="s">
        <v>652</v>
      </c>
    </row>
    <row r="653" spans="1:5">
      <c r="A653">
        <f>HYPERLINK("http://www.twitter.com/NYPDnews/status/791316742425419776", "791316742425419776")</f>
        <v>0</v>
      </c>
      <c r="B653" s="2">
        <v>42669.6896759259</v>
      </c>
      <c r="C653">
        <v>12</v>
      </c>
      <c r="D653">
        <v>10</v>
      </c>
      <c r="E653" t="s">
        <v>653</v>
      </c>
    </row>
    <row r="654" spans="1:5">
      <c r="A654">
        <f>HYPERLINK("http://www.twitter.com/NYPDnews/status/791301033809051648", "791301033809051648")</f>
        <v>0</v>
      </c>
      <c r="B654" s="2">
        <v>42669.6463194444</v>
      </c>
      <c r="C654">
        <v>26</v>
      </c>
      <c r="D654">
        <v>30</v>
      </c>
      <c r="E654" t="s">
        <v>654</v>
      </c>
    </row>
    <row r="655" spans="1:5">
      <c r="A655">
        <f>HYPERLINK("http://www.twitter.com/NYPDnews/status/791290457993216000", "791290457993216000")</f>
        <v>0</v>
      </c>
      <c r="B655" s="2">
        <v>42669.6171412037</v>
      </c>
      <c r="C655">
        <v>518</v>
      </c>
      <c r="D655">
        <v>217</v>
      </c>
      <c r="E655" t="s">
        <v>655</v>
      </c>
    </row>
    <row r="656" spans="1:5">
      <c r="A656">
        <f>HYPERLINK("http://www.twitter.com/NYPDnews/status/791285149770145793", "791285149770145793")</f>
        <v>0</v>
      </c>
      <c r="B656" s="2">
        <v>42669.6024884259</v>
      </c>
      <c r="C656">
        <v>85</v>
      </c>
      <c r="D656">
        <v>40</v>
      </c>
      <c r="E656" t="s">
        <v>656</v>
      </c>
    </row>
    <row r="657" spans="1:5">
      <c r="A657">
        <f>HYPERLINK("http://www.twitter.com/NYPDnews/status/791284100468510721", "791284100468510721")</f>
        <v>0</v>
      </c>
      <c r="B657" s="2">
        <v>42669.5995949074</v>
      </c>
      <c r="C657">
        <v>53</v>
      </c>
      <c r="D657">
        <v>21</v>
      </c>
      <c r="E657" t="s">
        <v>657</v>
      </c>
    </row>
    <row r="658" spans="1:5">
      <c r="A658">
        <f>HYPERLINK("http://www.twitter.com/NYPDnews/status/791283089481826305", "791283089481826305")</f>
        <v>0</v>
      </c>
      <c r="B658" s="2">
        <v>42669.5968055556</v>
      </c>
      <c r="C658">
        <v>87</v>
      </c>
      <c r="D658">
        <v>37</v>
      </c>
      <c r="E658" t="s">
        <v>658</v>
      </c>
    </row>
    <row r="659" spans="1:5">
      <c r="A659">
        <f>HYPERLINK("http://www.twitter.com/NYPDnews/status/791271951339839488", "791271951339839488")</f>
        <v>0</v>
      </c>
      <c r="B659" s="2">
        <v>42669.5660648148</v>
      </c>
      <c r="C659">
        <v>14</v>
      </c>
      <c r="D659">
        <v>6</v>
      </c>
      <c r="E659" t="s">
        <v>659</v>
      </c>
    </row>
    <row r="660" spans="1:5">
      <c r="A660">
        <f>HYPERLINK("http://www.twitter.com/NYPDnews/status/791264400091049984", "791264400091049984")</f>
        <v>0</v>
      </c>
      <c r="B660" s="2">
        <v>42669.5452314815</v>
      </c>
      <c r="C660">
        <v>15</v>
      </c>
      <c r="D660">
        <v>21</v>
      </c>
      <c r="E660" t="s">
        <v>660</v>
      </c>
    </row>
    <row r="661" spans="1:5">
      <c r="A661">
        <f>HYPERLINK("http://www.twitter.com/NYPDnews/status/791259384684871680", "791259384684871680")</f>
        <v>0</v>
      </c>
      <c r="B661" s="2">
        <v>42669.5313888889</v>
      </c>
      <c r="C661">
        <v>79</v>
      </c>
      <c r="D661">
        <v>22</v>
      </c>
      <c r="E661" t="s">
        <v>661</v>
      </c>
    </row>
    <row r="662" spans="1:5">
      <c r="A662">
        <f>HYPERLINK("http://www.twitter.com/NYPDnews/status/791255633727283201", "791255633727283201")</f>
        <v>0</v>
      </c>
      <c r="B662" s="2">
        <v>42669.5210416667</v>
      </c>
      <c r="C662">
        <v>6</v>
      </c>
      <c r="D662">
        <v>35</v>
      </c>
      <c r="E662" t="s">
        <v>662</v>
      </c>
    </row>
    <row r="663" spans="1:5">
      <c r="A663">
        <f>HYPERLINK("http://www.twitter.com/NYPDnews/status/791251838649634816", "791251838649634816")</f>
        <v>0</v>
      </c>
      <c r="B663" s="2">
        <v>42669.5105671296</v>
      </c>
      <c r="C663">
        <v>72</v>
      </c>
      <c r="D663">
        <v>20</v>
      </c>
      <c r="E663" t="s">
        <v>663</v>
      </c>
    </row>
    <row r="664" spans="1:5">
      <c r="A664">
        <f>HYPERLINK("http://www.twitter.com/NYPDnews/status/791248131707076608", "791248131707076608")</f>
        <v>0</v>
      </c>
      <c r="B664" s="2">
        <v>42669.5003356481</v>
      </c>
      <c r="C664">
        <v>28</v>
      </c>
      <c r="D664">
        <v>21</v>
      </c>
      <c r="E664" t="s">
        <v>664</v>
      </c>
    </row>
    <row r="665" spans="1:5">
      <c r="A665">
        <f>HYPERLINK("http://www.twitter.com/NYPDnews/status/791069715678523396", "791069715678523396")</f>
        <v>0</v>
      </c>
      <c r="B665" s="2">
        <v>42669.0080092593</v>
      </c>
      <c r="C665">
        <v>71</v>
      </c>
      <c r="D665">
        <v>33</v>
      </c>
      <c r="E665" t="s">
        <v>665</v>
      </c>
    </row>
    <row r="666" spans="1:5">
      <c r="A666">
        <f>HYPERLINK("http://www.twitter.com/NYPDnews/status/791068094169055232", "791068094169055232")</f>
        <v>0</v>
      </c>
      <c r="B666" s="2">
        <v>42669.0035300926</v>
      </c>
      <c r="C666">
        <v>75</v>
      </c>
      <c r="D666">
        <v>20</v>
      </c>
      <c r="E666" t="s">
        <v>666</v>
      </c>
    </row>
    <row r="667" spans="1:5">
      <c r="A667">
        <f>HYPERLINK("http://www.twitter.com/NYPDnews/status/791056215744872448", "791056215744872448")</f>
        <v>0</v>
      </c>
      <c r="B667" s="2">
        <v>42668.9707523148</v>
      </c>
      <c r="C667">
        <v>0</v>
      </c>
      <c r="D667">
        <v>9</v>
      </c>
      <c r="E667" t="s">
        <v>667</v>
      </c>
    </row>
    <row r="668" spans="1:5">
      <c r="A668">
        <f>HYPERLINK("http://www.twitter.com/NYPDnews/status/790949568133357568", "790949568133357568")</f>
        <v>0</v>
      </c>
      <c r="B668" s="2">
        <v>42668.6764583333</v>
      </c>
      <c r="C668">
        <v>28</v>
      </c>
      <c r="D668">
        <v>21</v>
      </c>
      <c r="E668" t="s">
        <v>668</v>
      </c>
    </row>
    <row r="669" spans="1:5">
      <c r="A669">
        <f>HYPERLINK("http://www.twitter.com/NYPDnews/status/790944635904491520", "790944635904491520")</f>
        <v>0</v>
      </c>
      <c r="B669" s="2">
        <v>42668.6628472222</v>
      </c>
      <c r="C669">
        <v>0</v>
      </c>
      <c r="D669">
        <v>22</v>
      </c>
      <c r="E669" t="s">
        <v>669</v>
      </c>
    </row>
    <row r="670" spans="1:5">
      <c r="A670">
        <f>HYPERLINK("http://www.twitter.com/NYPDnews/status/790932620758618112", "790932620758618112")</f>
        <v>0</v>
      </c>
      <c r="B670" s="2">
        <v>42668.6296990741</v>
      </c>
      <c r="C670">
        <v>40</v>
      </c>
      <c r="D670">
        <v>17</v>
      </c>
      <c r="E670" t="s">
        <v>670</v>
      </c>
    </row>
    <row r="671" spans="1:5">
      <c r="A671">
        <f>HYPERLINK("http://www.twitter.com/NYPDnews/status/790896992339853313", "790896992339853313")</f>
        <v>0</v>
      </c>
      <c r="B671" s="2">
        <v>42668.5313773148</v>
      </c>
      <c r="C671">
        <v>44</v>
      </c>
      <c r="D671">
        <v>20</v>
      </c>
      <c r="E671" t="s">
        <v>671</v>
      </c>
    </row>
    <row r="672" spans="1:5">
      <c r="A672">
        <f>HYPERLINK("http://www.twitter.com/NYPDnews/status/790893245400281088", "790893245400281088")</f>
        <v>0</v>
      </c>
      <c r="B672" s="2">
        <v>42668.5210416667</v>
      </c>
      <c r="C672">
        <v>16</v>
      </c>
      <c r="D672">
        <v>15</v>
      </c>
      <c r="E672" t="s">
        <v>672</v>
      </c>
    </row>
    <row r="673" spans="1:5">
      <c r="A673">
        <f>HYPERLINK("http://www.twitter.com/NYPDnews/status/790889438704459776", "790889438704459776")</f>
        <v>0</v>
      </c>
      <c r="B673" s="2">
        <v>42668.5105324074</v>
      </c>
      <c r="C673">
        <v>15</v>
      </c>
      <c r="D673">
        <v>7</v>
      </c>
      <c r="E673" t="s">
        <v>673</v>
      </c>
    </row>
    <row r="674" spans="1:5">
      <c r="A674">
        <f>HYPERLINK("http://www.twitter.com/NYPDnews/status/790885619794870272", "790885619794870272")</f>
        <v>0</v>
      </c>
      <c r="B674" s="2">
        <v>42668.5</v>
      </c>
      <c r="C674">
        <v>31</v>
      </c>
      <c r="D674">
        <v>89</v>
      </c>
      <c r="E674" t="s">
        <v>674</v>
      </c>
    </row>
    <row r="675" spans="1:5">
      <c r="A675">
        <f>HYPERLINK("http://www.twitter.com/NYPDnews/status/790881887480938496", "790881887480938496")</f>
        <v>0</v>
      </c>
      <c r="B675" s="2">
        <v>42668.4896990741</v>
      </c>
      <c r="C675">
        <v>16</v>
      </c>
      <c r="D675">
        <v>49</v>
      </c>
      <c r="E675" t="s">
        <v>675</v>
      </c>
    </row>
    <row r="676" spans="1:5">
      <c r="A676">
        <f>HYPERLINK("http://www.twitter.com/NYPDnews/status/790720936131588097", "790720936131588097")</f>
        <v>0</v>
      </c>
      <c r="B676" s="2">
        <v>42668.0455555556</v>
      </c>
      <c r="C676">
        <v>45</v>
      </c>
      <c r="D676">
        <v>16</v>
      </c>
      <c r="E676" t="s">
        <v>676</v>
      </c>
    </row>
    <row r="677" spans="1:5">
      <c r="A677">
        <f>HYPERLINK("http://www.twitter.com/NYPDnews/status/790706992255991808", "790706992255991808")</f>
        <v>0</v>
      </c>
      <c r="B677" s="2">
        <v>42668.0070833333</v>
      </c>
      <c r="C677">
        <v>26</v>
      </c>
      <c r="D677">
        <v>15</v>
      </c>
      <c r="E677" t="s">
        <v>677</v>
      </c>
    </row>
    <row r="678" spans="1:5">
      <c r="A678">
        <f>HYPERLINK("http://www.twitter.com/NYPDnews/status/790689502268456961", "790689502268456961")</f>
        <v>0</v>
      </c>
      <c r="B678" s="2">
        <v>42667.9588194444</v>
      </c>
      <c r="C678">
        <v>13</v>
      </c>
      <c r="D678">
        <v>54</v>
      </c>
      <c r="E678" t="s">
        <v>678</v>
      </c>
    </row>
    <row r="679" spans="1:5">
      <c r="A679">
        <f>HYPERLINK("http://www.twitter.com/NYPDnews/status/790676357483229184", "790676357483229184")</f>
        <v>0</v>
      </c>
      <c r="B679" s="2">
        <v>42667.9225462963</v>
      </c>
      <c r="C679">
        <v>38</v>
      </c>
      <c r="D679">
        <v>34</v>
      </c>
      <c r="E679" t="s">
        <v>598</v>
      </c>
    </row>
    <row r="680" spans="1:5">
      <c r="A680">
        <f>HYPERLINK("http://www.twitter.com/NYPDnews/status/790664089416691712", "790664089416691712")</f>
        <v>0</v>
      </c>
      <c r="B680" s="2">
        <v>42667.8886921296</v>
      </c>
      <c r="C680">
        <v>0</v>
      </c>
      <c r="D680">
        <v>40</v>
      </c>
      <c r="E680" t="s">
        <v>679</v>
      </c>
    </row>
    <row r="681" spans="1:5">
      <c r="A681">
        <f>HYPERLINK("http://www.twitter.com/NYPDnews/status/790626726602833920", "790626726602833920")</f>
        <v>0</v>
      </c>
      <c r="B681" s="2">
        <v>42667.7855902778</v>
      </c>
      <c r="C681">
        <v>45</v>
      </c>
      <c r="D681">
        <v>23</v>
      </c>
      <c r="E681" t="s">
        <v>680</v>
      </c>
    </row>
    <row r="682" spans="1:5">
      <c r="A682">
        <f>HYPERLINK("http://www.twitter.com/NYPDnews/status/790580650298466304", "790580650298466304")</f>
        <v>0</v>
      </c>
      <c r="B682" s="2">
        <v>42667.6584375</v>
      </c>
      <c r="C682">
        <v>42</v>
      </c>
      <c r="D682">
        <v>17</v>
      </c>
      <c r="E682" t="s">
        <v>681</v>
      </c>
    </row>
    <row r="683" spans="1:5">
      <c r="A683">
        <f>HYPERLINK("http://www.twitter.com/NYPDnews/status/790576189840748544", "790576189840748544")</f>
        <v>0</v>
      </c>
      <c r="B683" s="2">
        <v>42667.6461342593</v>
      </c>
      <c r="C683">
        <v>19</v>
      </c>
      <c r="D683">
        <v>11</v>
      </c>
      <c r="E683" t="s">
        <v>682</v>
      </c>
    </row>
    <row r="684" spans="1:5">
      <c r="A684">
        <f>HYPERLINK("http://www.twitter.com/NYPDnews/status/790575326413848576", "790575326413848576")</f>
        <v>0</v>
      </c>
      <c r="B684" s="2">
        <v>42667.64375</v>
      </c>
      <c r="C684">
        <v>41</v>
      </c>
      <c r="D684">
        <v>16</v>
      </c>
      <c r="E684" t="s">
        <v>683</v>
      </c>
    </row>
    <row r="685" spans="1:5">
      <c r="A685">
        <f>HYPERLINK("http://www.twitter.com/NYPDnews/status/790574159885729792", "790574159885729792")</f>
        <v>0</v>
      </c>
      <c r="B685" s="2">
        <v>42667.6405324074</v>
      </c>
      <c r="C685">
        <v>27</v>
      </c>
      <c r="D685">
        <v>10</v>
      </c>
      <c r="E685" t="s">
        <v>684</v>
      </c>
    </row>
    <row r="686" spans="1:5">
      <c r="A686">
        <f>HYPERLINK("http://www.twitter.com/NYPDnews/status/790572765413838849", "790572765413838849")</f>
        <v>0</v>
      </c>
      <c r="B686" s="2">
        <v>42667.6366898148</v>
      </c>
      <c r="C686">
        <v>22</v>
      </c>
      <c r="D686">
        <v>10</v>
      </c>
      <c r="E686" t="s">
        <v>685</v>
      </c>
    </row>
    <row r="687" spans="1:5">
      <c r="A687">
        <f>HYPERLINK("http://www.twitter.com/NYPDnews/status/790567939007217664", "790567939007217664")</f>
        <v>0</v>
      </c>
      <c r="B687" s="2">
        <v>42667.6233680556</v>
      </c>
      <c r="C687">
        <v>18</v>
      </c>
      <c r="D687">
        <v>5</v>
      </c>
      <c r="E687" t="s">
        <v>686</v>
      </c>
    </row>
    <row r="688" spans="1:5">
      <c r="A688">
        <f>HYPERLINK("http://www.twitter.com/NYPDnews/status/790534633247105025", "790534633247105025")</f>
        <v>0</v>
      </c>
      <c r="B688" s="2">
        <v>42667.5314583333</v>
      </c>
      <c r="C688">
        <v>32</v>
      </c>
      <c r="D688">
        <v>101</v>
      </c>
      <c r="E688" t="s">
        <v>687</v>
      </c>
    </row>
    <row r="689" spans="1:5">
      <c r="A689">
        <f>HYPERLINK("http://www.twitter.com/NYPDnews/status/790530870998360064", "790530870998360064")</f>
        <v>0</v>
      </c>
      <c r="B689" s="2">
        <v>42667.5210763889</v>
      </c>
      <c r="C689">
        <v>41</v>
      </c>
      <c r="D689">
        <v>11</v>
      </c>
      <c r="E689" t="s">
        <v>688</v>
      </c>
    </row>
    <row r="690" spans="1:5">
      <c r="A690">
        <f>HYPERLINK("http://www.twitter.com/NYPDnews/status/790527051166052352", "790527051166052352")</f>
        <v>0</v>
      </c>
      <c r="B690" s="2">
        <v>42667.5105324074</v>
      </c>
      <c r="C690">
        <v>14</v>
      </c>
      <c r="D690">
        <v>24</v>
      </c>
      <c r="E690" t="s">
        <v>689</v>
      </c>
    </row>
    <row r="691" spans="1:5">
      <c r="A691">
        <f>HYPERLINK("http://www.twitter.com/NYPDnews/status/790523352611971072", "790523352611971072")</f>
        <v>0</v>
      </c>
      <c r="B691" s="2">
        <v>42667.5003356481</v>
      </c>
      <c r="C691">
        <v>109</v>
      </c>
      <c r="D691">
        <v>23</v>
      </c>
      <c r="E691" t="s">
        <v>690</v>
      </c>
    </row>
    <row r="692" spans="1:5">
      <c r="A692">
        <f>HYPERLINK("http://www.twitter.com/NYPDnews/status/790511947301216256", "790511947301216256")</f>
        <v>0</v>
      </c>
      <c r="B692" s="2">
        <v>42667.4688541667</v>
      </c>
      <c r="C692">
        <v>12</v>
      </c>
      <c r="D692">
        <v>36</v>
      </c>
      <c r="E692" t="s">
        <v>691</v>
      </c>
    </row>
    <row r="693" spans="1:5">
      <c r="A693">
        <f>HYPERLINK("http://www.twitter.com/NYPDnews/status/790508265868259328", "790508265868259328")</f>
        <v>0</v>
      </c>
      <c r="B693" s="2">
        <v>42667.4587037037</v>
      </c>
      <c r="C693">
        <v>10</v>
      </c>
      <c r="D693">
        <v>35</v>
      </c>
      <c r="E693" t="s">
        <v>692</v>
      </c>
    </row>
    <row r="694" spans="1:5">
      <c r="A694">
        <f>HYPERLINK("http://www.twitter.com/NYPDnews/status/790370955260465152", "790370955260465152")</f>
        <v>0</v>
      </c>
      <c r="B694" s="2">
        <v>42667.0797916667</v>
      </c>
      <c r="C694">
        <v>0</v>
      </c>
      <c r="D694">
        <v>50</v>
      </c>
      <c r="E694" t="s">
        <v>693</v>
      </c>
    </row>
    <row r="695" spans="1:5">
      <c r="A695">
        <f>HYPERLINK("http://www.twitter.com/NYPDnews/status/790349623919517696", "790349623919517696")</f>
        <v>0</v>
      </c>
      <c r="B695" s="2">
        <v>42667.0209259259</v>
      </c>
      <c r="C695">
        <v>38</v>
      </c>
      <c r="D695">
        <v>11</v>
      </c>
      <c r="E695" t="s">
        <v>694</v>
      </c>
    </row>
    <row r="696" spans="1:5">
      <c r="A696">
        <f>HYPERLINK("http://www.twitter.com/NYPDnews/status/790332220590415872", "790332220590415872")</f>
        <v>0</v>
      </c>
      <c r="B696" s="2">
        <v>42666.9729050926</v>
      </c>
      <c r="C696">
        <v>134</v>
      </c>
      <c r="D696">
        <v>33</v>
      </c>
      <c r="E696" t="s">
        <v>695</v>
      </c>
    </row>
    <row r="697" spans="1:5">
      <c r="A697">
        <f>HYPERLINK("http://www.twitter.com/NYPDnews/status/790302591091638274", "790302591091638274")</f>
        <v>0</v>
      </c>
      <c r="B697" s="2">
        <v>42666.8911458333</v>
      </c>
      <c r="C697">
        <v>74</v>
      </c>
      <c r="D697">
        <v>18</v>
      </c>
      <c r="E697" t="s">
        <v>696</v>
      </c>
    </row>
    <row r="698" spans="1:5">
      <c r="A698">
        <f>HYPERLINK("http://www.twitter.com/NYPDnews/status/790299286575652864", "790299286575652864")</f>
        <v>0</v>
      </c>
      <c r="B698" s="2">
        <v>42666.882025463</v>
      </c>
      <c r="C698">
        <v>46</v>
      </c>
      <c r="D698">
        <v>86</v>
      </c>
      <c r="E698" t="s">
        <v>697</v>
      </c>
    </row>
    <row r="699" spans="1:5">
      <c r="A699">
        <f>HYPERLINK("http://www.twitter.com/NYPDnews/status/790267830566543360", "790267830566543360")</f>
        <v>0</v>
      </c>
      <c r="B699" s="2">
        <v>42666.7952199074</v>
      </c>
      <c r="C699">
        <v>129</v>
      </c>
      <c r="D699">
        <v>27</v>
      </c>
      <c r="E699" t="s">
        <v>698</v>
      </c>
    </row>
    <row r="700" spans="1:5">
      <c r="A700">
        <f>HYPERLINK("http://www.twitter.com/NYPDnews/status/790251610492534786", "790251610492534786")</f>
        <v>0</v>
      </c>
      <c r="B700" s="2">
        <v>42666.750462963</v>
      </c>
      <c r="C700">
        <v>15</v>
      </c>
      <c r="D700">
        <v>10</v>
      </c>
      <c r="E700" t="s">
        <v>699</v>
      </c>
    </row>
    <row r="701" spans="1:5">
      <c r="A701">
        <f>HYPERLINK("http://www.twitter.com/NYPDnews/status/790230092664496128", "790230092664496128")</f>
        <v>0</v>
      </c>
      <c r="B701" s="2">
        <v>42666.691087963</v>
      </c>
      <c r="C701">
        <v>10</v>
      </c>
      <c r="D701">
        <v>45</v>
      </c>
      <c r="E701" t="s">
        <v>700</v>
      </c>
    </row>
    <row r="702" spans="1:5">
      <c r="A702">
        <f>HYPERLINK("http://www.twitter.com/NYPDnews/status/790196132475498496", "790196132475498496")</f>
        <v>0</v>
      </c>
      <c r="B702" s="2">
        <v>42666.5973726852</v>
      </c>
      <c r="C702">
        <v>57</v>
      </c>
      <c r="D702">
        <v>16</v>
      </c>
      <c r="E702" t="s">
        <v>701</v>
      </c>
    </row>
    <row r="703" spans="1:5">
      <c r="A703">
        <f>HYPERLINK("http://www.twitter.com/NYPDnews/status/790194877204197376", "790194877204197376")</f>
        <v>0</v>
      </c>
      <c r="B703" s="2">
        <v>42666.593912037</v>
      </c>
      <c r="C703">
        <v>13</v>
      </c>
      <c r="D703">
        <v>53</v>
      </c>
      <c r="E703" t="s">
        <v>702</v>
      </c>
    </row>
    <row r="704" spans="1:5">
      <c r="A704">
        <f>HYPERLINK("http://www.twitter.com/NYPDnews/status/790184801026379776", "790184801026379776")</f>
        <v>0</v>
      </c>
      <c r="B704" s="2">
        <v>42666.5661111111</v>
      </c>
      <c r="C704">
        <v>33</v>
      </c>
      <c r="D704">
        <v>14</v>
      </c>
      <c r="E704" t="s">
        <v>703</v>
      </c>
    </row>
    <row r="705" spans="1:5">
      <c r="A705">
        <f>HYPERLINK("http://www.twitter.com/NYPDnews/status/790178498686189568", "790178498686189568")</f>
        <v>0</v>
      </c>
      <c r="B705" s="2">
        <v>42666.5487152778</v>
      </c>
      <c r="C705">
        <v>96</v>
      </c>
      <c r="D705">
        <v>36</v>
      </c>
      <c r="E705" t="s">
        <v>704</v>
      </c>
    </row>
    <row r="706" spans="1:5">
      <c r="A706">
        <f>HYPERLINK("http://www.twitter.com/NYPDnews/status/790173454242897920", "790173454242897920")</f>
        <v>0</v>
      </c>
      <c r="B706" s="2">
        <v>42666.5347916667</v>
      </c>
      <c r="C706">
        <v>8</v>
      </c>
      <c r="D706">
        <v>30</v>
      </c>
      <c r="E706" t="s">
        <v>705</v>
      </c>
    </row>
    <row r="707" spans="1:5">
      <c r="A707">
        <f>HYPERLINK("http://www.twitter.com/NYPDnews/status/790161053212631040", "790161053212631040")</f>
        <v>0</v>
      </c>
      <c r="B707" s="2">
        <v>42666.5005787037</v>
      </c>
      <c r="C707">
        <v>13</v>
      </c>
      <c r="D707">
        <v>7</v>
      </c>
      <c r="E707" t="s">
        <v>706</v>
      </c>
    </row>
    <row r="708" spans="1:5">
      <c r="A708">
        <f>HYPERLINK("http://www.twitter.com/NYPDnews/status/789996927274319873", "789996927274319873")</f>
        <v>0</v>
      </c>
      <c r="B708" s="2">
        <v>42666.0476736111</v>
      </c>
      <c r="C708">
        <v>95</v>
      </c>
      <c r="D708">
        <v>36</v>
      </c>
      <c r="E708" t="s">
        <v>707</v>
      </c>
    </row>
    <row r="709" spans="1:5">
      <c r="A709">
        <f>HYPERLINK("http://www.twitter.com/NYPDnews/status/789985963497889793", "789985963497889793")</f>
        <v>0</v>
      </c>
      <c r="B709" s="2">
        <v>42666.0174189815</v>
      </c>
      <c r="C709">
        <v>24</v>
      </c>
      <c r="D709">
        <v>22</v>
      </c>
      <c r="E709" t="s">
        <v>708</v>
      </c>
    </row>
    <row r="710" spans="1:5">
      <c r="A710">
        <f>HYPERLINK("http://www.twitter.com/NYPDnews/status/789974668560195588", "789974668560195588")</f>
        <v>0</v>
      </c>
      <c r="B710" s="2">
        <v>42665.98625</v>
      </c>
      <c r="C710">
        <v>37</v>
      </c>
      <c r="D710">
        <v>21</v>
      </c>
      <c r="E710" t="s">
        <v>709</v>
      </c>
    </row>
    <row r="711" spans="1:5">
      <c r="A711">
        <f>HYPERLINK("http://www.twitter.com/NYPDnews/status/789960828858540033", "789960828858540033")</f>
        <v>0</v>
      </c>
      <c r="B711" s="2">
        <v>42665.9480671296</v>
      </c>
      <c r="C711">
        <v>25</v>
      </c>
      <c r="D711">
        <v>12</v>
      </c>
      <c r="E711" t="s">
        <v>710</v>
      </c>
    </row>
    <row r="712" spans="1:5">
      <c r="A712">
        <f>HYPERLINK("http://www.twitter.com/NYPDnews/status/789934440923467776", "789934440923467776")</f>
        <v>0</v>
      </c>
      <c r="B712" s="2">
        <v>42665.8752430556</v>
      </c>
      <c r="C712">
        <v>251</v>
      </c>
      <c r="D712">
        <v>112</v>
      </c>
      <c r="E712" t="s">
        <v>711</v>
      </c>
    </row>
    <row r="713" spans="1:5">
      <c r="A713">
        <f>HYPERLINK("http://www.twitter.com/NYPDnews/status/789894928545579009", "789894928545579009")</f>
        <v>0</v>
      </c>
      <c r="B713" s="2">
        <v>42665.7662152778</v>
      </c>
      <c r="C713">
        <v>0</v>
      </c>
      <c r="D713">
        <v>175</v>
      </c>
      <c r="E713" t="s">
        <v>712</v>
      </c>
    </row>
    <row r="714" spans="1:5">
      <c r="A714">
        <f>HYPERLINK("http://www.twitter.com/NYPDnews/status/789880275459305477", "789880275459305477")</f>
        <v>0</v>
      </c>
      <c r="B714" s="2">
        <v>42665.725775463</v>
      </c>
      <c r="C714">
        <v>28</v>
      </c>
      <c r="D714">
        <v>20</v>
      </c>
      <c r="E714" t="s">
        <v>713</v>
      </c>
    </row>
    <row r="715" spans="1:5">
      <c r="A715">
        <f>HYPERLINK("http://www.twitter.com/NYPDnews/status/789859023931731968", "789859023931731968")</f>
        <v>0</v>
      </c>
      <c r="B715" s="2">
        <v>42665.6671296296</v>
      </c>
      <c r="C715">
        <v>8</v>
      </c>
      <c r="D715">
        <v>27</v>
      </c>
      <c r="E715" t="s">
        <v>714</v>
      </c>
    </row>
    <row r="716" spans="1:5">
      <c r="A716">
        <f>HYPERLINK("http://www.twitter.com/NYPDnews/status/789834980113481728", "789834980113481728")</f>
        <v>0</v>
      </c>
      <c r="B716" s="2">
        <v>42665.600787037</v>
      </c>
      <c r="C716">
        <v>49</v>
      </c>
      <c r="D716">
        <v>17</v>
      </c>
      <c r="E716" t="s">
        <v>715</v>
      </c>
    </row>
    <row r="717" spans="1:5">
      <c r="A717">
        <f>HYPERLINK("http://www.twitter.com/NYPDnews/status/789799843334094848", "789799843334094848")</f>
        <v>0</v>
      </c>
      <c r="B717" s="2">
        <v>42665.5038310185</v>
      </c>
      <c r="C717">
        <v>9</v>
      </c>
      <c r="D717">
        <v>7</v>
      </c>
      <c r="E717" t="s">
        <v>716</v>
      </c>
    </row>
    <row r="718" spans="1:5">
      <c r="A718">
        <f>HYPERLINK("http://www.twitter.com/NYPDnews/status/789638673004388352", "789638673004388352")</f>
        <v>0</v>
      </c>
      <c r="B718" s="2">
        <v>42665.0590856482</v>
      </c>
      <c r="C718">
        <v>39</v>
      </c>
      <c r="D718">
        <v>16</v>
      </c>
      <c r="E718" t="s">
        <v>717</v>
      </c>
    </row>
    <row r="719" spans="1:5">
      <c r="A719">
        <f>HYPERLINK("http://www.twitter.com/NYPDnews/status/789624899237273600", "789624899237273600")</f>
        <v>0</v>
      </c>
      <c r="B719" s="2">
        <v>42665.0210763889</v>
      </c>
      <c r="C719">
        <v>192</v>
      </c>
      <c r="D719">
        <v>94</v>
      </c>
      <c r="E719" t="s">
        <v>718</v>
      </c>
    </row>
    <row r="720" spans="1:5">
      <c r="A720">
        <f>HYPERLINK("http://www.twitter.com/NYPDnews/status/789609741869805569", "789609741869805569")</f>
        <v>0</v>
      </c>
      <c r="B720" s="2">
        <v>42664.9792476852</v>
      </c>
      <c r="C720">
        <v>16</v>
      </c>
      <c r="D720">
        <v>41</v>
      </c>
      <c r="E720" t="s">
        <v>719</v>
      </c>
    </row>
    <row r="721" spans="1:5">
      <c r="A721">
        <f>HYPERLINK("http://www.twitter.com/NYPDnews/status/789593929851236352", "789593929851236352")</f>
        <v>0</v>
      </c>
      <c r="B721" s="2">
        <v>42664.9356134259</v>
      </c>
      <c r="C721">
        <v>0</v>
      </c>
      <c r="D721">
        <v>43</v>
      </c>
      <c r="E721" t="s">
        <v>720</v>
      </c>
    </row>
    <row r="722" spans="1:5">
      <c r="A722">
        <f>HYPERLINK("http://www.twitter.com/NYPDnews/status/789563110289997824", "789563110289997824")</f>
        <v>0</v>
      </c>
      <c r="B722" s="2">
        <v>42664.8505671296</v>
      </c>
      <c r="C722">
        <v>12</v>
      </c>
      <c r="D722">
        <v>36</v>
      </c>
      <c r="E722" t="s">
        <v>721</v>
      </c>
    </row>
    <row r="723" spans="1:5">
      <c r="A723">
        <f>HYPERLINK("http://www.twitter.com/NYPDnews/status/789547200686780416", "789547200686780416")</f>
        <v>0</v>
      </c>
      <c r="B723" s="2">
        <v>42664.8066666667</v>
      </c>
      <c r="C723">
        <v>0</v>
      </c>
      <c r="D723">
        <v>33</v>
      </c>
      <c r="E723" t="s">
        <v>722</v>
      </c>
    </row>
    <row r="724" spans="1:5">
      <c r="A724">
        <f>HYPERLINK("http://www.twitter.com/NYPDnews/status/789519116042440704", "789519116042440704")</f>
        <v>0</v>
      </c>
      <c r="B724" s="2">
        <v>42664.7291666667</v>
      </c>
      <c r="C724">
        <v>45</v>
      </c>
      <c r="D724">
        <v>21</v>
      </c>
      <c r="E724" t="s">
        <v>723</v>
      </c>
    </row>
    <row r="725" spans="1:5">
      <c r="A725">
        <f>HYPERLINK("http://www.twitter.com/NYPDnews/status/789477105792933888", "789477105792933888")</f>
        <v>0</v>
      </c>
      <c r="B725" s="2">
        <v>42664.6132407407</v>
      </c>
      <c r="C725">
        <v>19</v>
      </c>
      <c r="D725">
        <v>17</v>
      </c>
      <c r="E725" t="s">
        <v>724</v>
      </c>
    </row>
    <row r="726" spans="1:5">
      <c r="A726">
        <f>HYPERLINK("http://www.twitter.com/NYPDnews/status/789475348538855424", "789475348538855424")</f>
        <v>0</v>
      </c>
      <c r="B726" s="2">
        <v>42664.6083912037</v>
      </c>
      <c r="C726">
        <v>25</v>
      </c>
      <c r="D726">
        <v>12</v>
      </c>
      <c r="E726" t="s">
        <v>725</v>
      </c>
    </row>
    <row r="727" spans="1:5">
      <c r="A727">
        <f>HYPERLINK("http://www.twitter.com/NYPDnews/status/789473992935632896", "789473992935632896")</f>
        <v>0</v>
      </c>
      <c r="B727" s="2">
        <v>42664.6046527778</v>
      </c>
      <c r="C727">
        <v>74</v>
      </c>
      <c r="D727">
        <v>29</v>
      </c>
      <c r="E727" t="s">
        <v>726</v>
      </c>
    </row>
    <row r="728" spans="1:5">
      <c r="A728">
        <f>HYPERLINK("http://www.twitter.com/NYPDnews/status/789472899874840576", "789472899874840576")</f>
        <v>0</v>
      </c>
      <c r="B728" s="2">
        <v>42664.6016319444</v>
      </c>
      <c r="C728">
        <v>22</v>
      </c>
      <c r="D728">
        <v>10</v>
      </c>
      <c r="E728" t="s">
        <v>727</v>
      </c>
    </row>
    <row r="729" spans="1:5">
      <c r="A729">
        <f>HYPERLINK("http://www.twitter.com/NYPDnews/status/789470920117260290", "789470920117260290")</f>
        <v>0</v>
      </c>
      <c r="B729" s="2">
        <v>42664.5961689815</v>
      </c>
      <c r="C729">
        <v>40</v>
      </c>
      <c r="D729">
        <v>15</v>
      </c>
      <c r="E729" t="s">
        <v>728</v>
      </c>
    </row>
    <row r="730" spans="1:5">
      <c r="A730">
        <f>HYPERLINK("http://www.twitter.com/NYPDnews/status/789469979913625600", "789469979913625600")</f>
        <v>0</v>
      </c>
      <c r="B730" s="2">
        <v>42664.5935763889</v>
      </c>
      <c r="C730">
        <v>26</v>
      </c>
      <c r="D730">
        <v>8</v>
      </c>
      <c r="E730" t="s">
        <v>729</v>
      </c>
    </row>
    <row r="731" spans="1:5">
      <c r="A731">
        <f>HYPERLINK("http://www.twitter.com/NYPDnews/status/789469055405191168", "789469055405191168")</f>
        <v>0</v>
      </c>
      <c r="B731" s="2">
        <v>42664.5910300926</v>
      </c>
      <c r="C731">
        <v>80</v>
      </c>
      <c r="D731">
        <v>31</v>
      </c>
      <c r="E731" t="s">
        <v>730</v>
      </c>
    </row>
    <row r="732" spans="1:5">
      <c r="A732">
        <f>HYPERLINK("http://www.twitter.com/NYPDnews/status/789465625911517184", "789465625911517184")</f>
        <v>0</v>
      </c>
      <c r="B732" s="2">
        <v>42664.5815625</v>
      </c>
      <c r="C732">
        <v>19</v>
      </c>
      <c r="D732">
        <v>12</v>
      </c>
      <c r="E732" t="s">
        <v>731</v>
      </c>
    </row>
    <row r="733" spans="1:5">
      <c r="A733">
        <f>HYPERLINK("http://www.twitter.com/NYPDnews/status/789456193823576096", "789456193823576096")</f>
        <v>0</v>
      </c>
      <c r="B733" s="2">
        <v>42664.5555324074</v>
      </c>
      <c r="C733">
        <v>43</v>
      </c>
      <c r="D733">
        <v>13</v>
      </c>
      <c r="E733" t="s">
        <v>732</v>
      </c>
    </row>
    <row r="734" spans="1:5">
      <c r="A734">
        <f>HYPERLINK("http://www.twitter.com/NYPDnews/status/789452835561861120", "789452835561861120")</f>
        <v>0</v>
      </c>
      <c r="B734" s="2">
        <v>42664.5462615741</v>
      </c>
      <c r="C734">
        <v>36</v>
      </c>
      <c r="D734">
        <v>106</v>
      </c>
      <c r="E734" t="s">
        <v>733</v>
      </c>
    </row>
    <row r="735" spans="1:5">
      <c r="A735">
        <f>HYPERLINK("http://www.twitter.com/NYPDnews/status/789403118966419460", "789403118966419460")</f>
        <v>0</v>
      </c>
      <c r="B735" s="2">
        <v>42664.4090740741</v>
      </c>
      <c r="C735">
        <v>0</v>
      </c>
      <c r="D735">
        <v>20</v>
      </c>
      <c r="E735" t="s">
        <v>734</v>
      </c>
    </row>
    <row r="736" spans="1:5">
      <c r="A736">
        <f>HYPERLINK("http://www.twitter.com/NYPDnews/status/789278814283202560", "789278814283202560")</f>
        <v>0</v>
      </c>
      <c r="B736" s="2">
        <v>42664.0660648148</v>
      </c>
      <c r="C736">
        <v>62</v>
      </c>
      <c r="D736">
        <v>24</v>
      </c>
      <c r="E736" t="s">
        <v>735</v>
      </c>
    </row>
    <row r="737" spans="1:5">
      <c r="A737">
        <f>HYPERLINK("http://www.twitter.com/NYPDnews/status/789270307311849472", "789270307311849472")</f>
        <v>0</v>
      </c>
      <c r="B737" s="2">
        <v>42664.0425810185</v>
      </c>
      <c r="C737">
        <v>9</v>
      </c>
      <c r="D737">
        <v>19</v>
      </c>
      <c r="E737" t="s">
        <v>736</v>
      </c>
    </row>
    <row r="738" spans="1:5">
      <c r="A738">
        <f>HYPERLINK("http://www.twitter.com/NYPDnews/status/789256193629880320", "789256193629880320")</f>
        <v>0</v>
      </c>
      <c r="B738" s="2">
        <v>42664.0036342593</v>
      </c>
      <c r="C738">
        <v>74</v>
      </c>
      <c r="D738">
        <v>27</v>
      </c>
      <c r="E738" t="s">
        <v>737</v>
      </c>
    </row>
    <row r="739" spans="1:5">
      <c r="A739">
        <f>HYPERLINK("http://www.twitter.com/NYPDnews/status/789241064016187393", "789241064016187393")</f>
        <v>0</v>
      </c>
      <c r="B739" s="2">
        <v>42663.9618865741</v>
      </c>
      <c r="C739">
        <v>34</v>
      </c>
      <c r="D739">
        <v>18</v>
      </c>
      <c r="E739" t="s">
        <v>738</v>
      </c>
    </row>
    <row r="740" spans="1:5">
      <c r="A740">
        <f>HYPERLINK("http://www.twitter.com/NYPDnews/status/789190949750476800", "789190949750476800")</f>
        <v>0</v>
      </c>
      <c r="B740" s="2">
        <v>42663.823599537</v>
      </c>
      <c r="C740">
        <v>97</v>
      </c>
      <c r="D740">
        <v>33</v>
      </c>
      <c r="E740" t="s">
        <v>739</v>
      </c>
    </row>
    <row r="741" spans="1:5">
      <c r="A741">
        <f>HYPERLINK("http://www.twitter.com/NYPDnews/status/789186457353072640", "789186457353072640")</f>
        <v>0</v>
      </c>
      <c r="B741" s="2">
        <v>42663.8112037037</v>
      </c>
      <c r="C741">
        <v>42</v>
      </c>
      <c r="D741">
        <v>9</v>
      </c>
      <c r="E741" t="s">
        <v>740</v>
      </c>
    </row>
    <row r="742" spans="1:5">
      <c r="A742">
        <f>HYPERLINK("http://www.twitter.com/NYPDnews/status/789184670378315776", "789184670378315776")</f>
        <v>0</v>
      </c>
      <c r="B742" s="2">
        <v>42663.8062731481</v>
      </c>
      <c r="C742">
        <v>47</v>
      </c>
      <c r="D742">
        <v>18</v>
      </c>
      <c r="E742" t="s">
        <v>741</v>
      </c>
    </row>
    <row r="743" spans="1:5">
      <c r="A743">
        <f>HYPERLINK("http://www.twitter.com/NYPDnews/status/789183697681457153", "789183697681457153")</f>
        <v>0</v>
      </c>
      <c r="B743" s="2">
        <v>42663.803587963</v>
      </c>
      <c r="C743">
        <v>30</v>
      </c>
      <c r="D743">
        <v>11</v>
      </c>
      <c r="E743" t="s">
        <v>742</v>
      </c>
    </row>
    <row r="744" spans="1:5">
      <c r="A744">
        <f>HYPERLINK("http://www.twitter.com/NYPDnews/status/789182691417600000", "789182691417600000")</f>
        <v>0</v>
      </c>
      <c r="B744" s="2">
        <v>42663.8008101852</v>
      </c>
      <c r="C744">
        <v>103</v>
      </c>
      <c r="D744">
        <v>39</v>
      </c>
      <c r="E744" t="s">
        <v>743</v>
      </c>
    </row>
    <row r="745" spans="1:5">
      <c r="A745">
        <f>HYPERLINK("http://www.twitter.com/NYPDnews/status/789176863444787200", "789176863444787200")</f>
        <v>0</v>
      </c>
      <c r="B745" s="2">
        <v>42663.7847337963</v>
      </c>
      <c r="C745">
        <v>485</v>
      </c>
      <c r="D745">
        <v>189</v>
      </c>
      <c r="E745" t="s">
        <v>744</v>
      </c>
    </row>
    <row r="746" spans="1:5">
      <c r="A746">
        <f>HYPERLINK("http://www.twitter.com/NYPDnews/status/789131536671055872", "789131536671055872")</f>
        <v>0</v>
      </c>
      <c r="B746" s="2">
        <v>42663.6596527778</v>
      </c>
      <c r="C746">
        <v>63</v>
      </c>
      <c r="D746">
        <v>20</v>
      </c>
      <c r="E746" t="s">
        <v>745</v>
      </c>
    </row>
    <row r="747" spans="1:5">
      <c r="A747">
        <f>HYPERLINK("http://www.twitter.com/NYPDnews/status/789128219190583296", "789128219190583296")</f>
        <v>0</v>
      </c>
      <c r="B747" s="2">
        <v>42663.6504976852</v>
      </c>
      <c r="C747">
        <v>101</v>
      </c>
      <c r="D747">
        <v>34</v>
      </c>
      <c r="E747" t="s">
        <v>746</v>
      </c>
    </row>
    <row r="748" spans="1:5">
      <c r="A748">
        <f>HYPERLINK("http://www.twitter.com/NYPDnews/status/789122911282003969", "789122911282003969")</f>
        <v>0</v>
      </c>
      <c r="B748" s="2">
        <v>42663.6358449074</v>
      </c>
      <c r="C748">
        <v>36</v>
      </c>
      <c r="D748">
        <v>11</v>
      </c>
      <c r="E748" t="s">
        <v>747</v>
      </c>
    </row>
    <row r="749" spans="1:5">
      <c r="A749">
        <f>HYPERLINK("http://www.twitter.com/NYPDnews/status/789118945118789637", "789118945118789637")</f>
        <v>0</v>
      </c>
      <c r="B749" s="2">
        <v>42663.6249074074</v>
      </c>
      <c r="C749">
        <v>167</v>
      </c>
      <c r="D749">
        <v>47</v>
      </c>
      <c r="E749" t="s">
        <v>748</v>
      </c>
    </row>
    <row r="750" spans="1:5">
      <c r="A750">
        <f>HYPERLINK("http://www.twitter.com/NYPDnews/status/789088945376198656", "789088945376198656")</f>
        <v>0</v>
      </c>
      <c r="B750" s="2">
        <v>42663.5421180556</v>
      </c>
      <c r="C750">
        <v>30</v>
      </c>
      <c r="D750">
        <v>8</v>
      </c>
      <c r="E750" t="s">
        <v>749</v>
      </c>
    </row>
    <row r="751" spans="1:5">
      <c r="A751">
        <f>HYPERLINK("http://www.twitter.com/NYPDnews/status/789085049002004480", "789085049002004480")</f>
        <v>0</v>
      </c>
      <c r="B751" s="2">
        <v>42663.5313657407</v>
      </c>
      <c r="C751">
        <v>39</v>
      </c>
      <c r="D751">
        <v>19</v>
      </c>
      <c r="E751" t="s">
        <v>750</v>
      </c>
    </row>
    <row r="752" spans="1:5">
      <c r="A752">
        <f>HYPERLINK("http://www.twitter.com/NYPDnews/status/789081307561295872", "789081307561295872")</f>
        <v>0</v>
      </c>
      <c r="B752" s="2">
        <v>42663.5210416667</v>
      </c>
      <c r="C752">
        <v>78</v>
      </c>
      <c r="D752">
        <v>20</v>
      </c>
      <c r="E752" t="s">
        <v>751</v>
      </c>
    </row>
    <row r="753" spans="1:5">
      <c r="A753">
        <f>HYPERLINK("http://www.twitter.com/NYPDnews/status/789077506393509888", "789077506393509888")</f>
        <v>0</v>
      </c>
      <c r="B753" s="2">
        <v>42663.5105555556</v>
      </c>
      <c r="C753">
        <v>100</v>
      </c>
      <c r="D753">
        <v>27</v>
      </c>
      <c r="E753" t="s">
        <v>752</v>
      </c>
    </row>
    <row r="754" spans="1:5">
      <c r="A754">
        <f>HYPERLINK("http://www.twitter.com/NYPDnews/status/789073791766958080", "789073791766958080")</f>
        <v>0</v>
      </c>
      <c r="B754" s="2">
        <v>42663.5003009259</v>
      </c>
      <c r="C754">
        <v>9</v>
      </c>
      <c r="D754">
        <v>44</v>
      </c>
      <c r="E754" t="s">
        <v>753</v>
      </c>
    </row>
    <row r="755" spans="1:5">
      <c r="A755">
        <f>HYPERLINK("http://www.twitter.com/NYPDnews/status/788907302082478081", "788907302082478081")</f>
        <v>0</v>
      </c>
      <c r="B755" s="2">
        <v>42663.0408796296</v>
      </c>
      <c r="C755">
        <v>14</v>
      </c>
      <c r="D755">
        <v>21</v>
      </c>
      <c r="E755" t="s">
        <v>754</v>
      </c>
    </row>
    <row r="756" spans="1:5">
      <c r="A756">
        <f>HYPERLINK("http://www.twitter.com/NYPDnews/status/788872391397113861", "788872391397113861")</f>
        <v>0</v>
      </c>
      <c r="B756" s="2">
        <v>42662.9445486111</v>
      </c>
      <c r="C756">
        <v>25</v>
      </c>
      <c r="D756">
        <v>11</v>
      </c>
      <c r="E756" t="s">
        <v>755</v>
      </c>
    </row>
    <row r="757" spans="1:5">
      <c r="A757">
        <f>HYPERLINK("http://www.twitter.com/NYPDnews/status/788854799957630977", "788854799957630977")</f>
        <v>0</v>
      </c>
      <c r="B757" s="2">
        <v>42662.8960069444</v>
      </c>
      <c r="C757">
        <v>53</v>
      </c>
      <c r="D757">
        <v>10</v>
      </c>
      <c r="E757" t="s">
        <v>756</v>
      </c>
    </row>
    <row r="758" spans="1:5">
      <c r="A758">
        <f>HYPERLINK("http://www.twitter.com/NYPDnews/status/788803231061270528", "788803231061270528")</f>
        <v>0</v>
      </c>
      <c r="B758" s="2">
        <v>42662.7537037037</v>
      </c>
      <c r="C758">
        <v>0</v>
      </c>
      <c r="D758">
        <v>29</v>
      </c>
      <c r="E758" t="s">
        <v>757</v>
      </c>
    </row>
    <row r="759" spans="1:5">
      <c r="A759">
        <f>HYPERLINK("http://www.twitter.com/NYPDnews/status/788737597623369728", "788737597623369728")</f>
        <v>0</v>
      </c>
      <c r="B759" s="2">
        <v>42662.5725810185</v>
      </c>
      <c r="C759">
        <v>19</v>
      </c>
      <c r="D759">
        <v>16</v>
      </c>
      <c r="E759" t="s">
        <v>758</v>
      </c>
    </row>
    <row r="760" spans="1:5">
      <c r="A760">
        <f>HYPERLINK("http://www.twitter.com/NYPDnews/status/788736354083536896", "788736354083536896")</f>
        <v>0</v>
      </c>
      <c r="B760" s="2">
        <v>42662.5691550926</v>
      </c>
      <c r="C760">
        <v>16</v>
      </c>
      <c r="D760">
        <v>9</v>
      </c>
      <c r="E760" t="s">
        <v>759</v>
      </c>
    </row>
    <row r="761" spans="1:5">
      <c r="A761">
        <f>HYPERLINK("http://www.twitter.com/NYPDnews/status/788736155651014658", "788736155651014658")</f>
        <v>0</v>
      </c>
      <c r="B761" s="2">
        <v>42662.5686111111</v>
      </c>
      <c r="C761">
        <v>26</v>
      </c>
      <c r="D761">
        <v>16</v>
      </c>
      <c r="E761" t="s">
        <v>760</v>
      </c>
    </row>
    <row r="762" spans="1:5">
      <c r="A762">
        <f>HYPERLINK("http://www.twitter.com/NYPDnews/status/788732961218764800", "788732961218764800")</f>
        <v>0</v>
      </c>
      <c r="B762" s="2">
        <v>42662.5597916667</v>
      </c>
      <c r="C762">
        <v>22</v>
      </c>
      <c r="D762">
        <v>12</v>
      </c>
      <c r="E762" t="s">
        <v>761</v>
      </c>
    </row>
    <row r="763" spans="1:5">
      <c r="A763">
        <f>HYPERLINK("http://www.twitter.com/NYPDnews/status/788728812259446784", "788728812259446784")</f>
        <v>0</v>
      </c>
      <c r="B763" s="2">
        <v>42662.5483449074</v>
      </c>
      <c r="C763">
        <v>6</v>
      </c>
      <c r="D763">
        <v>7</v>
      </c>
      <c r="E763" t="s">
        <v>762</v>
      </c>
    </row>
    <row r="764" spans="1:5">
      <c r="A764">
        <f>HYPERLINK("http://www.twitter.com/NYPDnews/status/788717016710512644", "788717016710512644")</f>
        <v>0</v>
      </c>
      <c r="B764" s="2">
        <v>42662.5157986111</v>
      </c>
      <c r="C764">
        <v>8</v>
      </c>
      <c r="D764">
        <v>5</v>
      </c>
      <c r="E764" t="s">
        <v>763</v>
      </c>
    </row>
    <row r="765" spans="1:5">
      <c r="A765">
        <f>HYPERLINK("http://www.twitter.com/NYPDnews/status/788715131756740608", "788715131756740608")</f>
        <v>0</v>
      </c>
      <c r="B765" s="2">
        <v>42662.5105902778</v>
      </c>
      <c r="C765">
        <v>19</v>
      </c>
      <c r="D765">
        <v>15</v>
      </c>
      <c r="E765" t="s">
        <v>764</v>
      </c>
    </row>
    <row r="766" spans="1:5">
      <c r="A766">
        <f>HYPERLINK("http://www.twitter.com/NYPDnews/status/788711507366379520", "788711507366379520")</f>
        <v>0</v>
      </c>
      <c r="B766" s="2">
        <v>42662.5005902778</v>
      </c>
      <c r="C766">
        <v>10</v>
      </c>
      <c r="D766">
        <v>22</v>
      </c>
      <c r="E766" t="s">
        <v>754</v>
      </c>
    </row>
    <row r="767" spans="1:5">
      <c r="A767">
        <f>HYPERLINK("http://www.twitter.com/NYPDnews/status/788551910517334016", "788551910517334016")</f>
        <v>0</v>
      </c>
      <c r="B767" s="2">
        <v>42662.0601851852</v>
      </c>
      <c r="C767">
        <v>23</v>
      </c>
      <c r="D767">
        <v>47</v>
      </c>
      <c r="E767" t="s">
        <v>765</v>
      </c>
    </row>
    <row r="768" spans="1:5">
      <c r="A768">
        <f>HYPERLINK("http://www.twitter.com/NYPDnews/status/788549561295986688", "788549561295986688")</f>
        <v>0</v>
      </c>
      <c r="B768" s="2">
        <v>42662.0537037037</v>
      </c>
      <c r="C768">
        <v>114</v>
      </c>
      <c r="D768">
        <v>180</v>
      </c>
      <c r="E768" t="s">
        <v>766</v>
      </c>
    </row>
    <row r="769" spans="1:5">
      <c r="A769">
        <f>HYPERLINK("http://www.twitter.com/NYPDnews/status/788548887938273280", "788548887938273280")</f>
        <v>0</v>
      </c>
      <c r="B769" s="2">
        <v>42662.0518518519</v>
      </c>
      <c r="C769">
        <v>168</v>
      </c>
      <c r="D769">
        <v>237</v>
      </c>
      <c r="E769" t="s">
        <v>767</v>
      </c>
    </row>
    <row r="770" spans="1:5">
      <c r="A770">
        <f>HYPERLINK("http://www.twitter.com/NYPDnews/status/788547820462759936", "788547820462759936")</f>
        <v>0</v>
      </c>
      <c r="B770" s="2">
        <v>42662.048900463</v>
      </c>
      <c r="C770">
        <v>118</v>
      </c>
      <c r="D770">
        <v>176</v>
      </c>
      <c r="E770" t="s">
        <v>768</v>
      </c>
    </row>
    <row r="771" spans="1:5">
      <c r="A771">
        <f>HYPERLINK("http://www.twitter.com/NYPDnews/status/788547308887613440", "788547308887613440")</f>
        <v>0</v>
      </c>
      <c r="B771" s="2">
        <v>42662.0474884259</v>
      </c>
      <c r="C771">
        <v>131</v>
      </c>
      <c r="D771">
        <v>172</v>
      </c>
      <c r="E771" t="s">
        <v>769</v>
      </c>
    </row>
    <row r="772" spans="1:5">
      <c r="A772">
        <f>HYPERLINK("http://www.twitter.com/NYPDnews/status/788546966024286209", "788546966024286209")</f>
        <v>0</v>
      </c>
      <c r="B772" s="2">
        <v>42662.0465393519</v>
      </c>
      <c r="C772">
        <v>107</v>
      </c>
      <c r="D772">
        <v>149</v>
      </c>
      <c r="E772" t="s">
        <v>770</v>
      </c>
    </row>
    <row r="773" spans="1:5">
      <c r="A773">
        <f>HYPERLINK("http://www.twitter.com/NYPDnews/status/788543822561247232", "788543822561247232")</f>
        <v>0</v>
      </c>
      <c r="B773" s="2">
        <v>42662.0378703704</v>
      </c>
      <c r="C773">
        <v>19</v>
      </c>
      <c r="D773">
        <v>25</v>
      </c>
      <c r="E773" t="s">
        <v>771</v>
      </c>
    </row>
    <row r="774" spans="1:5">
      <c r="A774">
        <f>HYPERLINK("http://www.twitter.com/NYPDnews/status/788540096656117760", "788540096656117760")</f>
        <v>0</v>
      </c>
      <c r="B774" s="2">
        <v>42662.0275925926</v>
      </c>
      <c r="C774">
        <v>11</v>
      </c>
      <c r="D774">
        <v>14</v>
      </c>
      <c r="E774" t="s">
        <v>772</v>
      </c>
    </row>
    <row r="775" spans="1:5">
      <c r="A775">
        <f>HYPERLINK("http://www.twitter.com/NYPDnews/status/788520672301572096", "788520672301572096")</f>
        <v>0</v>
      </c>
      <c r="B775" s="2">
        <v>42661.9739814815</v>
      </c>
      <c r="C775">
        <v>36</v>
      </c>
      <c r="D775">
        <v>54</v>
      </c>
      <c r="E775" t="s">
        <v>773</v>
      </c>
    </row>
    <row r="776" spans="1:5">
      <c r="A776">
        <f>HYPERLINK("http://www.twitter.com/NYPDnews/status/788518828980436994", "788518828980436994")</f>
        <v>0</v>
      </c>
      <c r="B776" s="2">
        <v>42661.968900463</v>
      </c>
      <c r="C776">
        <v>172</v>
      </c>
      <c r="D776">
        <v>56</v>
      </c>
      <c r="E776" t="s">
        <v>774</v>
      </c>
    </row>
    <row r="777" spans="1:5">
      <c r="A777">
        <f>HYPERLINK("http://www.twitter.com/NYPDnews/status/788501206079537160", "788501206079537160")</f>
        <v>0</v>
      </c>
      <c r="B777" s="2">
        <v>42661.9202662037</v>
      </c>
      <c r="C777">
        <v>9</v>
      </c>
      <c r="D777">
        <v>24</v>
      </c>
      <c r="E777" t="s">
        <v>775</v>
      </c>
    </row>
    <row r="778" spans="1:5">
      <c r="A778">
        <f>HYPERLINK("http://www.twitter.com/NYPDnews/status/788493635058884608", "788493635058884608")</f>
        <v>0</v>
      </c>
      <c r="B778" s="2">
        <v>42661.899375</v>
      </c>
      <c r="C778">
        <v>11</v>
      </c>
      <c r="D778">
        <v>9</v>
      </c>
      <c r="E778" t="s">
        <v>776</v>
      </c>
    </row>
    <row r="779" spans="1:5">
      <c r="A779">
        <f>HYPERLINK("http://www.twitter.com/NYPDnews/status/788463457570029568", "788463457570029568")</f>
        <v>0</v>
      </c>
      <c r="B779" s="2">
        <v>42661.816099537</v>
      </c>
      <c r="C779">
        <v>38</v>
      </c>
      <c r="D779">
        <v>32</v>
      </c>
      <c r="E779" t="s">
        <v>777</v>
      </c>
    </row>
    <row r="780" spans="1:5">
      <c r="A780">
        <f>HYPERLINK("http://www.twitter.com/NYPDnews/status/788427195098234880", "788427195098234880")</f>
        <v>0</v>
      </c>
      <c r="B780" s="2">
        <v>42661.7160416667</v>
      </c>
      <c r="C780">
        <v>0</v>
      </c>
      <c r="D780">
        <v>31</v>
      </c>
      <c r="E780" t="s">
        <v>778</v>
      </c>
    </row>
    <row r="781" spans="1:5">
      <c r="A781">
        <f>HYPERLINK("http://www.twitter.com/NYPDnews/status/788410470046851073", "788410470046851073")</f>
        <v>0</v>
      </c>
      <c r="B781" s="2">
        <v>42661.6698842593</v>
      </c>
      <c r="C781">
        <v>0</v>
      </c>
      <c r="D781">
        <v>23</v>
      </c>
      <c r="E781" t="s">
        <v>779</v>
      </c>
    </row>
    <row r="782" spans="1:5">
      <c r="A782">
        <f>HYPERLINK("http://www.twitter.com/NYPDnews/status/788406948576256001", "788406948576256001")</f>
        <v>0</v>
      </c>
      <c r="B782" s="2">
        <v>42661.6601736111</v>
      </c>
      <c r="C782">
        <v>124</v>
      </c>
      <c r="D782">
        <v>50</v>
      </c>
      <c r="E782" t="s">
        <v>780</v>
      </c>
    </row>
    <row r="783" spans="1:5">
      <c r="A783">
        <f>HYPERLINK("http://www.twitter.com/NYPDnews/status/788364427640832000", "788364427640832000")</f>
        <v>0</v>
      </c>
      <c r="B783" s="2">
        <v>42661.5428356481</v>
      </c>
      <c r="C783">
        <v>0</v>
      </c>
      <c r="D783">
        <v>102</v>
      </c>
      <c r="E783" t="s">
        <v>781</v>
      </c>
    </row>
    <row r="784" spans="1:5">
      <c r="A784">
        <f>HYPERLINK("http://www.twitter.com/NYPDnews/status/788356570027548672", "788356570027548672")</f>
        <v>0</v>
      </c>
      <c r="B784" s="2">
        <v>42661.5211458333</v>
      </c>
      <c r="C784">
        <v>12</v>
      </c>
      <c r="D784">
        <v>56</v>
      </c>
      <c r="E784" t="s">
        <v>782</v>
      </c>
    </row>
    <row r="785" spans="1:5">
      <c r="A785">
        <f>HYPERLINK("http://www.twitter.com/NYPDnews/status/788352728489689088", "788352728489689088")</f>
        <v>0</v>
      </c>
      <c r="B785" s="2">
        <v>42661.5105555556</v>
      </c>
      <c r="C785">
        <v>40</v>
      </c>
      <c r="D785">
        <v>17</v>
      </c>
      <c r="E785" t="s">
        <v>783</v>
      </c>
    </row>
    <row r="786" spans="1:5">
      <c r="A786">
        <f>HYPERLINK("http://www.twitter.com/NYPDnews/status/788349046977167360", "788349046977167360")</f>
        <v>0</v>
      </c>
      <c r="B786" s="2">
        <v>42661.5003935185</v>
      </c>
      <c r="C786">
        <v>14</v>
      </c>
      <c r="D786">
        <v>47</v>
      </c>
      <c r="E786" t="s">
        <v>784</v>
      </c>
    </row>
    <row r="787" spans="1:5">
      <c r="A787">
        <f>HYPERLINK("http://www.twitter.com/NYPDnews/status/788337622825459712", "788337622825459712")</f>
        <v>0</v>
      </c>
      <c r="B787" s="2">
        <v>42661.4688657407</v>
      </c>
      <c r="C787">
        <v>10</v>
      </c>
      <c r="D787">
        <v>52</v>
      </c>
      <c r="E787" t="s">
        <v>785</v>
      </c>
    </row>
    <row r="788" spans="1:5">
      <c r="A788">
        <f>HYPERLINK("http://www.twitter.com/NYPDnews/status/788188573451296769", "788188573451296769")</f>
        <v>0</v>
      </c>
      <c r="B788" s="2">
        <v>42661.0575694444</v>
      </c>
      <c r="C788">
        <v>190</v>
      </c>
      <c r="D788">
        <v>51</v>
      </c>
      <c r="E788" t="s">
        <v>786</v>
      </c>
    </row>
    <row r="789" spans="1:5">
      <c r="A789">
        <f>HYPERLINK("http://www.twitter.com/NYPDnews/status/788153916492025856", "788153916492025856")</f>
        <v>0</v>
      </c>
      <c r="B789" s="2">
        <v>42660.9619328704</v>
      </c>
      <c r="C789">
        <v>9</v>
      </c>
      <c r="D789">
        <v>33</v>
      </c>
      <c r="E789" t="s">
        <v>787</v>
      </c>
    </row>
    <row r="790" spans="1:5">
      <c r="A790">
        <f>HYPERLINK("http://www.twitter.com/NYPDnews/status/788137698951397376", "788137698951397376")</f>
        <v>0</v>
      </c>
      <c r="B790" s="2">
        <v>42660.9171759259</v>
      </c>
      <c r="C790">
        <v>54</v>
      </c>
      <c r="D790">
        <v>24</v>
      </c>
      <c r="E790" t="s">
        <v>788</v>
      </c>
    </row>
    <row r="791" spans="1:5">
      <c r="A791">
        <f>HYPERLINK("http://www.twitter.com/NYPDnews/status/788126232835682304", "788126232835682304")</f>
        <v>0</v>
      </c>
      <c r="B791" s="2">
        <v>42660.8855439815</v>
      </c>
      <c r="C791">
        <v>34</v>
      </c>
      <c r="D791">
        <v>103</v>
      </c>
      <c r="E791" t="s">
        <v>789</v>
      </c>
    </row>
    <row r="792" spans="1:5">
      <c r="A792">
        <f>HYPERLINK("http://www.twitter.com/NYPDnews/status/788064610754584577", "788064610754584577")</f>
        <v>0</v>
      </c>
      <c r="B792" s="2">
        <v>42660.7154976852</v>
      </c>
      <c r="C792">
        <v>0</v>
      </c>
      <c r="D792">
        <v>14</v>
      </c>
      <c r="E792" t="s">
        <v>790</v>
      </c>
    </row>
    <row r="793" spans="1:5">
      <c r="A793">
        <f>HYPERLINK("http://www.twitter.com/NYPDnews/status/788053295638179840", "788053295638179840")</f>
        <v>0</v>
      </c>
      <c r="B793" s="2">
        <v>42660.6842708333</v>
      </c>
      <c r="C793">
        <v>39</v>
      </c>
      <c r="D793">
        <v>18</v>
      </c>
      <c r="E793" t="s">
        <v>791</v>
      </c>
    </row>
    <row r="794" spans="1:5">
      <c r="A794">
        <f>HYPERLINK("http://www.twitter.com/NYPDnews/status/787997909543510016", "787997909543510016")</f>
        <v>0</v>
      </c>
      <c r="B794" s="2">
        <v>42660.5314351852</v>
      </c>
      <c r="C794">
        <v>22</v>
      </c>
      <c r="D794">
        <v>26</v>
      </c>
      <c r="E794" t="s">
        <v>792</v>
      </c>
    </row>
    <row r="795" spans="1:5">
      <c r="A795">
        <f>HYPERLINK("http://www.twitter.com/NYPDnews/status/787994156635422720", "787994156635422720")</f>
        <v>0</v>
      </c>
      <c r="B795" s="2">
        <v>42660.5210763889</v>
      </c>
      <c r="C795">
        <v>25</v>
      </c>
      <c r="D795">
        <v>14</v>
      </c>
      <c r="E795" t="s">
        <v>793</v>
      </c>
    </row>
    <row r="796" spans="1:5">
      <c r="A796">
        <f>HYPERLINK("http://www.twitter.com/NYPDnews/status/787990328125054976", "787990328125054976")</f>
        <v>0</v>
      </c>
      <c r="B796" s="2">
        <v>42660.5105208333</v>
      </c>
      <c r="C796">
        <v>36</v>
      </c>
      <c r="D796">
        <v>15</v>
      </c>
      <c r="E796" t="s">
        <v>794</v>
      </c>
    </row>
    <row r="797" spans="1:5">
      <c r="A797">
        <f>HYPERLINK("http://www.twitter.com/NYPDnews/status/787986634847428608", "787986634847428608")</f>
        <v>0</v>
      </c>
      <c r="B797" s="2">
        <v>42660.5003240741</v>
      </c>
      <c r="C797">
        <v>9</v>
      </c>
      <c r="D797">
        <v>46</v>
      </c>
      <c r="E797" t="s">
        <v>795</v>
      </c>
    </row>
    <row r="798" spans="1:5">
      <c r="A798">
        <f>HYPERLINK("http://www.twitter.com/NYPDnews/status/787972612743913472", "787972612743913472")</f>
        <v>0</v>
      </c>
      <c r="B798" s="2">
        <v>42660.4616319444</v>
      </c>
      <c r="C798">
        <v>21</v>
      </c>
      <c r="D798">
        <v>63</v>
      </c>
      <c r="E798" t="s">
        <v>796</v>
      </c>
    </row>
    <row r="799" spans="1:5">
      <c r="A799">
        <f>HYPERLINK("http://www.twitter.com/NYPDnews/status/787813308485275648", "787813308485275648")</f>
        <v>0</v>
      </c>
      <c r="B799" s="2">
        <v>42660.022037037</v>
      </c>
      <c r="C799">
        <v>0</v>
      </c>
      <c r="D799">
        <v>23</v>
      </c>
      <c r="E799" t="s">
        <v>797</v>
      </c>
    </row>
    <row r="800" spans="1:5">
      <c r="A800">
        <f>HYPERLINK("http://www.twitter.com/NYPDnews/status/787743689011593219", "787743689011593219")</f>
        <v>0</v>
      </c>
      <c r="B800" s="2">
        <v>42659.8299189815</v>
      </c>
      <c r="C800">
        <v>35</v>
      </c>
      <c r="D800">
        <v>12</v>
      </c>
      <c r="E800" t="s">
        <v>798</v>
      </c>
    </row>
    <row r="801" spans="1:5">
      <c r="A801">
        <f>HYPERLINK("http://www.twitter.com/NYPDnews/status/787703437806989313", "787703437806989313")</f>
        <v>0</v>
      </c>
      <c r="B801" s="2">
        <v>42659.7188541667</v>
      </c>
      <c r="C801">
        <v>49</v>
      </c>
      <c r="D801">
        <v>15</v>
      </c>
      <c r="E801" t="s">
        <v>799</v>
      </c>
    </row>
    <row r="802" spans="1:5">
      <c r="A802">
        <f>HYPERLINK("http://www.twitter.com/NYPDnews/status/787687648148283392", "787687648148283392")</f>
        <v>0</v>
      </c>
      <c r="B802" s="2">
        <v>42659.6752777778</v>
      </c>
      <c r="C802">
        <v>84</v>
      </c>
      <c r="D802">
        <v>28</v>
      </c>
      <c r="E802" t="s">
        <v>800</v>
      </c>
    </row>
    <row r="803" spans="1:5">
      <c r="A803">
        <f>HYPERLINK("http://www.twitter.com/NYPDnews/status/787661981230764033", "787661981230764033")</f>
        <v>0</v>
      </c>
      <c r="B803" s="2">
        <v>42659.6044560185</v>
      </c>
      <c r="C803">
        <v>38</v>
      </c>
      <c r="D803">
        <v>13</v>
      </c>
      <c r="E803" t="s">
        <v>801</v>
      </c>
    </row>
    <row r="804" spans="1:5">
      <c r="A804">
        <f>HYPERLINK("http://www.twitter.com/NYPDnews/status/787658140095541248", "787658140095541248")</f>
        <v>0</v>
      </c>
      <c r="B804" s="2">
        <v>42659.5938541667</v>
      </c>
      <c r="C804">
        <v>42</v>
      </c>
      <c r="D804">
        <v>15</v>
      </c>
      <c r="E804" t="s">
        <v>802</v>
      </c>
    </row>
    <row r="805" spans="1:5">
      <c r="A805">
        <f>HYPERLINK("http://www.twitter.com/NYPDnews/status/787651844684320768", "787651844684320768")</f>
        <v>0</v>
      </c>
      <c r="B805" s="2">
        <v>42659.5764814815</v>
      </c>
      <c r="C805">
        <v>75</v>
      </c>
      <c r="D805">
        <v>19</v>
      </c>
      <c r="E805" t="s">
        <v>803</v>
      </c>
    </row>
    <row r="806" spans="1:5">
      <c r="A806">
        <f>HYPERLINK("http://www.twitter.com/NYPDnews/status/787646841273905152", "787646841273905152")</f>
        <v>0</v>
      </c>
      <c r="B806" s="2">
        <v>42659.5626736111</v>
      </c>
      <c r="C806">
        <v>31</v>
      </c>
      <c r="D806">
        <v>10</v>
      </c>
      <c r="E806" t="s">
        <v>804</v>
      </c>
    </row>
    <row r="807" spans="1:5">
      <c r="A807">
        <f>HYPERLINK("http://www.twitter.com/NYPDnews/status/787639326951735296", "787639326951735296")</f>
        <v>0</v>
      </c>
      <c r="B807" s="2">
        <v>42659.5419328704</v>
      </c>
      <c r="C807">
        <v>55</v>
      </c>
      <c r="D807">
        <v>15</v>
      </c>
      <c r="E807" t="s">
        <v>805</v>
      </c>
    </row>
    <row r="808" spans="1:5">
      <c r="A808">
        <f>HYPERLINK("http://www.twitter.com/NYPDnews/status/787624989197557760", "787624989197557760")</f>
        <v>0</v>
      </c>
      <c r="B808" s="2">
        <v>42659.5023726852</v>
      </c>
      <c r="C808">
        <v>28</v>
      </c>
      <c r="D808">
        <v>27</v>
      </c>
      <c r="E808" t="s">
        <v>806</v>
      </c>
    </row>
    <row r="809" spans="1:5">
      <c r="A809">
        <f>HYPERLINK("http://www.twitter.com/NYPDnews/status/787624299041521664", "787624299041521664")</f>
        <v>0</v>
      </c>
      <c r="B809" s="2">
        <v>42659.500462963</v>
      </c>
      <c r="C809">
        <v>18</v>
      </c>
      <c r="D809">
        <v>11</v>
      </c>
      <c r="E809" t="s">
        <v>807</v>
      </c>
    </row>
    <row r="810" spans="1:5">
      <c r="A810">
        <f>HYPERLINK("http://www.twitter.com/NYPDnews/status/787464772182736896", "787464772182736896")</f>
        <v>0</v>
      </c>
      <c r="B810" s="2">
        <v>42659.0602546296</v>
      </c>
      <c r="C810">
        <v>224</v>
      </c>
      <c r="D810">
        <v>48</v>
      </c>
      <c r="E810" t="s">
        <v>808</v>
      </c>
    </row>
    <row r="811" spans="1:5">
      <c r="A811">
        <f>HYPERLINK("http://www.twitter.com/NYPDnews/status/787414019963555840", "787414019963555840")</f>
        <v>0</v>
      </c>
      <c r="B811" s="2">
        <v>42658.9202083333</v>
      </c>
      <c r="C811">
        <v>83</v>
      </c>
      <c r="D811">
        <v>25</v>
      </c>
      <c r="E811" t="s">
        <v>809</v>
      </c>
    </row>
    <row r="812" spans="1:5">
      <c r="A812">
        <f>HYPERLINK("http://www.twitter.com/NYPDnews/status/787383306946023424", "787383306946023424")</f>
        <v>0</v>
      </c>
      <c r="B812" s="2">
        <v>42658.8354513889</v>
      </c>
      <c r="C812">
        <v>50</v>
      </c>
      <c r="D812">
        <v>25</v>
      </c>
      <c r="E812" t="s">
        <v>810</v>
      </c>
    </row>
    <row r="813" spans="1:5">
      <c r="A813">
        <f>HYPERLINK("http://www.twitter.com/NYPDnews/status/787369995005267968", "787369995005267968")</f>
        <v>0</v>
      </c>
      <c r="B813" s="2">
        <v>42658.7987268519</v>
      </c>
      <c r="C813">
        <v>31</v>
      </c>
      <c r="D813">
        <v>10</v>
      </c>
      <c r="E813" t="s">
        <v>811</v>
      </c>
    </row>
    <row r="814" spans="1:5">
      <c r="A814">
        <f>HYPERLINK("http://www.twitter.com/NYPDnews/status/787348603912200192", "787348603912200192")</f>
        <v>0</v>
      </c>
      <c r="B814" s="2">
        <v>42658.7396990741</v>
      </c>
      <c r="C814">
        <v>26</v>
      </c>
      <c r="D814">
        <v>50</v>
      </c>
      <c r="E814" t="s">
        <v>812</v>
      </c>
    </row>
    <row r="815" spans="1:5">
      <c r="A815">
        <f>HYPERLINK("http://www.twitter.com/NYPDnews/status/787330980843556865", "787330980843556865")</f>
        <v>0</v>
      </c>
      <c r="B815" s="2">
        <v>42658.6910648148</v>
      </c>
      <c r="C815">
        <v>213</v>
      </c>
      <c r="D815">
        <v>65</v>
      </c>
      <c r="E815" t="s">
        <v>813</v>
      </c>
    </row>
    <row r="816" spans="1:5">
      <c r="A816">
        <f>HYPERLINK("http://www.twitter.com/NYPDnews/status/787288245440749568", "787288245440749568")</f>
        <v>0</v>
      </c>
      <c r="B816" s="2">
        <v>42658.5731365741</v>
      </c>
      <c r="C816">
        <v>21</v>
      </c>
      <c r="D816">
        <v>13</v>
      </c>
      <c r="E816" t="s">
        <v>814</v>
      </c>
    </row>
    <row r="817" spans="1:5">
      <c r="A817">
        <f>HYPERLINK("http://www.twitter.com/NYPDnews/status/787265096372383744", "787265096372383744")</f>
        <v>0</v>
      </c>
      <c r="B817" s="2">
        <v>42658.5092592593</v>
      </c>
      <c r="C817">
        <v>23</v>
      </c>
      <c r="D817">
        <v>23</v>
      </c>
      <c r="E817" t="s">
        <v>815</v>
      </c>
    </row>
    <row r="818" spans="1:5">
      <c r="A818">
        <f>HYPERLINK("http://www.twitter.com/NYPDnews/status/787242625728471041", "787242625728471041")</f>
        <v>0</v>
      </c>
      <c r="B818" s="2">
        <v>42658.4472453704</v>
      </c>
      <c r="C818">
        <v>75</v>
      </c>
      <c r="D818">
        <v>48</v>
      </c>
      <c r="E818" t="s">
        <v>816</v>
      </c>
    </row>
    <row r="819" spans="1:5">
      <c r="A819">
        <f>HYPERLINK("http://www.twitter.com/NYPDnews/status/787141805162786817", "787141805162786817")</f>
        <v>0</v>
      </c>
      <c r="B819" s="2">
        <v>42658.1690393519</v>
      </c>
      <c r="C819">
        <v>54</v>
      </c>
      <c r="D819">
        <v>59</v>
      </c>
      <c r="E819" t="s">
        <v>817</v>
      </c>
    </row>
    <row r="820" spans="1:5">
      <c r="A820">
        <f>HYPERLINK("http://www.twitter.com/NYPDnews/status/787113934977400832", "787113934977400832")</f>
        <v>0</v>
      </c>
      <c r="B820" s="2">
        <v>42658.0921296296</v>
      </c>
      <c r="C820">
        <v>38</v>
      </c>
      <c r="D820">
        <v>74</v>
      </c>
      <c r="E820" t="s">
        <v>812</v>
      </c>
    </row>
    <row r="821" spans="1:5">
      <c r="A821">
        <f>HYPERLINK("http://www.twitter.com/NYPDnews/status/787105285479497728", "787105285479497728")</f>
        <v>0</v>
      </c>
      <c r="B821" s="2">
        <v>42658.0682638889</v>
      </c>
      <c r="C821">
        <v>175</v>
      </c>
      <c r="D821">
        <v>35</v>
      </c>
      <c r="E821" t="s">
        <v>818</v>
      </c>
    </row>
    <row r="822" spans="1:5">
      <c r="A822">
        <f>HYPERLINK("http://www.twitter.com/NYPDnews/status/787074295424028672", "787074295424028672")</f>
        <v>0</v>
      </c>
      <c r="B822" s="2">
        <v>42657.9827430556</v>
      </c>
      <c r="C822">
        <v>42</v>
      </c>
      <c r="D822">
        <v>22</v>
      </c>
      <c r="E822" t="s">
        <v>819</v>
      </c>
    </row>
    <row r="823" spans="1:5">
      <c r="A823">
        <f>HYPERLINK("http://www.twitter.com/NYPDnews/status/787054181559463936", "787054181559463936")</f>
        <v>0</v>
      </c>
      <c r="B823" s="2">
        <v>42657.9272453704</v>
      </c>
      <c r="C823">
        <v>13</v>
      </c>
      <c r="D823">
        <v>27</v>
      </c>
      <c r="E823" t="s">
        <v>820</v>
      </c>
    </row>
    <row r="824" spans="1:5">
      <c r="A824">
        <f>HYPERLINK("http://www.twitter.com/NYPDnews/status/787044106803576832", "787044106803576832")</f>
        <v>0</v>
      </c>
      <c r="B824" s="2">
        <v>42657.8994444444</v>
      </c>
      <c r="C824">
        <v>195</v>
      </c>
      <c r="D824">
        <v>127</v>
      </c>
      <c r="E824" t="s">
        <v>821</v>
      </c>
    </row>
    <row r="825" spans="1:5">
      <c r="A825">
        <f>HYPERLINK("http://www.twitter.com/NYPDnews/status/787000797074718720", "787000797074718720")</f>
        <v>0</v>
      </c>
      <c r="B825" s="2">
        <v>42657.7799305556</v>
      </c>
      <c r="C825">
        <v>0</v>
      </c>
      <c r="D825">
        <v>28</v>
      </c>
      <c r="E825" t="s">
        <v>822</v>
      </c>
    </row>
    <row r="826" spans="1:5">
      <c r="A826">
        <f>HYPERLINK("http://www.twitter.com/NYPDnews/status/786972382997123073", "786972382997123073")</f>
        <v>0</v>
      </c>
      <c r="B826" s="2">
        <v>42657.7015277778</v>
      </c>
      <c r="C826">
        <v>26</v>
      </c>
      <c r="D826">
        <v>16</v>
      </c>
      <c r="E826" t="s">
        <v>823</v>
      </c>
    </row>
    <row r="827" spans="1:5">
      <c r="A827">
        <f>HYPERLINK("http://www.twitter.com/NYPDnews/status/786953442589872133", "786953442589872133")</f>
        <v>0</v>
      </c>
      <c r="B827" s="2">
        <v>42657.6492592593</v>
      </c>
      <c r="C827">
        <v>0</v>
      </c>
      <c r="D827">
        <v>25</v>
      </c>
      <c r="E827" t="s">
        <v>824</v>
      </c>
    </row>
    <row r="828" spans="1:5">
      <c r="A828">
        <f>HYPERLINK("http://www.twitter.com/NYPDnews/status/786910726820683776", "786910726820683776")</f>
        <v>0</v>
      </c>
      <c r="B828" s="2">
        <v>42657.5313888889</v>
      </c>
      <c r="C828">
        <v>60</v>
      </c>
      <c r="D828">
        <v>22</v>
      </c>
      <c r="E828" t="s">
        <v>825</v>
      </c>
    </row>
    <row r="829" spans="1:5">
      <c r="A829">
        <f>HYPERLINK("http://www.twitter.com/NYPDnews/status/786906979675566080", "786906979675566080")</f>
        <v>0</v>
      </c>
      <c r="B829" s="2">
        <v>42657.5210416667</v>
      </c>
      <c r="C829">
        <v>13</v>
      </c>
      <c r="D829">
        <v>42</v>
      </c>
      <c r="E829" t="s">
        <v>826</v>
      </c>
    </row>
    <row r="830" spans="1:5">
      <c r="A830">
        <f>HYPERLINK("http://www.twitter.com/NYPDnews/status/786903171725660161", "786903171725660161")</f>
        <v>0</v>
      </c>
      <c r="B830" s="2">
        <v>42657.5105324074</v>
      </c>
      <c r="C830">
        <v>111</v>
      </c>
      <c r="D830">
        <v>49</v>
      </c>
      <c r="E830" t="s">
        <v>827</v>
      </c>
    </row>
    <row r="831" spans="1:5">
      <c r="A831">
        <f>HYPERLINK("http://www.twitter.com/NYPDnews/status/786899472840294401", "786899472840294401")</f>
        <v>0</v>
      </c>
      <c r="B831" s="2">
        <v>42657.5003240741</v>
      </c>
      <c r="C831">
        <v>32</v>
      </c>
      <c r="D831">
        <v>20</v>
      </c>
      <c r="E831" t="s">
        <v>828</v>
      </c>
    </row>
    <row r="832" spans="1:5">
      <c r="A832">
        <f>HYPERLINK("http://www.twitter.com/NYPDnews/status/786810050425651206", "786810050425651206")</f>
        <v>0</v>
      </c>
      <c r="B832" s="2">
        <v>42657.2535648148</v>
      </c>
      <c r="C832">
        <v>235</v>
      </c>
      <c r="D832">
        <v>51</v>
      </c>
      <c r="E832" t="s">
        <v>829</v>
      </c>
    </row>
    <row r="833" spans="1:5">
      <c r="A833">
        <f>HYPERLINK("http://www.twitter.com/NYPDnews/status/786734536474361856", "786734536474361856")</f>
        <v>0</v>
      </c>
      <c r="B833" s="2">
        <v>42657.0451851852</v>
      </c>
      <c r="C833">
        <v>73</v>
      </c>
      <c r="D833">
        <v>25</v>
      </c>
      <c r="E833" t="s">
        <v>830</v>
      </c>
    </row>
    <row r="834" spans="1:5">
      <c r="A834">
        <f>HYPERLINK("http://www.twitter.com/NYPDnews/status/786726998060269569", "786726998060269569")</f>
        <v>0</v>
      </c>
      <c r="B834" s="2">
        <v>42657.0243865741</v>
      </c>
      <c r="C834">
        <v>20</v>
      </c>
      <c r="D834">
        <v>7</v>
      </c>
      <c r="E834" t="s">
        <v>831</v>
      </c>
    </row>
    <row r="835" spans="1:5">
      <c r="A835">
        <f>HYPERLINK("http://www.twitter.com/NYPDnews/status/786708102989094912", "786708102989094912")</f>
        <v>0</v>
      </c>
      <c r="B835" s="2">
        <v>42656.9722453704</v>
      </c>
      <c r="C835">
        <v>41</v>
      </c>
      <c r="D835">
        <v>16</v>
      </c>
      <c r="E835" t="s">
        <v>832</v>
      </c>
    </row>
    <row r="836" spans="1:5">
      <c r="A836">
        <f>HYPERLINK("http://www.twitter.com/NYPDnews/status/786691814451474432", "786691814451474432")</f>
        <v>0</v>
      </c>
      <c r="B836" s="2">
        <v>42656.9273032407</v>
      </c>
      <c r="C836">
        <v>49</v>
      </c>
      <c r="D836">
        <v>22</v>
      </c>
      <c r="E836" t="s">
        <v>833</v>
      </c>
    </row>
    <row r="837" spans="1:5">
      <c r="A837">
        <f>HYPERLINK("http://www.twitter.com/NYPDnews/status/786681708481511429", "786681708481511429")</f>
        <v>0</v>
      </c>
      <c r="B837" s="2">
        <v>42656.8994097222</v>
      </c>
      <c r="C837">
        <v>38</v>
      </c>
      <c r="D837">
        <v>21</v>
      </c>
      <c r="E837" t="s">
        <v>834</v>
      </c>
    </row>
    <row r="838" spans="1:5">
      <c r="A838">
        <f>HYPERLINK("http://www.twitter.com/NYPDnews/status/786664099153317888", "786664099153317888")</f>
        <v>0</v>
      </c>
      <c r="B838" s="2">
        <v>42656.8508217593</v>
      </c>
      <c r="C838">
        <v>10</v>
      </c>
      <c r="D838">
        <v>32</v>
      </c>
      <c r="E838" t="s">
        <v>835</v>
      </c>
    </row>
    <row r="839" spans="1:5">
      <c r="A839">
        <f>HYPERLINK("http://www.twitter.com/NYPDnews/status/786649626099286016", "786649626099286016")</f>
        <v>0</v>
      </c>
      <c r="B839" s="2">
        <v>42656.8108796296</v>
      </c>
      <c r="C839">
        <v>32</v>
      </c>
      <c r="D839">
        <v>77</v>
      </c>
      <c r="E839" t="s">
        <v>836</v>
      </c>
    </row>
    <row r="840" spans="1:5">
      <c r="A840">
        <f>HYPERLINK("http://www.twitter.com/NYPDnews/status/786622629687984129", "786622629687984129")</f>
        <v>0</v>
      </c>
      <c r="B840" s="2">
        <v>42656.7363888889</v>
      </c>
      <c r="C840">
        <v>30</v>
      </c>
      <c r="D840">
        <v>16</v>
      </c>
      <c r="E840" t="s">
        <v>837</v>
      </c>
    </row>
    <row r="841" spans="1:5">
      <c r="A841">
        <f>HYPERLINK("http://www.twitter.com/NYPDnews/status/786617379606396929", "786617379606396929")</f>
        <v>0</v>
      </c>
      <c r="B841" s="2">
        <v>42656.7218981481</v>
      </c>
      <c r="C841">
        <v>0</v>
      </c>
      <c r="D841">
        <v>26</v>
      </c>
      <c r="E841" t="s">
        <v>838</v>
      </c>
    </row>
    <row r="842" spans="1:5">
      <c r="A842">
        <f>HYPERLINK("http://www.twitter.com/NYPDnews/status/786602504838676480", "786602504838676480")</f>
        <v>0</v>
      </c>
      <c r="B842" s="2">
        <v>42656.6808564815</v>
      </c>
      <c r="C842">
        <v>108</v>
      </c>
      <c r="D842">
        <v>26</v>
      </c>
      <c r="E842" t="s">
        <v>839</v>
      </c>
    </row>
    <row r="843" spans="1:5">
      <c r="A843">
        <f>HYPERLINK("http://www.twitter.com/NYPDnews/status/786551072823373824", "786551072823373824")</f>
        <v>0</v>
      </c>
      <c r="B843" s="2">
        <v>42656.5389236111</v>
      </c>
      <c r="C843">
        <v>62</v>
      </c>
      <c r="D843">
        <v>23</v>
      </c>
      <c r="E843" t="s">
        <v>840</v>
      </c>
    </row>
    <row r="844" spans="1:5">
      <c r="A844">
        <f>HYPERLINK("http://www.twitter.com/NYPDnews/status/786544600420843521", "786544600420843521")</f>
        <v>0</v>
      </c>
      <c r="B844" s="2">
        <v>42656.5210648148</v>
      </c>
      <c r="C844">
        <v>85</v>
      </c>
      <c r="D844">
        <v>23</v>
      </c>
      <c r="E844" t="s">
        <v>841</v>
      </c>
    </row>
    <row r="845" spans="1:5">
      <c r="A845">
        <f>HYPERLINK("http://www.twitter.com/NYPDnews/status/786540773407858689", "786540773407858689")</f>
        <v>0</v>
      </c>
      <c r="B845" s="2">
        <v>42656.5105092593</v>
      </c>
      <c r="C845">
        <v>31</v>
      </c>
      <c r="D845">
        <v>8</v>
      </c>
      <c r="E845" t="s">
        <v>842</v>
      </c>
    </row>
    <row r="846" spans="1:5">
      <c r="A846">
        <f>HYPERLINK("http://www.twitter.com/NYPDnews/status/786537089840144384", "786537089840144384")</f>
        <v>0</v>
      </c>
      <c r="B846" s="2">
        <v>42656.5003472222</v>
      </c>
      <c r="C846">
        <v>15</v>
      </c>
      <c r="D846">
        <v>51</v>
      </c>
      <c r="E846" t="s">
        <v>843</v>
      </c>
    </row>
    <row r="847" spans="1:5">
      <c r="A847">
        <f>HYPERLINK("http://www.twitter.com/NYPDnews/status/786522261088047104", "786522261088047104")</f>
        <v>0</v>
      </c>
      <c r="B847" s="2">
        <v>42656.4594212963</v>
      </c>
      <c r="C847">
        <v>37</v>
      </c>
      <c r="D847">
        <v>20</v>
      </c>
      <c r="E847" t="s">
        <v>844</v>
      </c>
    </row>
    <row r="848" spans="1:5">
      <c r="A848">
        <f>HYPERLINK("http://www.twitter.com/NYPDnews/status/786513874791108608", "786513874791108608")</f>
        <v>0</v>
      </c>
      <c r="B848" s="2">
        <v>42656.4362847222</v>
      </c>
      <c r="C848">
        <v>5</v>
      </c>
      <c r="D848">
        <v>43</v>
      </c>
      <c r="E848" t="s">
        <v>845</v>
      </c>
    </row>
    <row r="849" spans="1:5">
      <c r="A849">
        <f>HYPERLINK("http://www.twitter.com/NYPDnews/status/786401251869286400", "786401251869286400")</f>
        <v>0</v>
      </c>
      <c r="B849" s="2">
        <v>42656.1254976852</v>
      </c>
      <c r="C849">
        <v>52</v>
      </c>
      <c r="D849">
        <v>15</v>
      </c>
      <c r="E849" t="s">
        <v>846</v>
      </c>
    </row>
    <row r="850" spans="1:5">
      <c r="A850">
        <f>HYPERLINK("http://www.twitter.com/NYPDnews/status/786397576207691776", "786397576207691776")</f>
        <v>0</v>
      </c>
      <c r="B850" s="2">
        <v>42656.1153587963</v>
      </c>
      <c r="C850">
        <v>47</v>
      </c>
      <c r="D850">
        <v>19</v>
      </c>
      <c r="E850" t="s">
        <v>847</v>
      </c>
    </row>
    <row r="851" spans="1:5">
      <c r="A851">
        <f>HYPERLINK("http://www.twitter.com/NYPDnews/status/786353284030357508", "786353284030357508")</f>
        <v>0</v>
      </c>
      <c r="B851" s="2">
        <v>42655.9931365741</v>
      </c>
      <c r="C851">
        <v>27</v>
      </c>
      <c r="D851">
        <v>11</v>
      </c>
      <c r="E851" t="s">
        <v>848</v>
      </c>
    </row>
    <row r="852" spans="1:5">
      <c r="A852">
        <f>HYPERLINK("http://www.twitter.com/NYPDnews/status/786346856473305088", "786346856473305088")</f>
        <v>0</v>
      </c>
      <c r="B852" s="2">
        <v>42655.9753935185</v>
      </c>
      <c r="C852">
        <v>0</v>
      </c>
      <c r="D852">
        <v>8</v>
      </c>
      <c r="E852" t="s">
        <v>849</v>
      </c>
    </row>
    <row r="853" spans="1:5">
      <c r="A853">
        <f>HYPERLINK("http://www.twitter.com/NYPDnews/status/786340748069306372", "786340748069306372")</f>
        <v>0</v>
      </c>
      <c r="B853" s="2">
        <v>42655.9585416667</v>
      </c>
      <c r="C853">
        <v>30</v>
      </c>
      <c r="D853">
        <v>16</v>
      </c>
      <c r="E853" t="s">
        <v>850</v>
      </c>
    </row>
    <row r="854" spans="1:5">
      <c r="A854">
        <f>HYPERLINK("http://www.twitter.com/NYPDnews/status/786334905827459072", "786334905827459072")</f>
        <v>0</v>
      </c>
      <c r="B854" s="2">
        <v>42655.9424189815</v>
      </c>
      <c r="C854">
        <v>28</v>
      </c>
      <c r="D854">
        <v>30</v>
      </c>
      <c r="E854" t="s">
        <v>851</v>
      </c>
    </row>
    <row r="855" spans="1:5">
      <c r="A855">
        <f>HYPERLINK("http://www.twitter.com/NYPDnews/status/786281223177932800", "786281223177932800")</f>
        <v>0</v>
      </c>
      <c r="B855" s="2">
        <v>42655.7942824074</v>
      </c>
      <c r="C855">
        <v>0</v>
      </c>
      <c r="D855">
        <v>74</v>
      </c>
      <c r="E855" t="s">
        <v>852</v>
      </c>
    </row>
    <row r="856" spans="1:5">
      <c r="A856">
        <f>HYPERLINK("http://www.twitter.com/NYPDnews/status/786203549344620546", "786203549344620546")</f>
        <v>0</v>
      </c>
      <c r="B856" s="2">
        <v>42655.5799421296</v>
      </c>
      <c r="C856">
        <v>70</v>
      </c>
      <c r="D856">
        <v>22</v>
      </c>
      <c r="E856" t="s">
        <v>853</v>
      </c>
    </row>
    <row r="857" spans="1:5">
      <c r="A857">
        <f>HYPERLINK("http://www.twitter.com/NYPDnews/status/786200805829378048", "786200805829378048")</f>
        <v>0</v>
      </c>
      <c r="B857" s="2">
        <v>42655.5723726852</v>
      </c>
      <c r="C857">
        <v>54</v>
      </c>
      <c r="D857">
        <v>19</v>
      </c>
      <c r="E857" t="s">
        <v>854</v>
      </c>
    </row>
    <row r="858" spans="1:5">
      <c r="A858">
        <f>HYPERLINK("http://www.twitter.com/NYPDnews/status/786196082527178752", "786196082527178752")</f>
        <v>0</v>
      </c>
      <c r="B858" s="2">
        <v>42655.5593402778</v>
      </c>
      <c r="C858">
        <v>36</v>
      </c>
      <c r="D858">
        <v>14</v>
      </c>
      <c r="E858" t="s">
        <v>855</v>
      </c>
    </row>
    <row r="859" spans="1:5">
      <c r="A859">
        <f>HYPERLINK("http://www.twitter.com/NYPDnews/status/786187148273848320", "786187148273848320")</f>
        <v>0</v>
      </c>
      <c r="B859" s="2">
        <v>42655.5346875</v>
      </c>
      <c r="C859">
        <v>94</v>
      </c>
      <c r="D859">
        <v>24</v>
      </c>
      <c r="E859" t="s">
        <v>856</v>
      </c>
    </row>
    <row r="860" spans="1:5">
      <c r="A860">
        <f>HYPERLINK("http://www.twitter.com/NYPDnews/status/786185970580357120", "786185970580357120")</f>
        <v>0</v>
      </c>
      <c r="B860" s="2">
        <v>42655.5314351852</v>
      </c>
      <c r="C860">
        <v>96</v>
      </c>
      <c r="D860">
        <v>27</v>
      </c>
      <c r="E860" t="s">
        <v>857</v>
      </c>
    </row>
    <row r="861" spans="1:5">
      <c r="A861">
        <f>HYPERLINK("http://www.twitter.com/NYPDnews/status/786182225939365888", "786182225939365888")</f>
        <v>0</v>
      </c>
      <c r="B861" s="2">
        <v>42655.521099537</v>
      </c>
      <c r="C861">
        <v>20</v>
      </c>
      <c r="D861">
        <v>54</v>
      </c>
      <c r="E861" t="s">
        <v>858</v>
      </c>
    </row>
    <row r="862" spans="1:5">
      <c r="A862">
        <f>HYPERLINK("http://www.twitter.com/NYPDnews/status/786178463849930752", "786178463849930752")</f>
        <v>0</v>
      </c>
      <c r="B862" s="2">
        <v>42655.5107175926</v>
      </c>
      <c r="C862">
        <v>123</v>
      </c>
      <c r="D862">
        <v>39</v>
      </c>
      <c r="E862" t="s">
        <v>859</v>
      </c>
    </row>
    <row r="863" spans="1:5">
      <c r="A863">
        <f>HYPERLINK("http://www.twitter.com/NYPDnews/status/786174965175488512", "786174965175488512")</f>
        <v>0</v>
      </c>
      <c r="B863" s="2">
        <v>42655.5010648148</v>
      </c>
      <c r="C863">
        <v>19</v>
      </c>
      <c r="D863">
        <v>49</v>
      </c>
      <c r="E863" t="s">
        <v>860</v>
      </c>
    </row>
    <row r="864" spans="1:5">
      <c r="A864">
        <f>HYPERLINK("http://www.twitter.com/NYPDnews/status/786170839662227456", "786170839662227456")</f>
        <v>0</v>
      </c>
      <c r="B864" s="2">
        <v>42655.4896875</v>
      </c>
      <c r="C864">
        <v>9</v>
      </c>
      <c r="D864">
        <v>57</v>
      </c>
      <c r="E864" t="s">
        <v>861</v>
      </c>
    </row>
    <row r="865" spans="1:5">
      <c r="A865">
        <f>HYPERLINK("http://www.twitter.com/NYPDnews/status/786168015800770561", "786168015800770561")</f>
        <v>0</v>
      </c>
      <c r="B865" s="2">
        <v>42655.4818865741</v>
      </c>
      <c r="C865">
        <v>75</v>
      </c>
      <c r="D865">
        <v>27</v>
      </c>
      <c r="E865" t="s">
        <v>862</v>
      </c>
    </row>
    <row r="866" spans="1:5">
      <c r="A866">
        <f>HYPERLINK("http://www.twitter.com/NYPDnews/status/785895566475665408", "785895566475665408")</f>
        <v>0</v>
      </c>
      <c r="B866" s="2">
        <v>42654.7300694444</v>
      </c>
      <c r="C866">
        <v>76</v>
      </c>
      <c r="D866">
        <v>32</v>
      </c>
      <c r="E866" t="s">
        <v>863</v>
      </c>
    </row>
    <row r="867" spans="1:5">
      <c r="A867">
        <f>HYPERLINK("http://www.twitter.com/NYPDnews/status/785889473322246144", "785889473322246144")</f>
        <v>0</v>
      </c>
      <c r="B867" s="2">
        <v>42654.7132638889</v>
      </c>
      <c r="C867">
        <v>194</v>
      </c>
      <c r="D867">
        <v>79</v>
      </c>
      <c r="E867" t="s">
        <v>864</v>
      </c>
    </row>
    <row r="868" spans="1:5">
      <c r="A868">
        <f>HYPERLINK("http://www.twitter.com/NYPDnews/status/785831089583624197", "785831089583624197")</f>
        <v>0</v>
      </c>
      <c r="B868" s="2">
        <v>42654.5521527778</v>
      </c>
      <c r="C868">
        <v>71</v>
      </c>
      <c r="D868">
        <v>18</v>
      </c>
      <c r="E868" t="s">
        <v>865</v>
      </c>
    </row>
    <row r="869" spans="1:5">
      <c r="A869">
        <f>HYPERLINK("http://www.twitter.com/NYPDnews/status/785829849223073792", "785829849223073792")</f>
        <v>0</v>
      </c>
      <c r="B869" s="2">
        <v>42654.5487268519</v>
      </c>
      <c r="C869">
        <v>17</v>
      </c>
      <c r="D869">
        <v>5</v>
      </c>
      <c r="E869" t="s">
        <v>866</v>
      </c>
    </row>
    <row r="870" spans="1:5">
      <c r="A870">
        <f>HYPERLINK("http://www.twitter.com/NYPDnews/status/785828586129416192", "785828586129416192")</f>
        <v>0</v>
      </c>
      <c r="B870" s="2">
        <v>42654.5452430556</v>
      </c>
      <c r="C870">
        <v>30</v>
      </c>
      <c r="D870">
        <v>4</v>
      </c>
      <c r="E870" t="s">
        <v>867</v>
      </c>
    </row>
    <row r="871" spans="1:5">
      <c r="A871">
        <f>HYPERLINK("http://www.twitter.com/NYPDnews/status/785828583583408128", "785828583583408128")</f>
        <v>0</v>
      </c>
      <c r="B871" s="2">
        <v>42654.5452314815</v>
      </c>
      <c r="C871">
        <v>27</v>
      </c>
      <c r="D871">
        <v>10</v>
      </c>
      <c r="E871" t="s">
        <v>868</v>
      </c>
    </row>
    <row r="872" spans="1:5">
      <c r="A872">
        <f>HYPERLINK("http://www.twitter.com/NYPDnews/status/785827410675720192", "785827410675720192")</f>
        <v>0</v>
      </c>
      <c r="B872" s="2">
        <v>42654.5420023148</v>
      </c>
      <c r="C872">
        <v>40</v>
      </c>
      <c r="D872">
        <v>7</v>
      </c>
      <c r="E872" t="s">
        <v>869</v>
      </c>
    </row>
    <row r="873" spans="1:5">
      <c r="A873">
        <f>HYPERLINK("http://www.twitter.com/NYPDnews/status/785826112542679040", "785826112542679040")</f>
        <v>0</v>
      </c>
      <c r="B873" s="2">
        <v>42654.5384143519</v>
      </c>
      <c r="C873">
        <v>26</v>
      </c>
      <c r="D873">
        <v>10</v>
      </c>
      <c r="E873" t="s">
        <v>870</v>
      </c>
    </row>
    <row r="874" spans="1:5">
      <c r="A874">
        <f>HYPERLINK("http://www.twitter.com/NYPDnews/status/785824589179826176", "785824589179826176")</f>
        <v>0</v>
      </c>
      <c r="B874" s="2">
        <v>42654.534212963</v>
      </c>
      <c r="C874">
        <v>49</v>
      </c>
      <c r="D874">
        <v>33</v>
      </c>
      <c r="E874" t="s">
        <v>871</v>
      </c>
    </row>
    <row r="875" spans="1:5">
      <c r="A875">
        <f>HYPERLINK("http://www.twitter.com/NYPDnews/status/785823762641932288", "785823762641932288")</f>
        <v>0</v>
      </c>
      <c r="B875" s="2">
        <v>42654.5319328704</v>
      </c>
      <c r="C875">
        <v>52</v>
      </c>
      <c r="D875">
        <v>18</v>
      </c>
      <c r="E875" t="s">
        <v>872</v>
      </c>
    </row>
    <row r="876" spans="1:5">
      <c r="A876">
        <f>HYPERLINK("http://www.twitter.com/NYPDnews/status/785823017439866880", "785823017439866880")</f>
        <v>0</v>
      </c>
      <c r="B876" s="2">
        <v>42654.5298726852</v>
      </c>
      <c r="C876">
        <v>7</v>
      </c>
      <c r="D876">
        <v>3</v>
      </c>
      <c r="E876" t="s">
        <v>873</v>
      </c>
    </row>
    <row r="877" spans="1:5">
      <c r="A877">
        <f>HYPERLINK("http://www.twitter.com/NYPDnews/status/785822194718814208", "785822194718814208")</f>
        <v>0</v>
      </c>
      <c r="B877" s="2">
        <v>42654.5276041667</v>
      </c>
      <c r="C877">
        <v>14</v>
      </c>
      <c r="D877">
        <v>4</v>
      </c>
      <c r="E877" t="s">
        <v>874</v>
      </c>
    </row>
    <row r="878" spans="1:5">
      <c r="A878">
        <f>HYPERLINK("http://www.twitter.com/NYPDnews/status/785819648428240896", "785819648428240896")</f>
        <v>0</v>
      </c>
      <c r="B878" s="2">
        <v>42654.5205787037</v>
      </c>
      <c r="C878">
        <v>6</v>
      </c>
      <c r="D878">
        <v>49</v>
      </c>
      <c r="E878" t="s">
        <v>875</v>
      </c>
    </row>
    <row r="879" spans="1:5">
      <c r="A879">
        <f>HYPERLINK("http://www.twitter.com/NYPDnews/status/785816844829650944", "785816844829650944")</f>
        <v>0</v>
      </c>
      <c r="B879" s="2">
        <v>42654.5128472222</v>
      </c>
      <c r="C879">
        <v>9</v>
      </c>
      <c r="D879">
        <v>5</v>
      </c>
      <c r="E879" t="s">
        <v>876</v>
      </c>
    </row>
    <row r="880" spans="1:5">
      <c r="A880">
        <f>HYPERLINK("http://www.twitter.com/NYPDnews/status/785804741968293888", "785804741968293888")</f>
        <v>0</v>
      </c>
      <c r="B880" s="2">
        <v>42654.4794444444</v>
      </c>
      <c r="C880">
        <v>34</v>
      </c>
      <c r="D880">
        <v>22</v>
      </c>
      <c r="E880" t="s">
        <v>877</v>
      </c>
    </row>
    <row r="881" spans="1:5">
      <c r="A881">
        <f>HYPERLINK("http://www.twitter.com/NYPDnews/status/785651846505463809", "785651846505463809")</f>
        <v>0</v>
      </c>
      <c r="B881" s="2">
        <v>42654.0575347222</v>
      </c>
      <c r="C881">
        <v>0</v>
      </c>
      <c r="D881">
        <v>38</v>
      </c>
      <c r="E881" t="s">
        <v>878</v>
      </c>
    </row>
    <row r="882" spans="1:5">
      <c r="A882">
        <f>HYPERLINK("http://www.twitter.com/NYPDnews/status/785518885697122304", "785518885697122304")</f>
        <v>0</v>
      </c>
      <c r="B882" s="2">
        <v>42653.6906365741</v>
      </c>
      <c r="C882">
        <v>108</v>
      </c>
      <c r="D882">
        <v>35</v>
      </c>
      <c r="E882" t="s">
        <v>879</v>
      </c>
    </row>
    <row r="883" spans="1:5">
      <c r="A883">
        <f>HYPERLINK("http://www.twitter.com/NYPDnews/status/785461188008214529", "785461188008214529")</f>
        <v>0</v>
      </c>
      <c r="B883" s="2">
        <v>42653.5314236111</v>
      </c>
      <c r="C883">
        <v>36</v>
      </c>
      <c r="D883">
        <v>22</v>
      </c>
      <c r="E883" t="s">
        <v>880</v>
      </c>
    </row>
    <row r="884" spans="1:5">
      <c r="A884">
        <f>HYPERLINK("http://www.twitter.com/NYPDnews/status/785457547901820928", "785457547901820928")</f>
        <v>0</v>
      </c>
      <c r="B884" s="2">
        <v>42653.5213773148</v>
      </c>
      <c r="C884">
        <v>72</v>
      </c>
      <c r="D884">
        <v>245</v>
      </c>
      <c r="E884" t="s">
        <v>881</v>
      </c>
    </row>
    <row r="885" spans="1:5">
      <c r="A885">
        <f>HYPERLINK("http://www.twitter.com/NYPDnews/status/785453614798077952", "785453614798077952")</f>
        <v>0</v>
      </c>
      <c r="B885" s="2">
        <v>42653.5105208333</v>
      </c>
      <c r="C885">
        <v>59</v>
      </c>
      <c r="D885">
        <v>14</v>
      </c>
      <c r="E885" t="s">
        <v>882</v>
      </c>
    </row>
    <row r="886" spans="1:5">
      <c r="A886">
        <f>HYPERLINK("http://www.twitter.com/NYPDnews/status/785450113489571840", "785450113489571840")</f>
        <v>0</v>
      </c>
      <c r="B886" s="2">
        <v>42653.5008564815</v>
      </c>
      <c r="C886">
        <v>30</v>
      </c>
      <c r="D886">
        <v>87</v>
      </c>
      <c r="E886" t="s">
        <v>883</v>
      </c>
    </row>
    <row r="887" spans="1:5">
      <c r="A887">
        <f>HYPERLINK("http://www.twitter.com/NYPDnews/status/785310478822146048", "785310478822146048")</f>
        <v>0</v>
      </c>
      <c r="B887" s="2">
        <v>42653.1155439815</v>
      </c>
      <c r="C887">
        <v>0</v>
      </c>
      <c r="D887">
        <v>130</v>
      </c>
      <c r="E887" t="s">
        <v>884</v>
      </c>
    </row>
    <row r="888" spans="1:5">
      <c r="A888">
        <f>HYPERLINK("http://www.twitter.com/NYPDnews/status/785272455376011264", "785272455376011264")</f>
        <v>0</v>
      </c>
      <c r="B888" s="2">
        <v>42653.0106134259</v>
      </c>
      <c r="C888">
        <v>0</v>
      </c>
      <c r="D888">
        <v>178</v>
      </c>
      <c r="E888" t="s">
        <v>885</v>
      </c>
    </row>
    <row r="889" spans="1:5">
      <c r="A889">
        <f>HYPERLINK("http://www.twitter.com/NYPDnews/status/785258599664721920", "785258599664721920")</f>
        <v>0</v>
      </c>
      <c r="B889" s="2">
        <v>42652.9723842593</v>
      </c>
      <c r="C889">
        <v>94</v>
      </c>
      <c r="D889">
        <v>27</v>
      </c>
      <c r="E889" t="s">
        <v>886</v>
      </c>
    </row>
    <row r="890" spans="1:5">
      <c r="A890">
        <f>HYPERLINK("http://www.twitter.com/NYPDnews/status/785229618403999744", "785229618403999744")</f>
        <v>0</v>
      </c>
      <c r="B890" s="2">
        <v>42652.8924074074</v>
      </c>
      <c r="C890">
        <v>17</v>
      </c>
      <c r="D890">
        <v>12</v>
      </c>
      <c r="E890" t="s">
        <v>887</v>
      </c>
    </row>
    <row r="891" spans="1:5">
      <c r="A891">
        <f>HYPERLINK("http://www.twitter.com/NYPDnews/status/785203254930108416", "785203254930108416")</f>
        <v>0</v>
      </c>
      <c r="B891" s="2">
        <v>42652.8196643519</v>
      </c>
      <c r="C891">
        <v>25</v>
      </c>
      <c r="D891">
        <v>7</v>
      </c>
      <c r="E891" t="s">
        <v>888</v>
      </c>
    </row>
    <row r="892" spans="1:5">
      <c r="A892">
        <f>HYPERLINK("http://www.twitter.com/NYPDnews/status/785174317533425664", "785174317533425664")</f>
        <v>0</v>
      </c>
      <c r="B892" s="2">
        <v>42652.7398032407</v>
      </c>
      <c r="C892">
        <v>200</v>
      </c>
      <c r="D892">
        <v>155</v>
      </c>
      <c r="E892" t="s">
        <v>889</v>
      </c>
    </row>
    <row r="893" spans="1:5">
      <c r="A893">
        <f>HYPERLINK("http://www.twitter.com/NYPDnews/status/785160998403661824", "785160998403661824")</f>
        <v>0</v>
      </c>
      <c r="B893" s="2">
        <v>42652.7030555556</v>
      </c>
      <c r="C893">
        <v>0</v>
      </c>
      <c r="D893">
        <v>27</v>
      </c>
      <c r="E893" t="s">
        <v>890</v>
      </c>
    </row>
    <row r="894" spans="1:5">
      <c r="A894">
        <f>HYPERLINK("http://www.twitter.com/NYPDnews/status/785159316504506368", "785159316504506368")</f>
        <v>0</v>
      </c>
      <c r="B894" s="2">
        <v>42652.6984143518</v>
      </c>
      <c r="C894">
        <v>0</v>
      </c>
      <c r="D894">
        <v>29</v>
      </c>
      <c r="E894" t="s">
        <v>891</v>
      </c>
    </row>
    <row r="895" spans="1:5">
      <c r="A895">
        <f>HYPERLINK("http://www.twitter.com/NYPDnews/status/785149155597574145", "785149155597574145")</f>
        <v>0</v>
      </c>
      <c r="B895" s="2">
        <v>42652.6703703704</v>
      </c>
      <c r="C895">
        <v>15</v>
      </c>
      <c r="D895">
        <v>8</v>
      </c>
      <c r="E895" t="s">
        <v>892</v>
      </c>
    </row>
    <row r="896" spans="1:5">
      <c r="A896">
        <f>HYPERLINK("http://www.twitter.com/NYPDnews/status/785132178380361730", "785132178380361730")</f>
        <v>0</v>
      </c>
      <c r="B896" s="2">
        <v>42652.6235300926</v>
      </c>
      <c r="C896">
        <v>103</v>
      </c>
      <c r="D896">
        <v>51</v>
      </c>
      <c r="E896" t="s">
        <v>893</v>
      </c>
    </row>
    <row r="897" spans="1:5">
      <c r="A897">
        <f>HYPERLINK("http://www.twitter.com/NYPDnews/status/785126465968930816", "785126465968930816")</f>
        <v>0</v>
      </c>
      <c r="B897" s="2">
        <v>42652.6077662037</v>
      </c>
      <c r="C897">
        <v>36</v>
      </c>
      <c r="D897">
        <v>26</v>
      </c>
      <c r="E897" t="s">
        <v>894</v>
      </c>
    </row>
    <row r="898" spans="1:5">
      <c r="A898">
        <f>HYPERLINK("http://www.twitter.com/NYPDnews/status/785101295233470465", "785101295233470465")</f>
        <v>0</v>
      </c>
      <c r="B898" s="2">
        <v>42652.5382986111</v>
      </c>
      <c r="C898">
        <v>14</v>
      </c>
      <c r="D898">
        <v>31</v>
      </c>
      <c r="E898" t="s">
        <v>895</v>
      </c>
    </row>
    <row r="899" spans="1:5">
      <c r="A899">
        <f>HYPERLINK("http://www.twitter.com/NYPDnews/status/785087648641720320", "785087648641720320")</f>
        <v>0</v>
      </c>
      <c r="B899" s="2">
        <v>42652.5006481481</v>
      </c>
      <c r="C899">
        <v>14</v>
      </c>
      <c r="D899">
        <v>12</v>
      </c>
      <c r="E899" t="s">
        <v>896</v>
      </c>
    </row>
    <row r="900" spans="1:5">
      <c r="A900">
        <f>HYPERLINK("http://www.twitter.com/NYPDnews/status/784913099786706944", "784913099786706944")</f>
        <v>0</v>
      </c>
      <c r="B900" s="2">
        <v>42652.0189814815</v>
      </c>
      <c r="C900">
        <v>509</v>
      </c>
      <c r="D900">
        <v>264</v>
      </c>
      <c r="E900" t="s">
        <v>897</v>
      </c>
    </row>
    <row r="901" spans="1:5">
      <c r="A901">
        <f>HYPERLINK("http://www.twitter.com/NYPDnews/status/784896211853664257", "784896211853664257")</f>
        <v>0</v>
      </c>
      <c r="B901" s="2">
        <v>42651.9723842593</v>
      </c>
      <c r="C901">
        <v>11</v>
      </c>
      <c r="D901">
        <v>4</v>
      </c>
      <c r="E901" t="s">
        <v>898</v>
      </c>
    </row>
    <row r="902" spans="1:5">
      <c r="A902">
        <f>HYPERLINK("http://www.twitter.com/NYPDnews/status/784884870489206784", "784884870489206784")</f>
        <v>0</v>
      </c>
      <c r="B902" s="2">
        <v>42651.941087963</v>
      </c>
      <c r="C902">
        <v>8</v>
      </c>
      <c r="D902">
        <v>6</v>
      </c>
      <c r="E902" t="s">
        <v>899</v>
      </c>
    </row>
    <row r="903" spans="1:5">
      <c r="A903">
        <f>HYPERLINK("http://www.twitter.com/NYPDnews/status/784862236548423680", "784862236548423680")</f>
        <v>0</v>
      </c>
      <c r="B903" s="2">
        <v>42651.8786226852</v>
      </c>
      <c r="C903">
        <v>24</v>
      </c>
      <c r="D903">
        <v>13</v>
      </c>
      <c r="E903" t="s">
        <v>900</v>
      </c>
    </row>
    <row r="904" spans="1:5">
      <c r="A904">
        <f>HYPERLINK("http://www.twitter.com/NYPDnews/status/784835835900391424", "784835835900391424")</f>
        <v>0</v>
      </c>
      <c r="B904" s="2">
        <v>42651.805775463</v>
      </c>
      <c r="C904">
        <v>37</v>
      </c>
      <c r="D904">
        <v>21</v>
      </c>
      <c r="E904" t="s">
        <v>901</v>
      </c>
    </row>
    <row r="905" spans="1:5">
      <c r="A905">
        <f>HYPERLINK("http://www.twitter.com/NYPDnews/status/784811935162400768", "784811935162400768")</f>
        <v>0</v>
      </c>
      <c r="B905" s="2">
        <v>42651.7398263889</v>
      </c>
      <c r="C905">
        <v>58</v>
      </c>
      <c r="D905">
        <v>37</v>
      </c>
      <c r="E905" t="s">
        <v>902</v>
      </c>
    </row>
    <row r="906" spans="1:5">
      <c r="A906">
        <f>HYPERLINK("http://www.twitter.com/NYPDnews/status/784786778834235392", "784786778834235392")</f>
        <v>0</v>
      </c>
      <c r="B906" s="2">
        <v>42651.6704050926</v>
      </c>
      <c r="C906">
        <v>72</v>
      </c>
      <c r="D906">
        <v>22</v>
      </c>
      <c r="E906" t="s">
        <v>903</v>
      </c>
    </row>
    <row r="907" spans="1:5">
      <c r="A907">
        <f>HYPERLINK("http://www.twitter.com/NYPDnews/status/784755735884361728", "784755735884361728")</f>
        <v>0</v>
      </c>
      <c r="B907" s="2">
        <v>42651.5847453704</v>
      </c>
      <c r="C907">
        <v>76</v>
      </c>
      <c r="D907">
        <v>22</v>
      </c>
      <c r="E907" t="s">
        <v>904</v>
      </c>
    </row>
    <row r="908" spans="1:5">
      <c r="A908">
        <f>HYPERLINK("http://www.twitter.com/NYPDnews/status/784747724671516673", "784747724671516673")</f>
        <v>0</v>
      </c>
      <c r="B908" s="2">
        <v>42651.5626388889</v>
      </c>
      <c r="C908">
        <v>67</v>
      </c>
      <c r="D908">
        <v>14</v>
      </c>
      <c r="E908" t="s">
        <v>905</v>
      </c>
    </row>
    <row r="909" spans="1:5">
      <c r="A909">
        <f>HYPERLINK("http://www.twitter.com/NYPDnews/status/784733126950084612", "784733126950084612")</f>
        <v>0</v>
      </c>
      <c r="B909" s="2">
        <v>42651.522349537</v>
      </c>
      <c r="C909">
        <v>19</v>
      </c>
      <c r="D909">
        <v>55</v>
      </c>
      <c r="E909" t="s">
        <v>906</v>
      </c>
    </row>
    <row r="910" spans="1:5">
      <c r="A910">
        <f>HYPERLINK("http://www.twitter.com/NYPDnews/status/784728869442027520", "784728869442027520")</f>
        <v>0</v>
      </c>
      <c r="B910" s="2">
        <v>42651.5106018518</v>
      </c>
      <c r="C910">
        <v>11</v>
      </c>
      <c r="D910">
        <v>9</v>
      </c>
      <c r="E910" t="s">
        <v>907</v>
      </c>
    </row>
    <row r="911" spans="1:5">
      <c r="A911">
        <f>HYPERLINK("http://www.twitter.com/NYPDnews/status/784550141122543616", "784550141122543616")</f>
        <v>0</v>
      </c>
      <c r="B911" s="2">
        <v>42651.0174074074</v>
      </c>
      <c r="C911">
        <v>17</v>
      </c>
      <c r="D911">
        <v>33</v>
      </c>
      <c r="E911" t="s">
        <v>895</v>
      </c>
    </row>
    <row r="912" spans="1:5">
      <c r="A912">
        <f>HYPERLINK("http://www.twitter.com/NYPDnews/status/784537577529413632", "784537577529413632")</f>
        <v>0</v>
      </c>
      <c r="B912" s="2">
        <v>42650.9827430556</v>
      </c>
      <c r="C912">
        <v>170</v>
      </c>
      <c r="D912">
        <v>85</v>
      </c>
      <c r="E912" t="s">
        <v>908</v>
      </c>
    </row>
    <row r="913" spans="1:5">
      <c r="A913">
        <f>HYPERLINK("http://www.twitter.com/NYPDnews/status/784514966422446080", "784514966422446080")</f>
        <v>0</v>
      </c>
      <c r="B913" s="2">
        <v>42650.9203472222</v>
      </c>
      <c r="C913">
        <v>30</v>
      </c>
      <c r="D913">
        <v>11</v>
      </c>
      <c r="E913" t="s">
        <v>909</v>
      </c>
    </row>
    <row r="914" spans="1:5">
      <c r="A914">
        <f>HYPERLINK("http://www.twitter.com/NYPDnews/status/784507391828234240", "784507391828234240")</f>
        <v>0</v>
      </c>
      <c r="B914" s="2">
        <v>42650.8994444444</v>
      </c>
      <c r="C914">
        <v>37</v>
      </c>
      <c r="D914">
        <v>26</v>
      </c>
      <c r="E914" t="s">
        <v>894</v>
      </c>
    </row>
    <row r="915" spans="1:5">
      <c r="A915">
        <f>HYPERLINK("http://www.twitter.com/NYPDnews/status/784491139801968640", "784491139801968640")</f>
        <v>0</v>
      </c>
      <c r="B915" s="2">
        <v>42650.8545949074</v>
      </c>
      <c r="C915">
        <v>32</v>
      </c>
      <c r="D915">
        <v>17</v>
      </c>
      <c r="E915" t="s">
        <v>910</v>
      </c>
    </row>
    <row r="916" spans="1:5">
      <c r="A916">
        <f>HYPERLINK("http://www.twitter.com/NYPDnews/status/784473406255267841", "784473406255267841")</f>
        <v>0</v>
      </c>
      <c r="B916" s="2">
        <v>42650.8056597222</v>
      </c>
      <c r="C916">
        <v>3</v>
      </c>
      <c r="D916">
        <v>7</v>
      </c>
      <c r="E916" t="s">
        <v>892</v>
      </c>
    </row>
    <row r="917" spans="1:5">
      <c r="A917">
        <f>HYPERLINK("http://www.twitter.com/NYPDnews/status/784456124451913728", "784456124451913728")</f>
        <v>0</v>
      </c>
      <c r="B917" s="2">
        <v>42650.757974537</v>
      </c>
      <c r="C917">
        <v>100</v>
      </c>
      <c r="D917">
        <v>22</v>
      </c>
      <c r="E917" t="s">
        <v>911</v>
      </c>
    </row>
    <row r="918" spans="1:5">
      <c r="A918">
        <f>HYPERLINK("http://www.twitter.com/NYPDnews/status/784443256096583680", "784443256096583680")</f>
        <v>0</v>
      </c>
      <c r="B918" s="2">
        <v>42650.7224652778</v>
      </c>
      <c r="C918">
        <v>15</v>
      </c>
      <c r="D918">
        <v>8</v>
      </c>
      <c r="E918" t="s">
        <v>912</v>
      </c>
    </row>
    <row r="919" spans="1:5">
      <c r="A919">
        <f>HYPERLINK("http://www.twitter.com/NYPDnews/status/784435712187916288", "784435712187916288")</f>
        <v>0</v>
      </c>
      <c r="B919" s="2">
        <v>42650.7016435185</v>
      </c>
      <c r="C919">
        <v>9</v>
      </c>
      <c r="D919">
        <v>5</v>
      </c>
      <c r="E919" t="s">
        <v>899</v>
      </c>
    </row>
    <row r="920" spans="1:5">
      <c r="A920">
        <f>HYPERLINK("http://www.twitter.com/NYPDnews/status/784424501459218433", "784424501459218433")</f>
        <v>0</v>
      </c>
      <c r="B920" s="2">
        <v>42650.6707060185</v>
      </c>
      <c r="C920">
        <v>15</v>
      </c>
      <c r="D920">
        <v>6</v>
      </c>
      <c r="E920" t="s">
        <v>913</v>
      </c>
    </row>
    <row r="921" spans="1:5">
      <c r="A921">
        <f>HYPERLINK("http://www.twitter.com/NYPDnews/status/784395562720325632", "784395562720325632")</f>
        <v>0</v>
      </c>
      <c r="B921" s="2">
        <v>42650.5908564815</v>
      </c>
      <c r="C921">
        <v>0</v>
      </c>
      <c r="D921">
        <v>23</v>
      </c>
      <c r="E921" t="s">
        <v>914</v>
      </c>
    </row>
    <row r="922" spans="1:5">
      <c r="A922">
        <f>HYPERLINK("http://www.twitter.com/NYPDnews/status/784389824815988736", "784389824815988736")</f>
        <v>0</v>
      </c>
      <c r="B922" s="2">
        <v>42650.5750231482</v>
      </c>
      <c r="C922">
        <v>0</v>
      </c>
      <c r="D922">
        <v>76</v>
      </c>
      <c r="E922" t="s">
        <v>915</v>
      </c>
    </row>
    <row r="923" spans="1:5">
      <c r="A923">
        <f>HYPERLINK("http://www.twitter.com/NYPDnews/status/784374036738535425", "784374036738535425")</f>
        <v>0</v>
      </c>
      <c r="B923" s="2">
        <v>42650.5314467593</v>
      </c>
      <c r="C923">
        <v>49</v>
      </c>
      <c r="D923">
        <v>37</v>
      </c>
      <c r="E923" t="s">
        <v>916</v>
      </c>
    </row>
    <row r="924" spans="1:5">
      <c r="A924">
        <f>HYPERLINK("http://www.twitter.com/NYPDnews/status/784370304525238277", "784370304525238277")</f>
        <v>0</v>
      </c>
      <c r="B924" s="2">
        <v>42650.5211574074</v>
      </c>
      <c r="C924">
        <v>10</v>
      </c>
      <c r="D924">
        <v>52</v>
      </c>
      <c r="E924" t="s">
        <v>917</v>
      </c>
    </row>
    <row r="925" spans="1:5">
      <c r="A925">
        <f>HYPERLINK("http://www.twitter.com/NYPDnews/status/784366462349762560", "784366462349762560")</f>
        <v>0</v>
      </c>
      <c r="B925" s="2">
        <v>42650.5105555556</v>
      </c>
      <c r="C925">
        <v>22</v>
      </c>
      <c r="D925">
        <v>10</v>
      </c>
      <c r="E925" t="s">
        <v>918</v>
      </c>
    </row>
    <row r="926" spans="1:5">
      <c r="A926">
        <f>HYPERLINK("http://www.twitter.com/NYPDnews/status/784362810365140992", "784362810365140992")</f>
        <v>0</v>
      </c>
      <c r="B926" s="2">
        <v>42650.500474537</v>
      </c>
      <c r="C926">
        <v>14</v>
      </c>
      <c r="D926">
        <v>56</v>
      </c>
      <c r="E926" t="s">
        <v>919</v>
      </c>
    </row>
    <row r="927" spans="1:5">
      <c r="A927">
        <f>HYPERLINK("http://www.twitter.com/NYPDnews/status/784358947096526848", "784358947096526848")</f>
        <v>0</v>
      </c>
      <c r="B927" s="2">
        <v>42650.4898148148</v>
      </c>
      <c r="C927">
        <v>260</v>
      </c>
      <c r="D927">
        <v>118</v>
      </c>
      <c r="E927" t="s">
        <v>920</v>
      </c>
    </row>
    <row r="928" spans="1:5">
      <c r="A928">
        <f>HYPERLINK("http://www.twitter.com/NYPDnews/status/784224696137093120", "784224696137093120")</f>
        <v>0</v>
      </c>
      <c r="B928" s="2">
        <v>42650.1193518518</v>
      </c>
      <c r="C928">
        <v>179</v>
      </c>
      <c r="D928">
        <v>81</v>
      </c>
      <c r="E928" t="s">
        <v>921</v>
      </c>
    </row>
    <row r="929" spans="1:5">
      <c r="A929">
        <f>HYPERLINK("http://www.twitter.com/NYPDnews/status/784211531437400064", "784211531437400064")</f>
        <v>0</v>
      </c>
      <c r="B929" s="2">
        <v>42650.0830208333</v>
      </c>
      <c r="C929">
        <v>0</v>
      </c>
      <c r="D929">
        <v>38</v>
      </c>
      <c r="E929" t="s">
        <v>922</v>
      </c>
    </row>
    <row r="930" spans="1:5">
      <c r="A930">
        <f>HYPERLINK("http://www.twitter.com/NYPDnews/status/784186575357902851", "784186575357902851")</f>
        <v>0</v>
      </c>
      <c r="B930" s="2">
        <v>42650.0141550926</v>
      </c>
      <c r="C930">
        <v>76</v>
      </c>
      <c r="D930">
        <v>37</v>
      </c>
      <c r="E930" t="s">
        <v>923</v>
      </c>
    </row>
    <row r="931" spans="1:5">
      <c r="A931">
        <f>HYPERLINK("http://www.twitter.com/NYPDnews/status/784177792602763264", "784177792602763264")</f>
        <v>0</v>
      </c>
      <c r="B931" s="2">
        <v>42649.9899189815</v>
      </c>
      <c r="C931">
        <v>32</v>
      </c>
      <c r="D931">
        <v>14</v>
      </c>
      <c r="E931" t="s">
        <v>924</v>
      </c>
    </row>
    <row r="932" spans="1:5">
      <c r="A932">
        <f>HYPERLINK("http://www.twitter.com/NYPDnews/status/784167696279695360", "784167696279695360")</f>
        <v>0</v>
      </c>
      <c r="B932" s="2">
        <v>42649.9620601852</v>
      </c>
      <c r="C932">
        <v>70</v>
      </c>
      <c r="D932">
        <v>17</v>
      </c>
      <c r="E932" t="s">
        <v>925</v>
      </c>
    </row>
    <row r="933" spans="1:5">
      <c r="A933">
        <f>HYPERLINK("http://www.twitter.com/NYPDnews/status/784155092178132993", "784155092178132993")</f>
        <v>0</v>
      </c>
      <c r="B933" s="2">
        <v>42649.9272800926</v>
      </c>
      <c r="C933">
        <v>26</v>
      </c>
      <c r="D933">
        <v>60</v>
      </c>
      <c r="E933" t="s">
        <v>926</v>
      </c>
    </row>
    <row r="934" spans="1:5">
      <c r="A934">
        <f>HYPERLINK("http://www.twitter.com/NYPDnews/status/784137473488289793", "784137473488289793")</f>
        <v>0</v>
      </c>
      <c r="B934" s="2">
        <v>42649.8786574074</v>
      </c>
      <c r="C934">
        <v>9</v>
      </c>
      <c r="D934">
        <v>30</v>
      </c>
      <c r="E934" t="s">
        <v>927</v>
      </c>
    </row>
    <row r="935" spans="1:5">
      <c r="A935">
        <f>HYPERLINK("http://www.twitter.com/NYPDnews/status/784124920427151360", "784124920427151360")</f>
        <v>0</v>
      </c>
      <c r="B935" s="2">
        <v>42649.8440277778</v>
      </c>
      <c r="C935">
        <v>7</v>
      </c>
      <c r="D935">
        <v>37</v>
      </c>
      <c r="E935" t="s">
        <v>928</v>
      </c>
    </row>
    <row r="936" spans="1:5">
      <c r="A936">
        <f>HYPERLINK("http://www.twitter.com/NYPDnews/status/784102221172662272", "784102221172662272")</f>
        <v>0</v>
      </c>
      <c r="B936" s="2">
        <v>42649.7813888889</v>
      </c>
      <c r="C936">
        <v>47</v>
      </c>
      <c r="D936">
        <v>17</v>
      </c>
      <c r="E936" t="s">
        <v>929</v>
      </c>
    </row>
    <row r="937" spans="1:5">
      <c r="A937">
        <f>HYPERLINK("http://www.twitter.com/NYPDnews/status/784083593232519168", "784083593232519168")</f>
        <v>0</v>
      </c>
      <c r="B937" s="2">
        <v>42649.7299768518</v>
      </c>
      <c r="C937">
        <v>19</v>
      </c>
      <c r="D937">
        <v>34</v>
      </c>
      <c r="E937" t="s">
        <v>930</v>
      </c>
    </row>
    <row r="938" spans="1:5">
      <c r="A938">
        <f>HYPERLINK("http://www.twitter.com/NYPDnews/status/784073319813382146", "784073319813382146")</f>
        <v>0</v>
      </c>
      <c r="B938" s="2">
        <v>42649.7016319444</v>
      </c>
      <c r="C938">
        <v>19</v>
      </c>
      <c r="D938">
        <v>11</v>
      </c>
      <c r="E938" t="s">
        <v>931</v>
      </c>
    </row>
    <row r="939" spans="1:5">
      <c r="A939">
        <f>HYPERLINK("http://www.twitter.com/NYPDnews/status/784031228634755072", "784031228634755072")</f>
        <v>0</v>
      </c>
      <c r="B939" s="2">
        <v>42649.5854861111</v>
      </c>
      <c r="C939">
        <v>0</v>
      </c>
      <c r="D939">
        <v>25</v>
      </c>
      <c r="E939" t="s">
        <v>932</v>
      </c>
    </row>
    <row r="940" spans="1:5">
      <c r="A940">
        <f>HYPERLINK("http://www.twitter.com/NYPDnews/status/784015765464899584", "784015765464899584")</f>
        <v>0</v>
      </c>
      <c r="B940" s="2">
        <v>42649.5428125</v>
      </c>
      <c r="C940">
        <v>176</v>
      </c>
      <c r="D940">
        <v>92</v>
      </c>
      <c r="E940" t="s">
        <v>933</v>
      </c>
    </row>
    <row r="941" spans="1:5">
      <c r="A941">
        <f>HYPERLINK("http://www.twitter.com/NYPDnews/status/784011677822058496", "784011677822058496")</f>
        <v>0</v>
      </c>
      <c r="B941" s="2">
        <v>42649.5315277778</v>
      </c>
      <c r="C941">
        <v>19</v>
      </c>
      <c r="D941">
        <v>7</v>
      </c>
      <c r="E941" t="s">
        <v>934</v>
      </c>
    </row>
    <row r="942" spans="1:5">
      <c r="A942">
        <f>HYPERLINK("http://www.twitter.com/NYPDnews/status/784007925115289604", "784007925115289604")</f>
        <v>0</v>
      </c>
      <c r="B942" s="2">
        <v>42649.5211805556</v>
      </c>
      <c r="C942">
        <v>59</v>
      </c>
      <c r="D942">
        <v>23</v>
      </c>
      <c r="E942" t="s">
        <v>935</v>
      </c>
    </row>
    <row r="943" spans="1:5">
      <c r="A943">
        <f>HYPERLINK("http://www.twitter.com/NYPDnews/status/784004081614553088", "784004081614553088")</f>
        <v>0</v>
      </c>
      <c r="B943" s="2">
        <v>42649.5105671296</v>
      </c>
      <c r="C943">
        <v>20</v>
      </c>
      <c r="D943">
        <v>81</v>
      </c>
      <c r="E943" t="s">
        <v>936</v>
      </c>
    </row>
    <row r="944" spans="1:5">
      <c r="A944">
        <f>HYPERLINK("http://www.twitter.com/NYPDnews/status/784000720773193728", "784000720773193728")</f>
        <v>0</v>
      </c>
      <c r="B944" s="2">
        <v>42649.5012962963</v>
      </c>
      <c r="C944">
        <v>25</v>
      </c>
      <c r="D944">
        <v>10</v>
      </c>
      <c r="E944" t="s">
        <v>937</v>
      </c>
    </row>
    <row r="945" spans="1:5">
      <c r="A945">
        <f>HYPERLINK("http://www.twitter.com/NYPDnews/status/783836728515760128", "783836728515760128")</f>
        <v>0</v>
      </c>
      <c r="B945" s="2">
        <v>42649.0487615741</v>
      </c>
      <c r="C945">
        <v>25</v>
      </c>
      <c r="D945">
        <v>22</v>
      </c>
      <c r="E945" t="s">
        <v>938</v>
      </c>
    </row>
    <row r="946" spans="1:5">
      <c r="A946">
        <f>HYPERLINK("http://www.twitter.com/NYPDnews/status/783824170278936576", "783824170278936576")</f>
        <v>0</v>
      </c>
      <c r="B946" s="2">
        <v>42649.0141087963</v>
      </c>
      <c r="C946">
        <v>80</v>
      </c>
      <c r="D946">
        <v>19</v>
      </c>
      <c r="E946" t="s">
        <v>939</v>
      </c>
    </row>
    <row r="947" spans="1:5">
      <c r="A947">
        <f>HYPERLINK("http://www.twitter.com/NYPDnews/status/783815319978643456", "783815319978643456")</f>
        <v>0</v>
      </c>
      <c r="B947" s="2">
        <v>42648.9896875</v>
      </c>
      <c r="C947">
        <v>72</v>
      </c>
      <c r="D947">
        <v>29</v>
      </c>
      <c r="E947" t="s">
        <v>940</v>
      </c>
    </row>
    <row r="948" spans="1:5">
      <c r="A948">
        <f>HYPERLINK("http://www.twitter.com/NYPDnews/status/783807815257292800", "783807815257292800")</f>
        <v>0</v>
      </c>
      <c r="B948" s="2">
        <v>42648.9689814815</v>
      </c>
      <c r="C948">
        <v>28</v>
      </c>
      <c r="D948">
        <v>21</v>
      </c>
      <c r="E948" t="s">
        <v>941</v>
      </c>
    </row>
    <row r="949" spans="1:5">
      <c r="A949">
        <f>HYPERLINK("http://www.twitter.com/NYPDnews/status/783800228642258944", "783800228642258944")</f>
        <v>0</v>
      </c>
      <c r="B949" s="2">
        <v>42648.9480439815</v>
      </c>
      <c r="C949">
        <v>21</v>
      </c>
      <c r="D949">
        <v>17</v>
      </c>
      <c r="E949" t="s">
        <v>942</v>
      </c>
    </row>
    <row r="950" spans="1:5">
      <c r="A950">
        <f>HYPERLINK("http://www.twitter.com/NYPDnews/status/783788461090283520", "783788461090283520")</f>
        <v>0</v>
      </c>
      <c r="B950" s="2">
        <v>42648.9155671296</v>
      </c>
      <c r="C950">
        <v>160</v>
      </c>
      <c r="D950">
        <v>41</v>
      </c>
      <c r="E950" t="s">
        <v>943</v>
      </c>
    </row>
    <row r="951" spans="1:5">
      <c r="A951">
        <f>HYPERLINK("http://www.twitter.com/NYPDnews/status/783778862828228608", "783778862828228608")</f>
        <v>0</v>
      </c>
      <c r="B951" s="2">
        <v>42648.8890856481</v>
      </c>
      <c r="C951">
        <v>17</v>
      </c>
      <c r="D951">
        <v>29</v>
      </c>
      <c r="E951" t="s">
        <v>944</v>
      </c>
    </row>
    <row r="952" spans="1:5">
      <c r="A952">
        <f>HYPERLINK("http://www.twitter.com/NYPDnews/status/783718483985100800", "783718483985100800")</f>
        <v>0</v>
      </c>
      <c r="B952" s="2">
        <v>42648.7224768518</v>
      </c>
      <c r="C952">
        <v>55</v>
      </c>
      <c r="D952">
        <v>20</v>
      </c>
      <c r="E952" t="s">
        <v>945</v>
      </c>
    </row>
    <row r="953" spans="1:5">
      <c r="A953">
        <f>HYPERLINK("http://www.twitter.com/NYPDnews/status/783702343439228928", "783702343439228928")</f>
        <v>0</v>
      </c>
      <c r="B953" s="2">
        <v>42648.6779282407</v>
      </c>
      <c r="C953">
        <v>61</v>
      </c>
      <c r="D953">
        <v>43</v>
      </c>
      <c r="E953" t="s">
        <v>946</v>
      </c>
    </row>
    <row r="954" spans="1:5">
      <c r="A954">
        <f>HYPERLINK("http://www.twitter.com/NYPDnews/status/783649300014399489", "783649300014399489")</f>
        <v>0</v>
      </c>
      <c r="B954" s="2">
        <v>42648.5315625</v>
      </c>
      <c r="C954">
        <v>56</v>
      </c>
      <c r="D954">
        <v>22</v>
      </c>
      <c r="E954" t="s">
        <v>947</v>
      </c>
    </row>
    <row r="955" spans="1:5">
      <c r="A955">
        <f>HYPERLINK("http://www.twitter.com/NYPDnews/status/783645522552823808", "783645522552823808")</f>
        <v>0</v>
      </c>
      <c r="B955" s="2">
        <v>42648.5211342593</v>
      </c>
      <c r="C955">
        <v>25</v>
      </c>
      <c r="D955">
        <v>12</v>
      </c>
      <c r="E955" t="s">
        <v>948</v>
      </c>
    </row>
    <row r="956" spans="1:5">
      <c r="A956">
        <f>HYPERLINK("http://www.twitter.com/NYPDnews/status/783641730822332420", "783641730822332420")</f>
        <v>0</v>
      </c>
      <c r="B956" s="2">
        <v>42648.5106712963</v>
      </c>
      <c r="C956">
        <v>32</v>
      </c>
      <c r="D956">
        <v>7</v>
      </c>
      <c r="E956" t="s">
        <v>949</v>
      </c>
    </row>
    <row r="957" spans="1:5">
      <c r="A957">
        <f>HYPERLINK("http://www.twitter.com/NYPDnews/status/783637874184945664", "783637874184945664")</f>
        <v>0</v>
      </c>
      <c r="B957" s="2">
        <v>42648.5000347222</v>
      </c>
      <c r="C957">
        <v>19</v>
      </c>
      <c r="D957">
        <v>56</v>
      </c>
      <c r="E957" t="s">
        <v>950</v>
      </c>
    </row>
    <row r="958" spans="1:5">
      <c r="A958">
        <f>HYPERLINK("http://www.twitter.com/NYPDnews/status/783473075929088004", "783473075929088004")</f>
        <v>0</v>
      </c>
      <c r="B958" s="2">
        <v>42648.0452777778</v>
      </c>
      <c r="C958">
        <v>96</v>
      </c>
      <c r="D958">
        <v>37</v>
      </c>
      <c r="E958" t="s">
        <v>951</v>
      </c>
    </row>
    <row r="959" spans="1:5">
      <c r="A959">
        <f>HYPERLINK("http://www.twitter.com/NYPDnews/status/783465499057324032", "783465499057324032")</f>
        <v>0</v>
      </c>
      <c r="B959" s="2">
        <v>42648.0243634259</v>
      </c>
      <c r="C959">
        <v>63</v>
      </c>
      <c r="D959">
        <v>26</v>
      </c>
      <c r="E959" t="s">
        <v>952</v>
      </c>
    </row>
    <row r="960" spans="1:5">
      <c r="A960">
        <f>HYPERLINK("http://www.twitter.com/NYPDnews/status/783460513032404992", "783460513032404992")</f>
        <v>0</v>
      </c>
      <c r="B960" s="2">
        <v>42648.0106018518</v>
      </c>
      <c r="C960">
        <v>39</v>
      </c>
      <c r="D960">
        <v>19</v>
      </c>
      <c r="E960" t="s">
        <v>953</v>
      </c>
    </row>
    <row r="961" spans="1:5">
      <c r="A961">
        <f>HYPERLINK("http://www.twitter.com/NYPDnews/status/783453134882541568", "783453134882541568")</f>
        <v>0</v>
      </c>
      <c r="B961" s="2">
        <v>42647.9902430556</v>
      </c>
      <c r="C961">
        <v>0</v>
      </c>
      <c r="D961">
        <v>51</v>
      </c>
      <c r="E961" t="s">
        <v>954</v>
      </c>
    </row>
    <row r="962" spans="1:5">
      <c r="A962">
        <f>HYPERLINK("http://www.twitter.com/NYPDnews/status/783444154533736448", "783444154533736448")</f>
        <v>0</v>
      </c>
      <c r="B962" s="2">
        <v>42647.965462963</v>
      </c>
      <c r="C962">
        <v>39</v>
      </c>
      <c r="D962">
        <v>49</v>
      </c>
      <c r="E962" t="s">
        <v>955</v>
      </c>
    </row>
    <row r="963" spans="1:5">
      <c r="A963">
        <f>HYPERLINK("http://www.twitter.com/NYPDnews/status/783427814540410881", "783427814540410881")</f>
        <v>0</v>
      </c>
      <c r="B963" s="2">
        <v>42647.9203819444</v>
      </c>
      <c r="C963">
        <v>10</v>
      </c>
      <c r="D963">
        <v>9</v>
      </c>
      <c r="E963" t="s">
        <v>956</v>
      </c>
    </row>
    <row r="964" spans="1:5">
      <c r="A964">
        <f>HYPERLINK("http://www.twitter.com/NYPDnews/status/783415281037275140", "783415281037275140")</f>
        <v>0</v>
      </c>
      <c r="B964" s="2">
        <v>42647.885787037</v>
      </c>
      <c r="C964">
        <v>36</v>
      </c>
      <c r="D964">
        <v>8</v>
      </c>
      <c r="E964" t="s">
        <v>957</v>
      </c>
    </row>
    <row r="965" spans="1:5">
      <c r="A965">
        <f>HYPERLINK("http://www.twitter.com/NYPDnews/status/783404082111377409", "783404082111377409")</f>
        <v>0</v>
      </c>
      <c r="B965" s="2">
        <v>42647.8548842593</v>
      </c>
      <c r="C965">
        <v>36</v>
      </c>
      <c r="D965">
        <v>23</v>
      </c>
      <c r="E965" t="s">
        <v>958</v>
      </c>
    </row>
    <row r="966" spans="1:5">
      <c r="A966">
        <f>HYPERLINK("http://www.twitter.com/NYPDnews/status/783382517021835265", "783382517021835265")</f>
        <v>0</v>
      </c>
      <c r="B966" s="2">
        <v>42647.7953819444</v>
      </c>
      <c r="C966">
        <v>13</v>
      </c>
      <c r="D966">
        <v>22</v>
      </c>
      <c r="E966" t="s">
        <v>959</v>
      </c>
    </row>
    <row r="967" spans="1:5">
      <c r="A967">
        <f>HYPERLINK("http://www.twitter.com/NYPDnews/status/783367411621892096", "783367411621892096")</f>
        <v>0</v>
      </c>
      <c r="B967" s="2">
        <v>42647.7536921296</v>
      </c>
      <c r="C967">
        <v>28</v>
      </c>
      <c r="D967">
        <v>29</v>
      </c>
      <c r="E967" t="s">
        <v>960</v>
      </c>
    </row>
    <row r="968" spans="1:5">
      <c r="A968">
        <f>HYPERLINK("http://www.twitter.com/NYPDnews/status/783352332385939457", "783352332385939457")</f>
        <v>0</v>
      </c>
      <c r="B968" s="2">
        <v>42647.7120833333</v>
      </c>
      <c r="C968">
        <v>12</v>
      </c>
      <c r="D968">
        <v>10</v>
      </c>
      <c r="E968" t="s">
        <v>961</v>
      </c>
    </row>
    <row r="969" spans="1:5">
      <c r="A969">
        <f>HYPERLINK("http://www.twitter.com/NYPDnews/status/783343621819011074", "783343621819011074")</f>
        <v>0</v>
      </c>
      <c r="B969" s="2">
        <v>42647.6880439815</v>
      </c>
      <c r="C969">
        <v>139</v>
      </c>
      <c r="D969">
        <v>98</v>
      </c>
      <c r="E969" t="s">
        <v>962</v>
      </c>
    </row>
    <row r="970" spans="1:5">
      <c r="A970">
        <f>HYPERLINK("http://www.twitter.com/NYPDnews/status/783295677598171136", "783295677598171136")</f>
        <v>0</v>
      </c>
      <c r="B970" s="2">
        <v>42647.5557523148</v>
      </c>
      <c r="C970">
        <v>0</v>
      </c>
      <c r="D970">
        <v>10</v>
      </c>
      <c r="E970" t="s">
        <v>963</v>
      </c>
    </row>
    <row r="971" spans="1:5">
      <c r="A971">
        <f>HYPERLINK("http://www.twitter.com/NYPDnews/status/783286872940408832", "783286872940408832")</f>
        <v>0</v>
      </c>
      <c r="B971" s="2">
        <v>42647.5314467593</v>
      </c>
      <c r="C971">
        <v>20</v>
      </c>
      <c r="D971">
        <v>11</v>
      </c>
      <c r="E971" t="s">
        <v>964</v>
      </c>
    </row>
    <row r="972" spans="1:5">
      <c r="A972">
        <f>HYPERLINK("http://www.twitter.com/NYPDnews/status/783283316418023428", "783283316418023428")</f>
        <v>0</v>
      </c>
      <c r="B972" s="2">
        <v>42647.5216319444</v>
      </c>
      <c r="C972">
        <v>69</v>
      </c>
      <c r="D972">
        <v>28</v>
      </c>
      <c r="E972" t="s">
        <v>965</v>
      </c>
    </row>
    <row r="973" spans="1:5">
      <c r="A973">
        <f>HYPERLINK("http://www.twitter.com/NYPDnews/status/783279563417722881", "783279563417722881")</f>
        <v>0</v>
      </c>
      <c r="B973" s="2">
        <v>42647.5112847222</v>
      </c>
      <c r="C973">
        <v>0</v>
      </c>
      <c r="D973">
        <v>39</v>
      </c>
      <c r="E973" t="s">
        <v>966</v>
      </c>
    </row>
    <row r="974" spans="1:5">
      <c r="A974">
        <f>HYPERLINK("http://www.twitter.com/NYPDnews/status/783275621451464705", "783275621451464705")</f>
        <v>0</v>
      </c>
      <c r="B974" s="2">
        <v>42647.5004050926</v>
      </c>
      <c r="C974">
        <v>135</v>
      </c>
      <c r="D974">
        <v>43</v>
      </c>
      <c r="E974" t="s">
        <v>967</v>
      </c>
    </row>
    <row r="975" spans="1:5">
      <c r="A975">
        <f>HYPERLINK("http://www.twitter.com/NYPDnews/status/783101999827017730", "783101999827017730")</f>
        <v>0</v>
      </c>
      <c r="B975" s="2">
        <v>42647.0212962963</v>
      </c>
      <c r="C975">
        <v>25</v>
      </c>
      <c r="D975">
        <v>11</v>
      </c>
      <c r="E975" t="s">
        <v>968</v>
      </c>
    </row>
    <row r="976" spans="1:5">
      <c r="A976">
        <f>HYPERLINK("http://www.twitter.com/NYPDnews/status/783095611004444673", "783095611004444673")</f>
        <v>0</v>
      </c>
      <c r="B976" s="2">
        <v>42647.0036689815</v>
      </c>
      <c r="C976">
        <v>32</v>
      </c>
      <c r="D976">
        <v>20</v>
      </c>
      <c r="E976" t="s">
        <v>969</v>
      </c>
    </row>
    <row r="977" spans="1:5">
      <c r="A977">
        <f>HYPERLINK("http://www.twitter.com/NYPDnews/status/783086922415632384", "783086922415632384")</f>
        <v>0</v>
      </c>
      <c r="B977" s="2">
        <v>42646.9796990741</v>
      </c>
      <c r="C977">
        <v>37</v>
      </c>
      <c r="D977">
        <v>38</v>
      </c>
      <c r="E977" t="s">
        <v>960</v>
      </c>
    </row>
    <row r="978" spans="1:5">
      <c r="A978">
        <f>HYPERLINK("http://www.twitter.com/NYPDnews/status/783075482585694209", "783075482585694209")</f>
        <v>0</v>
      </c>
      <c r="B978" s="2">
        <v>42646.948125</v>
      </c>
      <c r="C978">
        <v>35</v>
      </c>
      <c r="D978">
        <v>19</v>
      </c>
      <c r="E978" t="s">
        <v>970</v>
      </c>
    </row>
    <row r="979" spans="1:5">
      <c r="A979">
        <f>HYPERLINK("http://www.twitter.com/NYPDnews/status/783064427029553152", "783064427029553152")</f>
        <v>0</v>
      </c>
      <c r="B979" s="2">
        <v>42646.9176157407</v>
      </c>
      <c r="C979">
        <v>45</v>
      </c>
      <c r="D979">
        <v>15</v>
      </c>
      <c r="E979" t="s">
        <v>971</v>
      </c>
    </row>
    <row r="980" spans="1:5">
      <c r="A980">
        <f>HYPERLINK("http://www.twitter.com/NYPDnews/status/783050321136324608", "783050321136324608")</f>
        <v>0</v>
      </c>
      <c r="B980" s="2">
        <v>42646.8786921296</v>
      </c>
      <c r="C980">
        <v>33</v>
      </c>
      <c r="D980">
        <v>33</v>
      </c>
      <c r="E980" t="s">
        <v>972</v>
      </c>
    </row>
    <row r="981" spans="1:5">
      <c r="A981">
        <f>HYPERLINK("http://www.twitter.com/NYPDnews/status/783036447653761024", "783036447653761024")</f>
        <v>0</v>
      </c>
      <c r="B981" s="2">
        <v>42646.8404050926</v>
      </c>
      <c r="C981">
        <v>75</v>
      </c>
      <c r="D981">
        <v>25</v>
      </c>
      <c r="E981" t="s">
        <v>973</v>
      </c>
    </row>
    <row r="982" spans="1:5">
      <c r="A982">
        <f>HYPERLINK("http://www.twitter.com/NYPDnews/status/783017780836724737", "783017780836724737")</f>
        <v>0</v>
      </c>
      <c r="B982" s="2">
        <v>42646.788900463</v>
      </c>
      <c r="C982">
        <v>0</v>
      </c>
      <c r="D982">
        <v>28</v>
      </c>
      <c r="E982" t="s">
        <v>974</v>
      </c>
    </row>
    <row r="983" spans="1:5">
      <c r="A983">
        <f>HYPERLINK("http://www.twitter.com/NYPDnews/status/782982192339292160", "782982192339292160")</f>
        <v>0</v>
      </c>
      <c r="B983" s="2">
        <v>42646.6906944444</v>
      </c>
      <c r="C983">
        <v>12</v>
      </c>
      <c r="D983">
        <v>4</v>
      </c>
      <c r="E983" t="s">
        <v>975</v>
      </c>
    </row>
    <row r="984" spans="1:5">
      <c r="A984">
        <f>HYPERLINK("http://www.twitter.com/NYPDnews/status/782981307580186624", "782981307580186624")</f>
        <v>0</v>
      </c>
      <c r="B984" s="2">
        <v>42646.6882523148</v>
      </c>
      <c r="C984">
        <v>16</v>
      </c>
      <c r="D984">
        <v>32</v>
      </c>
      <c r="E984" t="s">
        <v>976</v>
      </c>
    </row>
    <row r="985" spans="1:5">
      <c r="A985">
        <f>HYPERLINK("http://www.twitter.com/NYPDnews/status/782980421663526912", "782980421663526912")</f>
        <v>0</v>
      </c>
      <c r="B985" s="2">
        <v>42646.6858101852</v>
      </c>
      <c r="C985">
        <v>20</v>
      </c>
      <c r="D985">
        <v>13</v>
      </c>
      <c r="E985" t="s">
        <v>977</v>
      </c>
    </row>
    <row r="986" spans="1:5">
      <c r="A986">
        <f>HYPERLINK("http://www.twitter.com/NYPDnews/status/782979422336999424", "782979422336999424")</f>
        <v>0</v>
      </c>
      <c r="B986" s="2">
        <v>42646.6830439815</v>
      </c>
      <c r="C986">
        <v>72</v>
      </c>
      <c r="D986">
        <v>61</v>
      </c>
      <c r="E986" t="s">
        <v>978</v>
      </c>
    </row>
    <row r="987" spans="1:5">
      <c r="A987">
        <f>HYPERLINK("http://www.twitter.com/NYPDnews/status/782977215029977089", "782977215029977089")</f>
        <v>0</v>
      </c>
      <c r="B987" s="2">
        <v>42646.6769560185</v>
      </c>
      <c r="C987">
        <v>16</v>
      </c>
      <c r="D987">
        <v>5</v>
      </c>
      <c r="E987" t="s">
        <v>979</v>
      </c>
    </row>
    <row r="988" spans="1:5">
      <c r="A988">
        <f>HYPERLINK("http://www.twitter.com/NYPDnews/status/782976533900226560", "782976533900226560")</f>
        <v>0</v>
      </c>
      <c r="B988" s="2">
        <v>42646.6750810185</v>
      </c>
      <c r="C988">
        <v>23</v>
      </c>
      <c r="D988">
        <v>9</v>
      </c>
      <c r="E988" t="s">
        <v>980</v>
      </c>
    </row>
    <row r="989" spans="1:5">
      <c r="A989">
        <f>HYPERLINK("http://www.twitter.com/NYPDnews/status/782975319242334208", "782975319242334208")</f>
        <v>0</v>
      </c>
      <c r="B989" s="2">
        <v>42646.671724537</v>
      </c>
      <c r="C989">
        <v>10</v>
      </c>
      <c r="D989">
        <v>5</v>
      </c>
      <c r="E989" t="s">
        <v>981</v>
      </c>
    </row>
    <row r="990" spans="1:5">
      <c r="A990">
        <f>HYPERLINK("http://www.twitter.com/NYPDnews/status/782974385422565376", "782974385422565376")</f>
        <v>0</v>
      </c>
      <c r="B990" s="2">
        <v>42646.6691550926</v>
      </c>
      <c r="C990">
        <v>9</v>
      </c>
      <c r="D990">
        <v>3</v>
      </c>
      <c r="E990" t="s">
        <v>982</v>
      </c>
    </row>
    <row r="991" spans="1:5">
      <c r="A991">
        <f>HYPERLINK("http://www.twitter.com/NYPDnews/status/782963945523048452", "782963945523048452")</f>
        <v>0</v>
      </c>
      <c r="B991" s="2">
        <v>42646.6403472222</v>
      </c>
      <c r="C991">
        <v>5</v>
      </c>
      <c r="D991">
        <v>9</v>
      </c>
      <c r="E991" t="s">
        <v>983</v>
      </c>
    </row>
    <row r="992" spans="1:5">
      <c r="A992">
        <f>HYPERLINK("http://www.twitter.com/NYPDnews/status/782928380895367168", "782928380895367168")</f>
        <v>0</v>
      </c>
      <c r="B992" s="2">
        <v>42646.5421990741</v>
      </c>
      <c r="C992">
        <v>19</v>
      </c>
      <c r="D992">
        <v>11</v>
      </c>
      <c r="E992" t="s">
        <v>984</v>
      </c>
    </row>
    <row r="993" spans="1:5">
      <c r="A993">
        <f>HYPERLINK("http://www.twitter.com/NYPDnews/status/782924475549511680", "782924475549511680")</f>
        <v>0</v>
      </c>
      <c r="B993" s="2">
        <v>42646.5314236111</v>
      </c>
      <c r="C993">
        <v>47</v>
      </c>
      <c r="D993">
        <v>11</v>
      </c>
      <c r="E993" t="s">
        <v>985</v>
      </c>
    </row>
    <row r="994" spans="1:5">
      <c r="A994">
        <f>HYPERLINK("http://www.twitter.com/NYPDnews/status/782920748696469504", "782920748696469504")</f>
        <v>0</v>
      </c>
      <c r="B994" s="2">
        <v>42646.5211458333</v>
      </c>
      <c r="C994">
        <v>23</v>
      </c>
      <c r="D994">
        <v>51</v>
      </c>
      <c r="E994" t="s">
        <v>986</v>
      </c>
    </row>
    <row r="995" spans="1:5">
      <c r="A995">
        <f>HYPERLINK("http://www.twitter.com/NYPDnews/status/782916918554525696", "782916918554525696")</f>
        <v>0</v>
      </c>
      <c r="B995" s="2">
        <v>42646.5105671296</v>
      </c>
      <c r="C995">
        <v>89</v>
      </c>
      <c r="D995">
        <v>19</v>
      </c>
      <c r="E995" t="s">
        <v>987</v>
      </c>
    </row>
    <row r="996" spans="1:5">
      <c r="A996">
        <f>HYPERLINK("http://www.twitter.com/NYPDnews/status/782913375126913024", "782913375126913024")</f>
        <v>0</v>
      </c>
      <c r="B996" s="2">
        <v>42646.5007986111</v>
      </c>
      <c r="C996">
        <v>40</v>
      </c>
      <c r="D996">
        <v>126</v>
      </c>
      <c r="E996" t="s">
        <v>988</v>
      </c>
    </row>
    <row r="997" spans="1:5">
      <c r="A997">
        <f>HYPERLINK("http://www.twitter.com/NYPDnews/status/782750798023430144", "782750798023430144")</f>
        <v>0</v>
      </c>
      <c r="B997" s="2">
        <v>42646.0521643519</v>
      </c>
      <c r="C997">
        <v>115</v>
      </c>
      <c r="D997">
        <v>40</v>
      </c>
      <c r="E997" t="s">
        <v>989</v>
      </c>
    </row>
    <row r="998" spans="1:5">
      <c r="A998">
        <f>HYPERLINK("http://www.twitter.com/NYPDnews/status/782720439667810304", "782720439667810304")</f>
        <v>0</v>
      </c>
      <c r="B998" s="2">
        <v>42645.9683912037</v>
      </c>
      <c r="C998">
        <v>162</v>
      </c>
      <c r="D998">
        <v>69</v>
      </c>
      <c r="E998" t="s">
        <v>990</v>
      </c>
    </row>
    <row r="999" spans="1:5">
      <c r="A999">
        <f>HYPERLINK("http://www.twitter.com/NYPDnews/status/782674950981357572", "782674950981357572")</f>
        <v>0</v>
      </c>
      <c r="B999" s="2">
        <v>42645.8428703704</v>
      </c>
      <c r="C999">
        <v>0</v>
      </c>
      <c r="D999">
        <v>188</v>
      </c>
      <c r="E999" t="s">
        <v>991</v>
      </c>
    </row>
    <row r="1000" spans="1:5">
      <c r="A1000">
        <f>HYPERLINK("http://www.twitter.com/NYPDnews/status/782657718645583873", "782657718645583873")</f>
        <v>0</v>
      </c>
      <c r="B1000" s="2">
        <v>42645.7953125</v>
      </c>
      <c r="C1000">
        <v>57</v>
      </c>
      <c r="D1000">
        <v>20</v>
      </c>
      <c r="E1000" t="s">
        <v>992</v>
      </c>
    </row>
    <row r="1001" spans="1:5">
      <c r="A1001">
        <f>HYPERLINK("http://www.twitter.com/NYPDnews/status/782642318851571712", "782642318851571712")</f>
        <v>0</v>
      </c>
      <c r="B1001" s="2">
        <v>42645.7528240741</v>
      </c>
      <c r="C1001">
        <v>99</v>
      </c>
      <c r="D1001">
        <v>33</v>
      </c>
      <c r="E1001" t="s">
        <v>993</v>
      </c>
    </row>
    <row r="1002" spans="1:5">
      <c r="A1002">
        <f>HYPERLINK("http://www.twitter.com/NYPDnews/status/782619925714198528", "782619925714198528")</f>
        <v>0</v>
      </c>
      <c r="B1002" s="2">
        <v>42645.6910300926</v>
      </c>
      <c r="C1002">
        <v>204</v>
      </c>
      <c r="D1002">
        <v>117</v>
      </c>
      <c r="E1002" t="s">
        <v>994</v>
      </c>
    </row>
    <row r="1003" spans="1:5">
      <c r="A1003">
        <f>HYPERLINK("http://www.twitter.com/NYPDnews/status/782596126285373440", "782596126285373440")</f>
        <v>0</v>
      </c>
      <c r="B1003" s="2">
        <v>42645.6253587963</v>
      </c>
      <c r="C1003">
        <v>47</v>
      </c>
      <c r="D1003">
        <v>59</v>
      </c>
      <c r="E1003" t="s">
        <v>995</v>
      </c>
    </row>
    <row r="1004" spans="1:5">
      <c r="A1004">
        <f>HYPERLINK("http://www.twitter.com/NYPDnews/status/782585973305729025", "782585973305729025")</f>
        <v>0</v>
      </c>
      <c r="B1004" s="2">
        <v>42645.597337963</v>
      </c>
      <c r="C1004">
        <v>32</v>
      </c>
      <c r="D1004">
        <v>15</v>
      </c>
      <c r="E1004" t="s">
        <v>996</v>
      </c>
    </row>
    <row r="1005" spans="1:5">
      <c r="A1005">
        <f>HYPERLINK("http://www.twitter.com/NYPDnews/status/782559739255324673", "782559739255324673")</f>
        <v>0</v>
      </c>
      <c r="B1005" s="2">
        <v>42645.5249421296</v>
      </c>
      <c r="C1005">
        <v>19</v>
      </c>
      <c r="D1005">
        <v>6</v>
      </c>
      <c r="E1005" t="s">
        <v>997</v>
      </c>
    </row>
    <row r="1006" spans="1:5">
      <c r="A1006">
        <f>HYPERLINK("http://www.twitter.com/NYPDnews/status/782389896984010752", "782389896984010752")</f>
        <v>0</v>
      </c>
      <c r="B1006" s="2">
        <v>42645.0562731481</v>
      </c>
      <c r="C1006">
        <v>214</v>
      </c>
      <c r="D1006">
        <v>51</v>
      </c>
      <c r="E1006" t="s">
        <v>998</v>
      </c>
    </row>
    <row r="1007" spans="1:5">
      <c r="A1007">
        <f>HYPERLINK("http://www.twitter.com/NYPDnews/status/782370788762583040", "782370788762583040")</f>
        <v>0</v>
      </c>
      <c r="B1007" s="2">
        <v>42645.0035416667</v>
      </c>
      <c r="C1007">
        <v>362</v>
      </c>
      <c r="D1007">
        <v>118</v>
      </c>
      <c r="E1007" t="s">
        <v>999</v>
      </c>
    </row>
    <row r="1008" spans="1:5">
      <c r="A1008">
        <f>HYPERLINK("http://www.twitter.com/NYPDnews/status/782351828738514944", "782351828738514944")</f>
        <v>0</v>
      </c>
      <c r="B1008" s="2">
        <v>42644.9512268519</v>
      </c>
      <c r="C1008">
        <v>0</v>
      </c>
      <c r="D1008">
        <v>38</v>
      </c>
      <c r="E1008" t="s">
        <v>1000</v>
      </c>
    </row>
    <row r="1009" spans="1:5">
      <c r="A1009">
        <f>HYPERLINK("http://www.twitter.com/NYPDnews/status/782342306745679872", "782342306745679872")</f>
        <v>0</v>
      </c>
      <c r="B1009" s="2">
        <v>42644.9249421296</v>
      </c>
      <c r="C1009">
        <v>109</v>
      </c>
      <c r="D1009">
        <v>38</v>
      </c>
      <c r="E1009" t="s">
        <v>1001</v>
      </c>
    </row>
    <row r="1010" spans="1:5">
      <c r="A1010">
        <f>HYPERLINK("http://www.twitter.com/NYPDnews/status/782325497309036544", "782325497309036544")</f>
        <v>0</v>
      </c>
      <c r="B1010" s="2">
        <v>42644.8785648148</v>
      </c>
      <c r="C1010">
        <v>38</v>
      </c>
      <c r="D1010">
        <v>21</v>
      </c>
      <c r="E1010" t="s">
        <v>1002</v>
      </c>
    </row>
    <row r="1011" spans="1:5">
      <c r="A1011">
        <f>HYPERLINK("http://www.twitter.com/NYPDnews/status/782310407172136960", "782310407172136960")</f>
        <v>0</v>
      </c>
      <c r="B1011" s="2">
        <v>42644.8369212963</v>
      </c>
      <c r="C1011">
        <v>113</v>
      </c>
      <c r="D1011">
        <v>51</v>
      </c>
      <c r="E1011" t="s">
        <v>1003</v>
      </c>
    </row>
    <row r="1012" spans="1:5">
      <c r="A1012">
        <f>HYPERLINK("http://www.twitter.com/NYPDnews/status/782294258959155200", "782294258959155200")</f>
        <v>0</v>
      </c>
      <c r="B1012" s="2">
        <v>42644.7923611111</v>
      </c>
      <c r="C1012">
        <v>58</v>
      </c>
      <c r="D1012">
        <v>20</v>
      </c>
      <c r="E1012" t="s">
        <v>1004</v>
      </c>
    </row>
    <row r="1013" spans="1:5">
      <c r="A1013">
        <f>HYPERLINK("http://www.twitter.com/NYPDnews/status/782271524581539840", "782271524581539840")</f>
        <v>0</v>
      </c>
      <c r="B1013" s="2">
        <v>42644.7296296296</v>
      </c>
      <c r="C1013">
        <v>52</v>
      </c>
      <c r="D1013">
        <v>49</v>
      </c>
      <c r="E1013" t="s">
        <v>1005</v>
      </c>
    </row>
    <row r="1014" spans="1:5">
      <c r="A1014">
        <f>HYPERLINK("http://www.twitter.com/NYPDnews/status/782252574560886784", "782252574560886784")</f>
        <v>0</v>
      </c>
      <c r="B1014" s="2">
        <v>42644.6773263889</v>
      </c>
      <c r="C1014">
        <v>64</v>
      </c>
      <c r="D1014">
        <v>32</v>
      </c>
      <c r="E1014" t="s">
        <v>1006</v>
      </c>
    </row>
    <row r="1015" spans="1:5">
      <c r="A1015">
        <f>HYPERLINK("http://www.twitter.com/NYPDnews/status/782233979281928194", "782233979281928194")</f>
        <v>0</v>
      </c>
      <c r="B1015" s="2">
        <v>42644.6260185185</v>
      </c>
      <c r="C1015">
        <v>28</v>
      </c>
      <c r="D1015">
        <v>19</v>
      </c>
      <c r="E1015" t="s">
        <v>1007</v>
      </c>
    </row>
    <row r="1016" spans="1:5">
      <c r="A1016">
        <f>HYPERLINK("http://www.twitter.com/NYPDnews/status/782213559631618048", "782213559631618048")</f>
        <v>0</v>
      </c>
      <c r="B1016" s="2">
        <v>42644.5696759259</v>
      </c>
      <c r="C1016">
        <v>37</v>
      </c>
      <c r="D1016">
        <v>13</v>
      </c>
      <c r="E1016" t="s">
        <v>1008</v>
      </c>
    </row>
    <row r="1017" spans="1:5">
      <c r="A1017">
        <f>HYPERLINK("http://www.twitter.com/NYPDnews/status/782188505229357056", "782188505229357056")</f>
        <v>0</v>
      </c>
      <c r="B1017" s="2">
        <v>42644.5005324074</v>
      </c>
      <c r="C1017">
        <v>31</v>
      </c>
      <c r="D1017">
        <v>16</v>
      </c>
      <c r="E1017" t="s">
        <v>1009</v>
      </c>
    </row>
    <row r="1018" spans="1:5">
      <c r="A1018">
        <f>HYPERLINK("http://www.twitter.com/NYPDnews/status/782054726598791169", "782054726598791169")</f>
        <v>0</v>
      </c>
      <c r="B1018" s="2">
        <v>42644.1313773148</v>
      </c>
      <c r="C1018">
        <v>36</v>
      </c>
      <c r="D1018">
        <v>16</v>
      </c>
      <c r="E1018" t="s">
        <v>1010</v>
      </c>
    </row>
    <row r="1019" spans="1:5">
      <c r="A1019">
        <f>HYPERLINK("http://www.twitter.com/NYPDnews/status/782040306594222084", "782040306594222084")</f>
        <v>0</v>
      </c>
      <c r="B1019" s="2">
        <v>42644.0915856482</v>
      </c>
      <c r="C1019">
        <v>24</v>
      </c>
      <c r="D1019">
        <v>64</v>
      </c>
      <c r="E1019" t="s">
        <v>1011</v>
      </c>
    </row>
    <row r="1020" spans="1:5">
      <c r="A1020">
        <f>HYPERLINK("http://www.twitter.com/NYPDnews/status/782023524181504000", "782023524181504000")</f>
        <v>0</v>
      </c>
      <c r="B1020" s="2">
        <v>42644.0452777778</v>
      </c>
      <c r="C1020">
        <v>29</v>
      </c>
      <c r="D1020">
        <v>13</v>
      </c>
      <c r="E1020" t="s">
        <v>1012</v>
      </c>
    </row>
    <row r="1021" spans="1:5">
      <c r="A1021">
        <f>HYPERLINK("http://www.twitter.com/NYPDnews/status/782012217885650944", "782012217885650944")</f>
        <v>0</v>
      </c>
      <c r="B1021" s="2">
        <v>42644.0140740741</v>
      </c>
      <c r="C1021">
        <v>67</v>
      </c>
      <c r="D1021">
        <v>86</v>
      </c>
      <c r="E1021" t="s">
        <v>1013</v>
      </c>
    </row>
    <row r="1022" spans="1:5">
      <c r="A1022">
        <f>HYPERLINK("http://www.twitter.com/NYPDnews/status/781999760211402752", "781999760211402752")</f>
        <v>0</v>
      </c>
      <c r="B1022" s="2">
        <v>42643.9796990741</v>
      </c>
      <c r="C1022">
        <v>44</v>
      </c>
      <c r="D1022">
        <v>48</v>
      </c>
      <c r="E1022" t="s">
        <v>1014</v>
      </c>
    </row>
    <row r="1023" spans="1:5">
      <c r="A1023">
        <f>HYPERLINK("http://www.twitter.com/NYPDnews/status/781980767421394944", "781980767421394944")</f>
        <v>0</v>
      </c>
      <c r="B1023" s="2">
        <v>42643.9272916667</v>
      </c>
      <c r="C1023">
        <v>453</v>
      </c>
      <c r="D1023">
        <v>177</v>
      </c>
      <c r="E1023" t="s">
        <v>1015</v>
      </c>
    </row>
    <row r="1024" spans="1:5">
      <c r="A1024">
        <f>HYPERLINK("http://www.twitter.com/NYPDnews/status/781965647060295680", "781965647060295680")</f>
        <v>0</v>
      </c>
      <c r="B1024" s="2">
        <v>42643.8855671296</v>
      </c>
      <c r="C1024">
        <v>103</v>
      </c>
      <c r="D1024">
        <v>55</v>
      </c>
      <c r="E1024" t="s">
        <v>1016</v>
      </c>
    </row>
    <row r="1025" spans="1:5">
      <c r="A1025">
        <f>HYPERLINK("http://www.twitter.com/NYPDnews/status/781954400952672257", "781954400952672257")</f>
        <v>0</v>
      </c>
      <c r="B1025" s="2">
        <v>42643.854525463</v>
      </c>
      <c r="C1025">
        <v>12</v>
      </c>
      <c r="D1025">
        <v>9</v>
      </c>
      <c r="E1025" t="s">
        <v>1017</v>
      </c>
    </row>
    <row r="1026" spans="1:5">
      <c r="A1026">
        <f>HYPERLINK("http://www.twitter.com/NYPDnews/status/781909281440423936", "781909281440423936")</f>
        <v>0</v>
      </c>
      <c r="B1026" s="2">
        <v>42643.7300231481</v>
      </c>
      <c r="C1026">
        <v>0</v>
      </c>
      <c r="D1026">
        <v>85</v>
      </c>
      <c r="E1026" t="s">
        <v>1018</v>
      </c>
    </row>
    <row r="1027" spans="1:5">
      <c r="A1027">
        <f>HYPERLINK("http://www.twitter.com/NYPDnews/status/781874688897286144", "781874688897286144")</f>
        <v>0</v>
      </c>
      <c r="B1027" s="2">
        <v>42643.6345717593</v>
      </c>
      <c r="C1027">
        <v>246</v>
      </c>
      <c r="D1027">
        <v>122</v>
      </c>
      <c r="E1027" t="s">
        <v>1019</v>
      </c>
    </row>
    <row r="1028" spans="1:5">
      <c r="A1028">
        <f>HYPERLINK("http://www.twitter.com/NYPDnews/status/781861631148064768", "781861631148064768")</f>
        <v>0</v>
      </c>
      <c r="B1028" s="2">
        <v>42643.5985300926</v>
      </c>
      <c r="C1028">
        <v>84</v>
      </c>
      <c r="D1028">
        <v>18</v>
      </c>
      <c r="E1028" t="s">
        <v>1020</v>
      </c>
    </row>
    <row r="1029" spans="1:5">
      <c r="A1029">
        <f>HYPERLINK("http://www.twitter.com/NYPDnews/status/781860494659510272", "781860494659510272")</f>
        <v>0</v>
      </c>
      <c r="B1029" s="2">
        <v>42643.5953935185</v>
      </c>
      <c r="C1029">
        <v>55</v>
      </c>
      <c r="D1029">
        <v>8</v>
      </c>
      <c r="E1029" t="s">
        <v>1021</v>
      </c>
    </row>
    <row r="1030" spans="1:5">
      <c r="A1030">
        <f>HYPERLINK("http://www.twitter.com/NYPDnews/status/781858855559032833", "781858855559032833")</f>
        <v>0</v>
      </c>
      <c r="B1030" s="2">
        <v>42643.5908796296</v>
      </c>
      <c r="C1030">
        <v>116</v>
      </c>
      <c r="D1030">
        <v>34</v>
      </c>
      <c r="E1030" t="s">
        <v>1022</v>
      </c>
    </row>
    <row r="1031" spans="1:5">
      <c r="A1031">
        <f>HYPERLINK("http://www.twitter.com/NYPDnews/status/781837293158039556", "781837293158039556")</f>
        <v>0</v>
      </c>
      <c r="B1031" s="2">
        <v>42643.5313773148</v>
      </c>
      <c r="C1031">
        <v>34</v>
      </c>
      <c r="D1031">
        <v>12</v>
      </c>
      <c r="E1031" t="s">
        <v>1023</v>
      </c>
    </row>
    <row r="1032" spans="1:5">
      <c r="A1032">
        <f>HYPERLINK("http://www.twitter.com/NYPDnews/status/781833562538541056", "781833562538541056")</f>
        <v>0</v>
      </c>
      <c r="B1032" s="2">
        <v>42643.5210763889</v>
      </c>
      <c r="C1032">
        <v>44</v>
      </c>
      <c r="D1032">
        <v>14</v>
      </c>
      <c r="E1032" t="s">
        <v>1024</v>
      </c>
    </row>
    <row r="1033" spans="1:5">
      <c r="A1033">
        <f>HYPERLINK("http://www.twitter.com/NYPDnews/status/781829749085732864", "781829749085732864")</f>
        <v>0</v>
      </c>
      <c r="B1033" s="2">
        <v>42643.5105555556</v>
      </c>
      <c r="C1033">
        <v>9</v>
      </c>
      <c r="D1033">
        <v>24</v>
      </c>
      <c r="E1033" t="s">
        <v>1025</v>
      </c>
    </row>
    <row r="1034" spans="1:5">
      <c r="A1034">
        <f>HYPERLINK("http://www.twitter.com/NYPDnews/status/781826061747232768", "781826061747232768")</f>
        <v>0</v>
      </c>
      <c r="B1034" s="2">
        <v>42643.5003819444</v>
      </c>
      <c r="C1034">
        <v>48</v>
      </c>
      <c r="D1034">
        <v>44</v>
      </c>
      <c r="E1034" t="s">
        <v>1026</v>
      </c>
    </row>
    <row r="1035" spans="1:5">
      <c r="A1035">
        <f>HYPERLINK("http://www.twitter.com/NYPDnews/status/781664890482204672", "781664890482204672")</f>
        <v>0</v>
      </c>
      <c r="B1035" s="2">
        <v>42643.0556365741</v>
      </c>
      <c r="C1035">
        <v>108</v>
      </c>
      <c r="D1035">
        <v>88</v>
      </c>
      <c r="E1035" t="s">
        <v>1027</v>
      </c>
    </row>
    <row r="1036" spans="1:5">
      <c r="A1036">
        <f>HYPERLINK("http://www.twitter.com/NYPDnews/status/781622834124689409", "781622834124689409")</f>
        <v>0</v>
      </c>
      <c r="B1036" s="2">
        <v>42642.9395833333</v>
      </c>
      <c r="C1036">
        <v>55</v>
      </c>
      <c r="D1036">
        <v>73</v>
      </c>
      <c r="E1036" t="s">
        <v>1028</v>
      </c>
    </row>
    <row r="1037" spans="1:5">
      <c r="A1037">
        <f>HYPERLINK("http://www.twitter.com/NYPDnews/status/781600069665652736", "781600069665652736")</f>
        <v>0</v>
      </c>
      <c r="B1037" s="2">
        <v>42642.8767592593</v>
      </c>
      <c r="C1037">
        <v>21</v>
      </c>
      <c r="D1037">
        <v>46</v>
      </c>
      <c r="E1037" t="s">
        <v>1029</v>
      </c>
    </row>
    <row r="1038" spans="1:5">
      <c r="A1038">
        <f>HYPERLINK("http://www.twitter.com/NYPDnews/status/781568971308949504", "781568971308949504")</f>
        <v>0</v>
      </c>
      <c r="B1038" s="2">
        <v>42642.7909490741</v>
      </c>
      <c r="C1038">
        <v>0</v>
      </c>
      <c r="D1038">
        <v>45</v>
      </c>
      <c r="E1038" t="s">
        <v>1030</v>
      </c>
    </row>
    <row r="1039" spans="1:5">
      <c r="A1039">
        <f>HYPERLINK("http://www.twitter.com/NYPDnews/status/781550483206987776", "781550483206987776")</f>
        <v>0</v>
      </c>
      <c r="B1039" s="2">
        <v>42642.7399305556</v>
      </c>
      <c r="C1039">
        <v>58</v>
      </c>
      <c r="D1039">
        <v>54</v>
      </c>
      <c r="E1039" t="s">
        <v>1031</v>
      </c>
    </row>
    <row r="1040" spans="1:5">
      <c r="A1040">
        <f>HYPERLINK("http://www.twitter.com/NYPDnews/status/781528929668587521", "781528929668587521")</f>
        <v>0</v>
      </c>
      <c r="B1040" s="2">
        <v>42642.6804513889</v>
      </c>
      <c r="C1040">
        <v>242</v>
      </c>
      <c r="D1040">
        <v>83</v>
      </c>
      <c r="E1040" t="s">
        <v>1032</v>
      </c>
    </row>
    <row r="1041" spans="1:5">
      <c r="A1041">
        <f>HYPERLINK("http://www.twitter.com/NYPDnews/status/781521823502569472", "781521823502569472")</f>
        <v>0</v>
      </c>
      <c r="B1041" s="2">
        <v>42642.6608449074</v>
      </c>
      <c r="C1041">
        <v>27</v>
      </c>
      <c r="D1041">
        <v>11</v>
      </c>
      <c r="E1041" t="s">
        <v>1033</v>
      </c>
    </row>
    <row r="1042" spans="1:5">
      <c r="A1042">
        <f>HYPERLINK("http://www.twitter.com/NYPDnews/status/781519225110364160", "781519225110364160")</f>
        <v>0</v>
      </c>
      <c r="B1042" s="2">
        <v>42642.6536689815</v>
      </c>
      <c r="C1042">
        <v>224</v>
      </c>
      <c r="D1042">
        <v>63</v>
      </c>
      <c r="E1042" t="s">
        <v>1034</v>
      </c>
    </row>
    <row r="1043" spans="1:5">
      <c r="A1043">
        <f>HYPERLINK("http://www.twitter.com/NYPDnews/status/781517270963150850", "781517270963150850")</f>
        <v>0</v>
      </c>
      <c r="B1043" s="2">
        <v>42642.648275463</v>
      </c>
      <c r="C1043">
        <v>158</v>
      </c>
      <c r="D1043">
        <v>55</v>
      </c>
      <c r="E1043" t="s">
        <v>1035</v>
      </c>
    </row>
    <row r="1044" spans="1:5">
      <c r="A1044">
        <f>HYPERLINK("http://www.twitter.com/NYPDnews/status/781514881832976389", "781514881832976389")</f>
        <v>0</v>
      </c>
      <c r="B1044" s="2">
        <v>42642.6416898148</v>
      </c>
      <c r="C1044">
        <v>239</v>
      </c>
      <c r="D1044">
        <v>72</v>
      </c>
      <c r="E1044" t="s">
        <v>1036</v>
      </c>
    </row>
    <row r="1045" spans="1:5">
      <c r="A1045">
        <f>HYPERLINK("http://www.twitter.com/NYPDnews/status/781508378887593984", "781508378887593984")</f>
        <v>0</v>
      </c>
      <c r="B1045" s="2">
        <v>42642.6237384259</v>
      </c>
      <c r="C1045">
        <v>132</v>
      </c>
      <c r="D1045">
        <v>40</v>
      </c>
      <c r="E1045" t="s">
        <v>1037</v>
      </c>
    </row>
    <row r="1046" spans="1:5">
      <c r="A1046">
        <f>HYPERLINK("http://www.twitter.com/NYPDnews/status/781474916419956738", "781474916419956738")</f>
        <v>0</v>
      </c>
      <c r="B1046" s="2">
        <v>42642.531400463</v>
      </c>
      <c r="C1046">
        <v>37</v>
      </c>
      <c r="D1046">
        <v>27</v>
      </c>
      <c r="E1046" t="s">
        <v>1038</v>
      </c>
    </row>
    <row r="1047" spans="1:5">
      <c r="A1047">
        <f>HYPERLINK("http://www.twitter.com/NYPDnews/status/781471183753609216", "781471183753609216")</f>
        <v>0</v>
      </c>
      <c r="B1047" s="2">
        <v>42642.521099537</v>
      </c>
      <c r="C1047">
        <v>11</v>
      </c>
      <c r="D1047">
        <v>33</v>
      </c>
      <c r="E1047" t="s">
        <v>1039</v>
      </c>
    </row>
    <row r="1048" spans="1:5">
      <c r="A1048">
        <f>HYPERLINK("http://www.twitter.com/NYPDnews/status/781467347487973376", "781467347487973376")</f>
        <v>0</v>
      </c>
      <c r="B1048" s="2">
        <v>42642.5105208333</v>
      </c>
      <c r="C1048">
        <v>20</v>
      </c>
      <c r="D1048">
        <v>13</v>
      </c>
      <c r="E1048" t="s">
        <v>1040</v>
      </c>
    </row>
    <row r="1049" spans="1:5">
      <c r="A1049">
        <f>HYPERLINK("http://www.twitter.com/NYPDnews/status/781463665660878848", "781463665660878848")</f>
        <v>0</v>
      </c>
      <c r="B1049" s="2">
        <v>42642.5003587963</v>
      </c>
      <c r="C1049">
        <v>14</v>
      </c>
      <c r="D1049">
        <v>46</v>
      </c>
      <c r="E1049" t="s">
        <v>1041</v>
      </c>
    </row>
    <row r="1050" spans="1:5">
      <c r="A1050">
        <f>HYPERLINK("http://www.twitter.com/NYPDnews/status/781288698109370368", "781288698109370368")</f>
        <v>0</v>
      </c>
      <c r="B1050" s="2">
        <v>42642.0175347222</v>
      </c>
      <c r="C1050">
        <v>26</v>
      </c>
      <c r="D1050">
        <v>18</v>
      </c>
      <c r="E1050" t="s">
        <v>1042</v>
      </c>
    </row>
    <row r="1051" spans="1:5">
      <c r="A1051">
        <f>HYPERLINK("http://www.twitter.com/NYPDnews/status/781268527785410560", "781268527785410560")</f>
        <v>0</v>
      </c>
      <c r="B1051" s="2">
        <v>42641.961875</v>
      </c>
      <c r="C1051">
        <v>102</v>
      </c>
      <c r="D1051">
        <v>91</v>
      </c>
      <c r="E1051" t="s">
        <v>1043</v>
      </c>
    </row>
    <row r="1052" spans="1:5">
      <c r="A1052">
        <f>HYPERLINK("http://www.twitter.com/NYPDnews/status/781258461657038849", "781258461657038849")</f>
        <v>0</v>
      </c>
      <c r="B1052" s="2">
        <v>42641.9340972222</v>
      </c>
      <c r="C1052">
        <v>271</v>
      </c>
      <c r="D1052">
        <v>96</v>
      </c>
      <c r="E1052" t="s">
        <v>1044</v>
      </c>
    </row>
    <row r="1053" spans="1:5">
      <c r="A1053">
        <f>HYPERLINK("http://www.twitter.com/NYPDnews/status/781247159790370816", "781247159790370816")</f>
        <v>0</v>
      </c>
      <c r="B1053" s="2">
        <v>42641.9029166667</v>
      </c>
      <c r="C1053">
        <v>15</v>
      </c>
      <c r="D1053">
        <v>64</v>
      </c>
      <c r="E1053" t="s">
        <v>1045</v>
      </c>
    </row>
    <row r="1054" spans="1:5">
      <c r="A1054">
        <f>HYPERLINK("http://www.twitter.com/NYPDnews/status/781179339857592320", "781179339857592320")</f>
        <v>0</v>
      </c>
      <c r="B1054" s="2">
        <v>42641.7157638889</v>
      </c>
      <c r="C1054">
        <v>0</v>
      </c>
      <c r="D1054">
        <v>101</v>
      </c>
      <c r="E1054" t="s">
        <v>1046</v>
      </c>
    </row>
    <row r="1055" spans="1:5">
      <c r="A1055">
        <f>HYPERLINK("http://www.twitter.com/NYPDnews/status/781112525555372032", "781112525555372032")</f>
        <v>0</v>
      </c>
      <c r="B1055" s="2">
        <v>42641.531400463</v>
      </c>
      <c r="C1055">
        <v>21</v>
      </c>
      <c r="D1055">
        <v>17</v>
      </c>
      <c r="E1055" t="s">
        <v>1047</v>
      </c>
    </row>
    <row r="1056" spans="1:5">
      <c r="A1056">
        <f>HYPERLINK("http://www.twitter.com/NYPDnews/status/781108807279738880", "781108807279738880")</f>
        <v>0</v>
      </c>
      <c r="B1056" s="2">
        <v>42641.5211342593</v>
      </c>
      <c r="C1056">
        <v>50</v>
      </c>
      <c r="D1056">
        <v>125</v>
      </c>
      <c r="E1056" t="s">
        <v>1048</v>
      </c>
    </row>
    <row r="1057" spans="1:5">
      <c r="A1057">
        <f>HYPERLINK("http://www.twitter.com/NYPDnews/status/781104971970441216", "781104971970441216")</f>
        <v>0</v>
      </c>
      <c r="B1057" s="2">
        <v>42641.5105555556</v>
      </c>
      <c r="C1057">
        <v>59</v>
      </c>
      <c r="D1057">
        <v>23</v>
      </c>
      <c r="E1057" t="s">
        <v>1049</v>
      </c>
    </row>
    <row r="1058" spans="1:5">
      <c r="A1058">
        <f>HYPERLINK("http://www.twitter.com/NYPDnews/status/781101289975447552", "781101289975447552")</f>
        <v>0</v>
      </c>
      <c r="B1058" s="2">
        <v>42641.5003935185</v>
      </c>
      <c r="C1058">
        <v>35</v>
      </c>
      <c r="D1058">
        <v>58</v>
      </c>
      <c r="E1058" t="s">
        <v>1050</v>
      </c>
    </row>
    <row r="1059" spans="1:5">
      <c r="A1059">
        <f>HYPERLINK("http://www.twitter.com/NYPDnews/status/781098548221935616", "781098548221935616")</f>
        <v>0</v>
      </c>
      <c r="B1059" s="2">
        <v>42641.4928240741</v>
      </c>
      <c r="C1059">
        <v>32</v>
      </c>
      <c r="D1059">
        <v>83</v>
      </c>
      <c r="E1059" t="s">
        <v>1051</v>
      </c>
    </row>
    <row r="1060" spans="1:5">
      <c r="A1060">
        <f>HYPERLINK("http://www.twitter.com/NYPDnews/status/780930050703126528", "780930050703126528")</f>
        <v>0</v>
      </c>
      <c r="B1060" s="2">
        <v>42641.0278587963</v>
      </c>
      <c r="C1060">
        <v>37</v>
      </c>
      <c r="D1060">
        <v>28</v>
      </c>
      <c r="E1060" t="s">
        <v>1052</v>
      </c>
    </row>
    <row r="1061" spans="1:5">
      <c r="A1061">
        <f>HYPERLINK("http://www.twitter.com/NYPDnews/status/780921940605370368", "780921940605370368")</f>
        <v>0</v>
      </c>
      <c r="B1061" s="2">
        <v>42641.0054861111</v>
      </c>
      <c r="C1061">
        <v>0</v>
      </c>
      <c r="D1061">
        <v>501</v>
      </c>
      <c r="E1061" t="s">
        <v>1053</v>
      </c>
    </row>
    <row r="1062" spans="1:5">
      <c r="A1062">
        <f>HYPERLINK("http://www.twitter.com/NYPDnews/status/780908695173627904", "780908695173627904")</f>
        <v>0</v>
      </c>
      <c r="B1062" s="2">
        <v>42640.9689351852</v>
      </c>
      <c r="C1062">
        <v>48</v>
      </c>
      <c r="D1062">
        <v>23</v>
      </c>
      <c r="E1062" t="s">
        <v>1054</v>
      </c>
    </row>
    <row r="1063" spans="1:5">
      <c r="A1063">
        <f>HYPERLINK("http://www.twitter.com/NYPDnews/status/780896087607504896", "780896087607504896")</f>
        <v>0</v>
      </c>
      <c r="B1063" s="2">
        <v>42640.9341435185</v>
      </c>
      <c r="C1063">
        <v>208</v>
      </c>
      <c r="D1063">
        <v>40</v>
      </c>
      <c r="E1063" t="s">
        <v>1055</v>
      </c>
    </row>
    <row r="1064" spans="1:5">
      <c r="A1064">
        <f>HYPERLINK("http://www.twitter.com/NYPDnews/status/780879741570129924", "780879741570129924")</f>
        <v>0</v>
      </c>
      <c r="B1064" s="2">
        <v>42640.8890393519</v>
      </c>
      <c r="C1064">
        <v>92</v>
      </c>
      <c r="D1064">
        <v>46</v>
      </c>
      <c r="E1064" t="s">
        <v>1056</v>
      </c>
    </row>
    <row r="1065" spans="1:5">
      <c r="A1065">
        <f>HYPERLINK("http://www.twitter.com/NYPDnews/status/780837244294815744", "780837244294815744")</f>
        <v>0</v>
      </c>
      <c r="B1065" s="2">
        <v>42640.7717592593</v>
      </c>
      <c r="C1065">
        <v>29</v>
      </c>
      <c r="D1065">
        <v>38</v>
      </c>
      <c r="E1065" t="s">
        <v>1057</v>
      </c>
    </row>
    <row r="1066" spans="1:5">
      <c r="A1066">
        <f>HYPERLINK("http://www.twitter.com/NYPDnews/status/780823464286494720", "780823464286494720")</f>
        <v>0</v>
      </c>
      <c r="B1066" s="2">
        <v>42640.7337384259</v>
      </c>
      <c r="C1066">
        <v>32</v>
      </c>
      <c r="D1066">
        <v>27</v>
      </c>
      <c r="E1066" t="s">
        <v>1058</v>
      </c>
    </row>
    <row r="1067" spans="1:5">
      <c r="A1067">
        <f>HYPERLINK("http://www.twitter.com/NYPDnews/status/780792785834242050", "780792785834242050")</f>
        <v>0</v>
      </c>
      <c r="B1067" s="2">
        <v>42640.6490856481</v>
      </c>
      <c r="C1067">
        <v>0</v>
      </c>
      <c r="D1067">
        <v>1568</v>
      </c>
      <c r="E1067" t="s">
        <v>1059</v>
      </c>
    </row>
    <row r="1068" spans="1:5">
      <c r="A1068">
        <f>HYPERLINK("http://www.twitter.com/NYPDnews/status/780791318071173124", "780791318071173124")</f>
        <v>0</v>
      </c>
      <c r="B1068" s="2">
        <v>42640.6450347222</v>
      </c>
      <c r="C1068">
        <v>32</v>
      </c>
      <c r="D1068">
        <v>33</v>
      </c>
      <c r="E1068" t="s">
        <v>1060</v>
      </c>
    </row>
    <row r="1069" spans="1:5">
      <c r="A1069">
        <f>HYPERLINK("http://www.twitter.com/NYPDnews/status/780789699522756609", "780789699522756609")</f>
        <v>0</v>
      </c>
      <c r="B1069" s="2">
        <v>42640.6405671296</v>
      </c>
      <c r="C1069">
        <v>169</v>
      </c>
      <c r="D1069">
        <v>83</v>
      </c>
      <c r="E1069" t="s">
        <v>1061</v>
      </c>
    </row>
    <row r="1070" spans="1:5">
      <c r="A1070">
        <f>HYPERLINK("http://www.twitter.com/NYPDnews/status/780788671675006976", "780788671675006976")</f>
        <v>0</v>
      </c>
      <c r="B1070" s="2">
        <v>42640.6377314815</v>
      </c>
      <c r="C1070">
        <v>381</v>
      </c>
      <c r="D1070">
        <v>212</v>
      </c>
      <c r="E1070" t="s">
        <v>1062</v>
      </c>
    </row>
    <row r="1071" spans="1:5">
      <c r="A1071">
        <f>HYPERLINK("http://www.twitter.com/NYPDnews/status/780787729395224576", "780787729395224576")</f>
        <v>0</v>
      </c>
      <c r="B1071" s="2">
        <v>42640.6351273148</v>
      </c>
      <c r="C1071">
        <v>172</v>
      </c>
      <c r="D1071">
        <v>119</v>
      </c>
      <c r="E1071" t="s">
        <v>1063</v>
      </c>
    </row>
    <row r="1072" spans="1:5">
      <c r="A1072">
        <f>HYPERLINK("http://www.twitter.com/NYPDnews/status/780786413948272640", "780786413948272640")</f>
        <v>0</v>
      </c>
      <c r="B1072" s="2">
        <v>42640.6315046296</v>
      </c>
      <c r="C1072">
        <v>30</v>
      </c>
      <c r="D1072">
        <v>26</v>
      </c>
      <c r="E1072" t="s">
        <v>1064</v>
      </c>
    </row>
    <row r="1073" spans="1:5">
      <c r="A1073">
        <f>HYPERLINK("http://www.twitter.com/NYPDnews/status/780780867480420352", "780780867480420352")</f>
        <v>0</v>
      </c>
      <c r="B1073" s="2">
        <v>42640.6161921296</v>
      </c>
      <c r="C1073">
        <v>17</v>
      </c>
      <c r="D1073">
        <v>22</v>
      </c>
      <c r="E1073" t="s">
        <v>1065</v>
      </c>
    </row>
    <row r="1074" spans="1:5">
      <c r="A1074">
        <f>HYPERLINK("http://www.twitter.com/NYPDnews/status/780761202603528193", "780761202603528193")</f>
        <v>0</v>
      </c>
      <c r="B1074" s="2">
        <v>42640.5619328704</v>
      </c>
      <c r="C1074">
        <v>39</v>
      </c>
      <c r="D1074">
        <v>45</v>
      </c>
      <c r="E1074" t="s">
        <v>1066</v>
      </c>
    </row>
    <row r="1075" spans="1:5">
      <c r="A1075">
        <f>HYPERLINK("http://www.twitter.com/NYPDnews/status/780738337237790720", "780738337237790720")</f>
        <v>0</v>
      </c>
      <c r="B1075" s="2">
        <v>42640.4988310185</v>
      </c>
      <c r="C1075">
        <v>32</v>
      </c>
      <c r="D1075">
        <v>35</v>
      </c>
      <c r="E1075" t="s">
        <v>1067</v>
      </c>
    </row>
    <row r="1076" spans="1:5">
      <c r="A1076">
        <f>HYPERLINK("http://www.twitter.com/NYPDnews/status/780605919554142209", "780605919554142209")</f>
        <v>0</v>
      </c>
      <c r="B1076" s="2">
        <v>42640.1334259259</v>
      </c>
      <c r="C1076">
        <v>0</v>
      </c>
      <c r="D1076">
        <v>19</v>
      </c>
      <c r="E1076" t="s">
        <v>1068</v>
      </c>
    </row>
    <row r="1077" spans="1:5">
      <c r="A1077">
        <f>HYPERLINK("http://www.twitter.com/NYPDnews/status/780575234332262400", "780575234332262400")</f>
        <v>0</v>
      </c>
      <c r="B1077" s="2">
        <v>42640.04875</v>
      </c>
      <c r="C1077">
        <v>15</v>
      </c>
      <c r="D1077">
        <v>29</v>
      </c>
      <c r="E1077" t="s">
        <v>1069</v>
      </c>
    </row>
    <row r="1078" spans="1:5">
      <c r="A1078">
        <f>HYPERLINK("http://www.twitter.com/NYPDnews/status/780558884977115137", "780558884977115137")</f>
        <v>0</v>
      </c>
      <c r="B1078" s="2">
        <v>42640.0036342593</v>
      </c>
      <c r="C1078">
        <v>67</v>
      </c>
      <c r="D1078">
        <v>24</v>
      </c>
      <c r="E1078" t="s">
        <v>1070</v>
      </c>
    </row>
    <row r="1079" spans="1:5">
      <c r="A1079">
        <f>HYPERLINK("http://www.twitter.com/NYPDnews/status/780545042469486592", "780545042469486592")</f>
        <v>0</v>
      </c>
      <c r="B1079" s="2">
        <v>42639.9654398148</v>
      </c>
      <c r="C1079">
        <v>53</v>
      </c>
      <c r="D1079">
        <v>16</v>
      </c>
      <c r="E1079" t="s">
        <v>1071</v>
      </c>
    </row>
    <row r="1080" spans="1:5">
      <c r="A1080">
        <f>HYPERLINK("http://www.twitter.com/NYPDnews/status/780498500572352512", "780498500572352512")</f>
        <v>0</v>
      </c>
      <c r="B1080" s="2">
        <v>42639.8370138889</v>
      </c>
      <c r="C1080">
        <v>74</v>
      </c>
      <c r="D1080">
        <v>19</v>
      </c>
      <c r="E1080" t="s">
        <v>1072</v>
      </c>
    </row>
    <row r="1081" spans="1:5">
      <c r="A1081">
        <f>HYPERLINK("http://www.twitter.com/NYPDnews/status/780484668365869056", "780484668365869056")</f>
        <v>0</v>
      </c>
      <c r="B1081" s="2">
        <v>42639.7988425926</v>
      </c>
      <c r="C1081">
        <v>22</v>
      </c>
      <c r="D1081">
        <v>63</v>
      </c>
      <c r="E1081" t="s">
        <v>1073</v>
      </c>
    </row>
    <row r="1082" spans="1:5">
      <c r="A1082">
        <f>HYPERLINK("http://www.twitter.com/NYPDnews/status/780444487805984768", "780444487805984768")</f>
        <v>0</v>
      </c>
      <c r="B1082" s="2">
        <v>42639.687962963</v>
      </c>
      <c r="C1082">
        <v>51</v>
      </c>
      <c r="D1082">
        <v>30</v>
      </c>
      <c r="E1082" t="s">
        <v>1074</v>
      </c>
    </row>
    <row r="1083" spans="1:5">
      <c r="A1083">
        <f>HYPERLINK("http://www.twitter.com/NYPDnews/status/780387746544230400", "780387746544230400")</f>
        <v>0</v>
      </c>
      <c r="B1083" s="2">
        <v>42639.5313888889</v>
      </c>
      <c r="C1083">
        <v>26</v>
      </c>
      <c r="D1083">
        <v>19</v>
      </c>
      <c r="E1083" t="s">
        <v>1075</v>
      </c>
    </row>
    <row r="1084" spans="1:5">
      <c r="A1084">
        <f>HYPERLINK("http://www.twitter.com/NYPDnews/status/780384011986272256", "780384011986272256")</f>
        <v>0</v>
      </c>
      <c r="B1084" s="2">
        <v>42639.5210763889</v>
      </c>
      <c r="C1084">
        <v>16</v>
      </c>
      <c r="D1084">
        <v>6</v>
      </c>
      <c r="E1084" t="s">
        <v>1076</v>
      </c>
    </row>
    <row r="1085" spans="1:5">
      <c r="A1085">
        <f>HYPERLINK("http://www.twitter.com/NYPDnews/status/780380195974967296", "780380195974967296")</f>
        <v>0</v>
      </c>
      <c r="B1085" s="2">
        <v>42639.5105555556</v>
      </c>
      <c r="C1085">
        <v>17</v>
      </c>
      <c r="D1085">
        <v>60</v>
      </c>
      <c r="E1085" t="s">
        <v>1077</v>
      </c>
    </row>
    <row r="1086" spans="1:5">
      <c r="A1086">
        <f>HYPERLINK("http://www.twitter.com/NYPDnews/status/780376484938678272", "780376484938678272")</f>
        <v>0</v>
      </c>
      <c r="B1086" s="2">
        <v>42639.5003125</v>
      </c>
      <c r="C1086">
        <v>55</v>
      </c>
      <c r="D1086">
        <v>22</v>
      </c>
      <c r="E1086" t="s">
        <v>1078</v>
      </c>
    </row>
    <row r="1087" spans="1:5">
      <c r="A1087">
        <f>HYPERLINK("http://www.twitter.com/NYPDnews/status/780206526208348160", "780206526208348160")</f>
        <v>0</v>
      </c>
      <c r="B1087" s="2">
        <v>42639.0313194444</v>
      </c>
      <c r="C1087">
        <v>28</v>
      </c>
      <c r="D1087">
        <v>65</v>
      </c>
      <c r="E1087" t="s">
        <v>1079</v>
      </c>
    </row>
    <row r="1088" spans="1:5">
      <c r="A1088">
        <f>HYPERLINK("http://www.twitter.com/NYPDnews/status/780192708417708032", "780192708417708032")</f>
        <v>0</v>
      </c>
      <c r="B1088" s="2">
        <v>42638.9931828704</v>
      </c>
      <c r="C1088">
        <v>17</v>
      </c>
      <c r="D1088">
        <v>27</v>
      </c>
      <c r="E1088" t="s">
        <v>1080</v>
      </c>
    </row>
    <row r="1089" spans="1:5">
      <c r="A1089">
        <f>HYPERLINK("http://www.twitter.com/NYPDnews/status/780186101487112192", "780186101487112192")</f>
        <v>0</v>
      </c>
      <c r="B1089" s="2">
        <v>42638.9749537037</v>
      </c>
      <c r="C1089">
        <v>88</v>
      </c>
      <c r="D1089">
        <v>20</v>
      </c>
      <c r="E1089" t="s">
        <v>1081</v>
      </c>
    </row>
    <row r="1090" spans="1:5">
      <c r="A1090">
        <f>HYPERLINK("http://www.twitter.com/NYPDnews/status/780110384921391104", "780110384921391104")</f>
        <v>0</v>
      </c>
      <c r="B1090" s="2">
        <v>42638.7660185185</v>
      </c>
      <c r="C1090">
        <v>272</v>
      </c>
      <c r="D1090">
        <v>125</v>
      </c>
      <c r="E1090" t="s">
        <v>1082</v>
      </c>
    </row>
    <row r="1091" spans="1:5">
      <c r="A1091">
        <f>HYPERLINK("http://www.twitter.com/NYPDnews/status/780026445456371716", "780026445456371716")</f>
        <v>0</v>
      </c>
      <c r="B1091" s="2">
        <v>42638.5343865741</v>
      </c>
      <c r="C1091">
        <v>166</v>
      </c>
      <c r="D1091">
        <v>67</v>
      </c>
      <c r="E1091" t="s">
        <v>1083</v>
      </c>
    </row>
    <row r="1092" spans="1:5">
      <c r="A1092">
        <f>HYPERLINK("http://www.twitter.com/NYPDnews/status/780014050646355968", "780014050646355968")</f>
        <v>0</v>
      </c>
      <c r="B1092" s="2">
        <v>42638.5001851852</v>
      </c>
      <c r="C1092">
        <v>31</v>
      </c>
      <c r="D1092">
        <v>13</v>
      </c>
      <c r="E1092" t="s">
        <v>1084</v>
      </c>
    </row>
    <row r="1093" spans="1:5">
      <c r="A1093">
        <f>HYPERLINK("http://www.twitter.com/NYPDnews/status/779852773370322944", "779852773370322944")</f>
        <v>0</v>
      </c>
      <c r="B1093" s="2">
        <v>42638.0551388889</v>
      </c>
      <c r="C1093">
        <v>130</v>
      </c>
      <c r="D1093">
        <v>35</v>
      </c>
      <c r="E1093" t="s">
        <v>1085</v>
      </c>
    </row>
    <row r="1094" spans="1:5">
      <c r="A1094">
        <f>HYPERLINK("http://www.twitter.com/NYPDnews/status/779829089167372288", "779829089167372288")</f>
        <v>0</v>
      </c>
      <c r="B1094" s="2">
        <v>42637.9897916667</v>
      </c>
      <c r="C1094">
        <v>14</v>
      </c>
      <c r="D1094">
        <v>26</v>
      </c>
      <c r="E1094" t="s">
        <v>1086</v>
      </c>
    </row>
    <row r="1095" spans="1:5">
      <c r="A1095">
        <f>HYPERLINK("http://www.twitter.com/NYPDnews/status/779796341513936900", "779796341513936900")</f>
        <v>0</v>
      </c>
      <c r="B1095" s="2">
        <v>42637.8994212963</v>
      </c>
      <c r="C1095">
        <v>29</v>
      </c>
      <c r="D1095">
        <v>82</v>
      </c>
      <c r="E1095" t="s">
        <v>1087</v>
      </c>
    </row>
    <row r="1096" spans="1:5">
      <c r="A1096">
        <f>HYPERLINK("http://www.twitter.com/NYPDnews/status/779771880936996864", "779771880936996864")</f>
        <v>0</v>
      </c>
      <c r="B1096" s="2">
        <v>42637.8319212963</v>
      </c>
      <c r="C1096">
        <v>117</v>
      </c>
      <c r="D1096">
        <v>40</v>
      </c>
      <c r="E1096" t="s">
        <v>1088</v>
      </c>
    </row>
    <row r="1097" spans="1:5">
      <c r="A1097">
        <f>HYPERLINK("http://www.twitter.com/NYPDnews/status/779766151177990145", "779766151177990145")</f>
        <v>0</v>
      </c>
      <c r="B1097" s="2">
        <v>42637.8161111111</v>
      </c>
      <c r="C1097">
        <v>38</v>
      </c>
      <c r="D1097">
        <v>21</v>
      </c>
      <c r="E1097" t="s">
        <v>1089</v>
      </c>
    </row>
    <row r="1098" spans="1:5">
      <c r="A1098">
        <f>HYPERLINK("http://www.twitter.com/NYPDnews/status/779743385640800257", "779743385640800257")</f>
        <v>0</v>
      </c>
      <c r="B1098" s="2">
        <v>42637.753287037</v>
      </c>
      <c r="C1098">
        <v>0</v>
      </c>
      <c r="D1098">
        <v>22</v>
      </c>
      <c r="E1098" t="s">
        <v>1090</v>
      </c>
    </row>
    <row r="1099" spans="1:5">
      <c r="A1099">
        <f>HYPERLINK("http://www.twitter.com/NYPDnews/status/779720860441673728", "779720860441673728")</f>
        <v>0</v>
      </c>
      <c r="B1099" s="2">
        <v>42637.6911342593</v>
      </c>
      <c r="C1099">
        <v>122</v>
      </c>
      <c r="D1099">
        <v>42</v>
      </c>
      <c r="E1099" t="s">
        <v>1091</v>
      </c>
    </row>
    <row r="1100" spans="1:5">
      <c r="A1100">
        <f>HYPERLINK("http://www.twitter.com/NYPDnews/status/779685664455557121", "779685664455557121")</f>
        <v>0</v>
      </c>
      <c r="B1100" s="2">
        <v>42637.5940046296</v>
      </c>
      <c r="C1100">
        <v>32</v>
      </c>
      <c r="D1100">
        <v>32</v>
      </c>
      <c r="E1100" t="s">
        <v>1092</v>
      </c>
    </row>
    <row r="1101" spans="1:5">
      <c r="A1101">
        <f>HYPERLINK("http://www.twitter.com/NYPDnews/status/779660528503418880", "779660528503418880")</f>
        <v>0</v>
      </c>
      <c r="B1101" s="2">
        <v>42637.5246527778</v>
      </c>
      <c r="C1101">
        <v>39</v>
      </c>
      <c r="D1101">
        <v>22</v>
      </c>
      <c r="E1101" t="s">
        <v>1084</v>
      </c>
    </row>
    <row r="1102" spans="1:5">
      <c r="A1102">
        <f>HYPERLINK("http://www.twitter.com/NYPDnews/status/779476717614272512", "779476717614272512")</f>
        <v>0</v>
      </c>
      <c r="B1102" s="2">
        <v>42637.0174305556</v>
      </c>
      <c r="C1102">
        <v>92</v>
      </c>
      <c r="D1102">
        <v>44</v>
      </c>
      <c r="E1102" t="s">
        <v>1093</v>
      </c>
    </row>
    <row r="1103" spans="1:5">
      <c r="A1103">
        <f>HYPERLINK("http://www.twitter.com/NYPDnews/status/779465926152450049", "779465926152450049")</f>
        <v>0</v>
      </c>
      <c r="B1103" s="2">
        <v>42636.987650463</v>
      </c>
      <c r="C1103">
        <v>0</v>
      </c>
      <c r="D1103">
        <v>132</v>
      </c>
      <c r="E1103" t="s">
        <v>1094</v>
      </c>
    </row>
    <row r="1104" spans="1:5">
      <c r="A1104">
        <f>HYPERLINK("http://www.twitter.com/NYPDnews/status/779454082004164608", "779454082004164608")</f>
        <v>0</v>
      </c>
      <c r="B1104" s="2">
        <v>42636.9549652778</v>
      </c>
      <c r="C1104">
        <v>45</v>
      </c>
      <c r="D1104">
        <v>16</v>
      </c>
      <c r="E1104" t="s">
        <v>1095</v>
      </c>
    </row>
    <row r="1105" spans="1:5">
      <c r="A1105">
        <f>HYPERLINK("http://www.twitter.com/NYPDnews/status/779440444820324352", "779440444820324352")</f>
        <v>0</v>
      </c>
      <c r="B1105" s="2">
        <v>42636.917337963</v>
      </c>
      <c r="C1105">
        <v>34</v>
      </c>
      <c r="D1105">
        <v>13</v>
      </c>
      <c r="E1105" t="s">
        <v>1096</v>
      </c>
    </row>
    <row r="1106" spans="1:5">
      <c r="A1106">
        <f>HYPERLINK("http://www.twitter.com/NYPDnews/status/779425335179894784", "779425335179894784")</f>
        <v>0</v>
      </c>
      <c r="B1106" s="2">
        <v>42636.8756365741</v>
      </c>
      <c r="C1106">
        <v>21</v>
      </c>
      <c r="D1106">
        <v>51</v>
      </c>
      <c r="E1106" t="s">
        <v>1079</v>
      </c>
    </row>
    <row r="1107" spans="1:5">
      <c r="A1107">
        <f>HYPERLINK("http://www.twitter.com/NYPDnews/status/779413855172698113", "779413855172698113")</f>
        <v>0</v>
      </c>
      <c r="B1107" s="2">
        <v>42636.8439583333</v>
      </c>
      <c r="C1107">
        <v>46</v>
      </c>
      <c r="D1107">
        <v>17</v>
      </c>
      <c r="E1107" t="s">
        <v>1097</v>
      </c>
    </row>
    <row r="1108" spans="1:5">
      <c r="A1108">
        <f>HYPERLINK("http://www.twitter.com/NYPDnews/status/779386677550874626", "779386677550874626")</f>
        <v>0</v>
      </c>
      <c r="B1108" s="2">
        <v>42636.7689583333</v>
      </c>
      <c r="C1108">
        <v>0</v>
      </c>
      <c r="D1108">
        <v>19</v>
      </c>
      <c r="E1108" t="s">
        <v>1098</v>
      </c>
    </row>
    <row r="1109" spans="1:5">
      <c r="A1109">
        <f>HYPERLINK("http://www.twitter.com/NYPDnews/status/779331192940363777", "779331192940363777")</f>
        <v>0</v>
      </c>
      <c r="B1109" s="2">
        <v>42636.6158564815</v>
      </c>
      <c r="C1109">
        <v>0</v>
      </c>
      <c r="D1109">
        <v>33</v>
      </c>
      <c r="E1109" t="s">
        <v>1099</v>
      </c>
    </row>
    <row r="1110" spans="1:5">
      <c r="A1110">
        <f>HYPERLINK("http://www.twitter.com/NYPDnews/status/779307861704839168", "779307861704839168")</f>
        <v>0</v>
      </c>
      <c r="B1110" s="2">
        <v>42636.5514699074</v>
      </c>
      <c r="C1110">
        <v>39</v>
      </c>
      <c r="D1110">
        <v>14</v>
      </c>
      <c r="E1110" t="s">
        <v>1100</v>
      </c>
    </row>
    <row r="1111" spans="1:5">
      <c r="A1111">
        <f>HYPERLINK("http://www.twitter.com/NYPDnews/status/779301467823992832", "779301467823992832")</f>
        <v>0</v>
      </c>
      <c r="B1111" s="2">
        <v>42636.5338310185</v>
      </c>
      <c r="C1111">
        <v>0</v>
      </c>
      <c r="D1111">
        <v>35</v>
      </c>
      <c r="E1111" t="s">
        <v>1101</v>
      </c>
    </row>
    <row r="1112" spans="1:5">
      <c r="A1112">
        <f>HYPERLINK("http://www.twitter.com/NYPDnews/status/779296968761831424", "779296968761831424")</f>
        <v>0</v>
      </c>
      <c r="B1112" s="2">
        <v>42636.521412037</v>
      </c>
      <c r="C1112">
        <v>278</v>
      </c>
      <c r="D1112">
        <v>127</v>
      </c>
      <c r="E1112" t="s">
        <v>1102</v>
      </c>
    </row>
    <row r="1113" spans="1:5">
      <c r="A1113">
        <f>HYPERLINK("http://www.twitter.com/NYPDnews/status/779293009225650176", "779293009225650176")</f>
        <v>0</v>
      </c>
      <c r="B1113" s="2">
        <v>42636.5104861111</v>
      </c>
      <c r="C1113">
        <v>31</v>
      </c>
      <c r="D1113">
        <v>8</v>
      </c>
      <c r="E1113" t="s">
        <v>1103</v>
      </c>
    </row>
    <row r="1114" spans="1:5">
      <c r="A1114">
        <f>HYPERLINK("http://www.twitter.com/NYPDnews/status/779289331236212736", "779289331236212736")</f>
        <v>0</v>
      </c>
      <c r="B1114" s="2">
        <v>42636.5003356481</v>
      </c>
      <c r="C1114">
        <v>30</v>
      </c>
      <c r="D1114">
        <v>68</v>
      </c>
      <c r="E1114" t="s">
        <v>1104</v>
      </c>
    </row>
    <row r="1115" spans="1:5">
      <c r="A1115">
        <f>HYPERLINK("http://www.twitter.com/NYPDnews/status/779285462590652416", "779285462590652416")</f>
        <v>0</v>
      </c>
      <c r="B1115" s="2">
        <v>42636.4896643519</v>
      </c>
      <c r="C1115">
        <v>16</v>
      </c>
      <c r="D1115">
        <v>26</v>
      </c>
      <c r="E1115" t="s">
        <v>1105</v>
      </c>
    </row>
    <row r="1116" spans="1:5">
      <c r="A1116">
        <f>HYPERLINK("http://www.twitter.com/NYPDnews/status/779125676746113024", "779125676746113024")</f>
        <v>0</v>
      </c>
      <c r="B1116" s="2">
        <v>42636.0487384259</v>
      </c>
      <c r="C1116">
        <v>324</v>
      </c>
      <c r="D1116">
        <v>90</v>
      </c>
      <c r="E1116" t="s">
        <v>1106</v>
      </c>
    </row>
    <row r="1117" spans="1:5">
      <c r="A1117">
        <f>HYPERLINK("http://www.twitter.com/NYPDnews/status/779109324899643393", "779109324899643393")</f>
        <v>0</v>
      </c>
      <c r="B1117" s="2">
        <v>42636.0036111111</v>
      </c>
      <c r="C1117">
        <v>37</v>
      </c>
      <c r="D1117">
        <v>24</v>
      </c>
      <c r="E1117" t="s">
        <v>1107</v>
      </c>
    </row>
    <row r="1118" spans="1:5">
      <c r="A1118">
        <f>HYPERLINK("http://www.twitter.com/NYPDnews/status/779096748333658117", "779096748333658117")</f>
        <v>0</v>
      </c>
      <c r="B1118" s="2">
        <v>42635.968912037</v>
      </c>
      <c r="C1118">
        <v>121</v>
      </c>
      <c r="D1118">
        <v>57</v>
      </c>
      <c r="E1118" t="s">
        <v>1108</v>
      </c>
    </row>
    <row r="1119" spans="1:5">
      <c r="A1119">
        <f>HYPERLINK("http://www.twitter.com/NYPDnews/status/779084164721176581", "779084164721176581")</f>
        <v>0</v>
      </c>
      <c r="B1119" s="2">
        <v>42635.9341898148</v>
      </c>
      <c r="C1119">
        <v>33</v>
      </c>
      <c r="D1119">
        <v>17</v>
      </c>
      <c r="E1119" t="s">
        <v>1109</v>
      </c>
    </row>
    <row r="1120" spans="1:5">
      <c r="A1120">
        <f>HYPERLINK("http://www.twitter.com/NYPDnews/status/779067849667186689", "779067849667186689")</f>
        <v>0</v>
      </c>
      <c r="B1120" s="2">
        <v>42635.8891666667</v>
      </c>
      <c r="C1120">
        <v>28</v>
      </c>
      <c r="D1120">
        <v>48</v>
      </c>
      <c r="E1120" t="s">
        <v>1110</v>
      </c>
    </row>
    <row r="1121" spans="1:5">
      <c r="A1121">
        <f>HYPERLINK("http://www.twitter.com/NYPDnews/status/779055276787924992", "779055276787924992")</f>
        <v>0</v>
      </c>
      <c r="B1121" s="2">
        <v>42635.8544675926</v>
      </c>
      <c r="C1121">
        <v>176</v>
      </c>
      <c r="D1121">
        <v>69</v>
      </c>
      <c r="E1121" t="s">
        <v>1111</v>
      </c>
    </row>
    <row r="1122" spans="1:5">
      <c r="A1122">
        <f>HYPERLINK("http://www.twitter.com/NYPDnews/status/779020619174248449", "779020619174248449")</f>
        <v>0</v>
      </c>
      <c r="B1122" s="2">
        <v>42635.7588310185</v>
      </c>
      <c r="C1122">
        <v>127</v>
      </c>
      <c r="D1122">
        <v>45</v>
      </c>
      <c r="E1122" t="s">
        <v>1112</v>
      </c>
    </row>
    <row r="1123" spans="1:5">
      <c r="A1123">
        <f>HYPERLINK("http://www.twitter.com/NYPDnews/status/778991090095493121", "778991090095493121")</f>
        <v>0</v>
      </c>
      <c r="B1123" s="2">
        <v>42635.677349537</v>
      </c>
      <c r="C1123">
        <v>26</v>
      </c>
      <c r="D1123">
        <v>21</v>
      </c>
      <c r="E1123" t="s">
        <v>1113</v>
      </c>
    </row>
    <row r="1124" spans="1:5">
      <c r="A1124">
        <f>HYPERLINK("http://www.twitter.com/NYPDnews/status/778953686370414598", "778953686370414598")</f>
        <v>0</v>
      </c>
      <c r="B1124" s="2">
        <v>42635.5741319444</v>
      </c>
      <c r="C1124">
        <v>0</v>
      </c>
      <c r="D1124">
        <v>22</v>
      </c>
      <c r="E1124" t="s">
        <v>1114</v>
      </c>
    </row>
    <row r="1125" spans="1:5">
      <c r="A1125">
        <f>HYPERLINK("http://www.twitter.com/NYPDnews/status/778938195211874305", "778938195211874305")</f>
        <v>0</v>
      </c>
      <c r="B1125" s="2">
        <v>42635.5313888889</v>
      </c>
      <c r="C1125">
        <v>41</v>
      </c>
      <c r="D1125">
        <v>19</v>
      </c>
      <c r="E1125" t="s">
        <v>1115</v>
      </c>
    </row>
    <row r="1126" spans="1:5">
      <c r="A1126">
        <f>HYPERLINK("http://www.twitter.com/NYPDnews/status/778934450960949248", "778934450960949248")</f>
        <v>0</v>
      </c>
      <c r="B1126" s="2">
        <v>42635.5210532407</v>
      </c>
      <c r="C1126">
        <v>14</v>
      </c>
      <c r="D1126">
        <v>12</v>
      </c>
      <c r="E1126" t="s">
        <v>1116</v>
      </c>
    </row>
    <row r="1127" spans="1:5">
      <c r="A1127">
        <f>HYPERLINK("http://www.twitter.com/NYPDnews/status/778930628746182656", "778930628746182656")</f>
        <v>0</v>
      </c>
      <c r="B1127" s="2">
        <v>42635.5105092593</v>
      </c>
      <c r="C1127">
        <v>39</v>
      </c>
      <c r="D1127">
        <v>9</v>
      </c>
      <c r="E1127" t="s">
        <v>1117</v>
      </c>
    </row>
    <row r="1128" spans="1:5">
      <c r="A1128">
        <f>HYPERLINK("http://www.twitter.com/NYPDnews/status/778927127559344128", "778927127559344128")</f>
        <v>0</v>
      </c>
      <c r="B1128" s="2">
        <v>42635.5008449074</v>
      </c>
      <c r="C1128">
        <v>33</v>
      </c>
      <c r="D1128">
        <v>81</v>
      </c>
      <c r="E1128" t="s">
        <v>1118</v>
      </c>
    </row>
    <row r="1129" spans="1:5">
      <c r="A1129">
        <f>HYPERLINK("http://www.twitter.com/NYPDnews/status/778925668977418241", "778925668977418241")</f>
        <v>0</v>
      </c>
      <c r="B1129" s="2">
        <v>42635.4968171296</v>
      </c>
      <c r="C1129">
        <v>0</v>
      </c>
      <c r="D1129">
        <v>24</v>
      </c>
      <c r="E1129" t="s">
        <v>1119</v>
      </c>
    </row>
    <row r="1130" spans="1:5">
      <c r="A1130">
        <f>HYPERLINK("http://www.twitter.com/NYPDnews/status/778911860032729088", "778911860032729088")</f>
        <v>0</v>
      </c>
      <c r="B1130" s="2">
        <v>42635.4587152778</v>
      </c>
      <c r="C1130">
        <v>13</v>
      </c>
      <c r="D1130">
        <v>36</v>
      </c>
      <c r="E1130" t="s">
        <v>1120</v>
      </c>
    </row>
    <row r="1131" spans="1:5">
      <c r="A1131">
        <f>HYPERLINK("http://www.twitter.com/NYPDnews/status/778909256040972289", "778909256040972289")</f>
        <v>0</v>
      </c>
      <c r="B1131" s="2">
        <v>42635.4515277778</v>
      </c>
      <c r="C1131">
        <v>19</v>
      </c>
      <c r="D1131">
        <v>15</v>
      </c>
      <c r="E1131" t="s">
        <v>1121</v>
      </c>
    </row>
    <row r="1132" spans="1:5">
      <c r="A1132">
        <f>HYPERLINK("http://www.twitter.com/NYPDnews/status/778757012020748289", "778757012020748289")</f>
        <v>0</v>
      </c>
      <c r="B1132" s="2">
        <v>42635.031412037</v>
      </c>
      <c r="C1132">
        <v>20</v>
      </c>
      <c r="D1132">
        <v>65</v>
      </c>
      <c r="E1132" t="s">
        <v>1122</v>
      </c>
    </row>
    <row r="1133" spans="1:5">
      <c r="A1133">
        <f>HYPERLINK("http://www.twitter.com/NYPDnews/status/778745807423930369", "778745807423930369")</f>
        <v>0</v>
      </c>
      <c r="B1133" s="2">
        <v>42635.0004976852</v>
      </c>
      <c r="C1133">
        <v>61</v>
      </c>
      <c r="D1133">
        <v>152</v>
      </c>
      <c r="E1133" t="s">
        <v>1123</v>
      </c>
    </row>
    <row r="1134" spans="1:5">
      <c r="A1134">
        <f>HYPERLINK("http://www.twitter.com/NYPDnews/status/778734362510503937", "778734362510503937")</f>
        <v>0</v>
      </c>
      <c r="B1134" s="2">
        <v>42634.968912037</v>
      </c>
      <c r="C1134">
        <v>66</v>
      </c>
      <c r="D1134">
        <v>13</v>
      </c>
      <c r="E1134" t="s">
        <v>1124</v>
      </c>
    </row>
    <row r="1135" spans="1:5">
      <c r="A1135">
        <f>HYPERLINK("http://www.twitter.com/NYPDnews/status/778723087944519680", "778723087944519680")</f>
        <v>0</v>
      </c>
      <c r="B1135" s="2">
        <v>42634.9378009259</v>
      </c>
      <c r="C1135">
        <v>35</v>
      </c>
      <c r="D1135">
        <v>32</v>
      </c>
      <c r="E1135" t="s">
        <v>1125</v>
      </c>
    </row>
    <row r="1136" spans="1:5">
      <c r="A1136">
        <f>HYPERLINK("http://www.twitter.com/NYPDnews/status/778704165040103426", "778704165040103426")</f>
        <v>0</v>
      </c>
      <c r="B1136" s="2">
        <v>42634.8855902778</v>
      </c>
      <c r="C1136">
        <v>109</v>
      </c>
      <c r="D1136">
        <v>27</v>
      </c>
      <c r="E1136" t="s">
        <v>1126</v>
      </c>
    </row>
    <row r="1137" spans="1:5">
      <c r="A1137">
        <f>HYPERLINK("http://www.twitter.com/NYPDnews/status/778668360024326144", "778668360024326144")</f>
        <v>0</v>
      </c>
      <c r="B1137" s="2">
        <v>42634.7867824074</v>
      </c>
      <c r="C1137">
        <v>190</v>
      </c>
      <c r="D1137">
        <v>214</v>
      </c>
      <c r="E1137" t="s">
        <v>1127</v>
      </c>
    </row>
    <row r="1138" spans="1:5">
      <c r="A1138">
        <f>HYPERLINK("http://www.twitter.com/NYPDnews/status/778631006068809728", "778631006068809728")</f>
        <v>0</v>
      </c>
      <c r="B1138" s="2">
        <v>42634.6837037037</v>
      </c>
      <c r="C1138">
        <v>72</v>
      </c>
      <c r="D1138">
        <v>48</v>
      </c>
      <c r="E1138" t="s">
        <v>1128</v>
      </c>
    </row>
    <row r="1139" spans="1:5">
      <c r="A1139">
        <f>HYPERLINK("http://www.twitter.com/NYPDnews/status/778629061895655424", "778629061895655424")</f>
        <v>0</v>
      </c>
      <c r="B1139" s="2">
        <v>42634.6783449074</v>
      </c>
      <c r="C1139">
        <v>93</v>
      </c>
      <c r="D1139">
        <v>19</v>
      </c>
      <c r="E1139" t="s">
        <v>1129</v>
      </c>
    </row>
    <row r="1140" spans="1:5">
      <c r="A1140">
        <f>HYPERLINK("http://www.twitter.com/NYPDnews/status/778627368944631808", "778627368944631808")</f>
        <v>0</v>
      </c>
      <c r="B1140" s="2">
        <v>42634.6736689815</v>
      </c>
      <c r="C1140">
        <v>130</v>
      </c>
      <c r="D1140">
        <v>304</v>
      </c>
      <c r="E1140" t="s">
        <v>1130</v>
      </c>
    </row>
    <row r="1141" spans="1:5">
      <c r="A1141">
        <f>HYPERLINK("http://www.twitter.com/NYPDnews/status/778626124242911232", "778626124242911232")</f>
        <v>0</v>
      </c>
      <c r="B1141" s="2">
        <v>42634.6702314815</v>
      </c>
      <c r="C1141">
        <v>23</v>
      </c>
      <c r="D1141">
        <v>14</v>
      </c>
      <c r="E1141" t="s">
        <v>1131</v>
      </c>
    </row>
    <row r="1142" spans="1:5">
      <c r="A1142">
        <f>HYPERLINK("http://www.twitter.com/NYPDnews/status/778618094210220032", "778618094210220032")</f>
        <v>0</v>
      </c>
      <c r="B1142" s="2">
        <v>42634.6480787037</v>
      </c>
      <c r="C1142">
        <v>74</v>
      </c>
      <c r="D1142">
        <v>32</v>
      </c>
      <c r="E1142" t="s">
        <v>1132</v>
      </c>
    </row>
    <row r="1143" spans="1:5">
      <c r="A1143">
        <f>HYPERLINK("http://www.twitter.com/NYPDnews/status/778612429387366400", "778612429387366400")</f>
        <v>0</v>
      </c>
      <c r="B1143" s="2">
        <v>42634.6324421296</v>
      </c>
      <c r="C1143">
        <v>26</v>
      </c>
      <c r="D1143">
        <v>23</v>
      </c>
      <c r="E1143" t="s">
        <v>1133</v>
      </c>
    </row>
    <row r="1144" spans="1:5">
      <c r="A1144">
        <f>HYPERLINK("http://www.twitter.com/NYPDnews/status/778575804326445057", "778575804326445057")</f>
        <v>0</v>
      </c>
      <c r="B1144" s="2">
        <v>42634.5313773148</v>
      </c>
      <c r="C1144">
        <v>48</v>
      </c>
      <c r="D1144">
        <v>12</v>
      </c>
      <c r="E1144" t="s">
        <v>1134</v>
      </c>
    </row>
    <row r="1145" spans="1:5">
      <c r="A1145">
        <f>HYPERLINK("http://www.twitter.com/NYPDnews/status/778572086289858560", "778572086289858560")</f>
        <v>0</v>
      </c>
      <c r="B1145" s="2">
        <v>42634.5211226852</v>
      </c>
      <c r="C1145">
        <v>23</v>
      </c>
      <c r="D1145">
        <v>64</v>
      </c>
      <c r="E1145" t="s">
        <v>1135</v>
      </c>
    </row>
    <row r="1146" spans="1:5">
      <c r="A1146">
        <f>HYPERLINK("http://www.twitter.com/NYPDnews/status/778568297050759169", "778568297050759169")</f>
        <v>0</v>
      </c>
      <c r="B1146" s="2">
        <v>42634.5106597222</v>
      </c>
      <c r="C1146">
        <v>41</v>
      </c>
      <c r="D1146">
        <v>23</v>
      </c>
      <c r="E1146" t="s">
        <v>1136</v>
      </c>
    </row>
    <row r="1147" spans="1:5">
      <c r="A1147">
        <f>HYPERLINK("http://www.twitter.com/NYPDnews/status/778564603919929344", "778564603919929344")</f>
        <v>0</v>
      </c>
      <c r="B1147" s="2">
        <v>42634.500474537</v>
      </c>
      <c r="C1147">
        <v>34</v>
      </c>
      <c r="D1147">
        <v>25</v>
      </c>
      <c r="E1147" t="s">
        <v>1137</v>
      </c>
    </row>
    <row r="1148" spans="1:5">
      <c r="A1148">
        <f>HYPERLINK("http://www.twitter.com/NYPDnews/status/778411272069087233", "778411272069087233")</f>
        <v>0</v>
      </c>
      <c r="B1148" s="2">
        <v>42634.0773611111</v>
      </c>
      <c r="C1148">
        <v>0</v>
      </c>
      <c r="D1148">
        <v>25</v>
      </c>
      <c r="E1148" t="s">
        <v>1138</v>
      </c>
    </row>
    <row r="1149" spans="1:5">
      <c r="A1149">
        <f>HYPERLINK("http://www.twitter.com/NYPDnews/status/778398112251535360", "778398112251535360")</f>
        <v>0</v>
      </c>
      <c r="B1149" s="2">
        <v>42634.0410416667</v>
      </c>
      <c r="C1149">
        <v>0</v>
      </c>
      <c r="D1149">
        <v>61</v>
      </c>
      <c r="E1149" t="s">
        <v>1139</v>
      </c>
    </row>
    <row r="1150" spans="1:5">
      <c r="A1150">
        <f>HYPERLINK("http://www.twitter.com/NYPDnews/status/778384600158666752", "778384600158666752")</f>
        <v>0</v>
      </c>
      <c r="B1150" s="2">
        <v>42634.0037615741</v>
      </c>
      <c r="C1150">
        <v>60</v>
      </c>
      <c r="D1150">
        <v>20</v>
      </c>
      <c r="E1150" t="s">
        <v>1140</v>
      </c>
    </row>
    <row r="1151" spans="1:5">
      <c r="A1151">
        <f>HYPERLINK("http://www.twitter.com/NYPDnews/status/778371975706181632", "778371975706181632")</f>
        <v>0</v>
      </c>
      <c r="B1151" s="2">
        <v>42633.9689236111</v>
      </c>
      <c r="C1151">
        <v>50</v>
      </c>
      <c r="D1151">
        <v>43</v>
      </c>
      <c r="E1151" t="s">
        <v>1141</v>
      </c>
    </row>
    <row r="1152" spans="1:5">
      <c r="A1152">
        <f>HYPERLINK("http://www.twitter.com/NYPDnews/status/778355622475599872", "778355622475599872")</f>
        <v>0</v>
      </c>
      <c r="B1152" s="2">
        <v>42633.9237962963</v>
      </c>
      <c r="C1152">
        <v>110</v>
      </c>
      <c r="D1152">
        <v>35</v>
      </c>
      <c r="E1152" t="s">
        <v>1142</v>
      </c>
    </row>
    <row r="1153" spans="1:5">
      <c r="A1153">
        <f>HYPERLINK("http://www.twitter.com/NYPDnews/status/778345600341405696", "778345600341405696")</f>
        <v>0</v>
      </c>
      <c r="B1153" s="2">
        <v>42633.8961342593</v>
      </c>
      <c r="C1153">
        <v>27</v>
      </c>
      <c r="D1153">
        <v>64</v>
      </c>
      <c r="E1153" t="s">
        <v>1143</v>
      </c>
    </row>
    <row r="1154" spans="1:5">
      <c r="A1154">
        <f>HYPERLINK("http://www.twitter.com/NYPDnews/status/778331700954890240", "778331700954890240")</f>
        <v>0</v>
      </c>
      <c r="B1154" s="2">
        <v>42633.8577777778</v>
      </c>
      <c r="C1154">
        <v>42</v>
      </c>
      <c r="D1154">
        <v>30</v>
      </c>
      <c r="E1154" t="s">
        <v>1144</v>
      </c>
    </row>
    <row r="1155" spans="1:5">
      <c r="A1155">
        <f>HYPERLINK("http://www.twitter.com/NYPDnews/status/778314065244545024", "778314065244545024")</f>
        <v>0</v>
      </c>
      <c r="B1155" s="2">
        <v>42633.8091203704</v>
      </c>
      <c r="C1155">
        <v>1443</v>
      </c>
      <c r="D1155">
        <v>695</v>
      </c>
      <c r="E1155" t="s">
        <v>1145</v>
      </c>
    </row>
    <row r="1156" spans="1:5">
      <c r="A1156">
        <f>HYPERLINK("http://www.twitter.com/NYPDnews/status/778283358212153345", "778283358212153345")</f>
        <v>0</v>
      </c>
      <c r="B1156" s="2">
        <v>42633.7243865741</v>
      </c>
      <c r="C1156">
        <v>0</v>
      </c>
      <c r="D1156">
        <v>82</v>
      </c>
      <c r="E1156" t="s">
        <v>1146</v>
      </c>
    </row>
    <row r="1157" spans="1:5">
      <c r="A1157">
        <f>HYPERLINK("http://www.twitter.com/NYPDnews/status/778259242012831744", "778259242012831744")</f>
        <v>0</v>
      </c>
      <c r="B1157" s="2">
        <v>42633.6578356481</v>
      </c>
      <c r="C1157">
        <v>95</v>
      </c>
      <c r="D1157">
        <v>51</v>
      </c>
      <c r="E1157" t="s">
        <v>1147</v>
      </c>
    </row>
    <row r="1158" spans="1:5">
      <c r="A1158">
        <f>HYPERLINK("http://www.twitter.com/NYPDnews/status/778258441907429376", "778258441907429376")</f>
        <v>0</v>
      </c>
      <c r="B1158" s="2">
        <v>42633.655625</v>
      </c>
      <c r="C1158">
        <v>32</v>
      </c>
      <c r="D1158">
        <v>20</v>
      </c>
      <c r="E1158" t="s">
        <v>1148</v>
      </c>
    </row>
    <row r="1159" spans="1:5">
      <c r="A1159">
        <f>HYPERLINK("http://www.twitter.com/NYPDnews/status/778257741420826624", "778257741420826624")</f>
        <v>0</v>
      </c>
      <c r="B1159" s="2">
        <v>42633.6536921296</v>
      </c>
      <c r="C1159">
        <v>87</v>
      </c>
      <c r="D1159">
        <v>30</v>
      </c>
      <c r="E1159" t="s">
        <v>1149</v>
      </c>
    </row>
    <row r="1160" spans="1:5">
      <c r="A1160">
        <f>HYPERLINK("http://www.twitter.com/NYPDnews/status/778256648225886208", "778256648225886208")</f>
        <v>0</v>
      </c>
      <c r="B1160" s="2">
        <v>42633.6506712963</v>
      </c>
      <c r="C1160">
        <v>22</v>
      </c>
      <c r="D1160">
        <v>14</v>
      </c>
      <c r="E1160" t="s">
        <v>1150</v>
      </c>
    </row>
    <row r="1161" spans="1:5">
      <c r="A1161">
        <f>HYPERLINK("http://www.twitter.com/NYPDnews/status/778213444017385473", "778213444017385473")</f>
        <v>0</v>
      </c>
      <c r="B1161" s="2">
        <v>42633.5314583333</v>
      </c>
      <c r="C1161">
        <v>55</v>
      </c>
      <c r="D1161">
        <v>13</v>
      </c>
      <c r="E1161" t="s">
        <v>1151</v>
      </c>
    </row>
    <row r="1162" spans="1:5">
      <c r="A1162">
        <f>HYPERLINK("http://www.twitter.com/NYPDnews/status/778209728799338496", "778209728799338496")</f>
        <v>0</v>
      </c>
      <c r="B1162" s="2">
        <v>42633.5212037037</v>
      </c>
      <c r="C1162">
        <v>24</v>
      </c>
      <c r="D1162">
        <v>8</v>
      </c>
      <c r="E1162" t="s">
        <v>1152</v>
      </c>
    </row>
    <row r="1163" spans="1:5">
      <c r="A1163">
        <f>HYPERLINK("http://www.twitter.com/NYPDnews/status/778206848235298816", "778206848235298816")</f>
        <v>0</v>
      </c>
      <c r="B1163" s="2">
        <v>42633.5132523148</v>
      </c>
      <c r="C1163">
        <v>0</v>
      </c>
      <c r="D1163">
        <v>50</v>
      </c>
      <c r="E1163" t="s">
        <v>1153</v>
      </c>
    </row>
    <row r="1164" spans="1:5">
      <c r="A1164">
        <f>HYPERLINK("http://www.twitter.com/NYPDnews/status/778205873973891072", "778205873973891072")</f>
        <v>0</v>
      </c>
      <c r="B1164" s="2">
        <v>42633.5105671296</v>
      </c>
      <c r="C1164">
        <v>20</v>
      </c>
      <c r="D1164">
        <v>53</v>
      </c>
      <c r="E1164" t="s">
        <v>1154</v>
      </c>
    </row>
    <row r="1165" spans="1:5">
      <c r="A1165">
        <f>HYPERLINK("http://www.twitter.com/NYPDnews/status/778202208387096576", "778202208387096576")</f>
        <v>0</v>
      </c>
      <c r="B1165" s="2">
        <v>42633.5004513889</v>
      </c>
      <c r="C1165">
        <v>68</v>
      </c>
      <c r="D1165">
        <v>35</v>
      </c>
      <c r="E1165" t="s">
        <v>1155</v>
      </c>
    </row>
    <row r="1166" spans="1:5">
      <c r="A1166">
        <f>HYPERLINK("http://www.twitter.com/NYPDnews/status/778194580546129920", "778194580546129920")</f>
        <v>0</v>
      </c>
      <c r="B1166" s="2">
        <v>42633.4793981481</v>
      </c>
      <c r="C1166">
        <v>11</v>
      </c>
      <c r="D1166">
        <v>5</v>
      </c>
      <c r="E1166" t="s">
        <v>1156</v>
      </c>
    </row>
    <row r="1167" spans="1:5">
      <c r="A1167">
        <f>HYPERLINK("http://www.twitter.com/NYPDnews/status/778032201648771077", "778032201648771077")</f>
        <v>0</v>
      </c>
      <c r="B1167" s="2">
        <v>42633.0313194444</v>
      </c>
      <c r="C1167">
        <v>138</v>
      </c>
      <c r="D1167">
        <v>32</v>
      </c>
      <c r="E1167" t="s">
        <v>1157</v>
      </c>
    </row>
    <row r="1168" spans="1:5">
      <c r="A1168">
        <f>HYPERLINK("http://www.twitter.com/NYPDnews/status/778020212108951552", "778020212108951552")</f>
        <v>0</v>
      </c>
      <c r="B1168" s="2">
        <v>42632.9982407407</v>
      </c>
      <c r="C1168">
        <v>0</v>
      </c>
      <c r="D1168">
        <v>5</v>
      </c>
      <c r="E1168" t="s">
        <v>1158</v>
      </c>
    </row>
    <row r="1169" spans="1:5">
      <c r="A1169">
        <f>HYPERLINK("http://www.twitter.com/NYPDnews/status/778002267198853121", "778002267198853121")</f>
        <v>0</v>
      </c>
      <c r="B1169" s="2">
        <v>42632.9487152778</v>
      </c>
      <c r="C1169">
        <v>61</v>
      </c>
      <c r="D1169">
        <v>20</v>
      </c>
      <c r="E1169" t="s">
        <v>1159</v>
      </c>
    </row>
    <row r="1170" spans="1:5">
      <c r="A1170">
        <f>HYPERLINK("http://www.twitter.com/NYPDnews/status/777925861127380992", "777925861127380992")</f>
        <v>0</v>
      </c>
      <c r="B1170" s="2">
        <v>42632.7378819444</v>
      </c>
      <c r="C1170">
        <v>195</v>
      </c>
      <c r="D1170">
        <v>81</v>
      </c>
      <c r="E1170" t="s">
        <v>1160</v>
      </c>
    </row>
    <row r="1171" spans="1:5">
      <c r="A1171">
        <f>HYPERLINK("http://www.twitter.com/NYPDnews/status/777925150620647424", "777925150620647424")</f>
        <v>0</v>
      </c>
      <c r="B1171" s="2">
        <v>42632.7359143519</v>
      </c>
      <c r="C1171">
        <v>124</v>
      </c>
      <c r="D1171">
        <v>58</v>
      </c>
      <c r="E1171" t="s">
        <v>1161</v>
      </c>
    </row>
    <row r="1172" spans="1:5">
      <c r="A1172">
        <f>HYPERLINK("http://www.twitter.com/NYPDnews/status/777923818878894081", "777923818878894081")</f>
        <v>0</v>
      </c>
      <c r="B1172" s="2">
        <v>42632.7322453704</v>
      </c>
      <c r="C1172">
        <v>147</v>
      </c>
      <c r="D1172">
        <v>80</v>
      </c>
      <c r="E1172" t="s">
        <v>1162</v>
      </c>
    </row>
    <row r="1173" spans="1:5">
      <c r="A1173">
        <f>HYPERLINK("http://www.twitter.com/NYPDnews/status/777923178853203968", "777923178853203968")</f>
        <v>0</v>
      </c>
      <c r="B1173" s="2">
        <v>42632.730474537</v>
      </c>
      <c r="C1173">
        <v>53</v>
      </c>
      <c r="D1173">
        <v>32</v>
      </c>
      <c r="E1173" t="s">
        <v>1163</v>
      </c>
    </row>
    <row r="1174" spans="1:5">
      <c r="A1174">
        <f>HYPERLINK("http://www.twitter.com/NYPDnews/status/777922736257728512", "777922736257728512")</f>
        <v>0</v>
      </c>
      <c r="B1174" s="2">
        <v>42632.7292592593</v>
      </c>
      <c r="C1174">
        <v>57</v>
      </c>
      <c r="D1174">
        <v>56</v>
      </c>
      <c r="E1174" t="s">
        <v>1164</v>
      </c>
    </row>
    <row r="1175" spans="1:5">
      <c r="A1175">
        <f>HYPERLINK("http://www.twitter.com/NYPDnews/status/777922233381580800", "777922233381580800")</f>
        <v>0</v>
      </c>
      <c r="B1175" s="2">
        <v>42632.7278703704</v>
      </c>
      <c r="C1175">
        <v>1004</v>
      </c>
      <c r="D1175">
        <v>489</v>
      </c>
      <c r="E1175" t="s">
        <v>1165</v>
      </c>
    </row>
    <row r="1176" spans="1:5">
      <c r="A1176">
        <f>HYPERLINK("http://www.twitter.com/NYPDnews/status/777921380264321024", "777921380264321024")</f>
        <v>0</v>
      </c>
      <c r="B1176" s="2">
        <v>42632.7255092593</v>
      </c>
      <c r="C1176">
        <v>32</v>
      </c>
      <c r="D1176">
        <v>54</v>
      </c>
      <c r="E1176" t="s">
        <v>1166</v>
      </c>
    </row>
    <row r="1177" spans="1:5">
      <c r="A1177">
        <f>HYPERLINK("http://www.twitter.com/NYPDnews/status/777918511419097088", "777918511419097088")</f>
        <v>0</v>
      </c>
      <c r="B1177" s="2">
        <v>42632.7175925926</v>
      </c>
      <c r="C1177">
        <v>14</v>
      </c>
      <c r="D1177">
        <v>25</v>
      </c>
      <c r="E1177" t="s">
        <v>1167</v>
      </c>
    </row>
    <row r="1178" spans="1:5">
      <c r="A1178">
        <f>HYPERLINK("http://www.twitter.com/NYPDnews/status/777905916041633792", "777905916041633792")</f>
        <v>0</v>
      </c>
      <c r="B1178" s="2">
        <v>42632.6828356481</v>
      </c>
      <c r="C1178">
        <v>118</v>
      </c>
      <c r="D1178">
        <v>70</v>
      </c>
      <c r="E1178" t="s">
        <v>1168</v>
      </c>
    </row>
    <row r="1179" spans="1:5">
      <c r="A1179">
        <f>HYPERLINK("http://www.twitter.com/NYPDnews/status/777902276857823233", "777902276857823233")</f>
        <v>0</v>
      </c>
      <c r="B1179" s="2">
        <v>42632.6728009259</v>
      </c>
      <c r="C1179">
        <v>69</v>
      </c>
      <c r="D1179">
        <v>18</v>
      </c>
      <c r="E1179" t="s">
        <v>1169</v>
      </c>
    </row>
    <row r="1180" spans="1:5">
      <c r="A1180">
        <f>HYPERLINK("http://www.twitter.com/NYPDnews/status/777899013743992833", "777899013743992833")</f>
        <v>0</v>
      </c>
      <c r="B1180" s="2">
        <v>42632.6637962963</v>
      </c>
      <c r="C1180">
        <v>172</v>
      </c>
      <c r="D1180">
        <v>67</v>
      </c>
      <c r="E1180" t="s">
        <v>1170</v>
      </c>
    </row>
    <row r="1181" spans="1:5">
      <c r="A1181">
        <f>HYPERLINK("http://www.twitter.com/NYPDnews/status/777894377590960128", "777894377590960128")</f>
        <v>0</v>
      </c>
      <c r="B1181" s="2">
        <v>42632.6509953704</v>
      </c>
      <c r="C1181">
        <v>73</v>
      </c>
      <c r="D1181">
        <v>19</v>
      </c>
      <c r="E1181" t="s">
        <v>1171</v>
      </c>
    </row>
    <row r="1182" spans="1:5">
      <c r="A1182">
        <f>HYPERLINK("http://www.twitter.com/NYPDnews/status/777893118918135808", "777893118918135808")</f>
        <v>0</v>
      </c>
      <c r="B1182" s="2">
        <v>42632.6475231481</v>
      </c>
      <c r="C1182">
        <v>31</v>
      </c>
      <c r="D1182">
        <v>16</v>
      </c>
      <c r="E1182" t="s">
        <v>1172</v>
      </c>
    </row>
    <row r="1183" spans="1:5">
      <c r="A1183">
        <f>HYPERLINK("http://www.twitter.com/NYPDnews/status/777890303235817472", "777890303235817472")</f>
        <v>0</v>
      </c>
      <c r="B1183" s="2">
        <v>42632.6397569444</v>
      </c>
      <c r="C1183">
        <v>110</v>
      </c>
      <c r="D1183">
        <v>51</v>
      </c>
      <c r="E1183" t="s">
        <v>1173</v>
      </c>
    </row>
    <row r="1184" spans="1:5">
      <c r="A1184">
        <f>HYPERLINK("http://www.twitter.com/NYPDnews/status/777886479871676418", "777886479871676418")</f>
        <v>0</v>
      </c>
      <c r="B1184" s="2">
        <v>42632.6292013889</v>
      </c>
      <c r="C1184">
        <v>35</v>
      </c>
      <c r="D1184">
        <v>16</v>
      </c>
      <c r="E1184" t="s">
        <v>1174</v>
      </c>
    </row>
    <row r="1185" spans="1:5">
      <c r="A1185">
        <f>HYPERLINK("http://www.twitter.com/NYPDnews/status/777870622940594176", "777870622940594176")</f>
        <v>0</v>
      </c>
      <c r="B1185" s="2">
        <v>42632.5854513889</v>
      </c>
      <c r="C1185">
        <v>0</v>
      </c>
      <c r="D1185">
        <v>78</v>
      </c>
      <c r="E1185" t="s">
        <v>1175</v>
      </c>
    </row>
    <row r="1186" spans="1:5">
      <c r="A1186">
        <f>HYPERLINK("http://www.twitter.com/NYPDnews/status/777858855908864000", "777858855908864000")</f>
        <v>0</v>
      </c>
      <c r="B1186" s="2">
        <v>42632.552974537</v>
      </c>
      <c r="C1186">
        <v>63</v>
      </c>
      <c r="D1186">
        <v>182</v>
      </c>
      <c r="E1186" t="s">
        <v>1176</v>
      </c>
    </row>
    <row r="1187" spans="1:5">
      <c r="A1187">
        <f>HYPERLINK("http://www.twitter.com/NYPDnews/status/777834497190555648", "777834497190555648")</f>
        <v>0</v>
      </c>
      <c r="B1187" s="2">
        <v>42632.4857638889</v>
      </c>
      <c r="C1187">
        <v>1071</v>
      </c>
      <c r="D1187">
        <v>2597</v>
      </c>
      <c r="E1187" t="s">
        <v>1177</v>
      </c>
    </row>
    <row r="1188" spans="1:5">
      <c r="A1188">
        <f>HYPERLINK("http://www.twitter.com/NYPDnews/status/777825893670674432", "777825893670674432")</f>
        <v>0</v>
      </c>
      <c r="B1188" s="2">
        <v>42632.462025463</v>
      </c>
      <c r="C1188">
        <v>0</v>
      </c>
      <c r="D1188">
        <v>108</v>
      </c>
      <c r="E1188" t="s">
        <v>1178</v>
      </c>
    </row>
    <row r="1189" spans="1:5">
      <c r="A1189">
        <f>HYPERLINK("http://www.twitter.com/NYPDnews/status/777658526952980480", "777658526952980480")</f>
        <v>0</v>
      </c>
      <c r="B1189" s="2">
        <v>42632.0001736111</v>
      </c>
      <c r="C1189">
        <v>319</v>
      </c>
      <c r="D1189">
        <v>390</v>
      </c>
      <c r="E1189" t="s">
        <v>1179</v>
      </c>
    </row>
    <row r="1190" spans="1:5">
      <c r="A1190">
        <f>HYPERLINK("http://www.twitter.com/NYPDnews/status/777656290273333248", "777656290273333248")</f>
        <v>0</v>
      </c>
      <c r="B1190" s="2">
        <v>42631.9940046296</v>
      </c>
      <c r="C1190">
        <v>0</v>
      </c>
      <c r="D1190">
        <v>163</v>
      </c>
      <c r="E1190" t="s">
        <v>1180</v>
      </c>
    </row>
    <row r="1191" spans="1:5">
      <c r="A1191">
        <f>HYPERLINK("http://www.twitter.com/NYPDnews/status/777645776130416640", "777645776130416640")</f>
        <v>0</v>
      </c>
      <c r="B1191" s="2">
        <v>42631.9649884259</v>
      </c>
      <c r="C1191">
        <v>77</v>
      </c>
      <c r="D1191">
        <v>129</v>
      </c>
      <c r="E1191" t="s">
        <v>1181</v>
      </c>
    </row>
    <row r="1192" spans="1:5">
      <c r="A1192">
        <f>HYPERLINK("http://www.twitter.com/NYPDnews/status/777607374056022016", "777607374056022016")</f>
        <v>0</v>
      </c>
      <c r="B1192" s="2">
        <v>42631.8590162037</v>
      </c>
      <c r="C1192">
        <v>119</v>
      </c>
      <c r="D1192">
        <v>161</v>
      </c>
      <c r="E1192" t="s">
        <v>1182</v>
      </c>
    </row>
    <row r="1193" spans="1:5">
      <c r="A1193">
        <f>HYPERLINK("http://www.twitter.com/NYPDnews/status/777592250830360576", "777592250830360576")</f>
        <v>0</v>
      </c>
      <c r="B1193" s="2">
        <v>42631.8172916667</v>
      </c>
      <c r="C1193">
        <v>0</v>
      </c>
      <c r="D1193">
        <v>42</v>
      </c>
      <c r="E1193" t="s">
        <v>1183</v>
      </c>
    </row>
    <row r="1194" spans="1:5">
      <c r="A1194">
        <f>HYPERLINK("http://www.twitter.com/NYPDnews/status/777550546748182528", "777550546748182528")</f>
        <v>0</v>
      </c>
      <c r="B1194" s="2">
        <v>42631.7022106481</v>
      </c>
      <c r="C1194">
        <v>116</v>
      </c>
      <c r="D1194">
        <v>187</v>
      </c>
      <c r="E1194" t="s">
        <v>1184</v>
      </c>
    </row>
    <row r="1195" spans="1:5">
      <c r="A1195">
        <f>HYPERLINK("http://www.twitter.com/NYPDnews/status/777549661502668801", "777549661502668801")</f>
        <v>0</v>
      </c>
      <c r="B1195" s="2">
        <v>42631.6997685185</v>
      </c>
      <c r="C1195">
        <v>32</v>
      </c>
      <c r="D1195">
        <v>35</v>
      </c>
      <c r="E1195" t="s">
        <v>1185</v>
      </c>
    </row>
    <row r="1196" spans="1:5">
      <c r="A1196">
        <f>HYPERLINK("http://www.twitter.com/NYPDnews/status/777549089105903616", "777549089105903616")</f>
        <v>0</v>
      </c>
      <c r="B1196" s="2">
        <v>42631.6981828704</v>
      </c>
      <c r="C1196">
        <v>37</v>
      </c>
      <c r="D1196">
        <v>29</v>
      </c>
      <c r="E1196" t="s">
        <v>1186</v>
      </c>
    </row>
    <row r="1197" spans="1:5">
      <c r="A1197">
        <f>HYPERLINK("http://www.twitter.com/NYPDnews/status/777547898091343872", "777547898091343872")</f>
        <v>0</v>
      </c>
      <c r="B1197" s="2">
        <v>42631.6948958333</v>
      </c>
      <c r="C1197">
        <v>35</v>
      </c>
      <c r="D1197">
        <v>37</v>
      </c>
      <c r="E1197" t="s">
        <v>1187</v>
      </c>
    </row>
    <row r="1198" spans="1:5">
      <c r="A1198">
        <f>HYPERLINK("http://www.twitter.com/NYPDnews/status/777547494569934848", "777547494569934848")</f>
        <v>0</v>
      </c>
      <c r="B1198" s="2">
        <v>42631.6937847222</v>
      </c>
      <c r="C1198">
        <v>42</v>
      </c>
      <c r="D1198">
        <v>35</v>
      </c>
      <c r="E1198" t="s">
        <v>1188</v>
      </c>
    </row>
    <row r="1199" spans="1:5">
      <c r="A1199">
        <f>HYPERLINK("http://www.twitter.com/NYPDnews/status/777546617780072448", "777546617780072448")</f>
        <v>0</v>
      </c>
      <c r="B1199" s="2">
        <v>42631.6913657407</v>
      </c>
      <c r="C1199">
        <v>39</v>
      </c>
      <c r="D1199">
        <v>57</v>
      </c>
      <c r="E1199" t="s">
        <v>1189</v>
      </c>
    </row>
    <row r="1200" spans="1:5">
      <c r="A1200">
        <f>HYPERLINK("http://www.twitter.com/NYPDnews/status/777545727102902272", "777545727102902272")</f>
        <v>0</v>
      </c>
      <c r="B1200" s="2">
        <v>42631.688912037</v>
      </c>
      <c r="C1200">
        <v>63</v>
      </c>
      <c r="D1200">
        <v>71</v>
      </c>
      <c r="E1200" t="s">
        <v>1190</v>
      </c>
    </row>
    <row r="1201" spans="1:5">
      <c r="A1201">
        <f>HYPERLINK("http://www.twitter.com/NYPDnews/status/777544963286589440", "777544963286589440")</f>
        <v>0</v>
      </c>
      <c r="B1201" s="2">
        <v>42631.6867939815</v>
      </c>
      <c r="C1201">
        <v>60</v>
      </c>
      <c r="D1201">
        <v>58</v>
      </c>
      <c r="E1201" t="s">
        <v>1191</v>
      </c>
    </row>
    <row r="1202" spans="1:5">
      <c r="A1202">
        <f>HYPERLINK("http://www.twitter.com/NYPDnews/status/777544707677257729", "777544707677257729")</f>
        <v>0</v>
      </c>
      <c r="B1202" s="2">
        <v>42631.686099537</v>
      </c>
      <c r="C1202">
        <v>61</v>
      </c>
      <c r="D1202">
        <v>46</v>
      </c>
      <c r="E1202" t="s">
        <v>1192</v>
      </c>
    </row>
    <row r="1203" spans="1:5">
      <c r="A1203">
        <f>HYPERLINK("http://www.twitter.com/NYPDnews/status/777544326565990400", "777544326565990400")</f>
        <v>0</v>
      </c>
      <c r="B1203" s="2">
        <v>42631.6850462963</v>
      </c>
      <c r="C1203">
        <v>59</v>
      </c>
      <c r="D1203">
        <v>86</v>
      </c>
      <c r="E1203" t="s">
        <v>1193</v>
      </c>
    </row>
    <row r="1204" spans="1:5">
      <c r="A1204">
        <f>HYPERLINK("http://www.twitter.com/NYPDnews/status/777544045350486016", "777544045350486016")</f>
        <v>0</v>
      </c>
      <c r="B1204" s="2">
        <v>42631.6842708333</v>
      </c>
      <c r="C1204">
        <v>59</v>
      </c>
      <c r="D1204">
        <v>69</v>
      </c>
      <c r="E1204" t="s">
        <v>1194</v>
      </c>
    </row>
    <row r="1205" spans="1:5">
      <c r="A1205">
        <f>HYPERLINK("http://www.twitter.com/NYPDnews/status/777543851812814849", "777543851812814849")</f>
        <v>0</v>
      </c>
      <c r="B1205" s="2">
        <v>42631.6837268519</v>
      </c>
      <c r="C1205">
        <v>60</v>
      </c>
      <c r="D1205">
        <v>87</v>
      </c>
      <c r="E1205" t="s">
        <v>1195</v>
      </c>
    </row>
    <row r="1206" spans="1:5">
      <c r="A1206">
        <f>HYPERLINK("http://www.twitter.com/NYPDnews/status/777543602104832000", "777543602104832000")</f>
        <v>0</v>
      </c>
      <c r="B1206" s="2">
        <v>42631.6830439815</v>
      </c>
      <c r="C1206">
        <v>22</v>
      </c>
      <c r="D1206">
        <v>19</v>
      </c>
      <c r="E1206" t="s">
        <v>1196</v>
      </c>
    </row>
    <row r="1207" spans="1:5">
      <c r="A1207">
        <f>HYPERLINK("http://www.twitter.com/NYPDnews/status/777543251054264320", "777543251054264320")</f>
        <v>0</v>
      </c>
      <c r="B1207" s="2">
        <v>42631.6820717593</v>
      </c>
      <c r="C1207">
        <v>54</v>
      </c>
      <c r="D1207">
        <v>91</v>
      </c>
      <c r="E1207" t="s">
        <v>1197</v>
      </c>
    </row>
    <row r="1208" spans="1:5">
      <c r="A1208">
        <f>HYPERLINK("http://www.twitter.com/NYPDnews/status/777542570259906561", "777542570259906561")</f>
        <v>0</v>
      </c>
      <c r="B1208" s="2">
        <v>42631.6801967593</v>
      </c>
      <c r="C1208">
        <v>169</v>
      </c>
      <c r="D1208">
        <v>127</v>
      </c>
      <c r="E1208" t="s">
        <v>1198</v>
      </c>
    </row>
    <row r="1209" spans="1:5">
      <c r="A1209">
        <f>HYPERLINK("http://www.twitter.com/NYPDnews/status/777541410186727424", "777541410186727424")</f>
        <v>0</v>
      </c>
      <c r="B1209" s="2">
        <v>42631.6769907407</v>
      </c>
      <c r="C1209">
        <v>23</v>
      </c>
      <c r="D1209">
        <v>25</v>
      </c>
      <c r="E1209" t="s">
        <v>1199</v>
      </c>
    </row>
    <row r="1210" spans="1:5">
      <c r="A1210">
        <f>HYPERLINK("http://www.twitter.com/NYPDnews/status/777536215180517380", "777536215180517380")</f>
        <v>0</v>
      </c>
      <c r="B1210" s="2">
        <v>42631.662662037</v>
      </c>
      <c r="C1210">
        <v>31</v>
      </c>
      <c r="D1210">
        <v>37</v>
      </c>
      <c r="E1210" t="s">
        <v>1200</v>
      </c>
    </row>
    <row r="1211" spans="1:5">
      <c r="A1211">
        <f>HYPERLINK("http://www.twitter.com/NYPDnews/status/777522147329736704", "777522147329736704")</f>
        <v>0</v>
      </c>
      <c r="B1211" s="2">
        <v>42631.6238425926</v>
      </c>
      <c r="C1211">
        <v>127</v>
      </c>
      <c r="D1211">
        <v>239</v>
      </c>
      <c r="E1211" t="s">
        <v>1201</v>
      </c>
    </row>
    <row r="1212" spans="1:5">
      <c r="A1212">
        <f>HYPERLINK("http://www.twitter.com/NYPDnews/status/777515151838896128", "777515151838896128")</f>
        <v>0</v>
      </c>
      <c r="B1212" s="2">
        <v>42631.604537037</v>
      </c>
      <c r="C1212">
        <v>49</v>
      </c>
      <c r="D1212">
        <v>73</v>
      </c>
      <c r="E1212" t="s">
        <v>1202</v>
      </c>
    </row>
    <row r="1213" spans="1:5">
      <c r="A1213">
        <f>HYPERLINK("http://www.twitter.com/NYPDnews/status/777494842830094336", "777494842830094336")</f>
        <v>0</v>
      </c>
      <c r="B1213" s="2">
        <v>42631.5484953704</v>
      </c>
      <c r="C1213">
        <v>287</v>
      </c>
      <c r="D1213">
        <v>537</v>
      </c>
      <c r="E1213" t="s">
        <v>1203</v>
      </c>
    </row>
    <row r="1214" spans="1:5">
      <c r="A1214">
        <f>HYPERLINK("http://www.twitter.com/NYPDnews/status/777404941392572416", "777404941392572416")</f>
        <v>0</v>
      </c>
      <c r="B1214" s="2">
        <v>42631.3004166667</v>
      </c>
      <c r="C1214">
        <v>96</v>
      </c>
      <c r="D1214">
        <v>176</v>
      </c>
      <c r="E1214" t="s">
        <v>1204</v>
      </c>
    </row>
    <row r="1215" spans="1:5">
      <c r="A1215">
        <f>HYPERLINK("http://www.twitter.com/NYPDnews/status/777392618464509952", "777392618464509952")</f>
        <v>0</v>
      </c>
      <c r="B1215" s="2">
        <v>42631.266412037</v>
      </c>
      <c r="C1215">
        <v>493</v>
      </c>
      <c r="D1215">
        <v>400</v>
      </c>
      <c r="E1215" t="s">
        <v>1205</v>
      </c>
    </row>
    <row r="1216" spans="1:5">
      <c r="A1216">
        <f>HYPERLINK("http://www.twitter.com/NYPDnews/status/777363697177985024", "777363697177985024")</f>
        <v>0</v>
      </c>
      <c r="B1216" s="2">
        <v>42631.1865972222</v>
      </c>
      <c r="C1216">
        <v>133</v>
      </c>
      <c r="D1216">
        <v>192</v>
      </c>
      <c r="E1216" t="s">
        <v>1206</v>
      </c>
    </row>
    <row r="1217" spans="1:5">
      <c r="A1217">
        <f>HYPERLINK("http://www.twitter.com/NYPDnews/status/777361311868911617", "777361311868911617")</f>
        <v>0</v>
      </c>
      <c r="B1217" s="2">
        <v>42631.1800231481</v>
      </c>
      <c r="C1217">
        <v>778</v>
      </c>
      <c r="D1217">
        <v>1287</v>
      </c>
      <c r="E1217" t="s">
        <v>1207</v>
      </c>
    </row>
    <row r="1218" spans="1:5">
      <c r="A1218">
        <f>HYPERLINK("http://www.twitter.com/NYPDnews/status/777358880527515648", "777358880527515648")</f>
        <v>0</v>
      </c>
      <c r="B1218" s="2">
        <v>42631.1733101852</v>
      </c>
      <c r="C1218">
        <v>62</v>
      </c>
      <c r="D1218">
        <v>61</v>
      </c>
      <c r="E1218" t="s">
        <v>1208</v>
      </c>
    </row>
    <row r="1219" spans="1:5">
      <c r="A1219">
        <f>HYPERLINK("http://www.twitter.com/NYPDnews/status/777352727433273345", "777352727433273345")</f>
        <v>0</v>
      </c>
      <c r="B1219" s="2">
        <v>42631.1563310185</v>
      </c>
      <c r="C1219">
        <v>224</v>
      </c>
      <c r="D1219">
        <v>398</v>
      </c>
      <c r="E1219" t="s">
        <v>1209</v>
      </c>
    </row>
    <row r="1220" spans="1:5">
      <c r="A1220">
        <f>HYPERLINK("http://www.twitter.com/NYPDnews/status/777351834172350469", "777351834172350469")</f>
        <v>0</v>
      </c>
      <c r="B1220" s="2">
        <v>42631.1538657407</v>
      </c>
      <c r="C1220">
        <v>121</v>
      </c>
      <c r="D1220">
        <v>146</v>
      </c>
      <c r="E1220" t="s">
        <v>1210</v>
      </c>
    </row>
    <row r="1221" spans="1:5">
      <c r="A1221">
        <f>HYPERLINK("http://www.twitter.com/NYPDnews/status/777348981764591617", "777348981764591617")</f>
        <v>0</v>
      </c>
      <c r="B1221" s="2">
        <v>42631.1459953704</v>
      </c>
      <c r="C1221">
        <v>199</v>
      </c>
      <c r="D1221">
        <v>305</v>
      </c>
      <c r="E1221" t="s">
        <v>1211</v>
      </c>
    </row>
    <row r="1222" spans="1:5">
      <c r="A1222">
        <f>HYPERLINK("http://www.twitter.com/NYPDnews/status/777348799933087744", "777348799933087744")</f>
        <v>0</v>
      </c>
      <c r="B1222" s="2">
        <v>42631.1454976852</v>
      </c>
      <c r="C1222">
        <v>105</v>
      </c>
      <c r="D1222">
        <v>146</v>
      </c>
      <c r="E1222" t="s">
        <v>1212</v>
      </c>
    </row>
    <row r="1223" spans="1:5">
      <c r="A1223">
        <f>HYPERLINK("http://www.twitter.com/NYPDnews/status/777348570089459712", "777348570089459712")</f>
        <v>0</v>
      </c>
      <c r="B1223" s="2">
        <v>42631.1448611111</v>
      </c>
      <c r="C1223">
        <v>118</v>
      </c>
      <c r="D1223">
        <v>124</v>
      </c>
      <c r="E1223" t="s">
        <v>1213</v>
      </c>
    </row>
    <row r="1224" spans="1:5">
      <c r="A1224">
        <f>HYPERLINK("http://www.twitter.com/NYPDnews/status/777348306032885761", "777348306032885761")</f>
        <v>0</v>
      </c>
      <c r="B1224" s="2">
        <v>42631.1441319444</v>
      </c>
      <c r="C1224">
        <v>127</v>
      </c>
      <c r="D1224">
        <v>160</v>
      </c>
      <c r="E1224" t="s">
        <v>1214</v>
      </c>
    </row>
    <row r="1225" spans="1:5">
      <c r="A1225">
        <f>HYPERLINK("http://www.twitter.com/NYPDnews/status/777348034158006272", "777348034158006272")</f>
        <v>0</v>
      </c>
      <c r="B1225" s="2">
        <v>42631.1433796296</v>
      </c>
      <c r="C1225">
        <v>154</v>
      </c>
      <c r="D1225">
        <v>154</v>
      </c>
      <c r="E1225" t="s">
        <v>1215</v>
      </c>
    </row>
    <row r="1226" spans="1:5">
      <c r="A1226">
        <f>HYPERLINK("http://www.twitter.com/NYPDnews/status/777347801210556416", "777347801210556416")</f>
        <v>0</v>
      </c>
      <c r="B1226" s="2">
        <v>42631.1427314815</v>
      </c>
      <c r="C1226">
        <v>48</v>
      </c>
      <c r="D1226">
        <v>58</v>
      </c>
      <c r="E1226" t="s">
        <v>1216</v>
      </c>
    </row>
    <row r="1227" spans="1:5">
      <c r="A1227">
        <f>HYPERLINK("http://www.twitter.com/NYPDnews/status/777347708646547456", "777347708646547456")</f>
        <v>0</v>
      </c>
      <c r="B1227" s="2">
        <v>42631.1424768519</v>
      </c>
      <c r="C1227">
        <v>323</v>
      </c>
      <c r="D1227">
        <v>290</v>
      </c>
      <c r="E1227" t="s">
        <v>1217</v>
      </c>
    </row>
    <row r="1228" spans="1:5">
      <c r="A1228">
        <f>HYPERLINK("http://www.twitter.com/NYPDnews/status/777347626882719749", "777347626882719749")</f>
        <v>0</v>
      </c>
      <c r="B1228" s="2">
        <v>42631.1422569444</v>
      </c>
      <c r="C1228">
        <v>62</v>
      </c>
      <c r="D1228">
        <v>153</v>
      </c>
      <c r="E1228" t="s">
        <v>1218</v>
      </c>
    </row>
    <row r="1229" spans="1:5">
      <c r="A1229">
        <f>HYPERLINK("http://www.twitter.com/NYPDnews/status/777347493688410112", "777347493688410112")</f>
        <v>0</v>
      </c>
      <c r="B1229" s="2">
        <v>42631.1418865741</v>
      </c>
      <c r="C1229">
        <v>464</v>
      </c>
      <c r="D1229">
        <v>521</v>
      </c>
      <c r="E1229" t="s">
        <v>1219</v>
      </c>
    </row>
    <row r="1230" spans="1:5">
      <c r="A1230">
        <f>HYPERLINK("http://www.twitter.com/NYPDnews/status/777346342956007425", "777346342956007425")</f>
        <v>0</v>
      </c>
      <c r="B1230" s="2">
        <v>42631.1387152778</v>
      </c>
      <c r="C1230">
        <v>47</v>
      </c>
      <c r="D1230">
        <v>61</v>
      </c>
      <c r="E1230" t="s">
        <v>1220</v>
      </c>
    </row>
    <row r="1231" spans="1:5">
      <c r="A1231">
        <f>HYPERLINK("http://www.twitter.com/NYPDnews/status/777346100248375296", "777346100248375296")</f>
        <v>0</v>
      </c>
      <c r="B1231" s="2">
        <v>42631.1380439815</v>
      </c>
      <c r="C1231">
        <v>41</v>
      </c>
      <c r="D1231">
        <v>70</v>
      </c>
      <c r="E1231" t="s">
        <v>1221</v>
      </c>
    </row>
    <row r="1232" spans="1:5">
      <c r="A1232">
        <f>HYPERLINK("http://www.twitter.com/NYPDnews/status/777344485160288256", "777344485160288256")</f>
        <v>0</v>
      </c>
      <c r="B1232" s="2">
        <v>42631.133587963</v>
      </c>
      <c r="C1232">
        <v>47</v>
      </c>
      <c r="D1232">
        <v>71</v>
      </c>
      <c r="E1232" t="s">
        <v>1222</v>
      </c>
    </row>
    <row r="1233" spans="1:5">
      <c r="A1233">
        <f>HYPERLINK("http://www.twitter.com/NYPDnews/status/777339295891918848", "777339295891918848")</f>
        <v>0</v>
      </c>
      <c r="B1233" s="2">
        <v>42631.1192708333</v>
      </c>
      <c r="C1233">
        <v>143</v>
      </c>
      <c r="D1233">
        <v>262</v>
      </c>
      <c r="E1233" t="s">
        <v>1223</v>
      </c>
    </row>
    <row r="1234" spans="1:5">
      <c r="A1234">
        <f>HYPERLINK("http://www.twitter.com/NYPDnews/status/777323161654288386", "777323161654288386")</f>
        <v>0</v>
      </c>
      <c r="B1234" s="2">
        <v>42631.0747453704</v>
      </c>
      <c r="C1234">
        <v>0</v>
      </c>
      <c r="D1234">
        <v>140</v>
      </c>
      <c r="E1234" t="s">
        <v>1224</v>
      </c>
    </row>
    <row r="1235" spans="1:5">
      <c r="A1235">
        <f>HYPERLINK("http://www.twitter.com/NYPDnews/status/777323112526405632", "777323112526405632")</f>
        <v>0</v>
      </c>
      <c r="B1235" s="2">
        <v>42631.0746064815</v>
      </c>
      <c r="C1235">
        <v>134</v>
      </c>
      <c r="D1235">
        <v>221</v>
      </c>
      <c r="E1235" t="s">
        <v>1225</v>
      </c>
    </row>
    <row r="1236" spans="1:5">
      <c r="A1236">
        <f>HYPERLINK("http://www.twitter.com/NYPDnews/status/777322630672252929", "777322630672252929")</f>
        <v>0</v>
      </c>
      <c r="B1236" s="2">
        <v>42631.073275463</v>
      </c>
      <c r="C1236">
        <v>0</v>
      </c>
      <c r="D1236">
        <v>664</v>
      </c>
      <c r="E1236" t="s">
        <v>1226</v>
      </c>
    </row>
    <row r="1237" spans="1:5">
      <c r="A1237">
        <f>HYPERLINK("http://www.twitter.com/NYPDnews/status/777322504301993984", "777322504301993984")</f>
        <v>0</v>
      </c>
      <c r="B1237" s="2">
        <v>42631.0729282407</v>
      </c>
      <c r="C1237">
        <v>148</v>
      </c>
      <c r="D1237">
        <v>262</v>
      </c>
      <c r="E1237" t="s">
        <v>1227</v>
      </c>
    </row>
    <row r="1238" spans="1:5">
      <c r="A1238">
        <f>HYPERLINK("http://www.twitter.com/NYPDnews/status/777295575301623809", "777295575301623809")</f>
        <v>0</v>
      </c>
      <c r="B1238" s="2">
        <v>42630.9986226852</v>
      </c>
      <c r="C1238">
        <v>0</v>
      </c>
      <c r="D1238">
        <v>34</v>
      </c>
      <c r="E1238" t="s">
        <v>1228</v>
      </c>
    </row>
    <row r="1239" spans="1:5">
      <c r="A1239">
        <f>HYPERLINK("http://www.twitter.com/NYPDnews/status/777282260622053377", "777282260622053377")</f>
        <v>0</v>
      </c>
      <c r="B1239" s="2">
        <v>42630.961875</v>
      </c>
      <c r="C1239">
        <v>29</v>
      </c>
      <c r="D1239">
        <v>15</v>
      </c>
      <c r="E1239" t="s">
        <v>1229</v>
      </c>
    </row>
    <row r="1240" spans="1:5">
      <c r="A1240">
        <f>HYPERLINK("http://www.twitter.com/NYPDnews/status/777269697477799936", "777269697477799936")</f>
        <v>0</v>
      </c>
      <c r="B1240" s="2">
        <v>42630.9272106482</v>
      </c>
      <c r="C1240">
        <v>60</v>
      </c>
      <c r="D1240">
        <v>13</v>
      </c>
      <c r="E1240" t="s">
        <v>1230</v>
      </c>
    </row>
    <row r="1241" spans="1:5">
      <c r="A1241">
        <f>HYPERLINK("http://www.twitter.com/NYPDnews/status/777252099046379520", "777252099046379520")</f>
        <v>0</v>
      </c>
      <c r="B1241" s="2">
        <v>42630.8786458333</v>
      </c>
      <c r="C1241">
        <v>59</v>
      </c>
      <c r="D1241">
        <v>17</v>
      </c>
      <c r="E1241" t="s">
        <v>1231</v>
      </c>
    </row>
    <row r="1242" spans="1:5">
      <c r="A1242">
        <f>HYPERLINK("http://www.twitter.com/NYPDnews/status/777203420835053568", "777203420835053568")</f>
        <v>0</v>
      </c>
      <c r="B1242" s="2">
        <v>42630.7443171296</v>
      </c>
      <c r="C1242">
        <v>0</v>
      </c>
      <c r="D1242">
        <v>9</v>
      </c>
      <c r="E1242" t="s">
        <v>1232</v>
      </c>
    </row>
    <row r="1243" spans="1:5">
      <c r="A1243">
        <f>HYPERLINK("http://www.twitter.com/NYPDnews/status/777201746926075905", "777201746926075905")</f>
        <v>0</v>
      </c>
      <c r="B1243" s="2">
        <v>42630.7396990741</v>
      </c>
      <c r="C1243">
        <v>48</v>
      </c>
      <c r="D1243">
        <v>22</v>
      </c>
      <c r="E1243" t="s">
        <v>1233</v>
      </c>
    </row>
    <row r="1244" spans="1:5">
      <c r="A1244">
        <f>HYPERLINK("http://www.twitter.com/NYPDnews/status/777156444005203968", "777156444005203968")</f>
        <v>0</v>
      </c>
      <c r="B1244" s="2">
        <v>42630.6146875</v>
      </c>
      <c r="C1244">
        <v>99</v>
      </c>
      <c r="D1244">
        <v>41</v>
      </c>
      <c r="E1244" t="s">
        <v>1234</v>
      </c>
    </row>
    <row r="1245" spans="1:5">
      <c r="A1245">
        <f>HYPERLINK("http://www.twitter.com/NYPDnews/status/777137573831532544", "777137573831532544")</f>
        <v>0</v>
      </c>
      <c r="B1245" s="2">
        <v>42630.5626157407</v>
      </c>
      <c r="C1245">
        <v>11</v>
      </c>
      <c r="D1245">
        <v>9</v>
      </c>
      <c r="E1245" t="s">
        <v>1235</v>
      </c>
    </row>
    <row r="1246" spans="1:5">
      <c r="A1246">
        <f>HYPERLINK("http://www.twitter.com/NYPDnews/status/777130127696203777", "777130127696203777")</f>
        <v>0</v>
      </c>
      <c r="B1246" s="2">
        <v>42630.5420717593</v>
      </c>
      <c r="C1246">
        <v>22</v>
      </c>
      <c r="D1246">
        <v>53</v>
      </c>
      <c r="E1246" t="s">
        <v>1236</v>
      </c>
    </row>
    <row r="1247" spans="1:5">
      <c r="A1247">
        <f>HYPERLINK("http://www.twitter.com/NYPDnews/status/777122479349399556", "777122479349399556")</f>
        <v>0</v>
      </c>
      <c r="B1247" s="2">
        <v>42630.5209606482</v>
      </c>
      <c r="C1247">
        <v>14</v>
      </c>
      <c r="D1247">
        <v>11</v>
      </c>
      <c r="E1247" t="s">
        <v>1237</v>
      </c>
    </row>
    <row r="1248" spans="1:5">
      <c r="A1248">
        <f>HYPERLINK("http://www.twitter.com/NYPDnews/status/777112762539446272", "777112762539446272")</f>
        <v>0</v>
      </c>
      <c r="B1248" s="2">
        <v>42630.4941550926</v>
      </c>
      <c r="C1248">
        <v>0</v>
      </c>
      <c r="D1248">
        <v>27</v>
      </c>
      <c r="E1248" t="s">
        <v>1238</v>
      </c>
    </row>
    <row r="1249" spans="1:5">
      <c r="A1249">
        <f>HYPERLINK("http://www.twitter.com/NYPDnews/status/776957611338072064", "776957611338072064")</f>
        <v>0</v>
      </c>
      <c r="B1249" s="2">
        <v>42630.0660185185</v>
      </c>
      <c r="C1249">
        <v>45</v>
      </c>
      <c r="D1249">
        <v>26</v>
      </c>
      <c r="E1249" t="s">
        <v>1239</v>
      </c>
    </row>
    <row r="1250" spans="1:5">
      <c r="A1250">
        <f>HYPERLINK("http://www.twitter.com/NYPDnews/status/776948848065388544", "776948848065388544")</f>
        <v>0</v>
      </c>
      <c r="B1250" s="2">
        <v>42630.0418402778</v>
      </c>
      <c r="C1250">
        <v>218</v>
      </c>
      <c r="D1250">
        <v>92</v>
      </c>
      <c r="E1250" t="s">
        <v>1240</v>
      </c>
    </row>
    <row r="1251" spans="1:5">
      <c r="A1251">
        <f>HYPERLINK("http://www.twitter.com/NYPDnews/status/776941616728858624", "776941616728858624")</f>
        <v>0</v>
      </c>
      <c r="B1251" s="2">
        <v>42630.021875</v>
      </c>
      <c r="C1251">
        <v>0</v>
      </c>
      <c r="D1251">
        <v>81</v>
      </c>
      <c r="E1251" t="s">
        <v>1241</v>
      </c>
    </row>
    <row r="1252" spans="1:5">
      <c r="A1252">
        <f>HYPERLINK("http://www.twitter.com/NYPDnews/status/776935800382586880", "776935800382586880")</f>
        <v>0</v>
      </c>
      <c r="B1252" s="2">
        <v>42630.0058333333</v>
      </c>
      <c r="C1252">
        <v>2</v>
      </c>
      <c r="D1252">
        <v>20</v>
      </c>
      <c r="E1252" t="s">
        <v>1242</v>
      </c>
    </row>
    <row r="1253" spans="1:5">
      <c r="A1253">
        <f>HYPERLINK("http://www.twitter.com/NYPDnews/status/776918670777933829", "776918670777933829")</f>
        <v>0</v>
      </c>
      <c r="B1253" s="2">
        <v>42629.9585648148</v>
      </c>
      <c r="C1253">
        <v>21</v>
      </c>
      <c r="D1253">
        <v>14</v>
      </c>
      <c r="E1253" t="s">
        <v>1243</v>
      </c>
    </row>
    <row r="1254" spans="1:5">
      <c r="A1254">
        <f>HYPERLINK("http://www.twitter.com/NYPDnews/status/776911702873047041", "776911702873047041")</f>
        <v>0</v>
      </c>
      <c r="B1254" s="2">
        <v>42629.9393287037</v>
      </c>
      <c r="C1254">
        <v>0</v>
      </c>
      <c r="D1254">
        <v>76</v>
      </c>
      <c r="E1254" t="s">
        <v>1244</v>
      </c>
    </row>
    <row r="1255" spans="1:5">
      <c r="A1255">
        <f>HYPERLINK("http://www.twitter.com/NYPDnews/status/776896452673081344", "776896452673081344")</f>
        <v>0</v>
      </c>
      <c r="B1255" s="2">
        <v>42629.8972569444</v>
      </c>
      <c r="C1255">
        <v>0</v>
      </c>
      <c r="D1255">
        <v>265</v>
      </c>
      <c r="E1255" t="s">
        <v>1245</v>
      </c>
    </row>
    <row r="1256" spans="1:5">
      <c r="A1256">
        <f>HYPERLINK("http://www.twitter.com/NYPDnews/status/776859548011335680", "776859548011335680")</f>
        <v>0</v>
      </c>
      <c r="B1256" s="2">
        <v>42629.7954166667</v>
      </c>
      <c r="C1256">
        <v>21</v>
      </c>
      <c r="D1256">
        <v>13</v>
      </c>
      <c r="E1256" t="s">
        <v>1246</v>
      </c>
    </row>
    <row r="1257" spans="1:5">
      <c r="A1257">
        <f>HYPERLINK("http://www.twitter.com/NYPDnews/status/776851930618425344", "776851930618425344")</f>
        <v>0</v>
      </c>
      <c r="B1257" s="2">
        <v>42629.7743981481</v>
      </c>
      <c r="C1257">
        <v>19</v>
      </c>
      <c r="D1257">
        <v>14</v>
      </c>
      <c r="E1257" t="s">
        <v>1247</v>
      </c>
    </row>
    <row r="1258" spans="1:5">
      <c r="A1258">
        <f>HYPERLINK("http://www.twitter.com/NYPDnews/status/776848822597222404", "776848822597222404")</f>
        <v>0</v>
      </c>
      <c r="B1258" s="2">
        <v>42629.7658217593</v>
      </c>
      <c r="C1258">
        <v>147</v>
      </c>
      <c r="D1258">
        <v>79</v>
      </c>
      <c r="E1258" t="s">
        <v>1248</v>
      </c>
    </row>
    <row r="1259" spans="1:5">
      <c r="A1259">
        <f>HYPERLINK("http://www.twitter.com/NYPDnews/status/776847679758430208", "776847679758430208")</f>
        <v>0</v>
      </c>
      <c r="B1259" s="2">
        <v>42629.762662037</v>
      </c>
      <c r="C1259">
        <v>93</v>
      </c>
      <c r="D1259">
        <v>37</v>
      </c>
      <c r="E1259" t="s">
        <v>1249</v>
      </c>
    </row>
    <row r="1260" spans="1:5">
      <c r="A1260">
        <f>HYPERLINK("http://www.twitter.com/NYPDnews/status/776847533960232960", "776847533960232960")</f>
        <v>0</v>
      </c>
      <c r="B1260" s="2">
        <v>42629.7622569444</v>
      </c>
      <c r="C1260">
        <v>46</v>
      </c>
      <c r="D1260">
        <v>20</v>
      </c>
      <c r="E1260" t="s">
        <v>1250</v>
      </c>
    </row>
    <row r="1261" spans="1:5">
      <c r="A1261">
        <f>HYPERLINK("http://www.twitter.com/NYPDnews/status/776816720413589505", "776816720413589505")</f>
        <v>0</v>
      </c>
      <c r="B1261" s="2">
        <v>42629.6772337963</v>
      </c>
      <c r="C1261">
        <v>57</v>
      </c>
      <c r="D1261">
        <v>19</v>
      </c>
      <c r="E1261" t="s">
        <v>1251</v>
      </c>
    </row>
    <row r="1262" spans="1:5">
      <c r="A1262">
        <f>HYPERLINK("http://www.twitter.com/NYPDnews/status/776771300668956672", "776771300668956672")</f>
        <v>0</v>
      </c>
      <c r="B1262" s="2">
        <v>42629.5518981482</v>
      </c>
      <c r="C1262">
        <v>41</v>
      </c>
      <c r="D1262">
        <v>18</v>
      </c>
      <c r="E1262" t="s">
        <v>1252</v>
      </c>
    </row>
    <row r="1263" spans="1:5">
      <c r="A1263">
        <f>HYPERLINK("http://www.twitter.com/NYPDnews/status/776766127070408704", "776766127070408704")</f>
        <v>0</v>
      </c>
      <c r="B1263" s="2">
        <v>42629.5376157407</v>
      </c>
      <c r="C1263">
        <v>0</v>
      </c>
      <c r="D1263">
        <v>31</v>
      </c>
      <c r="E1263" t="s">
        <v>1253</v>
      </c>
    </row>
    <row r="1264" spans="1:5">
      <c r="A1264">
        <f>HYPERLINK("http://www.twitter.com/NYPDnews/status/776761700636823553", "776761700636823553")</f>
        <v>0</v>
      </c>
      <c r="B1264" s="2">
        <v>42629.5254050926</v>
      </c>
      <c r="C1264">
        <v>0</v>
      </c>
      <c r="D1264">
        <v>91</v>
      </c>
      <c r="E1264" t="s">
        <v>1254</v>
      </c>
    </row>
    <row r="1265" spans="1:5">
      <c r="A1265">
        <f>HYPERLINK("http://www.twitter.com/NYPDnews/status/776756312289972225", "776756312289972225")</f>
        <v>0</v>
      </c>
      <c r="B1265" s="2">
        <v>42629.5105324074</v>
      </c>
      <c r="C1265">
        <v>29</v>
      </c>
      <c r="D1265">
        <v>29</v>
      </c>
      <c r="E1265" t="s">
        <v>1255</v>
      </c>
    </row>
    <row r="1266" spans="1:5">
      <c r="A1266">
        <f>HYPERLINK("http://www.twitter.com/NYPDnews/status/776752547293978625", "776752547293978625")</f>
        <v>0</v>
      </c>
      <c r="B1266" s="2">
        <v>42629.500150463</v>
      </c>
      <c r="C1266">
        <v>61</v>
      </c>
      <c r="D1266">
        <v>117</v>
      </c>
      <c r="E1266" t="s">
        <v>1256</v>
      </c>
    </row>
    <row r="1267" spans="1:5">
      <c r="A1267">
        <f>HYPERLINK("http://www.twitter.com/NYPDnews/status/776625315376467968", "776625315376467968")</f>
        <v>0</v>
      </c>
      <c r="B1267" s="2">
        <v>42629.1490509259</v>
      </c>
      <c r="C1267">
        <v>0</v>
      </c>
      <c r="D1267">
        <v>121</v>
      </c>
      <c r="E1267" t="s">
        <v>1257</v>
      </c>
    </row>
    <row r="1268" spans="1:5">
      <c r="A1268">
        <f>HYPERLINK("http://www.twitter.com/NYPDnews/status/776588935342555136", "776588935342555136")</f>
        <v>0</v>
      </c>
      <c r="B1268" s="2">
        <v>42629.0486689815</v>
      </c>
      <c r="C1268">
        <v>13</v>
      </c>
      <c r="D1268">
        <v>19</v>
      </c>
      <c r="E1268" t="s">
        <v>1258</v>
      </c>
    </row>
    <row r="1269" spans="1:5">
      <c r="A1269">
        <f>HYPERLINK("http://www.twitter.com/NYPDnews/status/776585168257703937", "776585168257703937")</f>
        <v>0</v>
      </c>
      <c r="B1269" s="2">
        <v>42629.038275463</v>
      </c>
      <c r="C1269">
        <v>307</v>
      </c>
      <c r="D1269">
        <v>97</v>
      </c>
      <c r="E1269" t="s">
        <v>1259</v>
      </c>
    </row>
    <row r="1270" spans="1:5">
      <c r="A1270">
        <f>HYPERLINK("http://www.twitter.com/NYPDnews/status/776576392532226048", "776576392532226048")</f>
        <v>0</v>
      </c>
      <c r="B1270" s="2">
        <v>42629.0140509259</v>
      </c>
      <c r="C1270">
        <v>0</v>
      </c>
      <c r="D1270">
        <v>260</v>
      </c>
      <c r="E1270" t="s">
        <v>1260</v>
      </c>
    </row>
    <row r="1271" spans="1:5">
      <c r="A1271">
        <f>HYPERLINK("http://www.twitter.com/NYPDnews/status/776572462825873410", "776572462825873410")</f>
        <v>0</v>
      </c>
      <c r="B1271" s="2">
        <v>42629.0032060185</v>
      </c>
      <c r="C1271">
        <v>32</v>
      </c>
      <c r="D1271">
        <v>40</v>
      </c>
      <c r="E1271" t="s">
        <v>1261</v>
      </c>
    </row>
    <row r="1272" spans="1:5">
      <c r="A1272">
        <f>HYPERLINK("http://www.twitter.com/NYPDnews/status/776571009935769601", "776571009935769601")</f>
        <v>0</v>
      </c>
      <c r="B1272" s="2">
        <v>42628.9992013889</v>
      </c>
      <c r="C1272">
        <v>34</v>
      </c>
      <c r="D1272">
        <v>36</v>
      </c>
      <c r="E1272" t="s">
        <v>1262</v>
      </c>
    </row>
    <row r="1273" spans="1:5">
      <c r="A1273">
        <f>HYPERLINK("http://www.twitter.com/NYPDnews/status/776569882536214528", "776569882536214528")</f>
        <v>0</v>
      </c>
      <c r="B1273" s="2">
        <v>42628.996087963</v>
      </c>
      <c r="C1273">
        <v>36</v>
      </c>
      <c r="D1273">
        <v>41</v>
      </c>
      <c r="E1273" t="s">
        <v>1263</v>
      </c>
    </row>
    <row r="1274" spans="1:5">
      <c r="A1274">
        <f>HYPERLINK("http://www.twitter.com/NYPDnews/status/776568951140646912", "776568951140646912")</f>
        <v>0</v>
      </c>
      <c r="B1274" s="2">
        <v>42628.9935185185</v>
      </c>
      <c r="C1274">
        <v>30</v>
      </c>
      <c r="D1274">
        <v>36</v>
      </c>
      <c r="E1274" t="s">
        <v>1264</v>
      </c>
    </row>
    <row r="1275" spans="1:5">
      <c r="A1275">
        <f>HYPERLINK("http://www.twitter.com/NYPDnews/status/776568619631308800", "776568619631308800")</f>
        <v>0</v>
      </c>
      <c r="B1275" s="2">
        <v>42628.9926041667</v>
      </c>
      <c r="C1275">
        <v>29</v>
      </c>
      <c r="D1275">
        <v>45</v>
      </c>
      <c r="E1275" t="s">
        <v>1265</v>
      </c>
    </row>
    <row r="1276" spans="1:5">
      <c r="A1276">
        <f>HYPERLINK("http://www.twitter.com/NYPDnews/status/776568182479937536", "776568182479937536")</f>
        <v>0</v>
      </c>
      <c r="B1276" s="2">
        <v>42628.991400463</v>
      </c>
      <c r="C1276">
        <v>32</v>
      </c>
      <c r="D1276">
        <v>34</v>
      </c>
      <c r="E1276" t="s">
        <v>1266</v>
      </c>
    </row>
    <row r="1277" spans="1:5">
      <c r="A1277">
        <f>HYPERLINK("http://www.twitter.com/NYPDnews/status/776562833639280640", "776562833639280640")</f>
        <v>0</v>
      </c>
      <c r="B1277" s="2">
        <v>42628.9766435185</v>
      </c>
      <c r="C1277">
        <v>21</v>
      </c>
      <c r="D1277">
        <v>38</v>
      </c>
      <c r="E1277" t="s">
        <v>1267</v>
      </c>
    </row>
    <row r="1278" spans="1:5">
      <c r="A1278">
        <f>HYPERLINK("http://www.twitter.com/NYPDnews/status/776561767732445184", "776561767732445184")</f>
        <v>0</v>
      </c>
      <c r="B1278" s="2">
        <v>42628.9736921296</v>
      </c>
      <c r="C1278">
        <v>31</v>
      </c>
      <c r="D1278">
        <v>35</v>
      </c>
      <c r="E1278" t="s">
        <v>1268</v>
      </c>
    </row>
    <row r="1279" spans="1:5">
      <c r="A1279">
        <f>HYPERLINK("http://www.twitter.com/NYPDnews/status/776561327594729472", "776561327594729472")</f>
        <v>0</v>
      </c>
      <c r="B1279" s="2">
        <v>42628.9724768518</v>
      </c>
      <c r="C1279">
        <v>37</v>
      </c>
      <c r="D1279">
        <v>58</v>
      </c>
      <c r="E1279" t="s">
        <v>1269</v>
      </c>
    </row>
    <row r="1280" spans="1:5">
      <c r="A1280">
        <f>HYPERLINK("http://www.twitter.com/NYPDnews/status/776560889164132353", "776560889164132353")</f>
        <v>0</v>
      </c>
      <c r="B1280" s="2">
        <v>42628.9712731481</v>
      </c>
      <c r="C1280">
        <v>27</v>
      </c>
      <c r="D1280">
        <v>27</v>
      </c>
      <c r="E1280" t="s">
        <v>1270</v>
      </c>
    </row>
    <row r="1281" spans="1:5">
      <c r="A1281">
        <f>HYPERLINK("http://www.twitter.com/NYPDnews/status/776560257548124160", "776560257548124160")</f>
        <v>0</v>
      </c>
      <c r="B1281" s="2">
        <v>42628.969525463</v>
      </c>
      <c r="C1281">
        <v>25</v>
      </c>
      <c r="D1281">
        <v>15</v>
      </c>
      <c r="E1281" t="s">
        <v>1271</v>
      </c>
    </row>
    <row r="1282" spans="1:5">
      <c r="A1282">
        <f>HYPERLINK("http://www.twitter.com/NYPDnews/status/776559913996804096", "776559913996804096")</f>
        <v>0</v>
      </c>
      <c r="B1282" s="2">
        <v>42628.9685763889</v>
      </c>
      <c r="C1282">
        <v>38</v>
      </c>
      <c r="D1282">
        <v>32</v>
      </c>
      <c r="E1282" t="s">
        <v>1272</v>
      </c>
    </row>
    <row r="1283" spans="1:5">
      <c r="A1283">
        <f>HYPERLINK("http://www.twitter.com/NYPDnews/status/776558919820963844", "776558919820963844")</f>
        <v>0</v>
      </c>
      <c r="B1283" s="2">
        <v>42628.9658333333</v>
      </c>
      <c r="C1283">
        <v>29</v>
      </c>
      <c r="D1283">
        <v>21</v>
      </c>
      <c r="E1283" t="s">
        <v>1273</v>
      </c>
    </row>
    <row r="1284" spans="1:5">
      <c r="A1284">
        <f>HYPERLINK("http://www.twitter.com/NYPDnews/status/776538364547923968", "776538364547923968")</f>
        <v>0</v>
      </c>
      <c r="B1284" s="2">
        <v>42628.9091203704</v>
      </c>
      <c r="C1284">
        <v>39</v>
      </c>
      <c r="D1284">
        <v>62</v>
      </c>
      <c r="E1284" t="s">
        <v>1274</v>
      </c>
    </row>
    <row r="1285" spans="1:5">
      <c r="A1285">
        <f>HYPERLINK("http://www.twitter.com/NYPDnews/status/776455453261885441", "776455453261885441")</f>
        <v>0</v>
      </c>
      <c r="B1285" s="2">
        <v>42628.6803240741</v>
      </c>
      <c r="C1285">
        <v>17</v>
      </c>
      <c r="D1285">
        <v>9</v>
      </c>
      <c r="E1285" t="s">
        <v>1275</v>
      </c>
    </row>
    <row r="1286" spans="1:5">
      <c r="A1286">
        <f>HYPERLINK("http://www.twitter.com/NYPDnews/status/776452741183004672", "776452741183004672")</f>
        <v>0</v>
      </c>
      <c r="B1286" s="2">
        <v>42628.6728356481</v>
      </c>
      <c r="C1286">
        <v>25</v>
      </c>
      <c r="D1286">
        <v>10</v>
      </c>
      <c r="E1286" t="s">
        <v>1276</v>
      </c>
    </row>
    <row r="1287" spans="1:5">
      <c r="A1287">
        <f>HYPERLINK("http://www.twitter.com/NYPDnews/status/776448846939422720", "776448846939422720")</f>
        <v>0</v>
      </c>
      <c r="B1287" s="2">
        <v>42628.6620949074</v>
      </c>
      <c r="C1287">
        <v>13</v>
      </c>
      <c r="D1287">
        <v>6</v>
      </c>
      <c r="E1287" t="s">
        <v>1277</v>
      </c>
    </row>
    <row r="1288" spans="1:5">
      <c r="A1288">
        <f>HYPERLINK("http://www.twitter.com/NYPDnews/status/776448243945308160", "776448243945308160")</f>
        <v>0</v>
      </c>
      <c r="B1288" s="2">
        <v>42628.6604282407</v>
      </c>
      <c r="C1288">
        <v>8</v>
      </c>
      <c r="D1288">
        <v>4</v>
      </c>
      <c r="E1288" t="s">
        <v>1278</v>
      </c>
    </row>
    <row r="1289" spans="1:5">
      <c r="A1289">
        <f>HYPERLINK("http://www.twitter.com/NYPDnews/status/776442320644431872", "776442320644431872")</f>
        <v>0</v>
      </c>
      <c r="B1289" s="2">
        <v>42628.6440856481</v>
      </c>
      <c r="C1289">
        <v>25</v>
      </c>
      <c r="D1289">
        <v>5</v>
      </c>
      <c r="E1289" t="s">
        <v>1279</v>
      </c>
    </row>
    <row r="1290" spans="1:5">
      <c r="A1290">
        <f>HYPERLINK("http://www.twitter.com/NYPDnews/status/776440637306638336", "776440637306638336")</f>
        <v>0</v>
      </c>
      <c r="B1290" s="2">
        <v>42628.6394444444</v>
      </c>
      <c r="C1290">
        <v>12</v>
      </c>
      <c r="D1290">
        <v>9</v>
      </c>
      <c r="E1290" t="s">
        <v>1280</v>
      </c>
    </row>
    <row r="1291" spans="1:5">
      <c r="A1291">
        <f>HYPERLINK("http://www.twitter.com/NYPDnews/status/776439799867670528", "776439799867670528")</f>
        <v>0</v>
      </c>
      <c r="B1291" s="2">
        <v>42628.6371296296</v>
      </c>
      <c r="C1291">
        <v>13</v>
      </c>
      <c r="D1291">
        <v>5</v>
      </c>
      <c r="E1291" t="s">
        <v>1281</v>
      </c>
    </row>
    <row r="1292" spans="1:5">
      <c r="A1292">
        <f>HYPERLINK("http://www.twitter.com/NYPDnews/status/776438363826098176", "776438363826098176")</f>
        <v>0</v>
      </c>
      <c r="B1292" s="2">
        <v>42628.6331712963</v>
      </c>
      <c r="C1292">
        <v>10</v>
      </c>
      <c r="D1292">
        <v>9</v>
      </c>
      <c r="E1292" t="s">
        <v>1282</v>
      </c>
    </row>
    <row r="1293" spans="1:5">
      <c r="A1293">
        <f>HYPERLINK("http://www.twitter.com/NYPDnews/status/776415404440838144", "776415404440838144")</f>
        <v>0</v>
      </c>
      <c r="B1293" s="2">
        <v>42628.5698148148</v>
      </c>
      <c r="C1293">
        <v>13</v>
      </c>
      <c r="D1293">
        <v>9</v>
      </c>
      <c r="E1293" t="s">
        <v>1283</v>
      </c>
    </row>
    <row r="1294" spans="1:5">
      <c r="A1294">
        <f>HYPERLINK("http://www.twitter.com/NYPDnews/status/776401490852413440", "776401490852413440")</f>
        <v>0</v>
      </c>
      <c r="B1294" s="2">
        <v>42628.531412037</v>
      </c>
      <c r="C1294">
        <v>8</v>
      </c>
      <c r="D1294">
        <v>39</v>
      </c>
      <c r="E1294" t="s">
        <v>1284</v>
      </c>
    </row>
    <row r="1295" spans="1:5">
      <c r="A1295">
        <f>HYPERLINK("http://www.twitter.com/NYPDnews/status/776398582370934784", "776398582370934784")</f>
        <v>0</v>
      </c>
      <c r="B1295" s="2">
        <v>42628.5233912037</v>
      </c>
      <c r="C1295">
        <v>201</v>
      </c>
      <c r="D1295">
        <v>75</v>
      </c>
      <c r="E1295" t="s">
        <v>1285</v>
      </c>
    </row>
    <row r="1296" spans="1:5">
      <c r="A1296">
        <f>HYPERLINK("http://www.twitter.com/NYPDnews/status/776392499812143104", "776392499812143104")</f>
        <v>0</v>
      </c>
      <c r="B1296" s="2">
        <v>42628.5066087963</v>
      </c>
      <c r="C1296">
        <v>26</v>
      </c>
      <c r="D1296">
        <v>11</v>
      </c>
      <c r="E1296" t="s">
        <v>1286</v>
      </c>
    </row>
    <row r="1297" spans="1:5">
      <c r="A1297">
        <f>HYPERLINK("http://www.twitter.com/NYPDnews/status/776390584433008640", "776390584433008640")</f>
        <v>0</v>
      </c>
      <c r="B1297" s="2">
        <v>42628.5013194444</v>
      </c>
      <c r="C1297">
        <v>7</v>
      </c>
      <c r="D1297">
        <v>6</v>
      </c>
      <c r="E1297" t="s">
        <v>1287</v>
      </c>
    </row>
    <row r="1298" spans="1:5">
      <c r="A1298">
        <f>HYPERLINK("http://www.twitter.com/NYPDnews/status/776387889483620352", "776387889483620352")</f>
        <v>0</v>
      </c>
      <c r="B1298" s="2">
        <v>42628.4938888889</v>
      </c>
      <c r="C1298">
        <v>8</v>
      </c>
      <c r="D1298">
        <v>7</v>
      </c>
      <c r="E1298" t="s">
        <v>1288</v>
      </c>
    </row>
    <row r="1299" spans="1:5">
      <c r="A1299">
        <f>HYPERLINK("http://www.twitter.com/NYPDnews/status/776386367718907904", "776386367718907904")</f>
        <v>0</v>
      </c>
      <c r="B1299" s="2">
        <v>42628.4896875</v>
      </c>
      <c r="C1299">
        <v>28</v>
      </c>
      <c r="D1299">
        <v>16</v>
      </c>
      <c r="E1299" t="s">
        <v>1289</v>
      </c>
    </row>
    <row r="1300" spans="1:5">
      <c r="A1300">
        <f>HYPERLINK("http://www.twitter.com/NYPDnews/status/776216840934678528", "776216840934678528")</f>
        <v>0</v>
      </c>
      <c r="B1300" s="2">
        <v>42628.021875</v>
      </c>
      <c r="C1300">
        <v>112</v>
      </c>
      <c r="D1300">
        <v>71</v>
      </c>
      <c r="E1300" t="s">
        <v>1290</v>
      </c>
    </row>
    <row r="1301" spans="1:5">
      <c r="A1301">
        <f>HYPERLINK("http://www.twitter.com/NYPDnews/status/776201509415649280", "776201509415649280")</f>
        <v>0</v>
      </c>
      <c r="B1301" s="2">
        <v>42627.9795717593</v>
      </c>
      <c r="C1301">
        <v>19</v>
      </c>
      <c r="D1301">
        <v>17</v>
      </c>
      <c r="E1301" t="s">
        <v>1291</v>
      </c>
    </row>
    <row r="1302" spans="1:5">
      <c r="A1302">
        <f>HYPERLINK("http://www.twitter.com/NYPDnews/status/776182573559058432", "776182573559058432")</f>
        <v>0</v>
      </c>
      <c r="B1302" s="2">
        <v>42627.9273148148</v>
      </c>
      <c r="C1302">
        <v>8</v>
      </c>
      <c r="D1302">
        <v>16</v>
      </c>
      <c r="E1302" t="s">
        <v>1292</v>
      </c>
    </row>
    <row r="1303" spans="1:5">
      <c r="A1303">
        <f>HYPERLINK("http://www.twitter.com/NYPDnews/status/776164917204361216", "776164917204361216")</f>
        <v>0</v>
      </c>
      <c r="B1303" s="2">
        <v>42627.878599537</v>
      </c>
      <c r="C1303">
        <v>25</v>
      </c>
      <c r="D1303">
        <v>8</v>
      </c>
      <c r="E1303" t="s">
        <v>1293</v>
      </c>
    </row>
    <row r="1304" spans="1:5">
      <c r="A1304">
        <f>HYPERLINK("http://www.twitter.com/NYPDnews/status/776103596840591361", "776103596840591361")</f>
        <v>0</v>
      </c>
      <c r="B1304" s="2">
        <v>42627.7093865741</v>
      </c>
      <c r="C1304">
        <v>43</v>
      </c>
      <c r="D1304">
        <v>72</v>
      </c>
      <c r="E1304" t="s">
        <v>1294</v>
      </c>
    </row>
    <row r="1305" spans="1:5">
      <c r="A1305">
        <f>HYPERLINK("http://www.twitter.com/NYPDnews/status/776063137065889793", "776063137065889793")</f>
        <v>0</v>
      </c>
      <c r="B1305" s="2">
        <v>42627.5977430556</v>
      </c>
      <c r="C1305">
        <v>17</v>
      </c>
      <c r="D1305">
        <v>9</v>
      </c>
      <c r="E1305" t="s">
        <v>1295</v>
      </c>
    </row>
    <row r="1306" spans="1:5">
      <c r="A1306">
        <f>HYPERLINK("http://www.twitter.com/NYPDnews/status/776039085752381441", "776039085752381441")</f>
        <v>0</v>
      </c>
      <c r="B1306" s="2">
        <v>42627.5313657407</v>
      </c>
      <c r="C1306">
        <v>38</v>
      </c>
      <c r="D1306">
        <v>15</v>
      </c>
      <c r="E1306" t="s">
        <v>1296</v>
      </c>
    </row>
    <row r="1307" spans="1:5">
      <c r="A1307">
        <f>HYPERLINK("http://www.twitter.com/NYPDnews/status/776036607635972096", "776036607635972096")</f>
        <v>0</v>
      </c>
      <c r="B1307" s="2">
        <v>42627.524525463</v>
      </c>
      <c r="C1307">
        <v>0</v>
      </c>
      <c r="D1307">
        <v>16</v>
      </c>
      <c r="E1307" t="s">
        <v>1297</v>
      </c>
    </row>
    <row r="1308" spans="1:5">
      <c r="A1308">
        <f>HYPERLINK("http://www.twitter.com/NYPDnews/status/776031828868235264", "776031828868235264")</f>
        <v>0</v>
      </c>
      <c r="B1308" s="2">
        <v>42627.5113425926</v>
      </c>
      <c r="C1308">
        <v>49</v>
      </c>
      <c r="D1308">
        <v>11</v>
      </c>
      <c r="E1308" t="s">
        <v>1298</v>
      </c>
    </row>
    <row r="1309" spans="1:5">
      <c r="A1309">
        <f>HYPERLINK("http://www.twitter.com/NYPDnews/status/776027825048580096", "776027825048580096")</f>
        <v>0</v>
      </c>
      <c r="B1309" s="2">
        <v>42627.5003009259</v>
      </c>
      <c r="C1309">
        <v>13</v>
      </c>
      <c r="D1309">
        <v>32</v>
      </c>
      <c r="E1309" t="s">
        <v>1299</v>
      </c>
    </row>
    <row r="1310" spans="1:5">
      <c r="A1310">
        <f>HYPERLINK("http://www.twitter.com/NYPDnews/status/776002406345797632", "776002406345797632")</f>
        <v>0</v>
      </c>
      <c r="B1310" s="2">
        <v>42627.430150463</v>
      </c>
      <c r="C1310">
        <v>18</v>
      </c>
      <c r="D1310">
        <v>12</v>
      </c>
      <c r="E1310" t="s">
        <v>1300</v>
      </c>
    </row>
    <row r="1311" spans="1:5">
      <c r="A1311">
        <f>HYPERLINK("http://www.twitter.com/NYPDnews/status/775948777454571520", "775948777454571520")</f>
        <v>0</v>
      </c>
      <c r="B1311" s="2">
        <v>42627.2821643519</v>
      </c>
      <c r="C1311">
        <v>23</v>
      </c>
      <c r="D1311">
        <v>32</v>
      </c>
      <c r="E1311" t="s">
        <v>1301</v>
      </c>
    </row>
    <row r="1312" spans="1:5">
      <c r="A1312">
        <f>HYPERLINK("http://www.twitter.com/NYPDnews/status/775869510175772672", "775869510175772672")</f>
        <v>0</v>
      </c>
      <c r="B1312" s="2">
        <v>42627.0634259259</v>
      </c>
      <c r="C1312">
        <v>248</v>
      </c>
      <c r="D1312">
        <v>104</v>
      </c>
      <c r="E1312" t="s">
        <v>1302</v>
      </c>
    </row>
    <row r="1313" spans="1:5">
      <c r="A1313">
        <f>HYPERLINK("http://www.twitter.com/NYPDnews/status/775864164271136771", "775864164271136771")</f>
        <v>0</v>
      </c>
      <c r="B1313" s="2">
        <v>42627.0486805556</v>
      </c>
      <c r="C1313">
        <v>22</v>
      </c>
      <c r="D1313">
        <v>14</v>
      </c>
      <c r="E1313" t="s">
        <v>1303</v>
      </c>
    </row>
    <row r="1314" spans="1:5">
      <c r="A1314">
        <f>HYPERLINK("http://www.twitter.com/NYPDnews/status/775822646206459904", "775822646206459904")</f>
        <v>0</v>
      </c>
      <c r="B1314" s="2">
        <v>42626.9341087963</v>
      </c>
      <c r="C1314">
        <v>16</v>
      </c>
      <c r="D1314">
        <v>19</v>
      </c>
      <c r="E1314" t="s">
        <v>1304</v>
      </c>
    </row>
    <row r="1315" spans="1:5">
      <c r="A1315">
        <f>HYPERLINK("http://www.twitter.com/NYPDnews/status/775807584859197440", "775807584859197440")</f>
        <v>0</v>
      </c>
      <c r="B1315" s="2">
        <v>42626.8925462963</v>
      </c>
      <c r="C1315">
        <v>16</v>
      </c>
      <c r="D1315">
        <v>8</v>
      </c>
      <c r="E1315" t="s">
        <v>1305</v>
      </c>
    </row>
    <row r="1316" spans="1:5">
      <c r="A1316">
        <f>HYPERLINK("http://www.twitter.com/NYPDnews/status/775741245306105856", "775741245306105856")</f>
        <v>0</v>
      </c>
      <c r="B1316" s="2">
        <v>42626.7094907407</v>
      </c>
      <c r="C1316">
        <v>14</v>
      </c>
      <c r="D1316">
        <v>26</v>
      </c>
      <c r="E1316" t="s">
        <v>1306</v>
      </c>
    </row>
    <row r="1317" spans="1:5">
      <c r="A1317">
        <f>HYPERLINK("http://www.twitter.com/NYPDnews/status/775680593753415680", "775680593753415680")</f>
        <v>0</v>
      </c>
      <c r="B1317" s="2">
        <v>42626.5421180556</v>
      </c>
      <c r="C1317">
        <v>21</v>
      </c>
      <c r="D1317">
        <v>41</v>
      </c>
      <c r="E1317" t="s">
        <v>1307</v>
      </c>
    </row>
    <row r="1318" spans="1:5">
      <c r="A1318">
        <f>HYPERLINK("http://www.twitter.com/NYPDnews/status/775676694950768641", "775676694950768641")</f>
        <v>0</v>
      </c>
      <c r="B1318" s="2">
        <v>42626.5313657407</v>
      </c>
      <c r="C1318">
        <v>18</v>
      </c>
      <c r="D1318">
        <v>37</v>
      </c>
      <c r="E1318" t="s">
        <v>1308</v>
      </c>
    </row>
    <row r="1319" spans="1:5">
      <c r="A1319">
        <f>HYPERLINK("http://www.twitter.com/NYPDnews/status/775676694732611584", "775676694732611584")</f>
        <v>0</v>
      </c>
      <c r="B1319" s="2">
        <v>42626.5313657407</v>
      </c>
      <c r="C1319">
        <v>12</v>
      </c>
      <c r="D1319">
        <v>13</v>
      </c>
      <c r="E1319" t="s">
        <v>1309</v>
      </c>
    </row>
    <row r="1320" spans="1:5">
      <c r="A1320">
        <f>HYPERLINK("http://www.twitter.com/NYPDnews/status/775672973462208512", "775672973462208512")</f>
        <v>0</v>
      </c>
      <c r="B1320" s="2">
        <v>42626.521087963</v>
      </c>
      <c r="C1320">
        <v>43</v>
      </c>
      <c r="D1320">
        <v>21</v>
      </c>
      <c r="E1320" t="s">
        <v>1310</v>
      </c>
    </row>
    <row r="1321" spans="1:5">
      <c r="A1321">
        <f>HYPERLINK("http://www.twitter.com/NYPDnews/status/775669147967614976", "775669147967614976")</f>
        <v>0</v>
      </c>
      <c r="B1321" s="2">
        <v>42626.5105324074</v>
      </c>
      <c r="C1321">
        <v>100</v>
      </c>
      <c r="D1321">
        <v>25</v>
      </c>
      <c r="E1321" t="s">
        <v>1311</v>
      </c>
    </row>
    <row r="1322" spans="1:5">
      <c r="A1322">
        <f>HYPERLINK("http://www.twitter.com/NYPDnews/status/775665367163305984", "775665367163305984")</f>
        <v>0</v>
      </c>
      <c r="B1322" s="2">
        <v>42626.5001041667</v>
      </c>
      <c r="C1322">
        <v>17</v>
      </c>
      <c r="D1322">
        <v>31</v>
      </c>
      <c r="E1322" t="s">
        <v>1312</v>
      </c>
    </row>
    <row r="1323" spans="1:5">
      <c r="A1323">
        <f>HYPERLINK("http://www.twitter.com/NYPDnews/status/775491815017447424", "775491815017447424")</f>
        <v>0</v>
      </c>
      <c r="B1323" s="2">
        <v>42626.0211921296</v>
      </c>
      <c r="C1323">
        <v>14</v>
      </c>
      <c r="D1323">
        <v>21</v>
      </c>
      <c r="E1323" t="s">
        <v>1313</v>
      </c>
    </row>
    <row r="1324" spans="1:5">
      <c r="A1324">
        <f>HYPERLINK("http://www.twitter.com/NYPDnews/status/775486410598014977", "775486410598014977")</f>
        <v>0</v>
      </c>
      <c r="B1324" s="2">
        <v>42626.0062731481</v>
      </c>
      <c r="C1324">
        <v>12</v>
      </c>
      <c r="D1324">
        <v>9</v>
      </c>
      <c r="E1324" t="s">
        <v>1314</v>
      </c>
    </row>
    <row r="1325" spans="1:5">
      <c r="A1325">
        <f>HYPERLINK("http://www.twitter.com/NYPDnews/status/775475626140700672", "775475626140700672")</f>
        <v>0</v>
      </c>
      <c r="B1325" s="2">
        <v>42625.9765162037</v>
      </c>
      <c r="C1325">
        <v>11</v>
      </c>
      <c r="D1325">
        <v>12</v>
      </c>
      <c r="E1325" t="s">
        <v>1315</v>
      </c>
    </row>
    <row r="1326" spans="1:5">
      <c r="A1326">
        <f>HYPERLINK("http://www.twitter.com/NYPDnews/status/775457828651819008", "775457828651819008")</f>
        <v>0</v>
      </c>
      <c r="B1326" s="2">
        <v>42625.9274074074</v>
      </c>
      <c r="C1326">
        <v>82</v>
      </c>
      <c r="D1326">
        <v>25</v>
      </c>
      <c r="E1326" t="s">
        <v>1316</v>
      </c>
    </row>
    <row r="1327" spans="1:5">
      <c r="A1327">
        <f>HYPERLINK("http://www.twitter.com/NYPDnews/status/775377255820304385", "775377255820304385")</f>
        <v>0</v>
      </c>
      <c r="B1327" s="2">
        <v>42625.7050694444</v>
      </c>
      <c r="C1327">
        <v>11</v>
      </c>
      <c r="D1327">
        <v>43</v>
      </c>
      <c r="E1327" t="s">
        <v>1317</v>
      </c>
    </row>
    <row r="1328" spans="1:5">
      <c r="A1328">
        <f>HYPERLINK("http://www.twitter.com/NYPDnews/status/775326025639165952", "775326025639165952")</f>
        <v>0</v>
      </c>
      <c r="B1328" s="2">
        <v>42625.5637037037</v>
      </c>
      <c r="C1328">
        <v>41</v>
      </c>
      <c r="D1328">
        <v>13</v>
      </c>
      <c r="E1328" t="s">
        <v>1318</v>
      </c>
    </row>
    <row r="1329" spans="1:5">
      <c r="A1329">
        <f>HYPERLINK("http://www.twitter.com/NYPDnews/status/775324017117003777", "775324017117003777")</f>
        <v>0</v>
      </c>
      <c r="B1329" s="2">
        <v>42625.5581597222</v>
      </c>
      <c r="C1329">
        <v>23</v>
      </c>
      <c r="D1329">
        <v>13</v>
      </c>
      <c r="E1329" t="s">
        <v>1319</v>
      </c>
    </row>
    <row r="1330" spans="1:5">
      <c r="A1330">
        <f>HYPERLINK("http://www.twitter.com/NYPDnews/status/775321168291201025", "775321168291201025")</f>
        <v>0</v>
      </c>
      <c r="B1330" s="2">
        <v>42625.5502893518</v>
      </c>
      <c r="C1330">
        <v>62</v>
      </c>
      <c r="D1330">
        <v>20</v>
      </c>
      <c r="E1330" t="s">
        <v>1320</v>
      </c>
    </row>
    <row r="1331" spans="1:5">
      <c r="A1331">
        <f>HYPERLINK("http://www.twitter.com/NYPDnews/status/775320064966950912", "775320064966950912")</f>
        <v>0</v>
      </c>
      <c r="B1331" s="2">
        <v>42625.5472453704</v>
      </c>
      <c r="C1331">
        <v>24</v>
      </c>
      <c r="D1331">
        <v>14</v>
      </c>
      <c r="E1331" t="s">
        <v>1321</v>
      </c>
    </row>
    <row r="1332" spans="1:5">
      <c r="A1332">
        <f>HYPERLINK("http://www.twitter.com/NYPDnews/status/775317109907881984", "775317109907881984")</f>
        <v>0</v>
      </c>
      <c r="B1332" s="2">
        <v>42625.5390972222</v>
      </c>
      <c r="C1332">
        <v>9</v>
      </c>
      <c r="D1332">
        <v>5</v>
      </c>
      <c r="E1332" t="s">
        <v>1322</v>
      </c>
    </row>
    <row r="1333" spans="1:5">
      <c r="A1333">
        <f>HYPERLINK("http://www.twitter.com/NYPDnews/status/775310564411203584", "775310564411203584")</f>
        <v>0</v>
      </c>
      <c r="B1333" s="2">
        <v>42625.5210300926</v>
      </c>
      <c r="C1333">
        <v>12</v>
      </c>
      <c r="D1333">
        <v>26</v>
      </c>
      <c r="E1333" t="s">
        <v>1323</v>
      </c>
    </row>
    <row r="1334" spans="1:5">
      <c r="A1334">
        <f>HYPERLINK("http://www.twitter.com/NYPDnews/status/775306772575817728", "775306772575817728")</f>
        <v>0</v>
      </c>
      <c r="B1334" s="2">
        <v>42625.5105671296</v>
      </c>
      <c r="C1334">
        <v>6</v>
      </c>
      <c r="D1334">
        <v>30</v>
      </c>
      <c r="E1334" t="s">
        <v>1324</v>
      </c>
    </row>
    <row r="1335" spans="1:5">
      <c r="A1335">
        <f>HYPERLINK("http://www.twitter.com/NYPDnews/status/775303087678484480", "775303087678484480")</f>
        <v>0</v>
      </c>
      <c r="B1335" s="2">
        <v>42625.5004050926</v>
      </c>
      <c r="C1335">
        <v>25</v>
      </c>
      <c r="D1335">
        <v>11</v>
      </c>
      <c r="E1335" t="s">
        <v>1325</v>
      </c>
    </row>
    <row r="1336" spans="1:5">
      <c r="A1336">
        <f>HYPERLINK("http://www.twitter.com/NYPDnews/status/775180930449367040", "775180930449367040")</f>
        <v>0</v>
      </c>
      <c r="B1336" s="2">
        <v>42625.1633101852</v>
      </c>
      <c r="C1336">
        <v>226</v>
      </c>
      <c r="D1336">
        <v>68</v>
      </c>
      <c r="E1336" t="s">
        <v>1326</v>
      </c>
    </row>
    <row r="1337" spans="1:5">
      <c r="A1337">
        <f>HYPERLINK("http://www.twitter.com/NYPDnews/status/775179675572264960", "775179675572264960")</f>
        <v>0</v>
      </c>
      <c r="B1337" s="2">
        <v>42625.159849537</v>
      </c>
      <c r="C1337">
        <v>50</v>
      </c>
      <c r="D1337">
        <v>20</v>
      </c>
      <c r="E1337" t="s">
        <v>1327</v>
      </c>
    </row>
    <row r="1338" spans="1:5">
      <c r="A1338">
        <f>HYPERLINK("http://www.twitter.com/NYPDnews/status/775177170704556036", "775177170704556036")</f>
        <v>0</v>
      </c>
      <c r="B1338" s="2">
        <v>42625.1529398148</v>
      </c>
      <c r="C1338">
        <v>53</v>
      </c>
      <c r="D1338">
        <v>21</v>
      </c>
      <c r="E1338" t="s">
        <v>1328</v>
      </c>
    </row>
    <row r="1339" spans="1:5">
      <c r="A1339">
        <f>HYPERLINK("http://www.twitter.com/NYPDnews/status/775174739581075456", "775174739581075456")</f>
        <v>0</v>
      </c>
      <c r="B1339" s="2">
        <v>42625.1462268519</v>
      </c>
      <c r="C1339">
        <v>56</v>
      </c>
      <c r="D1339">
        <v>25</v>
      </c>
      <c r="E1339" t="s">
        <v>1329</v>
      </c>
    </row>
    <row r="1340" spans="1:5">
      <c r="A1340">
        <f>HYPERLINK("http://www.twitter.com/NYPDnews/status/775172133374877696", "775172133374877696")</f>
        <v>0</v>
      </c>
      <c r="B1340" s="2">
        <v>42625.1390393519</v>
      </c>
      <c r="C1340">
        <v>53</v>
      </c>
      <c r="D1340">
        <v>21</v>
      </c>
      <c r="E1340" t="s">
        <v>1330</v>
      </c>
    </row>
    <row r="1341" spans="1:5">
      <c r="A1341">
        <f>HYPERLINK("http://www.twitter.com/NYPDnews/status/775169613382443010", "775169613382443010")</f>
        <v>0</v>
      </c>
      <c r="B1341" s="2">
        <v>42625.1320833333</v>
      </c>
      <c r="C1341">
        <v>49</v>
      </c>
      <c r="D1341">
        <v>22</v>
      </c>
      <c r="E1341" t="s">
        <v>1331</v>
      </c>
    </row>
    <row r="1342" spans="1:5">
      <c r="A1342">
        <f>HYPERLINK("http://www.twitter.com/NYPDnews/status/775167248528969732", "775167248528969732")</f>
        <v>0</v>
      </c>
      <c r="B1342" s="2">
        <v>42625.1255555556</v>
      </c>
      <c r="C1342">
        <v>54</v>
      </c>
      <c r="D1342">
        <v>21</v>
      </c>
      <c r="E1342" t="s">
        <v>1332</v>
      </c>
    </row>
    <row r="1343" spans="1:5">
      <c r="A1343">
        <f>HYPERLINK("http://www.twitter.com/NYPDnews/status/775164584286093312", "775164584286093312")</f>
        <v>0</v>
      </c>
      <c r="B1343" s="2">
        <v>42625.1182060185</v>
      </c>
      <c r="C1343">
        <v>53</v>
      </c>
      <c r="D1343">
        <v>24</v>
      </c>
      <c r="E1343" t="s">
        <v>1333</v>
      </c>
    </row>
    <row r="1344" spans="1:5">
      <c r="A1344">
        <f>HYPERLINK("http://www.twitter.com/NYPDnews/status/775162069737938944", "775162069737938944")</f>
        <v>0</v>
      </c>
      <c r="B1344" s="2">
        <v>42625.1112615741</v>
      </c>
      <c r="C1344">
        <v>50</v>
      </c>
      <c r="D1344">
        <v>26</v>
      </c>
      <c r="E1344" t="s">
        <v>1334</v>
      </c>
    </row>
    <row r="1345" spans="1:5">
      <c r="A1345">
        <f>HYPERLINK("http://www.twitter.com/NYPDnews/status/775159634713870336", "775159634713870336")</f>
        <v>0</v>
      </c>
      <c r="B1345" s="2">
        <v>42625.1045486111</v>
      </c>
      <c r="C1345">
        <v>60</v>
      </c>
      <c r="D1345">
        <v>25</v>
      </c>
      <c r="E1345" t="s">
        <v>1335</v>
      </c>
    </row>
    <row r="1346" spans="1:5">
      <c r="A1346">
        <f>HYPERLINK("http://www.twitter.com/NYPDnews/status/775157036552257541", "775157036552257541")</f>
        <v>0</v>
      </c>
      <c r="B1346" s="2">
        <v>42625.0973726852</v>
      </c>
      <c r="C1346">
        <v>52</v>
      </c>
      <c r="D1346">
        <v>25</v>
      </c>
      <c r="E1346" t="s">
        <v>1336</v>
      </c>
    </row>
    <row r="1347" spans="1:5">
      <c r="A1347">
        <f>HYPERLINK("http://www.twitter.com/NYPDnews/status/775154522205351941", "775154522205351941")</f>
        <v>0</v>
      </c>
      <c r="B1347" s="2">
        <v>42625.0904398148</v>
      </c>
      <c r="C1347">
        <v>63</v>
      </c>
      <c r="D1347">
        <v>27</v>
      </c>
      <c r="E1347" t="s">
        <v>1337</v>
      </c>
    </row>
    <row r="1348" spans="1:5">
      <c r="A1348">
        <f>HYPERLINK("http://www.twitter.com/NYPDnews/status/775152164498972673", "775152164498972673")</f>
        <v>0</v>
      </c>
      <c r="B1348" s="2">
        <v>42625.0839351852</v>
      </c>
      <c r="C1348">
        <v>62</v>
      </c>
      <c r="D1348">
        <v>30</v>
      </c>
      <c r="E1348" t="s">
        <v>1338</v>
      </c>
    </row>
    <row r="1349" spans="1:5">
      <c r="A1349">
        <f>HYPERLINK("http://www.twitter.com/NYPDnews/status/775149490143653888", "775149490143653888")</f>
        <v>0</v>
      </c>
      <c r="B1349" s="2">
        <v>42625.0765509259</v>
      </c>
      <c r="C1349">
        <v>66</v>
      </c>
      <c r="D1349">
        <v>28</v>
      </c>
      <c r="E1349" t="s">
        <v>1339</v>
      </c>
    </row>
    <row r="1350" spans="1:5">
      <c r="A1350">
        <f>HYPERLINK("http://www.twitter.com/NYPDnews/status/775146969014661123", "775146969014661123")</f>
        <v>0</v>
      </c>
      <c r="B1350" s="2">
        <v>42625.0695949074</v>
      </c>
      <c r="C1350">
        <v>64</v>
      </c>
      <c r="D1350">
        <v>24</v>
      </c>
      <c r="E1350" t="s">
        <v>1340</v>
      </c>
    </row>
    <row r="1351" spans="1:5">
      <c r="A1351">
        <f>HYPERLINK("http://www.twitter.com/NYPDnews/status/775144548834181120", "775144548834181120")</f>
        <v>0</v>
      </c>
      <c r="B1351" s="2">
        <v>42625.0629166667</v>
      </c>
      <c r="C1351">
        <v>53</v>
      </c>
      <c r="D1351">
        <v>23</v>
      </c>
      <c r="E1351" t="s">
        <v>1341</v>
      </c>
    </row>
    <row r="1352" spans="1:5">
      <c r="A1352">
        <f>HYPERLINK("http://www.twitter.com/NYPDnews/status/775141941071736832", "775141941071736832")</f>
        <v>0</v>
      </c>
      <c r="B1352" s="2">
        <v>42625.0557175926</v>
      </c>
      <c r="C1352">
        <v>57</v>
      </c>
      <c r="D1352">
        <v>25</v>
      </c>
      <c r="E1352" t="s">
        <v>1342</v>
      </c>
    </row>
    <row r="1353" spans="1:5">
      <c r="A1353">
        <f>HYPERLINK("http://www.twitter.com/NYPDnews/status/775139424678076416", "775139424678076416")</f>
        <v>0</v>
      </c>
      <c r="B1353" s="2">
        <v>42625.0487731481</v>
      </c>
      <c r="C1353">
        <v>67</v>
      </c>
      <c r="D1353">
        <v>28</v>
      </c>
      <c r="E1353" t="s">
        <v>1343</v>
      </c>
    </row>
    <row r="1354" spans="1:5">
      <c r="A1354">
        <f>HYPERLINK("http://www.twitter.com/NYPDnews/status/775137117269856258", "775137117269856258")</f>
        <v>0</v>
      </c>
      <c r="B1354" s="2">
        <v>42625.0424074074</v>
      </c>
      <c r="C1354">
        <v>61</v>
      </c>
      <c r="D1354">
        <v>25</v>
      </c>
      <c r="E1354" t="s">
        <v>1344</v>
      </c>
    </row>
    <row r="1355" spans="1:5">
      <c r="A1355">
        <f>HYPERLINK("http://www.twitter.com/NYPDnews/status/775134383414140928", "775134383414140928")</f>
        <v>0</v>
      </c>
      <c r="B1355" s="2">
        <v>42625.0348611111</v>
      </c>
      <c r="C1355">
        <v>64</v>
      </c>
      <c r="D1355">
        <v>31</v>
      </c>
      <c r="E1355" t="s">
        <v>1345</v>
      </c>
    </row>
    <row r="1356" spans="1:5">
      <c r="A1356">
        <f>HYPERLINK("http://www.twitter.com/NYPDnews/status/775131879964045316", "775131879964045316")</f>
        <v>0</v>
      </c>
      <c r="B1356" s="2">
        <v>42625.027962963</v>
      </c>
      <c r="C1356">
        <v>52</v>
      </c>
      <c r="D1356">
        <v>31</v>
      </c>
      <c r="E1356" t="s">
        <v>1346</v>
      </c>
    </row>
    <row r="1357" spans="1:5">
      <c r="A1357">
        <f>HYPERLINK("http://www.twitter.com/NYPDnews/status/775129457443147777", "775129457443147777")</f>
        <v>0</v>
      </c>
      <c r="B1357" s="2">
        <v>42625.0212731482</v>
      </c>
      <c r="C1357">
        <v>66</v>
      </c>
      <c r="D1357">
        <v>28</v>
      </c>
      <c r="E1357" t="s">
        <v>1347</v>
      </c>
    </row>
    <row r="1358" spans="1:5">
      <c r="A1358">
        <f>HYPERLINK("http://www.twitter.com/NYPDnews/status/775126849370329088", "775126849370329088")</f>
        <v>0</v>
      </c>
      <c r="B1358" s="2">
        <v>42625.0140740741</v>
      </c>
      <c r="C1358">
        <v>65</v>
      </c>
      <c r="D1358">
        <v>29</v>
      </c>
      <c r="E1358" t="s">
        <v>1348</v>
      </c>
    </row>
    <row r="1359" spans="1:5">
      <c r="A1359">
        <f>HYPERLINK("http://www.twitter.com/NYPDnews/status/775124331982716928", "775124331982716928")</f>
        <v>0</v>
      </c>
      <c r="B1359" s="2">
        <v>42625.0071296296</v>
      </c>
      <c r="C1359">
        <v>65</v>
      </c>
      <c r="D1359">
        <v>28</v>
      </c>
      <c r="E1359" t="s">
        <v>1349</v>
      </c>
    </row>
    <row r="1360" spans="1:5">
      <c r="A1360">
        <f>HYPERLINK("http://www.twitter.com/NYPDnews/status/775122030131834881", "775122030131834881")</f>
        <v>0</v>
      </c>
      <c r="B1360" s="2">
        <v>42625.000775463</v>
      </c>
      <c r="C1360">
        <v>71</v>
      </c>
      <c r="D1360">
        <v>29</v>
      </c>
      <c r="E1360" t="s">
        <v>1350</v>
      </c>
    </row>
    <row r="1361" spans="1:5">
      <c r="A1361">
        <f>HYPERLINK("http://www.twitter.com/NYPDnews/status/775119288789266432", "775119288789266432")</f>
        <v>0</v>
      </c>
      <c r="B1361" s="2">
        <v>42624.9932175926</v>
      </c>
      <c r="C1361">
        <v>65</v>
      </c>
      <c r="D1361">
        <v>30</v>
      </c>
      <c r="E1361" t="s">
        <v>1351</v>
      </c>
    </row>
    <row r="1362" spans="1:5">
      <c r="A1362">
        <f>HYPERLINK("http://www.twitter.com/NYPDnews/status/775116784605204481", "775116784605204481")</f>
        <v>0</v>
      </c>
      <c r="B1362" s="2">
        <v>42624.9863078704</v>
      </c>
      <c r="C1362">
        <v>74</v>
      </c>
      <c r="D1362">
        <v>27</v>
      </c>
      <c r="E1362" t="s">
        <v>1352</v>
      </c>
    </row>
    <row r="1363" spans="1:5">
      <c r="A1363">
        <f>HYPERLINK("http://www.twitter.com/NYPDnews/status/775114365137743872", "775114365137743872")</f>
        <v>0</v>
      </c>
      <c r="B1363" s="2">
        <v>42624.9796296296</v>
      </c>
      <c r="C1363">
        <v>80</v>
      </c>
      <c r="D1363">
        <v>32</v>
      </c>
      <c r="E1363" t="s">
        <v>1353</v>
      </c>
    </row>
    <row r="1364" spans="1:5">
      <c r="A1364">
        <f>HYPERLINK("http://www.twitter.com/NYPDnews/status/775111753998925824", "775111753998925824")</f>
        <v>0</v>
      </c>
      <c r="B1364" s="2">
        <v>42624.9724189815</v>
      </c>
      <c r="C1364">
        <v>64</v>
      </c>
      <c r="D1364">
        <v>27</v>
      </c>
      <c r="E1364" t="s">
        <v>1354</v>
      </c>
    </row>
    <row r="1365" spans="1:5">
      <c r="A1365">
        <f>HYPERLINK("http://www.twitter.com/NYPDnews/status/775109234589564928", "775109234589564928")</f>
        <v>0</v>
      </c>
      <c r="B1365" s="2">
        <v>42624.965474537</v>
      </c>
      <c r="C1365">
        <v>69</v>
      </c>
      <c r="D1365">
        <v>28</v>
      </c>
      <c r="E1365" t="s">
        <v>1355</v>
      </c>
    </row>
    <row r="1366" spans="1:5">
      <c r="A1366">
        <f>HYPERLINK("http://www.twitter.com/NYPDnews/status/775106927143555072", "775106927143555072")</f>
        <v>0</v>
      </c>
      <c r="B1366" s="2">
        <v>42624.9590972222</v>
      </c>
      <c r="C1366">
        <v>54</v>
      </c>
      <c r="D1366">
        <v>28</v>
      </c>
      <c r="E1366" t="s">
        <v>1356</v>
      </c>
    </row>
    <row r="1367" spans="1:5">
      <c r="A1367">
        <f>HYPERLINK("http://www.twitter.com/NYPDnews/status/775104195238174725", "775104195238174725")</f>
        <v>0</v>
      </c>
      <c r="B1367" s="2">
        <v>42624.9515625</v>
      </c>
      <c r="C1367">
        <v>68</v>
      </c>
      <c r="D1367">
        <v>28</v>
      </c>
      <c r="E1367" t="s">
        <v>1357</v>
      </c>
    </row>
    <row r="1368" spans="1:5">
      <c r="A1368">
        <f>HYPERLINK("http://www.twitter.com/NYPDnews/status/775101685987364864", "775101685987364864")</f>
        <v>0</v>
      </c>
      <c r="B1368" s="2">
        <v>42624.9446412037</v>
      </c>
      <c r="C1368">
        <v>68</v>
      </c>
      <c r="D1368">
        <v>25</v>
      </c>
      <c r="E1368" t="s">
        <v>1358</v>
      </c>
    </row>
    <row r="1369" spans="1:5">
      <c r="A1369">
        <f>HYPERLINK("http://www.twitter.com/NYPDnews/status/775099260425691136", "775099260425691136")</f>
        <v>0</v>
      </c>
      <c r="B1369" s="2">
        <v>42624.9379398148</v>
      </c>
      <c r="C1369">
        <v>60</v>
      </c>
      <c r="D1369">
        <v>24</v>
      </c>
      <c r="E1369" t="s">
        <v>1359</v>
      </c>
    </row>
    <row r="1370" spans="1:5">
      <c r="A1370">
        <f>HYPERLINK("http://www.twitter.com/NYPDnews/status/775096649408507904", "775096649408507904")</f>
        <v>0</v>
      </c>
      <c r="B1370" s="2">
        <v>42624.9307407407</v>
      </c>
      <c r="C1370">
        <v>65</v>
      </c>
      <c r="D1370">
        <v>34</v>
      </c>
      <c r="E1370" t="s">
        <v>1360</v>
      </c>
    </row>
    <row r="1371" spans="1:5">
      <c r="A1371">
        <f>HYPERLINK("http://www.twitter.com/NYPDnews/status/775094145429938176", "775094145429938176")</f>
        <v>0</v>
      </c>
      <c r="B1371" s="2">
        <v>42624.9238310185</v>
      </c>
      <c r="C1371">
        <v>67</v>
      </c>
      <c r="D1371">
        <v>30</v>
      </c>
      <c r="E1371" t="s">
        <v>1361</v>
      </c>
    </row>
    <row r="1372" spans="1:5">
      <c r="A1372">
        <f>HYPERLINK("http://www.twitter.com/NYPDnews/status/775091827796013056", "775091827796013056")</f>
        <v>0</v>
      </c>
      <c r="B1372" s="2">
        <v>42624.9174305556</v>
      </c>
      <c r="C1372">
        <v>201</v>
      </c>
      <c r="D1372">
        <v>95</v>
      </c>
      <c r="E1372" t="s">
        <v>1362</v>
      </c>
    </row>
    <row r="1373" spans="1:5">
      <c r="A1373">
        <f>HYPERLINK("http://www.twitter.com/NYPDnews/status/775089101305446402", "775089101305446402")</f>
        <v>0</v>
      </c>
      <c r="B1373" s="2">
        <v>42624.9099074074</v>
      </c>
      <c r="C1373">
        <v>56</v>
      </c>
      <c r="D1373">
        <v>26</v>
      </c>
      <c r="E1373" t="s">
        <v>1363</v>
      </c>
    </row>
    <row r="1374" spans="1:5">
      <c r="A1374">
        <f>HYPERLINK("http://www.twitter.com/NYPDnews/status/775086591652093952", "775086591652093952")</f>
        <v>0</v>
      </c>
      <c r="B1374" s="2">
        <v>42624.9029861111</v>
      </c>
      <c r="C1374">
        <v>46</v>
      </c>
      <c r="D1374">
        <v>25</v>
      </c>
      <c r="E1374" t="s">
        <v>1364</v>
      </c>
    </row>
    <row r="1375" spans="1:5">
      <c r="A1375">
        <f>HYPERLINK("http://www.twitter.com/NYPDnews/status/775084163313655811", "775084163313655811")</f>
        <v>0</v>
      </c>
      <c r="B1375" s="2">
        <v>42624.8962847222</v>
      </c>
      <c r="C1375">
        <v>56</v>
      </c>
      <c r="D1375">
        <v>28</v>
      </c>
      <c r="E1375" t="s">
        <v>1365</v>
      </c>
    </row>
    <row r="1376" spans="1:5">
      <c r="A1376">
        <f>HYPERLINK("http://www.twitter.com/NYPDnews/status/775081566024458241", "775081566024458241")</f>
        <v>0</v>
      </c>
      <c r="B1376" s="2">
        <v>42624.8891203704</v>
      </c>
      <c r="C1376">
        <v>61</v>
      </c>
      <c r="D1376">
        <v>28</v>
      </c>
      <c r="E1376" t="s">
        <v>1366</v>
      </c>
    </row>
    <row r="1377" spans="1:5">
      <c r="A1377">
        <f>HYPERLINK("http://www.twitter.com/NYPDnews/status/775079036552962048", "775079036552962048")</f>
        <v>0</v>
      </c>
      <c r="B1377" s="2">
        <v>42624.8821412037</v>
      </c>
      <c r="C1377">
        <v>63</v>
      </c>
      <c r="D1377">
        <v>32</v>
      </c>
      <c r="E1377" t="s">
        <v>1367</v>
      </c>
    </row>
    <row r="1378" spans="1:5">
      <c r="A1378">
        <f>HYPERLINK("http://www.twitter.com/NYPDnews/status/775076757410091009", "775076757410091009")</f>
        <v>0</v>
      </c>
      <c r="B1378" s="2">
        <v>42624.8758449074</v>
      </c>
      <c r="C1378">
        <v>65</v>
      </c>
      <c r="D1378">
        <v>28</v>
      </c>
      <c r="E1378" t="s">
        <v>1368</v>
      </c>
    </row>
    <row r="1379" spans="1:5">
      <c r="A1379">
        <f>HYPERLINK("http://www.twitter.com/NYPDnews/status/775074006638690305", "775074006638690305")</f>
        <v>0</v>
      </c>
      <c r="B1379" s="2">
        <v>42624.8682638889</v>
      </c>
      <c r="C1379">
        <v>59</v>
      </c>
      <c r="D1379">
        <v>30</v>
      </c>
      <c r="E1379" t="s">
        <v>1369</v>
      </c>
    </row>
    <row r="1380" spans="1:5">
      <c r="A1380">
        <f>HYPERLINK("http://www.twitter.com/NYPDnews/status/775071505449357312", "775071505449357312")</f>
        <v>0</v>
      </c>
      <c r="B1380" s="2">
        <v>42624.8613541667</v>
      </c>
      <c r="C1380">
        <v>64</v>
      </c>
      <c r="D1380">
        <v>31</v>
      </c>
      <c r="E1380" t="s">
        <v>1370</v>
      </c>
    </row>
    <row r="1381" spans="1:5">
      <c r="A1381">
        <f>HYPERLINK("http://www.twitter.com/NYPDnews/status/775069078599897088", "775069078599897088")</f>
        <v>0</v>
      </c>
      <c r="B1381" s="2">
        <v>42624.8546643518</v>
      </c>
      <c r="C1381">
        <v>55</v>
      </c>
      <c r="D1381">
        <v>23</v>
      </c>
      <c r="E1381" t="s">
        <v>1371</v>
      </c>
    </row>
    <row r="1382" spans="1:5">
      <c r="A1382">
        <f>HYPERLINK("http://www.twitter.com/NYPDnews/status/775066492303966209", "775066492303966209")</f>
        <v>0</v>
      </c>
      <c r="B1382" s="2">
        <v>42624.8475231481</v>
      </c>
      <c r="C1382">
        <v>68</v>
      </c>
      <c r="D1382">
        <v>31</v>
      </c>
      <c r="E1382" t="s">
        <v>1372</v>
      </c>
    </row>
    <row r="1383" spans="1:5">
      <c r="A1383">
        <f>HYPERLINK("http://www.twitter.com/NYPDnews/status/775061709732114432", "775061709732114432")</f>
        <v>0</v>
      </c>
      <c r="B1383" s="2">
        <v>42624.8343287037</v>
      </c>
      <c r="C1383">
        <v>61</v>
      </c>
      <c r="D1383">
        <v>26</v>
      </c>
      <c r="E1383" t="s">
        <v>1373</v>
      </c>
    </row>
    <row r="1384" spans="1:5">
      <c r="A1384">
        <f>HYPERLINK("http://www.twitter.com/NYPDnews/status/775058910537510913", "775058910537510913")</f>
        <v>0</v>
      </c>
      <c r="B1384" s="2">
        <v>42624.8265972222</v>
      </c>
      <c r="C1384">
        <v>54</v>
      </c>
      <c r="D1384">
        <v>30</v>
      </c>
      <c r="E1384" t="s">
        <v>1374</v>
      </c>
    </row>
    <row r="1385" spans="1:5">
      <c r="A1385">
        <f>HYPERLINK("http://www.twitter.com/NYPDnews/status/775056412829442048", "775056412829442048")</f>
        <v>0</v>
      </c>
      <c r="B1385" s="2">
        <v>42624.8197106481</v>
      </c>
      <c r="C1385">
        <v>71</v>
      </c>
      <c r="D1385">
        <v>34</v>
      </c>
      <c r="E1385" t="s">
        <v>1375</v>
      </c>
    </row>
    <row r="1386" spans="1:5">
      <c r="A1386">
        <f>HYPERLINK("http://www.twitter.com/NYPDnews/status/775054008566345728", "775054008566345728")</f>
        <v>0</v>
      </c>
      <c r="B1386" s="2">
        <v>42624.8130787037</v>
      </c>
      <c r="C1386">
        <v>68</v>
      </c>
      <c r="D1386">
        <v>31</v>
      </c>
      <c r="E1386" t="s">
        <v>1376</v>
      </c>
    </row>
    <row r="1387" spans="1:5">
      <c r="A1387">
        <f>HYPERLINK("http://www.twitter.com/NYPDnews/status/775050060010758144", "775050060010758144")</f>
        <v>0</v>
      </c>
      <c r="B1387" s="2">
        <v>42624.8021759259</v>
      </c>
      <c r="C1387">
        <v>175</v>
      </c>
      <c r="D1387">
        <v>107</v>
      </c>
      <c r="E1387" t="s">
        <v>1377</v>
      </c>
    </row>
    <row r="1388" spans="1:5">
      <c r="A1388">
        <f>HYPERLINK("http://www.twitter.com/NYPDnews/status/775046338383929348", "775046338383929348")</f>
        <v>0</v>
      </c>
      <c r="B1388" s="2">
        <v>42624.7919097222</v>
      </c>
      <c r="C1388">
        <v>219</v>
      </c>
      <c r="D1388">
        <v>118</v>
      </c>
      <c r="E1388" t="s">
        <v>1378</v>
      </c>
    </row>
    <row r="1389" spans="1:5">
      <c r="A1389">
        <f>HYPERLINK("http://www.twitter.com/NYPDnews/status/775042586218291205", "775042586218291205")</f>
        <v>0</v>
      </c>
      <c r="B1389" s="2">
        <v>42624.7815509259</v>
      </c>
      <c r="C1389">
        <v>59</v>
      </c>
      <c r="D1389">
        <v>35</v>
      </c>
      <c r="E1389" t="s">
        <v>1379</v>
      </c>
    </row>
    <row r="1390" spans="1:5">
      <c r="A1390">
        <f>HYPERLINK("http://www.twitter.com/NYPDnews/status/775038918005850113", "775038918005850113")</f>
        <v>0</v>
      </c>
      <c r="B1390" s="2">
        <v>42624.7714351852</v>
      </c>
      <c r="C1390">
        <v>58</v>
      </c>
      <c r="D1390">
        <v>32</v>
      </c>
      <c r="E1390" t="s">
        <v>1380</v>
      </c>
    </row>
    <row r="1391" spans="1:5">
      <c r="A1391">
        <f>HYPERLINK("http://www.twitter.com/NYPDnews/status/775035021677690880", "775035021677690880")</f>
        <v>0</v>
      </c>
      <c r="B1391" s="2">
        <v>42624.7606828704</v>
      </c>
      <c r="C1391">
        <v>55</v>
      </c>
      <c r="D1391">
        <v>30</v>
      </c>
      <c r="E1391" t="s">
        <v>1381</v>
      </c>
    </row>
    <row r="1392" spans="1:5">
      <c r="A1392">
        <f>HYPERLINK("http://www.twitter.com/NYPDnews/status/775031601679982592", "775031601679982592")</f>
        <v>0</v>
      </c>
      <c r="B1392" s="2">
        <v>42624.7512384259</v>
      </c>
      <c r="C1392">
        <v>64</v>
      </c>
      <c r="D1392">
        <v>29</v>
      </c>
      <c r="E1392" t="s">
        <v>1382</v>
      </c>
    </row>
    <row r="1393" spans="1:5">
      <c r="A1393">
        <f>HYPERLINK("http://www.twitter.com/NYPDnews/status/775027473629192193", "775027473629192193")</f>
        <v>0</v>
      </c>
      <c r="B1393" s="2">
        <v>42624.739849537</v>
      </c>
      <c r="C1393">
        <v>71</v>
      </c>
      <c r="D1393">
        <v>30</v>
      </c>
      <c r="E1393" t="s">
        <v>1383</v>
      </c>
    </row>
    <row r="1394" spans="1:5">
      <c r="A1394">
        <f>HYPERLINK("http://www.twitter.com/NYPDnews/status/775023812102545409", "775023812102545409")</f>
        <v>0</v>
      </c>
      <c r="B1394" s="2">
        <v>42624.7297453704</v>
      </c>
      <c r="C1394">
        <v>52</v>
      </c>
      <c r="D1394">
        <v>25</v>
      </c>
      <c r="E1394" t="s">
        <v>1384</v>
      </c>
    </row>
    <row r="1395" spans="1:5">
      <c r="A1395">
        <f>HYPERLINK("http://www.twitter.com/NYPDnews/status/775019933520519168", "775019933520519168")</f>
        <v>0</v>
      </c>
      <c r="B1395" s="2">
        <v>42624.7190393519</v>
      </c>
      <c r="C1395">
        <v>63</v>
      </c>
      <c r="D1395">
        <v>31</v>
      </c>
      <c r="E1395" t="s">
        <v>1385</v>
      </c>
    </row>
    <row r="1396" spans="1:5">
      <c r="A1396">
        <f>HYPERLINK("http://www.twitter.com/NYPDnews/status/775016483592208384", "775016483592208384")</f>
        <v>0</v>
      </c>
      <c r="B1396" s="2">
        <v>42624.709525463</v>
      </c>
      <c r="C1396">
        <v>69</v>
      </c>
      <c r="D1396">
        <v>34</v>
      </c>
      <c r="E1396" t="s">
        <v>1386</v>
      </c>
    </row>
    <row r="1397" spans="1:5">
      <c r="A1397">
        <f>HYPERLINK("http://www.twitter.com/NYPDnews/status/775013365039202304", "775013365039202304")</f>
        <v>0</v>
      </c>
      <c r="B1397" s="2">
        <v>42624.7009143519</v>
      </c>
      <c r="C1397">
        <v>0</v>
      </c>
      <c r="D1397">
        <v>215</v>
      </c>
      <c r="E1397" t="s">
        <v>1387</v>
      </c>
    </row>
    <row r="1398" spans="1:5">
      <c r="A1398">
        <f>HYPERLINK("http://www.twitter.com/NYPDnews/status/775011139616960512", "775011139616960512")</f>
        <v>0</v>
      </c>
      <c r="B1398" s="2">
        <v>42624.6947800926</v>
      </c>
      <c r="C1398">
        <v>231</v>
      </c>
      <c r="D1398">
        <v>109</v>
      </c>
      <c r="E1398" t="s">
        <v>1388</v>
      </c>
    </row>
    <row r="1399" spans="1:5">
      <c r="A1399">
        <f>HYPERLINK("http://www.twitter.com/NYPDnews/status/775008907672559616", "775008907672559616")</f>
        <v>0</v>
      </c>
      <c r="B1399" s="2">
        <v>42624.6886226852</v>
      </c>
      <c r="C1399">
        <v>0</v>
      </c>
      <c r="D1399">
        <v>58</v>
      </c>
      <c r="E1399" t="s">
        <v>1389</v>
      </c>
    </row>
    <row r="1400" spans="1:5">
      <c r="A1400">
        <f>HYPERLINK("http://www.twitter.com/NYPDnews/status/775006184113922048", "775006184113922048")</f>
        <v>0</v>
      </c>
      <c r="B1400" s="2">
        <v>42624.681099537</v>
      </c>
      <c r="C1400">
        <v>202</v>
      </c>
      <c r="D1400">
        <v>141</v>
      </c>
      <c r="E1400" t="s">
        <v>1390</v>
      </c>
    </row>
    <row r="1401" spans="1:5">
      <c r="A1401">
        <f>HYPERLINK("http://www.twitter.com/NYPDnews/status/775001432999206912", "775001432999206912")</f>
        <v>0</v>
      </c>
      <c r="B1401" s="2">
        <v>42624.6679976852</v>
      </c>
      <c r="C1401">
        <v>293</v>
      </c>
      <c r="D1401">
        <v>135</v>
      </c>
      <c r="E1401" t="s">
        <v>1391</v>
      </c>
    </row>
    <row r="1402" spans="1:5">
      <c r="A1402">
        <f>HYPERLINK("http://www.twitter.com/NYPDnews/status/775001048624791552", "775001048624791552")</f>
        <v>0</v>
      </c>
      <c r="B1402" s="2">
        <v>42624.6669328704</v>
      </c>
      <c r="C1402">
        <v>339</v>
      </c>
      <c r="D1402">
        <v>159</v>
      </c>
      <c r="E1402" t="s">
        <v>1392</v>
      </c>
    </row>
    <row r="1403" spans="1:5">
      <c r="A1403">
        <f>HYPERLINK("http://www.twitter.com/NYPDnews/status/774998522949165059", "774998522949165059")</f>
        <v>0</v>
      </c>
      <c r="B1403" s="2">
        <v>42624.6599652778</v>
      </c>
      <c r="C1403">
        <v>65</v>
      </c>
      <c r="D1403">
        <v>32</v>
      </c>
      <c r="E1403" t="s">
        <v>1393</v>
      </c>
    </row>
    <row r="1404" spans="1:5">
      <c r="A1404">
        <f>HYPERLINK("http://www.twitter.com/NYPDnews/status/774996026059001856", "774996026059001856")</f>
        <v>0</v>
      </c>
      <c r="B1404" s="2">
        <v>42624.6530671296</v>
      </c>
      <c r="C1404">
        <v>65</v>
      </c>
      <c r="D1404">
        <v>31</v>
      </c>
      <c r="E1404" t="s">
        <v>1394</v>
      </c>
    </row>
    <row r="1405" spans="1:5">
      <c r="A1405">
        <f>HYPERLINK("http://www.twitter.com/NYPDnews/status/774993639865016348", "774993639865016348")</f>
        <v>0</v>
      </c>
      <c r="B1405" s="2">
        <v>42624.6464930556</v>
      </c>
      <c r="C1405">
        <v>60</v>
      </c>
      <c r="D1405">
        <v>29</v>
      </c>
      <c r="E1405" t="s">
        <v>1395</v>
      </c>
    </row>
    <row r="1406" spans="1:5">
      <c r="A1406">
        <f>HYPERLINK("http://www.twitter.com/NYPDnews/status/774990988683124736", "774990988683124736")</f>
        <v>0</v>
      </c>
      <c r="B1406" s="2">
        <v>42624.6391666667</v>
      </c>
      <c r="C1406">
        <v>80</v>
      </c>
      <c r="D1406">
        <v>37</v>
      </c>
      <c r="E1406" t="s">
        <v>1396</v>
      </c>
    </row>
    <row r="1407" spans="1:5">
      <c r="A1407">
        <f>HYPERLINK("http://www.twitter.com/NYPDnews/status/774988474671849472", "774988474671849472")</f>
        <v>0</v>
      </c>
      <c r="B1407" s="2">
        <v>42624.6322337963</v>
      </c>
      <c r="C1407">
        <v>58</v>
      </c>
      <c r="D1407">
        <v>35</v>
      </c>
      <c r="E1407" t="s">
        <v>1397</v>
      </c>
    </row>
    <row r="1408" spans="1:5">
      <c r="A1408">
        <f>HYPERLINK("http://www.twitter.com/NYPDnews/status/774986319483240449", "774986319483240449")</f>
        <v>0</v>
      </c>
      <c r="B1408" s="2">
        <v>42624.6262847222</v>
      </c>
      <c r="C1408">
        <v>71</v>
      </c>
      <c r="D1408">
        <v>35</v>
      </c>
      <c r="E1408" t="s">
        <v>1398</v>
      </c>
    </row>
    <row r="1409" spans="1:5">
      <c r="A1409">
        <f>HYPERLINK("http://www.twitter.com/NYPDnews/status/774983427758100481", "774983427758100481")</f>
        <v>0</v>
      </c>
      <c r="B1409" s="2">
        <v>42624.6183101852</v>
      </c>
      <c r="C1409">
        <v>74</v>
      </c>
      <c r="D1409">
        <v>30</v>
      </c>
      <c r="E1409" t="s">
        <v>1399</v>
      </c>
    </row>
    <row r="1410" spans="1:5">
      <c r="A1410">
        <f>HYPERLINK("http://www.twitter.com/NYPDnews/status/774980920885608448", "774980920885608448")</f>
        <v>0</v>
      </c>
      <c r="B1410" s="2">
        <v>42624.6113888889</v>
      </c>
      <c r="C1410">
        <v>78</v>
      </c>
      <c r="D1410">
        <v>37</v>
      </c>
      <c r="E1410" t="s">
        <v>1400</v>
      </c>
    </row>
    <row r="1411" spans="1:5">
      <c r="A1411">
        <f>HYPERLINK("http://www.twitter.com/NYPDnews/status/774978522737741824", "774978522737741824")</f>
        <v>0</v>
      </c>
      <c r="B1411" s="2">
        <v>42624.6047685185</v>
      </c>
      <c r="C1411">
        <v>81</v>
      </c>
      <c r="D1411">
        <v>36</v>
      </c>
      <c r="E1411" t="s">
        <v>1401</v>
      </c>
    </row>
    <row r="1412" spans="1:5">
      <c r="A1412">
        <f>HYPERLINK("http://www.twitter.com/NYPDnews/status/774975890556157952", "774975890556157952")</f>
        <v>0</v>
      </c>
      <c r="B1412" s="2">
        <v>42624.5975115741</v>
      </c>
      <c r="C1412">
        <v>73</v>
      </c>
      <c r="D1412">
        <v>37</v>
      </c>
      <c r="E1412" t="s">
        <v>1402</v>
      </c>
    </row>
    <row r="1413" spans="1:5">
      <c r="A1413">
        <f>HYPERLINK("http://www.twitter.com/NYPDnews/status/774973364788142080", "774973364788142080")</f>
        <v>0</v>
      </c>
      <c r="B1413" s="2">
        <v>42624.5905439815</v>
      </c>
      <c r="C1413">
        <v>75</v>
      </c>
      <c r="D1413">
        <v>37</v>
      </c>
      <c r="E1413" t="s">
        <v>1403</v>
      </c>
    </row>
    <row r="1414" spans="1:5">
      <c r="A1414">
        <f>HYPERLINK("http://www.twitter.com/NYPDnews/status/774971200279875584", "774971200279875584")</f>
        <v>0</v>
      </c>
      <c r="B1414" s="2">
        <v>42624.5845717593</v>
      </c>
      <c r="C1414">
        <v>75</v>
      </c>
      <c r="D1414">
        <v>37</v>
      </c>
      <c r="E1414" t="s">
        <v>1404</v>
      </c>
    </row>
    <row r="1415" spans="1:5">
      <c r="A1415">
        <f>HYPERLINK("http://www.twitter.com/NYPDnews/status/774968316049915904", "774968316049915904")</f>
        <v>0</v>
      </c>
      <c r="B1415" s="2">
        <v>42624.5766087963</v>
      </c>
      <c r="C1415">
        <v>71</v>
      </c>
      <c r="D1415">
        <v>36</v>
      </c>
      <c r="E1415" t="s">
        <v>1405</v>
      </c>
    </row>
    <row r="1416" spans="1:5">
      <c r="A1416">
        <f>HYPERLINK("http://www.twitter.com/NYPDnews/status/774965818635522048", "774965818635522048")</f>
        <v>0</v>
      </c>
      <c r="B1416" s="2">
        <v>42624.5697106481</v>
      </c>
      <c r="C1416">
        <v>87</v>
      </c>
      <c r="D1416">
        <v>45</v>
      </c>
      <c r="E1416" t="s">
        <v>1406</v>
      </c>
    </row>
    <row r="1417" spans="1:5">
      <c r="A1417">
        <f>HYPERLINK("http://www.twitter.com/NYPDnews/status/774963427416674304", "774963427416674304")</f>
        <v>0</v>
      </c>
      <c r="B1417" s="2">
        <v>42624.5631134259</v>
      </c>
      <c r="C1417">
        <v>61</v>
      </c>
      <c r="D1417">
        <v>35</v>
      </c>
      <c r="E1417" t="s">
        <v>1407</v>
      </c>
    </row>
    <row r="1418" spans="1:5">
      <c r="A1418">
        <f>HYPERLINK("http://www.twitter.com/NYPDnews/status/774960789061001216", "774960789061001216")</f>
        <v>0</v>
      </c>
      <c r="B1418" s="2">
        <v>42624.5558333333</v>
      </c>
      <c r="C1418">
        <v>169</v>
      </c>
      <c r="D1418">
        <v>99</v>
      </c>
      <c r="E1418" t="s">
        <v>1408</v>
      </c>
    </row>
    <row r="1419" spans="1:5">
      <c r="A1419">
        <f>HYPERLINK("http://www.twitter.com/NYPDnews/status/774958277725659137", "774958277725659137")</f>
        <v>0</v>
      </c>
      <c r="B1419" s="2">
        <v>42624.548912037</v>
      </c>
      <c r="C1419">
        <v>161</v>
      </c>
      <c r="D1419">
        <v>88</v>
      </c>
      <c r="E1419" t="s">
        <v>1409</v>
      </c>
    </row>
    <row r="1420" spans="1:5">
      <c r="A1420">
        <f>HYPERLINK("http://www.twitter.com/NYPDnews/status/774954366474264577", "774954366474264577")</f>
        <v>0</v>
      </c>
      <c r="B1420" s="2">
        <v>42624.5381134259</v>
      </c>
      <c r="C1420">
        <v>1407</v>
      </c>
      <c r="D1420">
        <v>691</v>
      </c>
      <c r="E1420" t="s">
        <v>1410</v>
      </c>
    </row>
    <row r="1421" spans="1:5">
      <c r="A1421">
        <f>HYPERLINK("http://www.twitter.com/NYPDnews/status/774953224390533120", "774953224390533120")</f>
        <v>0</v>
      </c>
      <c r="B1421" s="2">
        <v>42624.5349652778</v>
      </c>
      <c r="C1421">
        <v>811</v>
      </c>
      <c r="D1421">
        <v>329</v>
      </c>
      <c r="E1421" t="s">
        <v>1411</v>
      </c>
    </row>
    <row r="1422" spans="1:5">
      <c r="A1422">
        <f>HYPERLINK("http://www.twitter.com/NYPDnews/status/774948166567329792", "774948166567329792")</f>
        <v>0</v>
      </c>
      <c r="B1422" s="2">
        <v>42624.5210069444</v>
      </c>
      <c r="C1422">
        <v>180</v>
      </c>
      <c r="D1422">
        <v>102</v>
      </c>
      <c r="E1422" t="s">
        <v>1412</v>
      </c>
    </row>
    <row r="1423" spans="1:5">
      <c r="A1423">
        <f>HYPERLINK("http://www.twitter.com/NYPDnews/status/774945690036363264", "774945690036363264")</f>
        <v>0</v>
      </c>
      <c r="B1423" s="2">
        <v>42624.5141666667</v>
      </c>
      <c r="C1423">
        <v>66</v>
      </c>
      <c r="D1423">
        <v>35</v>
      </c>
      <c r="E1423" t="s">
        <v>1413</v>
      </c>
    </row>
    <row r="1424" spans="1:5">
      <c r="A1424">
        <f>HYPERLINK("http://www.twitter.com/NYPDnews/status/774943159822450688", "774943159822450688")</f>
        <v>0</v>
      </c>
      <c r="B1424" s="2">
        <v>42624.5071875</v>
      </c>
      <c r="C1424">
        <v>66</v>
      </c>
      <c r="D1424">
        <v>36</v>
      </c>
      <c r="E1424" t="s">
        <v>1414</v>
      </c>
    </row>
    <row r="1425" spans="1:5">
      <c r="A1425">
        <f>HYPERLINK("http://www.twitter.com/NYPDnews/status/774940645001748480", "774940645001748480")</f>
        <v>0</v>
      </c>
      <c r="B1425" s="2">
        <v>42624.5002546296</v>
      </c>
      <c r="C1425">
        <v>721</v>
      </c>
      <c r="D1425">
        <v>601</v>
      </c>
      <c r="E1425" t="s">
        <v>1415</v>
      </c>
    </row>
    <row r="1426" spans="1:5">
      <c r="A1426">
        <f>HYPERLINK("http://www.twitter.com/NYPDnews/status/774938101860933634", "774938101860933634")</f>
        <v>0</v>
      </c>
      <c r="B1426" s="2">
        <v>42624.4932291667</v>
      </c>
      <c r="C1426">
        <v>68</v>
      </c>
      <c r="D1426">
        <v>39</v>
      </c>
      <c r="E1426" t="s">
        <v>1416</v>
      </c>
    </row>
    <row r="1427" spans="1:5">
      <c r="A1427">
        <f>HYPERLINK("http://www.twitter.com/NYPDnews/status/774935606291988484", "774935606291988484")</f>
        <v>0</v>
      </c>
      <c r="B1427" s="2">
        <v>42624.4863425926</v>
      </c>
      <c r="C1427">
        <v>60</v>
      </c>
      <c r="D1427">
        <v>32</v>
      </c>
      <c r="E1427" t="s">
        <v>1417</v>
      </c>
    </row>
    <row r="1428" spans="1:5">
      <c r="A1428">
        <f>HYPERLINK("http://www.twitter.com/NYPDnews/status/774933219238154241", "774933219238154241")</f>
        <v>0</v>
      </c>
      <c r="B1428" s="2">
        <v>42624.4797569444</v>
      </c>
      <c r="C1428">
        <v>73</v>
      </c>
      <c r="D1428">
        <v>40</v>
      </c>
      <c r="E1428" t="s">
        <v>1418</v>
      </c>
    </row>
    <row r="1429" spans="1:5">
      <c r="A1429">
        <f>HYPERLINK("http://www.twitter.com/NYPDnews/status/774930564763815936", "774930564763815936")</f>
        <v>0</v>
      </c>
      <c r="B1429" s="2">
        <v>42624.4724305556</v>
      </c>
      <c r="C1429">
        <v>62</v>
      </c>
      <c r="D1429">
        <v>38</v>
      </c>
      <c r="E1429" t="s">
        <v>1419</v>
      </c>
    </row>
    <row r="1430" spans="1:5">
      <c r="A1430">
        <f>HYPERLINK("http://www.twitter.com/NYPDnews/status/774930564411453440", "774930564411453440")</f>
        <v>0</v>
      </c>
      <c r="B1430" s="2">
        <v>42624.4724305556</v>
      </c>
      <c r="C1430">
        <v>1136</v>
      </c>
      <c r="D1430">
        <v>657</v>
      </c>
      <c r="E1430" t="s">
        <v>1420</v>
      </c>
    </row>
    <row r="1431" spans="1:5">
      <c r="A1431">
        <f>HYPERLINK("http://www.twitter.com/NYPDnews/status/774928051184500736", "774928051184500736")</f>
        <v>0</v>
      </c>
      <c r="B1431" s="2">
        <v>42624.4654976852</v>
      </c>
      <c r="C1431">
        <v>63</v>
      </c>
      <c r="D1431">
        <v>40</v>
      </c>
      <c r="E1431" t="s">
        <v>1421</v>
      </c>
    </row>
    <row r="1432" spans="1:5">
      <c r="A1432">
        <f>HYPERLINK("http://www.twitter.com/NYPDnews/status/774925776865165312", "774925776865165312")</f>
        <v>0</v>
      </c>
      <c r="B1432" s="2">
        <v>42624.459224537</v>
      </c>
      <c r="C1432">
        <v>63</v>
      </c>
      <c r="D1432">
        <v>34</v>
      </c>
      <c r="E1432" t="s">
        <v>1422</v>
      </c>
    </row>
    <row r="1433" spans="1:5">
      <c r="A1433">
        <f>HYPERLINK("http://www.twitter.com/NYPDnews/status/774922996674953216", "774922996674953216")</f>
        <v>0</v>
      </c>
      <c r="B1433" s="2">
        <v>42624.4515509259</v>
      </c>
      <c r="C1433">
        <v>64</v>
      </c>
      <c r="D1433">
        <v>39</v>
      </c>
      <c r="E1433" t="s">
        <v>1423</v>
      </c>
    </row>
    <row r="1434" spans="1:5">
      <c r="A1434">
        <f>HYPERLINK("http://www.twitter.com/NYPDnews/status/774920492130115584", "774920492130115584")</f>
        <v>0</v>
      </c>
      <c r="B1434" s="2">
        <v>42624.4446412037</v>
      </c>
      <c r="C1434">
        <v>72</v>
      </c>
      <c r="D1434">
        <v>37</v>
      </c>
      <c r="E1434" t="s">
        <v>1424</v>
      </c>
    </row>
    <row r="1435" spans="1:5">
      <c r="A1435">
        <f>HYPERLINK("http://www.twitter.com/NYPDnews/status/774918081844043777", "774918081844043777")</f>
        <v>0</v>
      </c>
      <c r="B1435" s="2">
        <v>42624.4379861111</v>
      </c>
      <c r="C1435">
        <v>66</v>
      </c>
      <c r="D1435">
        <v>41</v>
      </c>
      <c r="E1435" t="s">
        <v>1425</v>
      </c>
    </row>
    <row r="1436" spans="1:5">
      <c r="A1436">
        <f>HYPERLINK("http://www.twitter.com/NYPDnews/status/774915467332976640", "774915467332976640")</f>
        <v>0</v>
      </c>
      <c r="B1436" s="2">
        <v>42624.430775463</v>
      </c>
      <c r="C1436">
        <v>76</v>
      </c>
      <c r="D1436">
        <v>45</v>
      </c>
      <c r="E1436" t="s">
        <v>1426</v>
      </c>
    </row>
    <row r="1437" spans="1:5">
      <c r="A1437">
        <f>HYPERLINK("http://www.twitter.com/NYPDnews/status/774912946514296832", "774912946514296832")</f>
        <v>0</v>
      </c>
      <c r="B1437" s="2">
        <v>42624.4238194444</v>
      </c>
      <c r="C1437">
        <v>73</v>
      </c>
      <c r="D1437">
        <v>42</v>
      </c>
      <c r="E1437" t="s">
        <v>1427</v>
      </c>
    </row>
    <row r="1438" spans="1:5">
      <c r="A1438">
        <f>HYPERLINK("http://www.twitter.com/NYPDnews/status/774910649642123264", "774910649642123264")</f>
        <v>0</v>
      </c>
      <c r="B1438" s="2">
        <v>42624.4174768518</v>
      </c>
      <c r="C1438">
        <v>71</v>
      </c>
      <c r="D1438">
        <v>43</v>
      </c>
      <c r="E1438" t="s">
        <v>1428</v>
      </c>
    </row>
    <row r="1439" spans="1:5">
      <c r="A1439">
        <f>HYPERLINK("http://www.twitter.com/NYPDnews/status/774907897948041216", "774907897948041216")</f>
        <v>0</v>
      </c>
      <c r="B1439" s="2">
        <v>42624.4098842593</v>
      </c>
      <c r="C1439">
        <v>73</v>
      </c>
      <c r="D1439">
        <v>44</v>
      </c>
      <c r="E1439" t="s">
        <v>1429</v>
      </c>
    </row>
    <row r="1440" spans="1:5">
      <c r="A1440">
        <f>HYPERLINK("http://www.twitter.com/NYPDnews/status/774905388193972224", "774905388193972224")</f>
        <v>0</v>
      </c>
      <c r="B1440" s="2">
        <v>42624.402962963</v>
      </c>
      <c r="C1440">
        <v>82</v>
      </c>
      <c r="D1440">
        <v>42</v>
      </c>
      <c r="E1440" t="s">
        <v>1430</v>
      </c>
    </row>
    <row r="1441" spans="1:5">
      <c r="A1441">
        <f>HYPERLINK("http://www.twitter.com/NYPDnews/status/774902979212218368", "774902979212218368")</f>
        <v>0</v>
      </c>
      <c r="B1441" s="2">
        <v>42624.3963078704</v>
      </c>
      <c r="C1441">
        <v>73</v>
      </c>
      <c r="D1441">
        <v>35</v>
      </c>
      <c r="E1441" t="s">
        <v>1431</v>
      </c>
    </row>
    <row r="1442" spans="1:5">
      <c r="A1442">
        <f>HYPERLINK("http://www.twitter.com/NYPDnews/status/774900359521271809", "774900359521271809")</f>
        <v>0</v>
      </c>
      <c r="B1442" s="2">
        <v>42624.3890856481</v>
      </c>
      <c r="C1442">
        <v>82</v>
      </c>
      <c r="D1442">
        <v>43</v>
      </c>
      <c r="E1442" t="s">
        <v>1432</v>
      </c>
    </row>
    <row r="1443" spans="1:5">
      <c r="A1443">
        <f>HYPERLINK("http://www.twitter.com/NYPDnews/status/774897849653923840", "774897849653923840")</f>
        <v>0</v>
      </c>
      <c r="B1443" s="2">
        <v>42624.3821527778</v>
      </c>
      <c r="C1443">
        <v>79</v>
      </c>
      <c r="D1443">
        <v>39</v>
      </c>
      <c r="E1443" t="s">
        <v>1433</v>
      </c>
    </row>
    <row r="1444" spans="1:5">
      <c r="A1444">
        <f>HYPERLINK("http://www.twitter.com/NYPDnews/status/774895565679263744", "774895565679263744")</f>
        <v>0</v>
      </c>
      <c r="B1444" s="2">
        <v>42624.3758564815</v>
      </c>
      <c r="C1444">
        <v>84</v>
      </c>
      <c r="D1444">
        <v>41</v>
      </c>
      <c r="E1444" t="s">
        <v>1434</v>
      </c>
    </row>
    <row r="1445" spans="1:5">
      <c r="A1445">
        <f>HYPERLINK("http://www.twitter.com/NYPDnews/status/774892801830117376", "774892801830117376")</f>
        <v>0</v>
      </c>
      <c r="B1445" s="2">
        <v>42624.3682291667</v>
      </c>
      <c r="C1445">
        <v>80</v>
      </c>
      <c r="D1445">
        <v>42</v>
      </c>
      <c r="E1445" t="s">
        <v>1435</v>
      </c>
    </row>
    <row r="1446" spans="1:5">
      <c r="A1446">
        <f>HYPERLINK("http://www.twitter.com/NYPDnews/status/774890285205716992", "774890285205716992")</f>
        <v>0</v>
      </c>
      <c r="B1446" s="2">
        <v>42624.3612847222</v>
      </c>
      <c r="C1446">
        <v>93</v>
      </c>
      <c r="D1446">
        <v>52</v>
      </c>
      <c r="E1446" t="s">
        <v>1436</v>
      </c>
    </row>
    <row r="1447" spans="1:5">
      <c r="A1447">
        <f>HYPERLINK("http://www.twitter.com/NYPDnews/status/774887882632863744", "774887882632863744")</f>
        <v>0</v>
      </c>
      <c r="B1447" s="2">
        <v>42624.3546527778</v>
      </c>
      <c r="C1447">
        <v>80</v>
      </c>
      <c r="D1447">
        <v>42</v>
      </c>
      <c r="E1447" t="s">
        <v>1437</v>
      </c>
    </row>
    <row r="1448" spans="1:5">
      <c r="A1448">
        <f>HYPERLINK("http://www.twitter.com/NYPDnews/status/774885257116016640", "774885257116016640")</f>
        <v>0</v>
      </c>
      <c r="B1448" s="2">
        <v>42624.3474074074</v>
      </c>
      <c r="C1448">
        <v>91</v>
      </c>
      <c r="D1448">
        <v>45</v>
      </c>
      <c r="E1448" t="s">
        <v>1438</v>
      </c>
    </row>
    <row r="1449" spans="1:5">
      <c r="A1449">
        <f>HYPERLINK("http://www.twitter.com/NYPDnews/status/774882734779068416", "774882734779068416")</f>
        <v>0</v>
      </c>
      <c r="B1449" s="2">
        <v>42624.3404513889</v>
      </c>
      <c r="C1449">
        <v>87</v>
      </c>
      <c r="D1449">
        <v>38</v>
      </c>
      <c r="E1449" t="s">
        <v>1439</v>
      </c>
    </row>
    <row r="1450" spans="1:5">
      <c r="A1450">
        <f>HYPERLINK("http://www.twitter.com/NYPDnews/status/774880460950364160", "774880460950364160")</f>
        <v>0</v>
      </c>
      <c r="B1450" s="2">
        <v>42624.3341782407</v>
      </c>
      <c r="C1450">
        <v>89</v>
      </c>
      <c r="D1450">
        <v>40</v>
      </c>
      <c r="E1450" t="s">
        <v>1440</v>
      </c>
    </row>
    <row r="1451" spans="1:5">
      <c r="A1451">
        <f>HYPERLINK("http://www.twitter.com/NYPDnews/status/774877700578246656", "774877700578246656")</f>
        <v>0</v>
      </c>
      <c r="B1451" s="2">
        <v>42624.3265625</v>
      </c>
      <c r="C1451">
        <v>103</v>
      </c>
      <c r="D1451">
        <v>47</v>
      </c>
      <c r="E1451" t="s">
        <v>1441</v>
      </c>
    </row>
    <row r="1452" spans="1:5">
      <c r="A1452">
        <f>HYPERLINK("http://www.twitter.com/NYPDnews/status/774875188450168832", "774875188450168832")</f>
        <v>0</v>
      </c>
      <c r="B1452" s="2">
        <v>42624.3196296296</v>
      </c>
      <c r="C1452">
        <v>98</v>
      </c>
      <c r="D1452">
        <v>54</v>
      </c>
      <c r="E1452" t="s">
        <v>1442</v>
      </c>
    </row>
    <row r="1453" spans="1:5">
      <c r="A1453">
        <f>HYPERLINK("http://www.twitter.com/NYPDnews/status/774872760619237376", "774872760619237376")</f>
        <v>0</v>
      </c>
      <c r="B1453" s="2">
        <v>42624.3129282407</v>
      </c>
      <c r="C1453">
        <v>97</v>
      </c>
      <c r="D1453">
        <v>52</v>
      </c>
      <c r="E1453" t="s">
        <v>1443</v>
      </c>
    </row>
    <row r="1454" spans="1:5">
      <c r="A1454">
        <f>HYPERLINK("http://www.twitter.com/NYPDnews/status/774870157797777408", "774870157797777408")</f>
        <v>0</v>
      </c>
      <c r="B1454" s="2">
        <v>42624.3057407407</v>
      </c>
      <c r="C1454">
        <v>100</v>
      </c>
      <c r="D1454">
        <v>51</v>
      </c>
      <c r="E1454" t="s">
        <v>1444</v>
      </c>
    </row>
    <row r="1455" spans="1:5">
      <c r="A1455">
        <f>HYPERLINK("http://www.twitter.com/NYPDnews/status/774867634852626432", "774867634852626432")</f>
        <v>0</v>
      </c>
      <c r="B1455" s="2">
        <v>42624.2987847222</v>
      </c>
      <c r="C1455">
        <v>94</v>
      </c>
      <c r="D1455">
        <v>46</v>
      </c>
      <c r="E1455" t="s">
        <v>1445</v>
      </c>
    </row>
    <row r="1456" spans="1:5">
      <c r="A1456">
        <f>HYPERLINK("http://www.twitter.com/NYPDnews/status/774865305210322944", "774865305210322944")</f>
        <v>0</v>
      </c>
      <c r="B1456" s="2">
        <v>42624.292349537</v>
      </c>
      <c r="C1456">
        <v>98</v>
      </c>
      <c r="D1456">
        <v>53</v>
      </c>
      <c r="E1456" t="s">
        <v>1446</v>
      </c>
    </row>
    <row r="1457" spans="1:5">
      <c r="A1457">
        <f>HYPERLINK("http://www.twitter.com/NYPDnews/status/774862595333431296", "774862595333431296")</f>
        <v>0</v>
      </c>
      <c r="B1457" s="2">
        <v>42624.2848726852</v>
      </c>
      <c r="C1457">
        <v>118</v>
      </c>
      <c r="D1457">
        <v>63</v>
      </c>
      <c r="E1457" t="s">
        <v>1447</v>
      </c>
    </row>
    <row r="1458" spans="1:5">
      <c r="A1458">
        <f>HYPERLINK("http://www.twitter.com/NYPDnews/status/774860079229173760", "774860079229173760")</f>
        <v>0</v>
      </c>
      <c r="B1458" s="2">
        <v>42624.2779282407</v>
      </c>
      <c r="C1458">
        <v>104</v>
      </c>
      <c r="D1458">
        <v>53</v>
      </c>
      <c r="E1458" t="s">
        <v>1448</v>
      </c>
    </row>
    <row r="1459" spans="1:5">
      <c r="A1459">
        <f>HYPERLINK("http://www.twitter.com/NYPDnews/status/774857654116188161", "774857654116188161")</f>
        <v>0</v>
      </c>
      <c r="B1459" s="2">
        <v>42624.2712384259</v>
      </c>
      <c r="C1459">
        <v>101</v>
      </c>
      <c r="D1459">
        <v>55</v>
      </c>
      <c r="E1459" t="s">
        <v>1449</v>
      </c>
    </row>
    <row r="1460" spans="1:5">
      <c r="A1460">
        <f>HYPERLINK("http://www.twitter.com/NYPDnews/status/774855046685159424", "774855046685159424")</f>
        <v>0</v>
      </c>
      <c r="B1460" s="2">
        <v>42624.2640393519</v>
      </c>
      <c r="C1460">
        <v>115</v>
      </c>
      <c r="D1460">
        <v>64</v>
      </c>
      <c r="E1460" t="s">
        <v>1450</v>
      </c>
    </row>
    <row r="1461" spans="1:5">
      <c r="A1461">
        <f>HYPERLINK("http://www.twitter.com/NYPDnews/status/774852527175114752", "774852527175114752")</f>
        <v>0</v>
      </c>
      <c r="B1461" s="2">
        <v>42624.2570949074</v>
      </c>
      <c r="C1461">
        <v>122</v>
      </c>
      <c r="D1461">
        <v>63</v>
      </c>
      <c r="E1461" t="s">
        <v>1451</v>
      </c>
    </row>
    <row r="1462" spans="1:5">
      <c r="A1462">
        <f>HYPERLINK("http://www.twitter.com/NYPDnews/status/774850183263838208", "774850183263838208")</f>
        <v>0</v>
      </c>
      <c r="B1462" s="2">
        <v>42624.250625</v>
      </c>
      <c r="C1462">
        <v>117</v>
      </c>
      <c r="D1462">
        <v>57</v>
      </c>
      <c r="E1462" t="s">
        <v>1452</v>
      </c>
    </row>
    <row r="1463" spans="1:5">
      <c r="A1463">
        <f>HYPERLINK("http://www.twitter.com/NYPDnews/status/774847487416893440", "774847487416893440")</f>
        <v>0</v>
      </c>
      <c r="B1463" s="2">
        <v>42624.2431828704</v>
      </c>
      <c r="C1463">
        <v>117</v>
      </c>
      <c r="D1463">
        <v>63</v>
      </c>
      <c r="E1463" t="s">
        <v>1453</v>
      </c>
    </row>
    <row r="1464" spans="1:5">
      <c r="A1464">
        <f>HYPERLINK("http://www.twitter.com/NYPDnews/status/774844977956397056", "774844977956397056")</f>
        <v>0</v>
      </c>
      <c r="B1464" s="2">
        <v>42624.2362615741</v>
      </c>
      <c r="C1464">
        <v>126</v>
      </c>
      <c r="D1464">
        <v>56</v>
      </c>
      <c r="E1464" t="s">
        <v>1454</v>
      </c>
    </row>
    <row r="1465" spans="1:5">
      <c r="A1465">
        <f>HYPERLINK("http://www.twitter.com/NYPDnews/status/774842542902931456", "774842542902931456")</f>
        <v>0</v>
      </c>
      <c r="B1465" s="2">
        <v>42624.229537037</v>
      </c>
      <c r="C1465">
        <v>133</v>
      </c>
      <c r="D1465">
        <v>65</v>
      </c>
      <c r="E1465" t="s">
        <v>1455</v>
      </c>
    </row>
    <row r="1466" spans="1:5">
      <c r="A1466">
        <f>HYPERLINK("http://www.twitter.com/NYPDnews/status/774839944032448512", "774839944032448512")</f>
        <v>0</v>
      </c>
      <c r="B1466" s="2">
        <v>42624.2223726852</v>
      </c>
      <c r="C1466">
        <v>127</v>
      </c>
      <c r="D1466">
        <v>70</v>
      </c>
      <c r="E1466" t="s">
        <v>1456</v>
      </c>
    </row>
    <row r="1467" spans="1:5">
      <c r="A1467">
        <f>HYPERLINK("http://www.twitter.com/NYPDnews/status/774837419434737664", "774837419434737664")</f>
        <v>0</v>
      </c>
      <c r="B1467" s="2">
        <v>42624.2154050926</v>
      </c>
      <c r="C1467">
        <v>124</v>
      </c>
      <c r="D1467">
        <v>63</v>
      </c>
      <c r="E1467" t="s">
        <v>1457</v>
      </c>
    </row>
    <row r="1468" spans="1:5">
      <c r="A1468">
        <f>HYPERLINK("http://www.twitter.com/NYPDnews/status/774835060847550464", "774835060847550464")</f>
        <v>0</v>
      </c>
      <c r="B1468" s="2">
        <v>42624.2088888889</v>
      </c>
      <c r="C1468">
        <v>114</v>
      </c>
      <c r="D1468">
        <v>65</v>
      </c>
      <c r="E1468" t="s">
        <v>1458</v>
      </c>
    </row>
    <row r="1469" spans="1:5">
      <c r="A1469">
        <f>HYPERLINK("http://www.twitter.com/NYPDnews/status/774832379106131968", "774832379106131968")</f>
        <v>0</v>
      </c>
      <c r="B1469" s="2">
        <v>42624.2014930556</v>
      </c>
      <c r="C1469">
        <v>130</v>
      </c>
      <c r="D1469">
        <v>73</v>
      </c>
      <c r="E1469" t="s">
        <v>1459</v>
      </c>
    </row>
    <row r="1470" spans="1:5">
      <c r="A1470">
        <f>HYPERLINK("http://www.twitter.com/NYPDnews/status/774829884023640064", "774829884023640064")</f>
        <v>0</v>
      </c>
      <c r="B1470" s="2">
        <v>42624.1946064815</v>
      </c>
      <c r="C1470">
        <v>146</v>
      </c>
      <c r="D1470">
        <v>80</v>
      </c>
      <c r="E1470" t="s">
        <v>1460</v>
      </c>
    </row>
    <row r="1471" spans="1:5">
      <c r="A1471">
        <f>HYPERLINK("http://www.twitter.com/NYPDnews/status/774827447036633088", "774827447036633088")</f>
        <v>0</v>
      </c>
      <c r="B1471" s="2">
        <v>42624.1878819444</v>
      </c>
      <c r="C1471">
        <v>134</v>
      </c>
      <c r="D1471">
        <v>80</v>
      </c>
      <c r="E1471" t="s">
        <v>1461</v>
      </c>
    </row>
    <row r="1472" spans="1:5">
      <c r="A1472">
        <f>HYPERLINK("http://www.twitter.com/NYPDnews/status/774824839752351744", "774824839752351744")</f>
        <v>0</v>
      </c>
      <c r="B1472" s="2">
        <v>42624.1806944444</v>
      </c>
      <c r="C1472">
        <v>124</v>
      </c>
      <c r="D1472">
        <v>68</v>
      </c>
      <c r="E1472" t="s">
        <v>1462</v>
      </c>
    </row>
    <row r="1473" spans="1:5">
      <c r="A1473">
        <f>HYPERLINK("http://www.twitter.com/NYPDnews/status/774822339364155392", "774822339364155392")</f>
        <v>0</v>
      </c>
      <c r="B1473" s="2">
        <v>42624.1737847222</v>
      </c>
      <c r="C1473">
        <v>153</v>
      </c>
      <c r="D1473">
        <v>70</v>
      </c>
      <c r="E1473" t="s">
        <v>1463</v>
      </c>
    </row>
    <row r="1474" spans="1:5">
      <c r="A1474">
        <f>HYPERLINK("http://www.twitter.com/NYPDnews/status/774821099905351681", "774821099905351681")</f>
        <v>0</v>
      </c>
      <c r="B1474" s="2">
        <v>42624.1703703704</v>
      </c>
      <c r="C1474">
        <v>731</v>
      </c>
      <c r="D1474">
        <v>479</v>
      </c>
      <c r="E1474" t="s">
        <v>1464</v>
      </c>
    </row>
    <row r="1475" spans="1:5">
      <c r="A1475">
        <f>HYPERLINK("http://www.twitter.com/NYPDnews/status/774774531294654464", "774774531294654464")</f>
        <v>0</v>
      </c>
      <c r="B1475" s="2">
        <v>42624.0418634259</v>
      </c>
      <c r="C1475">
        <v>177</v>
      </c>
      <c r="D1475">
        <v>67</v>
      </c>
      <c r="E1475" t="s">
        <v>1465</v>
      </c>
    </row>
    <row r="1476" spans="1:5">
      <c r="A1476">
        <f>HYPERLINK("http://www.twitter.com/NYPDnews/status/774759370609549312", "774759370609549312")</f>
        <v>0</v>
      </c>
      <c r="B1476" s="2">
        <v>42624.0000231481</v>
      </c>
      <c r="C1476">
        <v>281</v>
      </c>
      <c r="D1476">
        <v>106</v>
      </c>
      <c r="E1476" t="s">
        <v>1466</v>
      </c>
    </row>
    <row r="1477" spans="1:5">
      <c r="A1477">
        <f>HYPERLINK("http://www.twitter.com/NYPDnews/status/774744342338670592", "774744342338670592")</f>
        <v>0</v>
      </c>
      <c r="B1477" s="2">
        <v>42623.9585532407</v>
      </c>
      <c r="C1477">
        <v>223</v>
      </c>
      <c r="D1477">
        <v>97</v>
      </c>
      <c r="E1477" t="s">
        <v>1467</v>
      </c>
    </row>
    <row r="1478" spans="1:5">
      <c r="A1478">
        <f>HYPERLINK("http://www.twitter.com/NYPDnews/status/774741226876760065", "774741226876760065")</f>
        <v>0</v>
      </c>
      <c r="B1478" s="2">
        <v>42623.9499652778</v>
      </c>
      <c r="C1478">
        <v>149</v>
      </c>
      <c r="D1478">
        <v>58</v>
      </c>
      <c r="E1478" t="s">
        <v>1468</v>
      </c>
    </row>
    <row r="1479" spans="1:5">
      <c r="A1479">
        <f>HYPERLINK("http://www.twitter.com/NYPDnews/status/774739943151271936", "774739943151271936")</f>
        <v>0</v>
      </c>
      <c r="B1479" s="2">
        <v>42623.9464236111</v>
      </c>
      <c r="C1479">
        <v>241</v>
      </c>
      <c r="D1479">
        <v>88</v>
      </c>
      <c r="E1479" t="s">
        <v>1469</v>
      </c>
    </row>
    <row r="1480" spans="1:5">
      <c r="A1480">
        <f>HYPERLINK("http://www.twitter.com/NYPDnews/status/774732417458372608", "774732417458372608")</f>
        <v>0</v>
      </c>
      <c r="B1480" s="2">
        <v>42623.9256481481</v>
      </c>
      <c r="C1480">
        <v>226</v>
      </c>
      <c r="D1480">
        <v>83</v>
      </c>
      <c r="E1480" t="s">
        <v>1470</v>
      </c>
    </row>
    <row r="1481" spans="1:5">
      <c r="A1481">
        <f>HYPERLINK("http://www.twitter.com/NYPDnews/status/774691545899491328", "774691545899491328")</f>
        <v>0</v>
      </c>
      <c r="B1481" s="2">
        <v>42623.8128703704</v>
      </c>
      <c r="C1481">
        <v>70</v>
      </c>
      <c r="D1481">
        <v>47</v>
      </c>
      <c r="E1481" t="s">
        <v>1471</v>
      </c>
    </row>
    <row r="1482" spans="1:5">
      <c r="A1482">
        <f>HYPERLINK("http://www.twitter.com/NYPDnews/status/774684045598978048", "774684045598978048")</f>
        <v>0</v>
      </c>
      <c r="B1482" s="2">
        <v>42623.7921759259</v>
      </c>
      <c r="C1482">
        <v>29</v>
      </c>
      <c r="D1482">
        <v>24</v>
      </c>
      <c r="E1482" t="s">
        <v>1472</v>
      </c>
    </row>
    <row r="1483" spans="1:5">
      <c r="A1483">
        <f>HYPERLINK("http://www.twitter.com/NYPDnews/status/774653850057895936", "774653850057895936")</f>
        <v>0</v>
      </c>
      <c r="B1483" s="2">
        <v>42623.7088425926</v>
      </c>
      <c r="C1483">
        <v>292</v>
      </c>
      <c r="D1483">
        <v>225</v>
      </c>
      <c r="E1483" t="s">
        <v>1473</v>
      </c>
    </row>
    <row r="1484" spans="1:5">
      <c r="A1484">
        <f>HYPERLINK("http://www.twitter.com/NYPDnews/status/774639898502504449", "774639898502504449")</f>
        <v>0</v>
      </c>
      <c r="B1484" s="2">
        <v>42623.6703472222</v>
      </c>
      <c r="C1484">
        <v>283</v>
      </c>
      <c r="D1484">
        <v>105</v>
      </c>
      <c r="E1484" t="s">
        <v>1474</v>
      </c>
    </row>
    <row r="1485" spans="1:5">
      <c r="A1485">
        <f>HYPERLINK("http://www.twitter.com/NYPDnews/status/774623658782384128", "774623658782384128")</f>
        <v>0</v>
      </c>
      <c r="B1485" s="2">
        <v>42623.6255324074</v>
      </c>
      <c r="C1485">
        <v>91</v>
      </c>
      <c r="D1485">
        <v>54</v>
      </c>
      <c r="E1485" t="s">
        <v>1475</v>
      </c>
    </row>
    <row r="1486" spans="1:5">
      <c r="A1486">
        <f>HYPERLINK("http://www.twitter.com/NYPDnews/status/774605995007967233", "774605995007967233")</f>
        <v>0</v>
      </c>
      <c r="B1486" s="2">
        <v>42623.5767939815</v>
      </c>
      <c r="C1486">
        <v>21</v>
      </c>
      <c r="D1486">
        <v>18</v>
      </c>
      <c r="E1486" t="s">
        <v>1476</v>
      </c>
    </row>
    <row r="1487" spans="1:5">
      <c r="A1487">
        <f>HYPERLINK("http://www.twitter.com/NYPDnews/status/774584479901945856", "774584479901945856")</f>
        <v>0</v>
      </c>
      <c r="B1487" s="2">
        <v>42623.5174189815</v>
      </c>
      <c r="C1487">
        <v>113</v>
      </c>
      <c r="D1487">
        <v>127</v>
      </c>
      <c r="E1487" t="s">
        <v>1477</v>
      </c>
    </row>
    <row r="1488" spans="1:5">
      <c r="A1488">
        <f>HYPERLINK("http://www.twitter.com/NYPDnews/status/774578423763263488", "774578423763263488")</f>
        <v>0</v>
      </c>
      <c r="B1488" s="2">
        <v>42623.5007060185</v>
      </c>
      <c r="C1488">
        <v>53</v>
      </c>
      <c r="D1488">
        <v>41</v>
      </c>
      <c r="E1488" t="s">
        <v>1478</v>
      </c>
    </row>
    <row r="1489" spans="1:5">
      <c r="A1489">
        <f>HYPERLINK("http://www.twitter.com/NYPDnews/status/774420166700597248", "774420166700597248")</f>
        <v>0</v>
      </c>
      <c r="B1489" s="2">
        <v>42623.0640046296</v>
      </c>
      <c r="C1489">
        <v>168</v>
      </c>
      <c r="D1489">
        <v>78</v>
      </c>
      <c r="E1489" t="s">
        <v>1479</v>
      </c>
    </row>
    <row r="1490" spans="1:5">
      <c r="A1490">
        <f>HYPERLINK("http://www.twitter.com/NYPDnews/status/774417296878084096", "774417296878084096")</f>
        <v>0</v>
      </c>
      <c r="B1490" s="2">
        <v>42623.056087963</v>
      </c>
      <c r="C1490">
        <v>215</v>
      </c>
      <c r="D1490">
        <v>98</v>
      </c>
      <c r="E1490" t="s">
        <v>1480</v>
      </c>
    </row>
    <row r="1491" spans="1:5">
      <c r="A1491">
        <f>HYPERLINK("http://www.twitter.com/NYPDnews/status/774416587277340677", "774416587277340677")</f>
        <v>0</v>
      </c>
      <c r="B1491" s="2">
        <v>42623.0541319444</v>
      </c>
      <c r="C1491">
        <v>65</v>
      </c>
      <c r="D1491">
        <v>26</v>
      </c>
      <c r="E1491" t="s">
        <v>1481</v>
      </c>
    </row>
    <row r="1492" spans="1:5">
      <c r="A1492">
        <f>HYPERLINK("http://www.twitter.com/NYPDnews/status/774415856226930688", "774415856226930688")</f>
        <v>0</v>
      </c>
      <c r="B1492" s="2">
        <v>42623.0521064815</v>
      </c>
      <c r="C1492">
        <v>59</v>
      </c>
      <c r="D1492">
        <v>28</v>
      </c>
      <c r="E1492" t="s">
        <v>1482</v>
      </c>
    </row>
    <row r="1493" spans="1:5">
      <c r="A1493">
        <f>HYPERLINK("http://www.twitter.com/NYPDnews/status/774415547119312897", "774415547119312897")</f>
        <v>0</v>
      </c>
      <c r="B1493" s="2">
        <v>42623.0512615741</v>
      </c>
      <c r="C1493">
        <v>93</v>
      </c>
      <c r="D1493">
        <v>37</v>
      </c>
      <c r="E1493" t="s">
        <v>1483</v>
      </c>
    </row>
    <row r="1494" spans="1:5">
      <c r="A1494">
        <f>HYPERLINK("http://www.twitter.com/NYPDnews/status/774413918781501440", "774413918781501440")</f>
        <v>0</v>
      </c>
      <c r="B1494" s="2">
        <v>42623.0467592593</v>
      </c>
      <c r="C1494">
        <v>99</v>
      </c>
      <c r="D1494">
        <v>58</v>
      </c>
      <c r="E1494" t="s">
        <v>1484</v>
      </c>
    </row>
    <row r="1495" spans="1:5">
      <c r="A1495">
        <f>HYPERLINK("http://www.twitter.com/NYPDnews/status/774337880550436864", "774337880550436864")</f>
        <v>0</v>
      </c>
      <c r="B1495" s="2">
        <v>42622.8369328704</v>
      </c>
      <c r="C1495">
        <v>0</v>
      </c>
      <c r="D1495">
        <v>263</v>
      </c>
      <c r="E1495" t="s">
        <v>1485</v>
      </c>
    </row>
    <row r="1496" spans="1:5">
      <c r="A1496">
        <f>HYPERLINK("http://www.twitter.com/NYPDnews/status/774335251250343937", "774335251250343937")</f>
        <v>0</v>
      </c>
      <c r="B1496" s="2">
        <v>42622.8296875</v>
      </c>
      <c r="C1496">
        <v>0</v>
      </c>
      <c r="D1496">
        <v>39</v>
      </c>
      <c r="E1496" t="s">
        <v>1486</v>
      </c>
    </row>
    <row r="1497" spans="1:5">
      <c r="A1497">
        <f>HYPERLINK("http://www.twitter.com/NYPDnews/status/774312782640607232", "774312782640607232")</f>
        <v>0</v>
      </c>
      <c r="B1497" s="2">
        <v>42622.7676851852</v>
      </c>
      <c r="C1497">
        <v>0</v>
      </c>
      <c r="D1497">
        <v>468</v>
      </c>
      <c r="E1497" t="s">
        <v>1487</v>
      </c>
    </row>
    <row r="1498" spans="1:5">
      <c r="A1498">
        <f>HYPERLINK("http://www.twitter.com/NYPDnews/status/774299974481879040", "774299974481879040")</f>
        <v>0</v>
      </c>
      <c r="B1498" s="2">
        <v>42622.732337963</v>
      </c>
      <c r="C1498">
        <v>113</v>
      </c>
      <c r="D1498">
        <v>72</v>
      </c>
      <c r="E1498" t="s">
        <v>1488</v>
      </c>
    </row>
    <row r="1499" spans="1:5">
      <c r="A1499">
        <f>HYPERLINK("http://www.twitter.com/NYPDnews/status/774296852787240960", "774296852787240960")</f>
        <v>0</v>
      </c>
      <c r="B1499" s="2">
        <v>42622.7237268519</v>
      </c>
      <c r="C1499">
        <v>53</v>
      </c>
      <c r="D1499">
        <v>25</v>
      </c>
      <c r="E1499" t="s">
        <v>1489</v>
      </c>
    </row>
    <row r="1500" spans="1:5">
      <c r="A1500">
        <f>HYPERLINK("http://www.twitter.com/NYPDnews/status/774296076878745600", "774296076878745600")</f>
        <v>0</v>
      </c>
      <c r="B1500" s="2">
        <v>42622.7215856481</v>
      </c>
      <c r="C1500">
        <v>41</v>
      </c>
      <c r="D1500">
        <v>27</v>
      </c>
      <c r="E1500" t="s">
        <v>1490</v>
      </c>
    </row>
    <row r="1501" spans="1:5">
      <c r="A1501">
        <f>HYPERLINK("http://www.twitter.com/NYPDnews/status/774296011221139456", "774296011221139456")</f>
        <v>0</v>
      </c>
      <c r="B1501" s="2">
        <v>42622.721400463</v>
      </c>
      <c r="C1501">
        <v>23</v>
      </c>
      <c r="D1501">
        <v>15</v>
      </c>
      <c r="E1501" t="s">
        <v>1491</v>
      </c>
    </row>
    <row r="1502" spans="1:5">
      <c r="A1502">
        <f>HYPERLINK("http://www.twitter.com/NYPDnews/status/774295106924998657", "774295106924998657")</f>
        <v>0</v>
      </c>
      <c r="B1502" s="2">
        <v>42622.718900463</v>
      </c>
      <c r="C1502">
        <v>40</v>
      </c>
      <c r="D1502">
        <v>23</v>
      </c>
      <c r="E1502" t="s">
        <v>1492</v>
      </c>
    </row>
    <row r="1503" spans="1:5">
      <c r="A1503">
        <f>HYPERLINK("http://www.twitter.com/NYPDnews/status/774294733187321856", "774294733187321856")</f>
        <v>0</v>
      </c>
      <c r="B1503" s="2">
        <v>42622.7178703704</v>
      </c>
      <c r="C1503">
        <v>78</v>
      </c>
      <c r="D1503">
        <v>49</v>
      </c>
      <c r="E1503" t="s">
        <v>1493</v>
      </c>
    </row>
    <row r="1504" spans="1:5">
      <c r="A1504">
        <f>HYPERLINK("http://www.twitter.com/NYPDnews/status/774293875699617792", "774293875699617792")</f>
        <v>0</v>
      </c>
      <c r="B1504" s="2">
        <v>42622.7155092593</v>
      </c>
      <c r="C1504">
        <v>79</v>
      </c>
      <c r="D1504">
        <v>42</v>
      </c>
      <c r="E1504" t="s">
        <v>1494</v>
      </c>
    </row>
    <row r="1505" spans="1:5">
      <c r="A1505">
        <f>HYPERLINK("http://www.twitter.com/NYPDnews/status/774292547871080448", "774292547871080448")</f>
        <v>0</v>
      </c>
      <c r="B1505" s="2">
        <v>42622.7118402778</v>
      </c>
      <c r="C1505">
        <v>88</v>
      </c>
      <c r="D1505">
        <v>41</v>
      </c>
      <c r="E1505" t="s">
        <v>1495</v>
      </c>
    </row>
    <row r="1506" spans="1:5">
      <c r="A1506">
        <f>HYPERLINK("http://www.twitter.com/NYPDnews/status/774291261394149376", "774291261394149376")</f>
        <v>0</v>
      </c>
      <c r="B1506" s="2">
        <v>42622.7082986111</v>
      </c>
      <c r="C1506">
        <v>36</v>
      </c>
      <c r="D1506">
        <v>22</v>
      </c>
      <c r="E1506" t="s">
        <v>1496</v>
      </c>
    </row>
    <row r="1507" spans="1:5">
      <c r="A1507">
        <f>HYPERLINK("http://www.twitter.com/NYPDnews/status/774289987080683520", "774289987080683520")</f>
        <v>0</v>
      </c>
      <c r="B1507" s="2">
        <v>42622.7047800926</v>
      </c>
      <c r="C1507">
        <v>31</v>
      </c>
      <c r="D1507">
        <v>20</v>
      </c>
      <c r="E1507" t="s">
        <v>1497</v>
      </c>
    </row>
    <row r="1508" spans="1:5">
      <c r="A1508">
        <f>HYPERLINK("http://www.twitter.com/NYPDnews/status/774288836499271680", "774288836499271680")</f>
        <v>0</v>
      </c>
      <c r="B1508" s="2">
        <v>42622.7015972222</v>
      </c>
      <c r="C1508">
        <v>38</v>
      </c>
      <c r="D1508">
        <v>25</v>
      </c>
      <c r="E1508" t="s">
        <v>1498</v>
      </c>
    </row>
    <row r="1509" spans="1:5">
      <c r="A1509">
        <f>HYPERLINK("http://www.twitter.com/NYPDnews/status/774287221574729729", "774287221574729729")</f>
        <v>0</v>
      </c>
      <c r="B1509" s="2">
        <v>42622.6971412037</v>
      </c>
      <c r="C1509">
        <v>67</v>
      </c>
      <c r="D1509">
        <v>47</v>
      </c>
      <c r="E1509" t="s">
        <v>1499</v>
      </c>
    </row>
    <row r="1510" spans="1:5">
      <c r="A1510">
        <f>HYPERLINK("http://www.twitter.com/NYPDnews/status/774286288686030848", "774286288686030848")</f>
        <v>0</v>
      </c>
      <c r="B1510" s="2">
        <v>42622.6945717593</v>
      </c>
      <c r="C1510">
        <v>8</v>
      </c>
      <c r="D1510">
        <v>5</v>
      </c>
      <c r="E1510" t="s">
        <v>1500</v>
      </c>
    </row>
    <row r="1511" spans="1:5">
      <c r="A1511">
        <f>HYPERLINK("http://www.twitter.com/NYPDnews/status/774286178350731264", "774286178350731264")</f>
        <v>0</v>
      </c>
      <c r="B1511" s="2">
        <v>42622.6942708333</v>
      </c>
      <c r="C1511">
        <v>68</v>
      </c>
      <c r="D1511">
        <v>30</v>
      </c>
      <c r="E1511" t="s">
        <v>1501</v>
      </c>
    </row>
    <row r="1512" spans="1:5">
      <c r="A1512">
        <f>HYPERLINK("http://www.twitter.com/NYPDnews/status/774284910982995969", "774284910982995969")</f>
        <v>0</v>
      </c>
      <c r="B1512" s="2">
        <v>42622.6907638889</v>
      </c>
      <c r="C1512">
        <v>37</v>
      </c>
      <c r="D1512">
        <v>25</v>
      </c>
      <c r="E1512" t="s">
        <v>1502</v>
      </c>
    </row>
    <row r="1513" spans="1:5">
      <c r="A1513">
        <f>HYPERLINK("http://www.twitter.com/NYPDnews/status/774284272945467394", "774284272945467394")</f>
        <v>0</v>
      </c>
      <c r="B1513" s="2">
        <v>42622.6890046296</v>
      </c>
      <c r="C1513">
        <v>27</v>
      </c>
      <c r="D1513">
        <v>13</v>
      </c>
      <c r="E1513" t="s">
        <v>1503</v>
      </c>
    </row>
    <row r="1514" spans="1:5">
      <c r="A1514">
        <f>HYPERLINK("http://www.twitter.com/NYPDnews/status/774283340564271104", "774283340564271104")</f>
        <v>0</v>
      </c>
      <c r="B1514" s="2">
        <v>42622.6864351852</v>
      </c>
      <c r="C1514">
        <v>50</v>
      </c>
      <c r="D1514">
        <v>22</v>
      </c>
      <c r="E1514" t="s">
        <v>1504</v>
      </c>
    </row>
    <row r="1515" spans="1:5">
      <c r="A1515">
        <f>HYPERLINK("http://www.twitter.com/NYPDnews/status/774282094776295425", "774282094776295425")</f>
        <v>0</v>
      </c>
      <c r="B1515" s="2">
        <v>42622.6829976852</v>
      </c>
      <c r="C1515">
        <v>62</v>
      </c>
      <c r="D1515">
        <v>31</v>
      </c>
      <c r="E1515" t="s">
        <v>1505</v>
      </c>
    </row>
    <row r="1516" spans="1:5">
      <c r="A1516">
        <f>HYPERLINK("http://www.twitter.com/NYPDnews/status/774281455564447744", "774281455564447744")</f>
        <v>0</v>
      </c>
      <c r="B1516" s="2">
        <v>42622.6812384259</v>
      </c>
      <c r="C1516">
        <v>36</v>
      </c>
      <c r="D1516">
        <v>15</v>
      </c>
      <c r="E1516" t="s">
        <v>1506</v>
      </c>
    </row>
    <row r="1517" spans="1:5">
      <c r="A1517">
        <f>HYPERLINK("http://www.twitter.com/NYPDnews/status/774281255806525440", "774281255806525440")</f>
        <v>0</v>
      </c>
      <c r="B1517" s="2">
        <v>42622.6806828704</v>
      </c>
      <c r="C1517">
        <v>18</v>
      </c>
      <c r="D1517">
        <v>18</v>
      </c>
      <c r="E1517" t="s">
        <v>1507</v>
      </c>
    </row>
    <row r="1518" spans="1:5">
      <c r="A1518">
        <f>HYPERLINK("http://www.twitter.com/NYPDnews/status/774279702575976448", "774279702575976448")</f>
        <v>0</v>
      </c>
      <c r="B1518" s="2">
        <v>42622.676400463</v>
      </c>
      <c r="C1518">
        <v>515</v>
      </c>
      <c r="D1518">
        <v>335</v>
      </c>
      <c r="E1518" t="s">
        <v>1508</v>
      </c>
    </row>
    <row r="1519" spans="1:5">
      <c r="A1519">
        <f>HYPERLINK("http://www.twitter.com/NYPDnews/status/774278226461990912", "774278226461990912")</f>
        <v>0</v>
      </c>
      <c r="B1519" s="2">
        <v>42622.6723263889</v>
      </c>
      <c r="C1519">
        <v>196</v>
      </c>
      <c r="D1519">
        <v>87</v>
      </c>
      <c r="E1519" t="s">
        <v>1509</v>
      </c>
    </row>
    <row r="1520" spans="1:5">
      <c r="A1520">
        <f>HYPERLINK("http://www.twitter.com/NYPDnews/status/774277155169656832", "774277155169656832")</f>
        <v>0</v>
      </c>
      <c r="B1520" s="2">
        <v>42622.6693634259</v>
      </c>
      <c r="C1520">
        <v>47</v>
      </c>
      <c r="D1520">
        <v>25</v>
      </c>
      <c r="E1520" t="s">
        <v>1510</v>
      </c>
    </row>
    <row r="1521" spans="1:5">
      <c r="A1521">
        <f>HYPERLINK("http://www.twitter.com/NYPDnews/status/774275798643638272", "774275798643638272")</f>
        <v>0</v>
      </c>
      <c r="B1521" s="2">
        <v>42622.665625</v>
      </c>
      <c r="C1521">
        <v>33</v>
      </c>
      <c r="D1521">
        <v>30</v>
      </c>
      <c r="E1521" t="s">
        <v>1511</v>
      </c>
    </row>
    <row r="1522" spans="1:5">
      <c r="A1522">
        <f>HYPERLINK("http://www.twitter.com/NYPDnews/status/774271224990035969", "774271224990035969")</f>
        <v>0</v>
      </c>
      <c r="B1522" s="2">
        <v>42622.6529976852</v>
      </c>
      <c r="C1522">
        <v>79</v>
      </c>
      <c r="D1522">
        <v>38</v>
      </c>
      <c r="E1522" t="s">
        <v>1512</v>
      </c>
    </row>
    <row r="1523" spans="1:5">
      <c r="A1523">
        <f>HYPERLINK("http://www.twitter.com/NYPDnews/status/774240068047372288", "774240068047372288")</f>
        <v>0</v>
      </c>
      <c r="B1523" s="2">
        <v>42622.567025463</v>
      </c>
      <c r="C1523">
        <v>10</v>
      </c>
      <c r="D1523">
        <v>7</v>
      </c>
      <c r="E1523" t="s">
        <v>1513</v>
      </c>
    </row>
    <row r="1524" spans="1:5">
      <c r="A1524">
        <f>HYPERLINK("http://www.twitter.com/NYPDnews/status/774239269397360640", "774239269397360640")</f>
        <v>0</v>
      </c>
      <c r="B1524" s="2">
        <v>42622.5648263889</v>
      </c>
      <c r="C1524">
        <v>10</v>
      </c>
      <c r="D1524">
        <v>10</v>
      </c>
      <c r="E1524" t="s">
        <v>1514</v>
      </c>
    </row>
    <row r="1525" spans="1:5">
      <c r="A1525">
        <f>HYPERLINK("http://www.twitter.com/NYPDnews/status/774231041599045632", "774231041599045632")</f>
        <v>0</v>
      </c>
      <c r="B1525" s="2">
        <v>42622.5421180556</v>
      </c>
      <c r="C1525">
        <v>165</v>
      </c>
      <c r="D1525">
        <v>71</v>
      </c>
      <c r="E1525" t="s">
        <v>1515</v>
      </c>
    </row>
    <row r="1526" spans="1:5">
      <c r="A1526">
        <f>HYPERLINK("http://www.twitter.com/NYPDnews/status/774227171212726274", "774227171212726274")</f>
        <v>0</v>
      </c>
      <c r="B1526" s="2">
        <v>42622.5314351852</v>
      </c>
      <c r="C1526">
        <v>38</v>
      </c>
      <c r="D1526">
        <v>29</v>
      </c>
      <c r="E1526" t="s">
        <v>1516</v>
      </c>
    </row>
    <row r="1527" spans="1:5">
      <c r="A1527">
        <f>HYPERLINK("http://www.twitter.com/NYPDnews/status/774223442551930880", "774223442551930880")</f>
        <v>0</v>
      </c>
      <c r="B1527" s="2">
        <v>42622.5211458333</v>
      </c>
      <c r="C1527">
        <v>25</v>
      </c>
      <c r="D1527">
        <v>17</v>
      </c>
      <c r="E1527" t="s">
        <v>1517</v>
      </c>
    </row>
    <row r="1528" spans="1:5">
      <c r="A1528">
        <f>HYPERLINK("http://www.twitter.com/NYPDnews/status/774219619590631424", "774219619590631424")</f>
        <v>0</v>
      </c>
      <c r="B1528" s="2">
        <v>42622.5106018518</v>
      </c>
      <c r="C1528">
        <v>40</v>
      </c>
      <c r="D1528">
        <v>73</v>
      </c>
      <c r="E1528" t="s">
        <v>1518</v>
      </c>
    </row>
    <row r="1529" spans="1:5">
      <c r="A1529">
        <f>HYPERLINK("http://www.twitter.com/NYPDnews/status/774215955941560320", "774215955941560320")</f>
        <v>0</v>
      </c>
      <c r="B1529" s="2">
        <v>42622.5004861111</v>
      </c>
      <c r="C1529">
        <v>15</v>
      </c>
      <c r="D1529">
        <v>10</v>
      </c>
      <c r="E1529" t="s">
        <v>1519</v>
      </c>
    </row>
    <row r="1530" spans="1:5">
      <c r="A1530">
        <f>HYPERLINK("http://www.twitter.com/NYPDnews/status/774214118035361792", "774214118035361792")</f>
        <v>0</v>
      </c>
      <c r="B1530" s="2">
        <v>42622.4954166667</v>
      </c>
      <c r="C1530">
        <v>23</v>
      </c>
      <c r="D1530">
        <v>11</v>
      </c>
      <c r="E1530" t="s">
        <v>1520</v>
      </c>
    </row>
    <row r="1531" spans="1:5">
      <c r="A1531">
        <f>HYPERLINK("http://www.twitter.com/NYPDnews/status/774212948583653380", "774212948583653380")</f>
        <v>0</v>
      </c>
      <c r="B1531" s="2">
        <v>42622.4921875</v>
      </c>
      <c r="C1531">
        <v>22</v>
      </c>
      <c r="D1531">
        <v>13</v>
      </c>
      <c r="E1531" t="s">
        <v>1521</v>
      </c>
    </row>
    <row r="1532" spans="1:5">
      <c r="A1532">
        <f>HYPERLINK("http://www.twitter.com/NYPDnews/status/774212250391420928", "774212250391420928")</f>
        <v>0</v>
      </c>
      <c r="B1532" s="2">
        <v>42622.4902662037</v>
      </c>
      <c r="C1532">
        <v>12</v>
      </c>
      <c r="D1532">
        <v>5</v>
      </c>
      <c r="E1532" t="s">
        <v>1522</v>
      </c>
    </row>
    <row r="1533" spans="1:5">
      <c r="A1533">
        <f>HYPERLINK("http://www.twitter.com/NYPDnews/status/774201365660827649", "774201365660827649")</f>
        <v>0</v>
      </c>
      <c r="B1533" s="2">
        <v>42622.4602314815</v>
      </c>
      <c r="C1533">
        <v>0</v>
      </c>
      <c r="D1533">
        <v>6</v>
      </c>
      <c r="E1533" t="s">
        <v>1523</v>
      </c>
    </row>
    <row r="1534" spans="1:5">
      <c r="A1534">
        <f>HYPERLINK("http://www.twitter.com/NYPDnews/status/774043437914005504", "774043437914005504")</f>
        <v>0</v>
      </c>
      <c r="B1534" s="2">
        <v>42622.0244328704</v>
      </c>
      <c r="C1534">
        <v>165</v>
      </c>
      <c r="D1534">
        <v>100</v>
      </c>
      <c r="E1534" t="s">
        <v>1524</v>
      </c>
    </row>
    <row r="1535" spans="1:5">
      <c r="A1535">
        <f>HYPERLINK("http://www.twitter.com/NYPDnews/status/774033363015380992", "774033363015380992")</f>
        <v>0</v>
      </c>
      <c r="B1535" s="2">
        <v>42621.9966319444</v>
      </c>
      <c r="C1535">
        <v>16</v>
      </c>
      <c r="D1535">
        <v>6</v>
      </c>
      <c r="E1535" t="s">
        <v>1525</v>
      </c>
    </row>
    <row r="1536" spans="1:5">
      <c r="A1536">
        <f>HYPERLINK("http://www.twitter.com/NYPDnews/status/774012045444452356", "774012045444452356")</f>
        <v>0</v>
      </c>
      <c r="B1536" s="2">
        <v>42621.9378009259</v>
      </c>
      <c r="C1536">
        <v>8</v>
      </c>
      <c r="D1536">
        <v>16</v>
      </c>
      <c r="E1536" t="s">
        <v>1526</v>
      </c>
    </row>
    <row r="1537" spans="1:5">
      <c r="A1537">
        <f>HYPERLINK("http://www.twitter.com/NYPDnews/status/773991848222265344", "773991848222265344")</f>
        <v>0</v>
      </c>
      <c r="B1537" s="2">
        <v>42621.8820717593</v>
      </c>
      <c r="C1537">
        <v>82</v>
      </c>
      <c r="D1537">
        <v>61</v>
      </c>
      <c r="E1537" t="s">
        <v>1527</v>
      </c>
    </row>
    <row r="1538" spans="1:5">
      <c r="A1538">
        <f>HYPERLINK("http://www.twitter.com/NYPDnews/status/773919702586384384", "773919702586384384")</f>
        <v>0</v>
      </c>
      <c r="B1538" s="2">
        <v>42621.6829861111</v>
      </c>
      <c r="C1538">
        <v>0</v>
      </c>
      <c r="D1538">
        <v>14</v>
      </c>
      <c r="E1538" t="s">
        <v>1528</v>
      </c>
    </row>
    <row r="1539" spans="1:5">
      <c r="A1539">
        <f>HYPERLINK("http://www.twitter.com/NYPDnews/status/773864759984873472", "773864759984873472")</f>
        <v>0</v>
      </c>
      <c r="B1539" s="2">
        <v>42621.5313773148</v>
      </c>
      <c r="C1539">
        <v>17</v>
      </c>
      <c r="D1539">
        <v>14</v>
      </c>
      <c r="E1539" t="s">
        <v>1529</v>
      </c>
    </row>
    <row r="1540" spans="1:5">
      <c r="A1540">
        <f>HYPERLINK("http://www.twitter.com/NYPDnews/status/773861000617623552", "773861000617623552")</f>
        <v>0</v>
      </c>
      <c r="B1540" s="2">
        <v>42621.5209953704</v>
      </c>
      <c r="C1540">
        <v>25</v>
      </c>
      <c r="D1540">
        <v>33</v>
      </c>
      <c r="E1540" t="s">
        <v>1530</v>
      </c>
    </row>
    <row r="1541" spans="1:5">
      <c r="A1541">
        <f>HYPERLINK("http://www.twitter.com/NYPDnews/status/773857208761221121", "773857208761221121")</f>
        <v>0</v>
      </c>
      <c r="B1541" s="2">
        <v>42621.5105324074</v>
      </c>
      <c r="C1541">
        <v>87</v>
      </c>
      <c r="D1541">
        <v>31</v>
      </c>
      <c r="E1541" t="s">
        <v>1531</v>
      </c>
    </row>
    <row r="1542" spans="1:5">
      <c r="A1542">
        <f>HYPERLINK("http://www.twitter.com/NYPDnews/status/773853871332556800", "773853871332556800")</f>
        <v>0</v>
      </c>
      <c r="B1542" s="2">
        <v>42621.5013310185</v>
      </c>
      <c r="C1542">
        <v>50</v>
      </c>
      <c r="D1542">
        <v>29</v>
      </c>
      <c r="E1542" t="s">
        <v>1532</v>
      </c>
    </row>
    <row r="1543" spans="1:5">
      <c r="A1543">
        <f>HYPERLINK("http://www.twitter.com/NYPDnews/status/773846627522142208", "773846627522142208")</f>
        <v>0</v>
      </c>
      <c r="B1543" s="2">
        <v>42621.4813425926</v>
      </c>
      <c r="C1543">
        <v>142</v>
      </c>
      <c r="D1543">
        <v>80</v>
      </c>
      <c r="E1543" t="s">
        <v>1533</v>
      </c>
    </row>
    <row r="1544" spans="1:5">
      <c r="A1544">
        <f>HYPERLINK("http://www.twitter.com/NYPDnews/status/773702493356326916", "773702493356326916")</f>
        <v>0</v>
      </c>
      <c r="B1544" s="2">
        <v>42621.083599537</v>
      </c>
      <c r="C1544">
        <v>14</v>
      </c>
      <c r="D1544">
        <v>8</v>
      </c>
      <c r="E1544" t="s">
        <v>1534</v>
      </c>
    </row>
    <row r="1545" spans="1:5">
      <c r="A1545">
        <f>HYPERLINK("http://www.twitter.com/NYPDnews/status/773688579033862144", "773688579033862144")</f>
        <v>0</v>
      </c>
      <c r="B1545" s="2">
        <v>42621.0452083333</v>
      </c>
      <c r="C1545">
        <v>8</v>
      </c>
      <c r="D1545">
        <v>38</v>
      </c>
      <c r="E1545" t="s">
        <v>1535</v>
      </c>
    </row>
    <row r="1546" spans="1:5">
      <c r="A1546">
        <f>HYPERLINK("http://www.twitter.com/NYPDnews/status/773672274192953344", "773672274192953344")</f>
        <v>0</v>
      </c>
      <c r="B1546" s="2">
        <v>42621.0002083333</v>
      </c>
      <c r="C1546">
        <v>201</v>
      </c>
      <c r="D1546">
        <v>99</v>
      </c>
      <c r="E1546" t="s">
        <v>1536</v>
      </c>
    </row>
    <row r="1547" spans="1:5">
      <c r="A1547">
        <f>HYPERLINK("http://www.twitter.com/NYPDnews/status/773657150732267525", "773657150732267525")</f>
        <v>0</v>
      </c>
      <c r="B1547" s="2">
        <v>42620.9584837963</v>
      </c>
      <c r="C1547">
        <v>17</v>
      </c>
      <c r="D1547">
        <v>10</v>
      </c>
      <c r="E1547" t="s">
        <v>1537</v>
      </c>
    </row>
    <row r="1548" spans="1:5">
      <c r="A1548">
        <f>HYPERLINK("http://www.twitter.com/NYPDnews/status/773652193941610496", "773652193941610496")</f>
        <v>0</v>
      </c>
      <c r="B1548" s="2">
        <v>42620.9448032407</v>
      </c>
      <c r="C1548">
        <v>0</v>
      </c>
      <c r="D1548">
        <v>15</v>
      </c>
      <c r="E1548" t="s">
        <v>1538</v>
      </c>
    </row>
    <row r="1549" spans="1:5">
      <c r="A1549">
        <f>HYPERLINK("http://www.twitter.com/NYPDnews/status/773643337433776128", "773643337433776128")</f>
        <v>0</v>
      </c>
      <c r="B1549" s="2">
        <v>42620.9203587963</v>
      </c>
      <c r="C1549">
        <v>115</v>
      </c>
      <c r="D1549">
        <v>68</v>
      </c>
      <c r="E1549" t="s">
        <v>1539</v>
      </c>
    </row>
    <row r="1550" spans="1:5">
      <c r="A1550">
        <f>HYPERLINK("http://www.twitter.com/NYPDnews/status/773588798483619840", "773588798483619840")</f>
        <v>0</v>
      </c>
      <c r="B1550" s="2">
        <v>42620.7698611111</v>
      </c>
      <c r="C1550">
        <v>39</v>
      </c>
      <c r="D1550">
        <v>15</v>
      </c>
      <c r="E1550" t="s">
        <v>1540</v>
      </c>
    </row>
    <row r="1551" spans="1:5">
      <c r="A1551">
        <f>HYPERLINK("http://www.twitter.com/NYPDnews/status/773562773330624512", "773562773330624512")</f>
        <v>0</v>
      </c>
      <c r="B1551" s="2">
        <v>42620.6980439815</v>
      </c>
      <c r="C1551">
        <v>15</v>
      </c>
      <c r="D1551">
        <v>18</v>
      </c>
      <c r="E1551" t="s">
        <v>1541</v>
      </c>
    </row>
    <row r="1552" spans="1:5">
      <c r="A1552">
        <f>HYPERLINK("http://www.twitter.com/NYPDnews/status/773545383255379968", "773545383255379968")</f>
        <v>0</v>
      </c>
      <c r="B1552" s="2">
        <v>42620.6500578704</v>
      </c>
      <c r="C1552">
        <v>25</v>
      </c>
      <c r="D1552">
        <v>14</v>
      </c>
      <c r="E1552" t="s">
        <v>1542</v>
      </c>
    </row>
    <row r="1553" spans="1:5">
      <c r="A1553">
        <f>HYPERLINK("http://www.twitter.com/NYPDnews/status/773541373362466816", "773541373362466816")</f>
        <v>0</v>
      </c>
      <c r="B1553" s="2">
        <v>42620.6389930556</v>
      </c>
      <c r="C1553">
        <v>8</v>
      </c>
      <c r="D1553">
        <v>5</v>
      </c>
      <c r="E1553" t="s">
        <v>1543</v>
      </c>
    </row>
    <row r="1554" spans="1:5">
      <c r="A1554">
        <f>HYPERLINK("http://www.twitter.com/NYPDnews/status/773540115213848576", "773540115213848576")</f>
        <v>0</v>
      </c>
      <c r="B1554" s="2">
        <v>42620.6355208333</v>
      </c>
      <c r="C1554">
        <v>12</v>
      </c>
      <c r="D1554">
        <v>9</v>
      </c>
      <c r="E1554" t="s">
        <v>1544</v>
      </c>
    </row>
    <row r="1555" spans="1:5">
      <c r="A1555">
        <f>HYPERLINK("http://www.twitter.com/NYPDnews/status/773540112546267136", "773540112546267136")</f>
        <v>0</v>
      </c>
      <c r="B1555" s="2">
        <v>42620.6355208333</v>
      </c>
      <c r="C1555">
        <v>13</v>
      </c>
      <c r="D1555">
        <v>9</v>
      </c>
      <c r="E1555" t="s">
        <v>1545</v>
      </c>
    </row>
    <row r="1556" spans="1:5">
      <c r="A1556">
        <f>HYPERLINK("http://www.twitter.com/NYPDnews/status/773538849809113089", "773538849809113089")</f>
        <v>0</v>
      </c>
      <c r="B1556" s="2">
        <v>42620.632037037</v>
      </c>
      <c r="C1556">
        <v>23</v>
      </c>
      <c r="D1556">
        <v>14</v>
      </c>
      <c r="E1556" t="s">
        <v>1546</v>
      </c>
    </row>
    <row r="1557" spans="1:5">
      <c r="A1557">
        <f>HYPERLINK("http://www.twitter.com/NYPDnews/status/773537586623160320", "773537586623160320")</f>
        <v>0</v>
      </c>
      <c r="B1557" s="2">
        <v>42620.6285416667</v>
      </c>
      <c r="C1557">
        <v>9</v>
      </c>
      <c r="D1557">
        <v>6</v>
      </c>
      <c r="E1557" t="s">
        <v>1547</v>
      </c>
    </row>
    <row r="1558" spans="1:5">
      <c r="A1558">
        <f>HYPERLINK("http://www.twitter.com/NYPDnews/status/773535867822546944", "773535867822546944")</f>
        <v>0</v>
      </c>
      <c r="B1558" s="2">
        <v>42620.6238078704</v>
      </c>
      <c r="C1558">
        <v>34</v>
      </c>
      <c r="D1558">
        <v>12</v>
      </c>
      <c r="E1558" t="s">
        <v>1548</v>
      </c>
    </row>
    <row r="1559" spans="1:5">
      <c r="A1559">
        <f>HYPERLINK("http://www.twitter.com/NYPDnews/status/773535019969155072", "773535019969155072")</f>
        <v>0</v>
      </c>
      <c r="B1559" s="2">
        <v>42620.6214699074</v>
      </c>
      <c r="C1559">
        <v>16</v>
      </c>
      <c r="D1559">
        <v>9</v>
      </c>
      <c r="E1559" t="s">
        <v>1549</v>
      </c>
    </row>
    <row r="1560" spans="1:5">
      <c r="A1560">
        <f>HYPERLINK("http://www.twitter.com/NYPDnews/status/773533650193412096", "773533650193412096")</f>
        <v>0</v>
      </c>
      <c r="B1560" s="2">
        <v>42620.6176851852</v>
      </c>
      <c r="C1560">
        <v>9</v>
      </c>
      <c r="D1560">
        <v>11</v>
      </c>
      <c r="E1560" t="s">
        <v>1550</v>
      </c>
    </row>
    <row r="1561" spans="1:5">
      <c r="A1561">
        <f>HYPERLINK("http://www.twitter.com/NYPDnews/status/773531539611189249", "773531539611189249")</f>
        <v>0</v>
      </c>
      <c r="B1561" s="2">
        <v>42620.6118634259</v>
      </c>
      <c r="C1561">
        <v>8</v>
      </c>
      <c r="D1561">
        <v>7</v>
      </c>
      <c r="E1561" t="s">
        <v>1551</v>
      </c>
    </row>
    <row r="1562" spans="1:5">
      <c r="A1562">
        <f>HYPERLINK("http://www.twitter.com/NYPDnews/status/773526842099851264", "773526842099851264")</f>
        <v>0</v>
      </c>
      <c r="B1562" s="2">
        <v>42620.598900463</v>
      </c>
      <c r="C1562">
        <v>9</v>
      </c>
      <c r="D1562">
        <v>6</v>
      </c>
      <c r="E1562" t="s">
        <v>1552</v>
      </c>
    </row>
    <row r="1563" spans="1:5">
      <c r="A1563">
        <f>HYPERLINK("http://www.twitter.com/NYPDnews/status/773504997715771392", "773504997715771392")</f>
        <v>0</v>
      </c>
      <c r="B1563" s="2">
        <v>42620.5386226852</v>
      </c>
      <c r="C1563">
        <v>21</v>
      </c>
      <c r="D1563">
        <v>19</v>
      </c>
      <c r="E1563" t="s">
        <v>1553</v>
      </c>
    </row>
    <row r="1564" spans="1:5">
      <c r="A1564">
        <f>HYPERLINK("http://www.twitter.com/NYPDnews/status/773502351411965957", "773502351411965957")</f>
        <v>0</v>
      </c>
      <c r="B1564" s="2">
        <v>42620.5313194444</v>
      </c>
      <c r="C1564">
        <v>215</v>
      </c>
      <c r="D1564">
        <v>302</v>
      </c>
      <c r="E1564" t="s">
        <v>1554</v>
      </c>
    </row>
    <row r="1565" spans="1:5">
      <c r="A1565">
        <f>HYPERLINK("http://www.twitter.com/NYPDnews/status/773498873847377921", "773498873847377921")</f>
        <v>0</v>
      </c>
      <c r="B1565" s="2">
        <v>42620.521724537</v>
      </c>
      <c r="C1565">
        <v>24</v>
      </c>
      <c r="D1565">
        <v>20</v>
      </c>
      <c r="E1565" t="s">
        <v>1555</v>
      </c>
    </row>
    <row r="1566" spans="1:5">
      <c r="A1566">
        <f>HYPERLINK("http://www.twitter.com/NYPDnews/status/773494916219543552", "773494916219543552")</f>
        <v>0</v>
      </c>
      <c r="B1566" s="2">
        <v>42620.5107986111</v>
      </c>
      <c r="C1566">
        <v>139</v>
      </c>
      <c r="D1566">
        <v>47</v>
      </c>
      <c r="E1566" t="s">
        <v>1556</v>
      </c>
    </row>
    <row r="1567" spans="1:5">
      <c r="A1567">
        <f>HYPERLINK("http://www.twitter.com/NYPDnews/status/773491212909219840", "773491212909219840")</f>
        <v>0</v>
      </c>
      <c r="B1567" s="2">
        <v>42620.5005787037</v>
      </c>
      <c r="C1567">
        <v>11</v>
      </c>
      <c r="D1567">
        <v>29</v>
      </c>
      <c r="E1567" t="s">
        <v>1557</v>
      </c>
    </row>
    <row r="1568" spans="1:5">
      <c r="A1568">
        <f>HYPERLINK("http://www.twitter.com/NYPDnews/status/773468429126959104", "773468429126959104")</f>
        <v>0</v>
      </c>
      <c r="B1568" s="2">
        <v>42620.4377083333</v>
      </c>
      <c r="C1568">
        <v>25</v>
      </c>
      <c r="D1568">
        <v>67</v>
      </c>
      <c r="E1568" t="s">
        <v>1558</v>
      </c>
    </row>
    <row r="1569" spans="1:5">
      <c r="A1569">
        <f>HYPERLINK("http://www.twitter.com/NYPDnews/status/773317533848002566", "773317533848002566")</f>
        <v>0</v>
      </c>
      <c r="B1569" s="2">
        <v>42620.0213194444</v>
      </c>
      <c r="C1569">
        <v>12</v>
      </c>
      <c r="D1569">
        <v>20</v>
      </c>
      <c r="E1569" t="s">
        <v>1559</v>
      </c>
    </row>
    <row r="1570" spans="1:5">
      <c r="A1570">
        <f>HYPERLINK("http://www.twitter.com/NYPDnews/status/773311144886931457", "773311144886931457")</f>
        <v>0</v>
      </c>
      <c r="B1570" s="2">
        <v>42620.0036921296</v>
      </c>
      <c r="C1570">
        <v>90</v>
      </c>
      <c r="D1570">
        <v>23</v>
      </c>
      <c r="E1570" t="s">
        <v>1560</v>
      </c>
    </row>
    <row r="1571" spans="1:5">
      <c r="A1571">
        <f>HYPERLINK("http://www.twitter.com/NYPDnews/status/773303535622643712", "773303535622643712")</f>
        <v>0</v>
      </c>
      <c r="B1571" s="2">
        <v>42619.9826851852</v>
      </c>
      <c r="C1571">
        <v>83</v>
      </c>
      <c r="D1571">
        <v>40</v>
      </c>
      <c r="E1571" t="s">
        <v>1561</v>
      </c>
    </row>
    <row r="1572" spans="1:5">
      <c r="A1572">
        <f>HYPERLINK("http://www.twitter.com/NYPDnews/status/773291548696018944", "773291548696018944")</f>
        <v>0</v>
      </c>
      <c r="B1572" s="2">
        <v>42619.9496064815</v>
      </c>
      <c r="C1572">
        <v>0</v>
      </c>
      <c r="D1572">
        <v>52</v>
      </c>
      <c r="E1572" t="s">
        <v>1562</v>
      </c>
    </row>
    <row r="1573" spans="1:5">
      <c r="A1573">
        <f>HYPERLINK("http://www.twitter.com/NYPDnews/status/773264672627822596", "773264672627822596")</f>
        <v>0</v>
      </c>
      <c r="B1573" s="2">
        <v>42619.8754513889</v>
      </c>
      <c r="C1573">
        <v>27</v>
      </c>
      <c r="D1573">
        <v>14</v>
      </c>
      <c r="E1573" t="s">
        <v>1563</v>
      </c>
    </row>
    <row r="1574" spans="1:5">
      <c r="A1574">
        <f>HYPERLINK("http://www.twitter.com/NYPDnews/status/773217973540679680", "773217973540679680")</f>
        <v>0</v>
      </c>
      <c r="B1574" s="2">
        <v>42619.7465856482</v>
      </c>
      <c r="C1574">
        <v>11</v>
      </c>
      <c r="D1574">
        <v>7</v>
      </c>
      <c r="E1574" t="s">
        <v>1564</v>
      </c>
    </row>
    <row r="1575" spans="1:5">
      <c r="A1575">
        <f>HYPERLINK("http://www.twitter.com/NYPDnews/status/773216723533168641", "773216723533168641")</f>
        <v>0</v>
      </c>
      <c r="B1575" s="2">
        <v>42619.7431365741</v>
      </c>
      <c r="C1575">
        <v>13</v>
      </c>
      <c r="D1575">
        <v>1</v>
      </c>
      <c r="E1575" t="s">
        <v>1565</v>
      </c>
    </row>
    <row r="1576" spans="1:5">
      <c r="A1576">
        <f>HYPERLINK("http://www.twitter.com/NYPDnews/status/773215044930863104", "773215044930863104")</f>
        <v>0</v>
      </c>
      <c r="B1576" s="2">
        <v>42619.7385069444</v>
      </c>
      <c r="C1576">
        <v>28</v>
      </c>
      <c r="D1576">
        <v>9</v>
      </c>
      <c r="E1576" t="s">
        <v>1566</v>
      </c>
    </row>
    <row r="1577" spans="1:5">
      <c r="A1577">
        <f>HYPERLINK("http://www.twitter.com/NYPDnews/status/773213914989490176", "773213914989490176")</f>
        <v>0</v>
      </c>
      <c r="B1577" s="2">
        <v>42619.7353819444</v>
      </c>
      <c r="C1577">
        <v>10</v>
      </c>
      <c r="D1577">
        <v>6</v>
      </c>
      <c r="E1577" t="s">
        <v>1567</v>
      </c>
    </row>
    <row r="1578" spans="1:5">
      <c r="A1578">
        <f>HYPERLINK("http://www.twitter.com/NYPDnews/status/773213378844164096", "773213378844164096")</f>
        <v>0</v>
      </c>
      <c r="B1578" s="2">
        <v>42619.733900463</v>
      </c>
      <c r="C1578">
        <v>30</v>
      </c>
      <c r="D1578">
        <v>11</v>
      </c>
      <c r="E1578" t="s">
        <v>1568</v>
      </c>
    </row>
    <row r="1579" spans="1:5">
      <c r="A1579">
        <f>HYPERLINK("http://www.twitter.com/NYPDnews/status/773211319449358336", "773211319449358336")</f>
        <v>0</v>
      </c>
      <c r="B1579" s="2">
        <v>42619.7282175926</v>
      </c>
      <c r="C1579">
        <v>13</v>
      </c>
      <c r="D1579">
        <v>13</v>
      </c>
      <c r="E1579" t="s">
        <v>1569</v>
      </c>
    </row>
    <row r="1580" spans="1:5">
      <c r="A1580">
        <f>HYPERLINK("http://www.twitter.com/NYPDnews/status/773210864371507200", "773210864371507200")</f>
        <v>0</v>
      </c>
      <c r="B1580" s="2">
        <v>42619.7269675926</v>
      </c>
      <c r="C1580">
        <v>21</v>
      </c>
      <c r="D1580">
        <v>14</v>
      </c>
      <c r="E1580" t="s">
        <v>1570</v>
      </c>
    </row>
    <row r="1581" spans="1:5">
      <c r="A1581">
        <f>HYPERLINK("http://www.twitter.com/NYPDnews/status/773209597175861248", "773209597175861248")</f>
        <v>0</v>
      </c>
      <c r="B1581" s="2">
        <v>42619.7234722222</v>
      </c>
      <c r="C1581">
        <v>30</v>
      </c>
      <c r="D1581">
        <v>29</v>
      </c>
      <c r="E1581" t="s">
        <v>1571</v>
      </c>
    </row>
    <row r="1582" spans="1:5">
      <c r="A1582">
        <f>HYPERLINK("http://www.twitter.com/NYPDnews/status/773207298210684928", "773207298210684928")</f>
        <v>0</v>
      </c>
      <c r="B1582" s="2">
        <v>42619.7171296296</v>
      </c>
      <c r="C1582">
        <v>32</v>
      </c>
      <c r="D1582">
        <v>10</v>
      </c>
      <c r="E1582" t="s">
        <v>1572</v>
      </c>
    </row>
    <row r="1583" spans="1:5">
      <c r="A1583">
        <f>HYPERLINK("http://www.twitter.com/NYPDnews/status/773205448556027905", "773205448556027905")</f>
        <v>0</v>
      </c>
      <c r="B1583" s="2">
        <v>42619.712025463</v>
      </c>
      <c r="C1583">
        <v>15</v>
      </c>
      <c r="D1583">
        <v>10</v>
      </c>
      <c r="E1583" t="s">
        <v>1573</v>
      </c>
    </row>
    <row r="1584" spans="1:5">
      <c r="A1584">
        <f>HYPERLINK("http://www.twitter.com/NYPDnews/status/773204191586189312", "773204191586189312")</f>
        <v>0</v>
      </c>
      <c r="B1584" s="2">
        <v>42619.7085532407</v>
      </c>
      <c r="C1584">
        <v>9</v>
      </c>
      <c r="D1584">
        <v>7</v>
      </c>
      <c r="E1584" t="s">
        <v>1574</v>
      </c>
    </row>
    <row r="1585" spans="1:5">
      <c r="A1585">
        <f>HYPERLINK("http://www.twitter.com/NYPDnews/status/773140050485866496", "773140050485866496")</f>
        <v>0</v>
      </c>
      <c r="B1585" s="2">
        <v>42619.5315509259</v>
      </c>
      <c r="C1585">
        <v>55</v>
      </c>
      <c r="D1585">
        <v>16</v>
      </c>
      <c r="E1585" t="s">
        <v>1575</v>
      </c>
    </row>
    <row r="1586" spans="1:5">
      <c r="A1586">
        <f>HYPERLINK("http://www.twitter.com/NYPDnews/status/773136481074421760", "773136481074421760")</f>
        <v>0</v>
      </c>
      <c r="B1586" s="2">
        <v>42619.5217013889</v>
      </c>
      <c r="C1586">
        <v>18</v>
      </c>
      <c r="D1586">
        <v>13</v>
      </c>
      <c r="E1586" t="s">
        <v>1576</v>
      </c>
    </row>
    <row r="1587" spans="1:5">
      <c r="A1587">
        <f>HYPERLINK("http://www.twitter.com/NYPDnews/status/773132517339725824", "773132517339725824")</f>
        <v>0</v>
      </c>
      <c r="B1587" s="2">
        <v>42619.5107638889</v>
      </c>
      <c r="C1587">
        <v>84</v>
      </c>
      <c r="D1587">
        <v>12</v>
      </c>
      <c r="E1587" t="s">
        <v>1577</v>
      </c>
    </row>
    <row r="1588" spans="1:5">
      <c r="A1588">
        <f>HYPERLINK("http://www.twitter.com/NYPDnews/status/773128807771475968", "773128807771475968")</f>
        <v>0</v>
      </c>
      <c r="B1588" s="2">
        <v>42619.5005324074</v>
      </c>
      <c r="C1588">
        <v>32</v>
      </c>
      <c r="D1588">
        <v>28</v>
      </c>
      <c r="E1588" t="s">
        <v>1578</v>
      </c>
    </row>
    <row r="1589" spans="1:5">
      <c r="A1589">
        <f>HYPERLINK("http://www.twitter.com/NYPDnews/status/773121177913028609", "773121177913028609")</f>
        <v>0</v>
      </c>
      <c r="B1589" s="2">
        <v>42619.4794791667</v>
      </c>
      <c r="C1589">
        <v>69</v>
      </c>
      <c r="D1589">
        <v>39</v>
      </c>
      <c r="E1589" t="s">
        <v>1579</v>
      </c>
    </row>
    <row r="1590" spans="1:5">
      <c r="A1590">
        <f>HYPERLINK("http://www.twitter.com/NYPDnews/status/772947628741038080", "772947628741038080")</f>
        <v>0</v>
      </c>
      <c r="B1590" s="2">
        <v>42619.0005787037</v>
      </c>
      <c r="C1590">
        <v>189</v>
      </c>
      <c r="D1590">
        <v>143</v>
      </c>
      <c r="E1590" t="s">
        <v>1580</v>
      </c>
    </row>
    <row r="1591" spans="1:5">
      <c r="A1591">
        <f>HYPERLINK("http://www.twitter.com/NYPDnews/status/772934351311007745", "772934351311007745")</f>
        <v>0</v>
      </c>
      <c r="B1591" s="2">
        <v>42618.9639351852</v>
      </c>
      <c r="C1591">
        <v>52</v>
      </c>
      <c r="D1591">
        <v>14</v>
      </c>
      <c r="E1591" t="s">
        <v>1581</v>
      </c>
    </row>
    <row r="1592" spans="1:5">
      <c r="A1592">
        <f>HYPERLINK("http://www.twitter.com/NYPDnews/status/772897912338669568", "772897912338669568")</f>
        <v>0</v>
      </c>
      <c r="B1592" s="2">
        <v>42618.8633796296</v>
      </c>
      <c r="C1592">
        <v>0</v>
      </c>
      <c r="D1592">
        <v>48</v>
      </c>
      <c r="E1592" t="s">
        <v>1582</v>
      </c>
    </row>
    <row r="1593" spans="1:5">
      <c r="A1593">
        <f>HYPERLINK("http://www.twitter.com/NYPDnews/status/772832007969726464", "772832007969726464")</f>
        <v>0</v>
      </c>
      <c r="B1593" s="2">
        <v>42618.6815162037</v>
      </c>
      <c r="C1593">
        <v>55</v>
      </c>
      <c r="D1593">
        <v>26</v>
      </c>
      <c r="E1593" t="s">
        <v>1583</v>
      </c>
    </row>
    <row r="1594" spans="1:5">
      <c r="A1594">
        <f>HYPERLINK("http://www.twitter.com/NYPDnews/status/772821028812779520", "772821028812779520")</f>
        <v>0</v>
      </c>
      <c r="B1594" s="2">
        <v>42618.6512268518</v>
      </c>
      <c r="C1594">
        <v>0</v>
      </c>
      <c r="D1594">
        <v>52</v>
      </c>
      <c r="E1594" t="s">
        <v>1584</v>
      </c>
    </row>
    <row r="1595" spans="1:5">
      <c r="A1595">
        <f>HYPERLINK("http://www.twitter.com/NYPDnews/status/772821006729801729", "772821006729801729")</f>
        <v>0</v>
      </c>
      <c r="B1595" s="2">
        <v>42618.6511574074</v>
      </c>
      <c r="C1595">
        <v>0</v>
      </c>
      <c r="D1595">
        <v>33</v>
      </c>
      <c r="E1595" t="s">
        <v>1585</v>
      </c>
    </row>
    <row r="1596" spans="1:5">
      <c r="A1596">
        <f>HYPERLINK("http://www.twitter.com/NYPDnews/status/772817838138597376", "772817838138597376")</f>
        <v>0</v>
      </c>
      <c r="B1596" s="2">
        <v>42618.6424189815</v>
      </c>
      <c r="C1596">
        <v>27</v>
      </c>
      <c r="D1596">
        <v>9</v>
      </c>
      <c r="E1596" t="s">
        <v>1586</v>
      </c>
    </row>
    <row r="1597" spans="1:5">
      <c r="A1597">
        <f>HYPERLINK("http://www.twitter.com/NYPDnews/status/772816178607783936", "772816178607783936")</f>
        <v>0</v>
      </c>
      <c r="B1597" s="2">
        <v>42618.6378356482</v>
      </c>
      <c r="C1597">
        <v>20</v>
      </c>
      <c r="D1597">
        <v>15</v>
      </c>
      <c r="E1597" t="s">
        <v>1587</v>
      </c>
    </row>
    <row r="1598" spans="1:5">
      <c r="A1598">
        <f>HYPERLINK("http://www.twitter.com/NYPDnews/status/772814813051355136", "772814813051355136")</f>
        <v>0</v>
      </c>
      <c r="B1598" s="2">
        <v>42618.6340740741</v>
      </c>
      <c r="C1598">
        <v>29</v>
      </c>
      <c r="D1598">
        <v>14</v>
      </c>
      <c r="E1598" t="s">
        <v>1588</v>
      </c>
    </row>
    <row r="1599" spans="1:5">
      <c r="A1599">
        <f>HYPERLINK("http://www.twitter.com/NYPDnews/status/772813923875688448", "772813923875688448")</f>
        <v>0</v>
      </c>
      <c r="B1599" s="2">
        <v>42618.6316203704</v>
      </c>
      <c r="C1599">
        <v>34</v>
      </c>
      <c r="D1599">
        <v>15</v>
      </c>
      <c r="E1599" t="s">
        <v>1589</v>
      </c>
    </row>
    <row r="1600" spans="1:5">
      <c r="A1600">
        <f>HYPERLINK("http://www.twitter.com/NYPDnews/status/772811233418420224", "772811233418420224")</f>
        <v>0</v>
      </c>
      <c r="B1600" s="2">
        <v>42618.6241898148</v>
      </c>
      <c r="C1600">
        <v>24</v>
      </c>
      <c r="D1600">
        <v>11</v>
      </c>
      <c r="E1600" t="s">
        <v>1590</v>
      </c>
    </row>
    <row r="1601" spans="1:5">
      <c r="A1601">
        <f>HYPERLINK("http://www.twitter.com/NYPDnews/status/772807419856580613", "772807419856580613")</f>
        <v>0</v>
      </c>
      <c r="B1601" s="2">
        <v>42618.6136689815</v>
      </c>
      <c r="C1601">
        <v>21</v>
      </c>
      <c r="D1601">
        <v>10</v>
      </c>
      <c r="E1601" t="s">
        <v>1591</v>
      </c>
    </row>
    <row r="1602" spans="1:5">
      <c r="A1602">
        <f>HYPERLINK("http://www.twitter.com/NYPDnews/status/772802012048130048", "772802012048130048")</f>
        <v>0</v>
      </c>
      <c r="B1602" s="2">
        <v>42618.59875</v>
      </c>
      <c r="C1602">
        <v>0</v>
      </c>
      <c r="D1602">
        <v>10</v>
      </c>
      <c r="E1602" t="s">
        <v>1592</v>
      </c>
    </row>
    <row r="1603" spans="1:5">
      <c r="A1603">
        <f>HYPERLINK("http://www.twitter.com/NYPDnews/status/772786496537554944", "772786496537554944")</f>
        <v>0</v>
      </c>
      <c r="B1603" s="2">
        <v>42618.5559375</v>
      </c>
      <c r="C1603">
        <v>5</v>
      </c>
      <c r="D1603">
        <v>7</v>
      </c>
      <c r="E1603" t="s">
        <v>1593</v>
      </c>
    </row>
    <row r="1604" spans="1:5">
      <c r="A1604">
        <f>HYPERLINK("http://www.twitter.com/NYPDnews/status/772778523794833408", "772778523794833408")</f>
        <v>0</v>
      </c>
      <c r="B1604" s="2">
        <v>42618.5339351852</v>
      </c>
      <c r="C1604">
        <v>11</v>
      </c>
      <c r="D1604">
        <v>17</v>
      </c>
      <c r="E1604" t="s">
        <v>1594</v>
      </c>
    </row>
    <row r="1605" spans="1:5">
      <c r="A1605">
        <f>HYPERLINK("http://www.twitter.com/NYPDnews/status/772774974235049984", "772774974235049984")</f>
        <v>0</v>
      </c>
      <c r="B1605" s="2">
        <v>42618.5241319444</v>
      </c>
      <c r="C1605">
        <v>50</v>
      </c>
      <c r="D1605">
        <v>31</v>
      </c>
      <c r="E1605" t="s">
        <v>1595</v>
      </c>
    </row>
    <row r="1606" spans="1:5">
      <c r="A1606">
        <f>HYPERLINK("http://www.twitter.com/NYPDnews/status/772770350379724800", "772770350379724800")</f>
        <v>0</v>
      </c>
      <c r="B1606" s="2">
        <v>42618.5113773148</v>
      </c>
      <c r="C1606">
        <v>18</v>
      </c>
      <c r="D1606">
        <v>79</v>
      </c>
      <c r="E1606" t="s">
        <v>1596</v>
      </c>
    </row>
    <row r="1607" spans="1:5">
      <c r="A1607">
        <f>HYPERLINK("http://www.twitter.com/NYPDnews/status/772766526516658176", "772766526516658176")</f>
        <v>0</v>
      </c>
      <c r="B1607" s="2">
        <v>42618.5008217593</v>
      </c>
      <c r="C1607">
        <v>12</v>
      </c>
      <c r="D1607">
        <v>11</v>
      </c>
      <c r="E1607" t="s">
        <v>1597</v>
      </c>
    </row>
    <row r="1608" spans="1:5">
      <c r="A1608">
        <f>HYPERLINK("http://www.twitter.com/NYPDnews/status/772645482611048449", "772645482611048449")</f>
        <v>0</v>
      </c>
      <c r="B1608" s="2">
        <v>42618.1668055556</v>
      </c>
      <c r="C1608">
        <v>238</v>
      </c>
      <c r="D1608">
        <v>119</v>
      </c>
      <c r="E1608" t="s">
        <v>1598</v>
      </c>
    </row>
    <row r="1609" spans="1:5">
      <c r="A1609">
        <f>HYPERLINK("http://www.twitter.com/NYPDnews/status/772641455978450944", "772641455978450944")</f>
        <v>0</v>
      </c>
      <c r="B1609" s="2">
        <v>42618.1556944444</v>
      </c>
      <c r="C1609">
        <v>0</v>
      </c>
      <c r="D1609">
        <v>189</v>
      </c>
      <c r="E1609" t="s">
        <v>1599</v>
      </c>
    </row>
    <row r="1610" spans="1:5">
      <c r="A1610">
        <f>HYPERLINK("http://www.twitter.com/NYPDnews/status/772591357697351680", "772591357697351680")</f>
        <v>0</v>
      </c>
      <c r="B1610" s="2">
        <v>42618.0174537037</v>
      </c>
      <c r="C1610">
        <v>24</v>
      </c>
      <c r="D1610">
        <v>17</v>
      </c>
      <c r="E1610" t="s">
        <v>1600</v>
      </c>
    </row>
    <row r="1611" spans="1:5">
      <c r="A1611">
        <f>HYPERLINK("http://www.twitter.com/NYPDnews/status/772575047487778817", "772575047487778817")</f>
        <v>0</v>
      </c>
      <c r="B1611" s="2">
        <v>42617.9724421296</v>
      </c>
      <c r="C1611">
        <v>57</v>
      </c>
      <c r="D1611">
        <v>24</v>
      </c>
      <c r="E1611" t="s">
        <v>1601</v>
      </c>
    </row>
    <row r="1612" spans="1:5">
      <c r="A1612">
        <f>HYPERLINK("http://www.twitter.com/NYPDnews/status/772528608615145472", "772528608615145472")</f>
        <v>0</v>
      </c>
      <c r="B1612" s="2">
        <v>42617.8442939815</v>
      </c>
      <c r="C1612">
        <v>0</v>
      </c>
      <c r="D1612">
        <v>23</v>
      </c>
      <c r="E1612" t="s">
        <v>1602</v>
      </c>
    </row>
    <row r="1613" spans="1:5">
      <c r="A1613">
        <f>HYPERLINK("http://www.twitter.com/NYPDnews/status/772522412810219520", "772522412810219520")</f>
        <v>0</v>
      </c>
      <c r="B1613" s="2">
        <v>42617.8271990741</v>
      </c>
      <c r="C1613">
        <v>0</v>
      </c>
      <c r="D1613">
        <v>12</v>
      </c>
      <c r="E1613" t="s">
        <v>1603</v>
      </c>
    </row>
    <row r="1614" spans="1:5">
      <c r="A1614">
        <f>HYPERLINK("http://www.twitter.com/NYPDnews/status/772459284701515776", "772459284701515776")</f>
        <v>0</v>
      </c>
      <c r="B1614" s="2">
        <v>42617.6529976852</v>
      </c>
      <c r="C1614">
        <v>53</v>
      </c>
      <c r="D1614">
        <v>20</v>
      </c>
      <c r="E1614" t="s">
        <v>1604</v>
      </c>
    </row>
    <row r="1615" spans="1:5">
      <c r="A1615">
        <f>HYPERLINK("http://www.twitter.com/NYPDnews/status/772445496451489792", "772445496451489792")</f>
        <v>0</v>
      </c>
      <c r="B1615" s="2">
        <v>42617.6149537037</v>
      </c>
      <c r="C1615">
        <v>14</v>
      </c>
      <c r="D1615">
        <v>18</v>
      </c>
      <c r="E1615" t="s">
        <v>1605</v>
      </c>
    </row>
    <row r="1616" spans="1:5">
      <c r="A1616">
        <f>HYPERLINK("http://www.twitter.com/NYPDnews/status/772440448266858496", "772440448266858496")</f>
        <v>0</v>
      </c>
      <c r="B1616" s="2">
        <v>42617.6010185185</v>
      </c>
      <c r="C1616">
        <v>130</v>
      </c>
      <c r="D1616">
        <v>40</v>
      </c>
      <c r="E1616" t="s">
        <v>1606</v>
      </c>
    </row>
    <row r="1617" spans="1:5">
      <c r="A1617">
        <f>HYPERLINK("http://www.twitter.com/NYPDnews/status/772432211362607108", "772432211362607108")</f>
        <v>0</v>
      </c>
      <c r="B1617" s="2">
        <v>42617.578287037</v>
      </c>
      <c r="C1617">
        <v>31</v>
      </c>
      <c r="D1617">
        <v>21</v>
      </c>
      <c r="E1617" t="s">
        <v>1607</v>
      </c>
    </row>
    <row r="1618" spans="1:5">
      <c r="A1618">
        <f>HYPERLINK("http://www.twitter.com/NYPDnews/status/772212616206880768", "772212616206880768")</f>
        <v>0</v>
      </c>
      <c r="B1618" s="2">
        <v>42616.9723263889</v>
      </c>
      <c r="C1618">
        <v>47</v>
      </c>
      <c r="D1618">
        <v>19</v>
      </c>
      <c r="E1618" t="s">
        <v>1608</v>
      </c>
    </row>
    <row r="1619" spans="1:5">
      <c r="A1619">
        <f>HYPERLINK("http://www.twitter.com/NYPDnews/status/772207646019575808", "772207646019575808")</f>
        <v>0</v>
      </c>
      <c r="B1619" s="2">
        <v>42616.9586111111</v>
      </c>
      <c r="C1619">
        <v>254</v>
      </c>
      <c r="D1619">
        <v>90</v>
      </c>
      <c r="E1619" t="s">
        <v>1609</v>
      </c>
    </row>
    <row r="1620" spans="1:5">
      <c r="A1620">
        <f>HYPERLINK("http://www.twitter.com/NYPDnews/status/772149641831931904", "772149641831931904")</f>
        <v>0</v>
      </c>
      <c r="B1620" s="2">
        <v>42616.7985532407</v>
      </c>
      <c r="C1620">
        <v>32</v>
      </c>
      <c r="D1620">
        <v>32</v>
      </c>
      <c r="E1620" t="s">
        <v>1610</v>
      </c>
    </row>
    <row r="1621" spans="1:5">
      <c r="A1621">
        <f>HYPERLINK("http://www.twitter.com/NYPDnews/status/772148513463476224", "772148513463476224")</f>
        <v>0</v>
      </c>
      <c r="B1621" s="2">
        <v>42616.7954398148</v>
      </c>
      <c r="C1621">
        <v>22</v>
      </c>
      <c r="D1621">
        <v>14</v>
      </c>
      <c r="E1621" t="s">
        <v>1611</v>
      </c>
    </row>
    <row r="1622" spans="1:5">
      <c r="A1622">
        <f>HYPERLINK("http://www.twitter.com/NYPDnews/status/772123421471834112", "772123421471834112")</f>
        <v>0</v>
      </c>
      <c r="B1622" s="2">
        <v>42616.7261921296</v>
      </c>
      <c r="C1622">
        <v>0</v>
      </c>
      <c r="D1622">
        <v>18</v>
      </c>
      <c r="E1622" t="s">
        <v>1612</v>
      </c>
    </row>
    <row r="1623" spans="1:5">
      <c r="A1623">
        <f>HYPERLINK("http://www.twitter.com/NYPDnews/status/772114482743091200", "772114482743091200")</f>
        <v>0</v>
      </c>
      <c r="B1623" s="2">
        <v>42616.7015277778</v>
      </c>
      <c r="C1623">
        <v>30</v>
      </c>
      <c r="D1623">
        <v>12</v>
      </c>
      <c r="E1623" t="s">
        <v>1613</v>
      </c>
    </row>
    <row r="1624" spans="1:5">
      <c r="A1624">
        <f>HYPERLINK("http://www.twitter.com/NYPDnews/status/772078004591886336", "772078004591886336")</f>
        <v>0</v>
      </c>
      <c r="B1624" s="2">
        <v>42616.6008680556</v>
      </c>
      <c r="C1624">
        <v>76</v>
      </c>
      <c r="D1624">
        <v>29</v>
      </c>
      <c r="E1624" t="s">
        <v>1614</v>
      </c>
    </row>
    <row r="1625" spans="1:5">
      <c r="A1625">
        <f>HYPERLINK("http://www.twitter.com/NYPDnews/status/772062907119067136", "772062907119067136")</f>
        <v>0</v>
      </c>
      <c r="B1625" s="2">
        <v>42616.5592013889</v>
      </c>
      <c r="C1625">
        <v>368</v>
      </c>
      <c r="D1625">
        <v>100</v>
      </c>
      <c r="E1625" t="s">
        <v>1615</v>
      </c>
    </row>
    <row r="1626" spans="1:5">
      <c r="A1626">
        <f>HYPERLINK("http://www.twitter.com/NYPDnews/status/772047768928092175", "772047768928092175")</f>
        <v>0</v>
      </c>
      <c r="B1626" s="2">
        <v>42616.5174305556</v>
      </c>
      <c r="C1626">
        <v>15</v>
      </c>
      <c r="D1626">
        <v>18</v>
      </c>
      <c r="E1626" t="s">
        <v>1616</v>
      </c>
    </row>
    <row r="1627" spans="1:5">
      <c r="A1627">
        <f>HYPERLINK("http://www.twitter.com/NYPDnews/status/771866161634013184", "771866161634013184")</f>
        <v>0</v>
      </c>
      <c r="B1627" s="2">
        <v>42616.0162962963</v>
      </c>
      <c r="C1627">
        <v>0</v>
      </c>
      <c r="D1627">
        <v>44</v>
      </c>
      <c r="E1627" t="s">
        <v>1617</v>
      </c>
    </row>
    <row r="1628" spans="1:5">
      <c r="A1628">
        <f>HYPERLINK("http://www.twitter.com/NYPDnews/status/771850219814326272", "771850219814326272")</f>
        <v>0</v>
      </c>
      <c r="B1628" s="2">
        <v>42615.9723032407</v>
      </c>
      <c r="C1628">
        <v>36</v>
      </c>
      <c r="D1628">
        <v>21</v>
      </c>
      <c r="E1628" t="s">
        <v>1618</v>
      </c>
    </row>
    <row r="1629" spans="1:5">
      <c r="A1629">
        <f>HYPERLINK("http://www.twitter.com/NYPDnews/status/771758448425992192", "771758448425992192")</f>
        <v>0</v>
      </c>
      <c r="B1629" s="2">
        <v>42615.7190625</v>
      </c>
      <c r="C1629">
        <v>14</v>
      </c>
      <c r="D1629">
        <v>41</v>
      </c>
      <c r="E1629" t="s">
        <v>1619</v>
      </c>
    </row>
    <row r="1630" spans="1:5">
      <c r="A1630">
        <f>HYPERLINK("http://www.twitter.com/NYPDnews/status/771699243807567872", "771699243807567872")</f>
        <v>0</v>
      </c>
      <c r="B1630" s="2">
        <v>42615.5556828704</v>
      </c>
      <c r="C1630">
        <v>58</v>
      </c>
      <c r="D1630">
        <v>36</v>
      </c>
      <c r="E1630" t="s">
        <v>1620</v>
      </c>
    </row>
    <row r="1631" spans="1:5">
      <c r="A1631">
        <f>HYPERLINK("http://www.twitter.com/NYPDnews/status/771690468488929280", "771690468488929280")</f>
        <v>0</v>
      </c>
      <c r="B1631" s="2">
        <v>42615.5314699074</v>
      </c>
      <c r="C1631">
        <v>50</v>
      </c>
      <c r="D1631">
        <v>25</v>
      </c>
      <c r="E1631" t="s">
        <v>1621</v>
      </c>
    </row>
    <row r="1632" spans="1:5">
      <c r="A1632">
        <f>HYPERLINK("http://www.twitter.com/NYPDnews/status/771686723088707584", "771686723088707584")</f>
        <v>0</v>
      </c>
      <c r="B1632" s="2">
        <v>42615.5211342593</v>
      </c>
      <c r="C1632">
        <v>117</v>
      </c>
      <c r="D1632">
        <v>29</v>
      </c>
      <c r="E1632" t="s">
        <v>1622</v>
      </c>
    </row>
    <row r="1633" spans="1:5">
      <c r="A1633">
        <f>HYPERLINK("http://www.twitter.com/NYPDnews/status/771682867382484992", "771682867382484992")</f>
        <v>0</v>
      </c>
      <c r="B1633" s="2">
        <v>42615.5104976852</v>
      </c>
      <c r="C1633">
        <v>33</v>
      </c>
      <c r="D1633">
        <v>81</v>
      </c>
      <c r="E1633" t="s">
        <v>1623</v>
      </c>
    </row>
    <row r="1634" spans="1:5">
      <c r="A1634">
        <f>HYPERLINK("http://www.twitter.com/NYPDnews/status/771679173605818369", "771679173605818369")</f>
        <v>0</v>
      </c>
      <c r="B1634" s="2">
        <v>42615.5003009259</v>
      </c>
      <c r="C1634">
        <v>24</v>
      </c>
      <c r="D1634">
        <v>38</v>
      </c>
      <c r="E1634" t="s">
        <v>1624</v>
      </c>
    </row>
    <row r="1635" spans="1:5">
      <c r="A1635">
        <f>HYPERLINK("http://www.twitter.com/NYPDnews/status/771665622786641920", "771665622786641920")</f>
        <v>0</v>
      </c>
      <c r="B1635" s="2">
        <v>42615.4629050926</v>
      </c>
      <c r="C1635">
        <v>24</v>
      </c>
      <c r="D1635">
        <v>64</v>
      </c>
      <c r="E1635" t="s">
        <v>1625</v>
      </c>
    </row>
    <row r="1636" spans="1:5">
      <c r="A1636">
        <f>HYPERLINK("http://www.twitter.com/NYPDnews/status/771513063094779904", "771513063094779904")</f>
        <v>0</v>
      </c>
      <c r="B1636" s="2">
        <v>42615.0419212963</v>
      </c>
      <c r="C1636">
        <v>26</v>
      </c>
      <c r="D1636">
        <v>25</v>
      </c>
      <c r="E1636" t="s">
        <v>1626</v>
      </c>
    </row>
    <row r="1637" spans="1:5">
      <c r="A1637">
        <f>HYPERLINK("http://www.twitter.com/NYPDnews/status/771505478929092609", "771505478929092609")</f>
        <v>0</v>
      </c>
      <c r="B1637" s="2">
        <v>42615.0209953704</v>
      </c>
      <c r="C1637">
        <v>83</v>
      </c>
      <c r="D1637">
        <v>25</v>
      </c>
      <c r="E1637" t="s">
        <v>1627</v>
      </c>
    </row>
    <row r="1638" spans="1:5">
      <c r="A1638">
        <f>HYPERLINK("http://www.twitter.com/NYPDnews/status/771498005014994944", "771498005014994944")</f>
        <v>0</v>
      </c>
      <c r="B1638" s="2">
        <v>42615.0003703704</v>
      </c>
      <c r="C1638">
        <v>104</v>
      </c>
      <c r="D1638">
        <v>21</v>
      </c>
      <c r="E1638" t="s">
        <v>1628</v>
      </c>
    </row>
    <row r="1639" spans="1:5">
      <c r="A1639">
        <f>HYPERLINK("http://www.twitter.com/NYPDnews/status/771486613713088512", "771486613713088512")</f>
        <v>0</v>
      </c>
      <c r="B1639" s="2">
        <v>42614.9689351852</v>
      </c>
      <c r="C1639">
        <v>48</v>
      </c>
      <c r="D1639">
        <v>13</v>
      </c>
      <c r="E1639" t="s">
        <v>1629</v>
      </c>
    </row>
    <row r="1640" spans="1:5">
      <c r="A1640">
        <f>HYPERLINK("http://www.twitter.com/NYPDnews/status/771467783389450240", "771467783389450240")</f>
        <v>0</v>
      </c>
      <c r="B1640" s="2">
        <v>42614.9169791667</v>
      </c>
      <c r="C1640">
        <v>21</v>
      </c>
      <c r="D1640">
        <v>17</v>
      </c>
      <c r="E1640" t="s">
        <v>1630</v>
      </c>
    </row>
    <row r="1641" spans="1:5">
      <c r="A1641">
        <f>HYPERLINK("http://www.twitter.com/NYPDnews/status/771453859017482240", "771453859017482240")</f>
        <v>0</v>
      </c>
      <c r="B1641" s="2">
        <v>42614.8785532407</v>
      </c>
      <c r="C1641">
        <v>11</v>
      </c>
      <c r="D1641">
        <v>7</v>
      </c>
      <c r="E1641" t="s">
        <v>1631</v>
      </c>
    </row>
    <row r="1642" spans="1:5">
      <c r="A1642">
        <f>HYPERLINK("http://www.twitter.com/NYPDnews/status/771395323407265792", "771395323407265792")</f>
        <v>0</v>
      </c>
      <c r="B1642" s="2">
        <v>42614.717025463</v>
      </c>
      <c r="C1642">
        <v>16</v>
      </c>
      <c r="D1642">
        <v>14</v>
      </c>
      <c r="E1642" t="s">
        <v>1632</v>
      </c>
    </row>
    <row r="1643" spans="1:5">
      <c r="A1643">
        <f>HYPERLINK("http://www.twitter.com/NYPDnews/status/771325413373116416", "771325413373116416")</f>
        <v>0</v>
      </c>
      <c r="B1643" s="2">
        <v>42614.5241087963</v>
      </c>
      <c r="C1643">
        <v>0</v>
      </c>
      <c r="D1643">
        <v>192</v>
      </c>
      <c r="E1643" t="s">
        <v>1633</v>
      </c>
    </row>
    <row r="1644" spans="1:5">
      <c r="A1644">
        <f>HYPERLINK("http://www.twitter.com/NYPDnews/status/771324515607519232", "771324515607519232")</f>
        <v>0</v>
      </c>
      <c r="B1644" s="2">
        <v>42614.5216319444</v>
      </c>
      <c r="C1644">
        <v>66</v>
      </c>
      <c r="D1644">
        <v>17</v>
      </c>
      <c r="E1644" t="s">
        <v>1634</v>
      </c>
    </row>
    <row r="1645" spans="1:5">
      <c r="A1645">
        <f>HYPERLINK("http://www.twitter.com/NYPDnews/status/771320486487814144", "771320486487814144")</f>
        <v>0</v>
      </c>
      <c r="B1645" s="2">
        <v>42614.5105208333</v>
      </c>
      <c r="C1645">
        <v>22</v>
      </c>
      <c r="D1645">
        <v>53</v>
      </c>
      <c r="E1645" t="s">
        <v>1635</v>
      </c>
    </row>
    <row r="1646" spans="1:5">
      <c r="A1646">
        <f>HYPERLINK("http://www.twitter.com/NYPDnews/status/771315979238465536", "771315979238465536")</f>
        <v>0</v>
      </c>
      <c r="B1646" s="2">
        <v>42614.4980787037</v>
      </c>
      <c r="C1646">
        <v>7</v>
      </c>
      <c r="D1646">
        <v>20</v>
      </c>
      <c r="E1646" t="s">
        <v>1636</v>
      </c>
    </row>
    <row r="1647" spans="1:5">
      <c r="A1647">
        <f>HYPERLINK("http://www.twitter.com/NYPDnews/status/771160001813553152", "771160001813553152")</f>
        <v>0</v>
      </c>
      <c r="B1647" s="2">
        <v>42614.067662037</v>
      </c>
      <c r="C1647">
        <v>24</v>
      </c>
      <c r="D1647">
        <v>42</v>
      </c>
      <c r="E1647" t="s">
        <v>1637</v>
      </c>
    </row>
    <row r="1648" spans="1:5">
      <c r="A1648">
        <f>HYPERLINK("http://www.twitter.com/NYPDnews/status/771146873570721793", "771146873570721793")</f>
        <v>0</v>
      </c>
      <c r="B1648" s="2">
        <v>42614.0314351852</v>
      </c>
      <c r="C1648">
        <v>42</v>
      </c>
      <c r="D1648">
        <v>23</v>
      </c>
      <c r="E1648" t="s">
        <v>1638</v>
      </c>
    </row>
    <row r="1649" spans="1:5">
      <c r="A1649">
        <f>HYPERLINK("http://www.twitter.com/NYPDnews/status/771106605702254592", "771106605702254592")</f>
        <v>0</v>
      </c>
      <c r="B1649" s="2">
        <v>42613.9203125</v>
      </c>
      <c r="C1649">
        <v>53</v>
      </c>
      <c r="D1649">
        <v>20</v>
      </c>
      <c r="E1649" t="s">
        <v>1639</v>
      </c>
    </row>
    <row r="1650" spans="1:5">
      <c r="A1650">
        <f>HYPERLINK("http://www.twitter.com/NYPDnews/status/771090349582348288", "771090349582348288")</f>
        <v>0</v>
      </c>
      <c r="B1650" s="2">
        <v>42613.875462963</v>
      </c>
      <c r="C1650">
        <v>49</v>
      </c>
      <c r="D1650">
        <v>11</v>
      </c>
      <c r="E1650" t="s">
        <v>1640</v>
      </c>
    </row>
    <row r="1651" spans="1:5">
      <c r="A1651">
        <f>HYPERLINK("http://www.twitter.com/NYPDnews/status/771054190080786432", "771054190080786432")</f>
        <v>0</v>
      </c>
      <c r="B1651" s="2">
        <v>42613.7756828704</v>
      </c>
      <c r="C1651">
        <v>0</v>
      </c>
      <c r="D1651">
        <v>30</v>
      </c>
      <c r="E1651" t="s">
        <v>1641</v>
      </c>
    </row>
    <row r="1652" spans="1:5">
      <c r="A1652">
        <f>HYPERLINK("http://www.twitter.com/NYPDnews/status/771024138450403328", "771024138450403328")</f>
        <v>0</v>
      </c>
      <c r="B1652" s="2">
        <v>42613.6927546296</v>
      </c>
      <c r="C1652">
        <v>19</v>
      </c>
      <c r="D1652">
        <v>39</v>
      </c>
      <c r="E1652" t="s">
        <v>1642</v>
      </c>
    </row>
    <row r="1653" spans="1:5">
      <c r="A1653">
        <f>HYPERLINK("http://www.twitter.com/NYPDnews/status/771002133491638272", "771002133491638272")</f>
        <v>0</v>
      </c>
      <c r="B1653" s="2">
        <v>42613.632025463</v>
      </c>
      <c r="C1653">
        <v>7</v>
      </c>
      <c r="D1653">
        <v>4</v>
      </c>
      <c r="E1653" t="s">
        <v>1643</v>
      </c>
    </row>
    <row r="1654" spans="1:5">
      <c r="A1654">
        <f>HYPERLINK("http://www.twitter.com/NYPDnews/status/771001677667237888", "771001677667237888")</f>
        <v>0</v>
      </c>
      <c r="B1654" s="2">
        <v>42613.630775463</v>
      </c>
      <c r="C1654">
        <v>39</v>
      </c>
      <c r="D1654">
        <v>10</v>
      </c>
      <c r="E1654" t="s">
        <v>1644</v>
      </c>
    </row>
    <row r="1655" spans="1:5">
      <c r="A1655">
        <f>HYPERLINK("http://www.twitter.com/NYPDnews/status/771000357203877888", "771000357203877888")</f>
        <v>0</v>
      </c>
      <c r="B1655" s="2">
        <v>42613.6271296296</v>
      </c>
      <c r="C1655">
        <v>18</v>
      </c>
      <c r="D1655">
        <v>7</v>
      </c>
      <c r="E1655" t="s">
        <v>1645</v>
      </c>
    </row>
    <row r="1656" spans="1:5">
      <c r="A1656">
        <f>HYPERLINK("http://www.twitter.com/NYPDnews/status/770996722365497344", "770996722365497344")</f>
        <v>0</v>
      </c>
      <c r="B1656" s="2">
        <v>42613.6170949074</v>
      </c>
      <c r="C1656">
        <v>30</v>
      </c>
      <c r="D1656">
        <v>11</v>
      </c>
      <c r="E1656" t="s">
        <v>1646</v>
      </c>
    </row>
    <row r="1657" spans="1:5">
      <c r="A1657">
        <f>HYPERLINK("http://www.twitter.com/NYPDnews/status/770995954828865536", "770995954828865536")</f>
        <v>0</v>
      </c>
      <c r="B1657" s="2">
        <v>42613.6149768519</v>
      </c>
      <c r="C1657">
        <v>7</v>
      </c>
      <c r="D1657">
        <v>5</v>
      </c>
      <c r="E1657" t="s">
        <v>1647</v>
      </c>
    </row>
    <row r="1658" spans="1:5">
      <c r="A1658">
        <f>HYPERLINK("http://www.twitter.com/NYPDnews/status/770992601000542211", "770992601000542211")</f>
        <v>0</v>
      </c>
      <c r="B1658" s="2">
        <v>42613.6057291667</v>
      </c>
      <c r="C1658">
        <v>11</v>
      </c>
      <c r="D1658">
        <v>12</v>
      </c>
      <c r="E1658" t="s">
        <v>1648</v>
      </c>
    </row>
    <row r="1659" spans="1:5">
      <c r="A1659">
        <f>HYPERLINK("http://www.twitter.com/NYPDnews/status/770965289383133185", "770965289383133185")</f>
        <v>0</v>
      </c>
      <c r="B1659" s="2">
        <v>42613.5303587963</v>
      </c>
      <c r="C1659">
        <v>48</v>
      </c>
      <c r="D1659">
        <v>61</v>
      </c>
      <c r="E1659" t="s">
        <v>1649</v>
      </c>
    </row>
    <row r="1660" spans="1:5">
      <c r="A1660">
        <f>HYPERLINK("http://www.twitter.com/NYPDnews/status/770958086722953218", "770958086722953218")</f>
        <v>0</v>
      </c>
      <c r="B1660" s="2">
        <v>42613.5104861111</v>
      </c>
      <c r="C1660">
        <v>21</v>
      </c>
      <c r="D1660">
        <v>47</v>
      </c>
      <c r="E1660" t="s">
        <v>1650</v>
      </c>
    </row>
    <row r="1661" spans="1:5">
      <c r="A1661">
        <f>HYPERLINK("http://www.twitter.com/NYPDnews/status/770954434616627201", "770954434616627201")</f>
        <v>0</v>
      </c>
      <c r="B1661" s="2">
        <v>42613.5004050926</v>
      </c>
      <c r="C1661">
        <v>23</v>
      </c>
      <c r="D1661">
        <v>7</v>
      </c>
      <c r="E1661" t="s">
        <v>1651</v>
      </c>
    </row>
    <row r="1662" spans="1:5">
      <c r="A1662">
        <f>HYPERLINK("http://www.twitter.com/NYPDnews/status/770795960033087489", "770795960033087489")</f>
        <v>0</v>
      </c>
      <c r="B1662" s="2">
        <v>42613.0631018519</v>
      </c>
      <c r="C1662">
        <v>23</v>
      </c>
      <c r="D1662">
        <v>10</v>
      </c>
      <c r="E1662" t="s">
        <v>1652</v>
      </c>
    </row>
    <row r="1663" spans="1:5">
      <c r="A1663">
        <f>HYPERLINK("http://www.twitter.com/NYPDnews/status/770780759640596484", "770780759640596484")</f>
        <v>0</v>
      </c>
      <c r="B1663" s="2">
        <v>42613.0211574074</v>
      </c>
      <c r="C1663">
        <v>0</v>
      </c>
      <c r="D1663">
        <v>10</v>
      </c>
      <c r="E1663" t="s">
        <v>1653</v>
      </c>
    </row>
    <row r="1664" spans="1:5">
      <c r="A1664">
        <f>HYPERLINK("http://www.twitter.com/NYPDnews/status/770687811964067841", "770687811964067841")</f>
        <v>0</v>
      </c>
      <c r="B1664" s="2">
        <v>42612.7646643519</v>
      </c>
      <c r="C1664">
        <v>0</v>
      </c>
      <c r="D1664">
        <v>8</v>
      </c>
      <c r="E1664" t="s">
        <v>1654</v>
      </c>
    </row>
    <row r="1665" spans="1:5">
      <c r="A1665">
        <f>HYPERLINK("http://www.twitter.com/NYPDnews/status/770661164946690048", "770661164946690048")</f>
        <v>0</v>
      </c>
      <c r="B1665" s="2">
        <v>42612.6911342593</v>
      </c>
      <c r="C1665">
        <v>11</v>
      </c>
      <c r="D1665">
        <v>8</v>
      </c>
      <c r="E1665" t="s">
        <v>1655</v>
      </c>
    </row>
    <row r="1666" spans="1:5">
      <c r="A1666">
        <f>HYPERLINK("http://www.twitter.com/NYPDnews/status/770640545244975105", "770640545244975105")</f>
        <v>0</v>
      </c>
      <c r="B1666" s="2">
        <v>42612.6342361111</v>
      </c>
      <c r="C1666">
        <v>25</v>
      </c>
      <c r="D1666">
        <v>13</v>
      </c>
      <c r="E1666" t="s">
        <v>1656</v>
      </c>
    </row>
    <row r="1667" spans="1:5">
      <c r="A1667">
        <f>HYPERLINK("http://www.twitter.com/NYPDnews/status/770621382506012673", "770621382506012673")</f>
        <v>0</v>
      </c>
      <c r="B1667" s="2">
        <v>42612.5813541667</v>
      </c>
      <c r="C1667">
        <v>98</v>
      </c>
      <c r="D1667">
        <v>19</v>
      </c>
      <c r="E1667" t="s">
        <v>1657</v>
      </c>
    </row>
    <row r="1668" spans="1:5">
      <c r="A1668">
        <f>HYPERLINK("http://www.twitter.com/NYPDnews/status/770603293294952448", "770603293294952448")</f>
        <v>0</v>
      </c>
      <c r="B1668" s="2">
        <v>42612.5314351852</v>
      </c>
      <c r="C1668">
        <v>54</v>
      </c>
      <c r="D1668">
        <v>17</v>
      </c>
      <c r="E1668" t="s">
        <v>1658</v>
      </c>
    </row>
    <row r="1669" spans="1:5">
      <c r="A1669">
        <f>HYPERLINK("http://www.twitter.com/NYPDnews/status/770599541045428224", "770599541045428224")</f>
        <v>0</v>
      </c>
      <c r="B1669" s="2">
        <v>42612.521087963</v>
      </c>
      <c r="C1669">
        <v>29</v>
      </c>
      <c r="D1669">
        <v>13</v>
      </c>
      <c r="E1669" t="s">
        <v>1659</v>
      </c>
    </row>
    <row r="1670" spans="1:5">
      <c r="A1670">
        <f>HYPERLINK("http://www.twitter.com/NYPDnews/status/770595736593588226", "770595736593588226")</f>
        <v>0</v>
      </c>
      <c r="B1670" s="2">
        <v>42612.5105902778</v>
      </c>
      <c r="C1670">
        <v>20</v>
      </c>
      <c r="D1670">
        <v>6</v>
      </c>
      <c r="E1670" t="s">
        <v>1660</v>
      </c>
    </row>
    <row r="1671" spans="1:5">
      <c r="A1671">
        <f>HYPERLINK("http://www.twitter.com/NYPDnews/status/770592075029053441", "770592075029053441")</f>
        <v>0</v>
      </c>
      <c r="B1671" s="2">
        <v>42612.5004861111</v>
      </c>
      <c r="C1671">
        <v>18</v>
      </c>
      <c r="D1671">
        <v>47</v>
      </c>
      <c r="E1671" t="s">
        <v>1661</v>
      </c>
    </row>
    <row r="1672" spans="1:5">
      <c r="A1672">
        <f>HYPERLINK("http://www.twitter.com/NYPDnews/status/770415772736819204", "770415772736819204")</f>
        <v>0</v>
      </c>
      <c r="B1672" s="2">
        <v>42612.0139814815</v>
      </c>
      <c r="C1672">
        <v>37</v>
      </c>
      <c r="D1672">
        <v>11</v>
      </c>
      <c r="E1672" t="s">
        <v>1662</v>
      </c>
    </row>
    <row r="1673" spans="1:5">
      <c r="A1673">
        <f>HYPERLINK("http://www.twitter.com/NYPDnews/status/770401955961270272", "770401955961270272")</f>
        <v>0</v>
      </c>
      <c r="B1673" s="2">
        <v>42611.9758564815</v>
      </c>
      <c r="C1673">
        <v>13</v>
      </c>
      <c r="D1673">
        <v>11</v>
      </c>
      <c r="E1673" t="s">
        <v>1663</v>
      </c>
    </row>
    <row r="1674" spans="1:5">
      <c r="A1674">
        <f>HYPERLINK("http://www.twitter.com/NYPDnews/status/770384382888644612", "770384382888644612")</f>
        <v>0</v>
      </c>
      <c r="B1674" s="2">
        <v>42611.9273611111</v>
      </c>
      <c r="C1674">
        <v>210</v>
      </c>
      <c r="D1674">
        <v>70</v>
      </c>
      <c r="E1674" t="s">
        <v>1664</v>
      </c>
    </row>
    <row r="1675" spans="1:5">
      <c r="A1675">
        <f>HYPERLINK("http://www.twitter.com/NYPDnews/status/770370509062234112", "770370509062234112")</f>
        <v>0</v>
      </c>
      <c r="B1675" s="2">
        <v>42611.8890740741</v>
      </c>
      <c r="C1675">
        <v>11</v>
      </c>
      <c r="D1675">
        <v>31</v>
      </c>
      <c r="E1675" t="s">
        <v>1665</v>
      </c>
    </row>
    <row r="1676" spans="1:5">
      <c r="A1676">
        <f>HYPERLINK("http://www.twitter.com/NYPDnews/status/770316445720936448", "770316445720936448")</f>
        <v>0</v>
      </c>
      <c r="B1676" s="2">
        <v>42611.7398958333</v>
      </c>
      <c r="C1676">
        <v>35</v>
      </c>
      <c r="D1676">
        <v>6</v>
      </c>
      <c r="E1676" t="s">
        <v>1666</v>
      </c>
    </row>
    <row r="1677" spans="1:5">
      <c r="A1677">
        <f>HYPERLINK("http://www.twitter.com/NYPDnews/status/770304531427196928", "770304531427196928")</f>
        <v>0</v>
      </c>
      <c r="B1677" s="2">
        <v>42611.7070138889</v>
      </c>
      <c r="C1677">
        <v>0</v>
      </c>
      <c r="D1677">
        <v>10</v>
      </c>
      <c r="E1677" t="s">
        <v>1667</v>
      </c>
    </row>
    <row r="1678" spans="1:5">
      <c r="A1678">
        <f>HYPERLINK("http://www.twitter.com/NYPDnews/status/770295054544044032", "770295054544044032")</f>
        <v>0</v>
      </c>
      <c r="B1678" s="2">
        <v>42611.6808680556</v>
      </c>
      <c r="C1678">
        <v>40</v>
      </c>
      <c r="D1678">
        <v>23</v>
      </c>
      <c r="E1678" t="s">
        <v>1668</v>
      </c>
    </row>
    <row r="1679" spans="1:5">
      <c r="A1679">
        <f>HYPERLINK("http://www.twitter.com/NYPDnews/status/770265607749136384", "770265607749136384")</f>
        <v>0</v>
      </c>
      <c r="B1679" s="2">
        <v>42611.5996064815</v>
      </c>
      <c r="C1679">
        <v>195</v>
      </c>
      <c r="D1679">
        <v>49</v>
      </c>
      <c r="E1679" t="s">
        <v>1669</v>
      </c>
    </row>
    <row r="1680" spans="1:5">
      <c r="A1680">
        <f>HYPERLINK("http://www.twitter.com/NYPDnews/status/770240886659776512", "770240886659776512")</f>
        <v>0</v>
      </c>
      <c r="B1680" s="2">
        <v>42611.5313888889</v>
      </c>
      <c r="C1680">
        <v>35</v>
      </c>
      <c r="D1680">
        <v>18</v>
      </c>
      <c r="E1680" t="s">
        <v>1670</v>
      </c>
    </row>
    <row r="1681" spans="1:5">
      <c r="A1681">
        <f>HYPERLINK("http://www.twitter.com/NYPDnews/status/770237149904048128", "770237149904048128")</f>
        <v>0</v>
      </c>
      <c r="B1681" s="2">
        <v>42611.5210763889</v>
      </c>
      <c r="C1681">
        <v>24</v>
      </c>
      <c r="D1681">
        <v>47</v>
      </c>
      <c r="E1681" t="s">
        <v>1671</v>
      </c>
    </row>
    <row r="1682" spans="1:5">
      <c r="A1682">
        <f>HYPERLINK("http://www.twitter.com/NYPDnews/status/770233334584766464", "770233334584766464")</f>
        <v>0</v>
      </c>
      <c r="B1682" s="2">
        <v>42611.5105439815</v>
      </c>
      <c r="C1682">
        <v>25</v>
      </c>
      <c r="D1682">
        <v>10</v>
      </c>
      <c r="E1682" t="s">
        <v>1672</v>
      </c>
    </row>
    <row r="1683" spans="1:5">
      <c r="A1683">
        <f>HYPERLINK("http://www.twitter.com/NYPDnews/status/770229610470662144", "770229610470662144")</f>
        <v>0</v>
      </c>
      <c r="B1683" s="2">
        <v>42611.5002662037</v>
      </c>
      <c r="C1683">
        <v>51</v>
      </c>
      <c r="D1683">
        <v>14</v>
      </c>
      <c r="E1683" t="s">
        <v>1673</v>
      </c>
    </row>
    <row r="1684" spans="1:5">
      <c r="A1684">
        <f>HYPERLINK("http://www.twitter.com/NYPDnews/status/770069310337327106", "770069310337327106")</f>
        <v>0</v>
      </c>
      <c r="B1684" s="2">
        <v>42611.0579282407</v>
      </c>
      <c r="C1684">
        <v>19</v>
      </c>
      <c r="D1684">
        <v>28</v>
      </c>
      <c r="E1684" t="s">
        <v>1674</v>
      </c>
    </row>
    <row r="1685" spans="1:5">
      <c r="A1685">
        <f>HYPERLINK("http://www.twitter.com/NYPDnews/status/769996665508007936", "769996665508007936")</f>
        <v>0</v>
      </c>
      <c r="B1685" s="2">
        <v>42610.8574652778</v>
      </c>
      <c r="C1685">
        <v>129</v>
      </c>
      <c r="D1685">
        <v>81</v>
      </c>
      <c r="E1685" t="s">
        <v>1675</v>
      </c>
    </row>
    <row r="1686" spans="1:5">
      <c r="A1686">
        <f>HYPERLINK("http://www.twitter.com/NYPDnews/status/769959039170187266", "769959039170187266")</f>
        <v>0</v>
      </c>
      <c r="B1686" s="2">
        <v>42610.7536342593</v>
      </c>
      <c r="C1686">
        <v>47</v>
      </c>
      <c r="D1686">
        <v>16</v>
      </c>
      <c r="E1686" t="s">
        <v>1676</v>
      </c>
    </row>
    <row r="1687" spans="1:5">
      <c r="A1687">
        <f>HYPERLINK("http://www.twitter.com/NYPDnews/status/769930090696339456", "769930090696339456")</f>
        <v>0</v>
      </c>
      <c r="B1687" s="2">
        <v>42610.67375</v>
      </c>
      <c r="C1687">
        <v>62</v>
      </c>
      <c r="D1687">
        <v>17</v>
      </c>
      <c r="E1687" t="s">
        <v>1677</v>
      </c>
    </row>
    <row r="1688" spans="1:5">
      <c r="A1688">
        <f>HYPERLINK("http://www.twitter.com/NYPDnews/status/769917518718898176", "769917518718898176")</f>
        <v>0</v>
      </c>
      <c r="B1688" s="2">
        <v>42610.6390625</v>
      </c>
      <c r="C1688">
        <v>0</v>
      </c>
      <c r="D1688">
        <v>50</v>
      </c>
      <c r="E1688" t="s">
        <v>1678</v>
      </c>
    </row>
    <row r="1689" spans="1:5">
      <c r="A1689">
        <f>HYPERLINK("http://www.twitter.com/NYPDnews/status/769882307922632706", "769882307922632706")</f>
        <v>0</v>
      </c>
      <c r="B1689" s="2">
        <v>42610.5418981481</v>
      </c>
      <c r="C1689">
        <v>40</v>
      </c>
      <c r="D1689">
        <v>132</v>
      </c>
      <c r="E1689" t="s">
        <v>1679</v>
      </c>
    </row>
    <row r="1690" spans="1:5">
      <c r="A1690">
        <f>HYPERLINK("http://www.twitter.com/NYPDnews/status/769869438950727680", "769869438950727680")</f>
        <v>0</v>
      </c>
      <c r="B1690" s="2">
        <v>42610.5063888889</v>
      </c>
      <c r="C1690">
        <v>8</v>
      </c>
      <c r="D1690">
        <v>8</v>
      </c>
      <c r="E1690" t="s">
        <v>1680</v>
      </c>
    </row>
    <row r="1691" spans="1:5">
      <c r="A1691">
        <f>HYPERLINK("http://www.twitter.com/NYPDnews/status/769693519741083648", "769693519741083648")</f>
        <v>0</v>
      </c>
      <c r="B1691" s="2">
        <v>42610.0209375</v>
      </c>
      <c r="C1691">
        <v>40</v>
      </c>
      <c r="D1691">
        <v>12</v>
      </c>
      <c r="E1691" t="s">
        <v>1681</v>
      </c>
    </row>
    <row r="1692" spans="1:5">
      <c r="A1692">
        <f>HYPERLINK("http://www.twitter.com/NYPDnews/status/769681071386595328", "769681071386595328")</f>
        <v>0</v>
      </c>
      <c r="B1692" s="2">
        <v>42609.9865972222</v>
      </c>
      <c r="C1692">
        <v>157</v>
      </c>
      <c r="D1692">
        <v>70</v>
      </c>
      <c r="E1692" t="s">
        <v>1682</v>
      </c>
    </row>
    <row r="1693" spans="1:5">
      <c r="A1693">
        <f>HYPERLINK("http://www.twitter.com/NYPDnews/status/769670986862034944", "769670986862034944")</f>
        <v>0</v>
      </c>
      <c r="B1693" s="2">
        <v>42609.9587615741</v>
      </c>
      <c r="C1693">
        <v>26</v>
      </c>
      <c r="D1693">
        <v>7</v>
      </c>
      <c r="E1693" t="s">
        <v>1683</v>
      </c>
    </row>
    <row r="1694" spans="1:5">
      <c r="A1694">
        <f>HYPERLINK("http://www.twitter.com/NYPDnews/status/769638938298445825", "769638938298445825")</f>
        <v>0</v>
      </c>
      <c r="B1694" s="2">
        <v>42609.8703240741</v>
      </c>
      <c r="C1694">
        <v>0</v>
      </c>
      <c r="D1694">
        <v>10</v>
      </c>
      <c r="E1694" t="s">
        <v>1684</v>
      </c>
    </row>
    <row r="1695" spans="1:5">
      <c r="A1695">
        <f>HYPERLINK("http://www.twitter.com/NYPDnews/status/769610620568211456", "769610620568211456")</f>
        <v>0</v>
      </c>
      <c r="B1695" s="2">
        <v>42609.7921875</v>
      </c>
      <c r="C1695">
        <v>14</v>
      </c>
      <c r="D1695">
        <v>30</v>
      </c>
      <c r="E1695" t="s">
        <v>1685</v>
      </c>
    </row>
    <row r="1696" spans="1:5">
      <c r="A1696">
        <f>HYPERLINK("http://www.twitter.com/NYPDnews/status/769582809870700544", "769582809870700544")</f>
        <v>0</v>
      </c>
      <c r="B1696" s="2">
        <v>42609.7154398148</v>
      </c>
      <c r="C1696">
        <v>22</v>
      </c>
      <c r="D1696">
        <v>19</v>
      </c>
      <c r="E1696" t="s">
        <v>1686</v>
      </c>
    </row>
    <row r="1697" spans="1:5">
      <c r="A1697">
        <f>HYPERLINK("http://www.twitter.com/NYPDnews/status/769566446510809088", "769566446510809088")</f>
        <v>0</v>
      </c>
      <c r="B1697" s="2">
        <v>42609.6702893519</v>
      </c>
      <c r="C1697">
        <v>60</v>
      </c>
      <c r="D1697">
        <v>22</v>
      </c>
      <c r="E1697" t="s">
        <v>1687</v>
      </c>
    </row>
    <row r="1698" spans="1:5">
      <c r="A1698">
        <f>HYPERLINK("http://www.twitter.com/NYPDnews/status/769523734302560256", "769523734302560256")</f>
        <v>0</v>
      </c>
      <c r="B1698" s="2">
        <v>42609.5524189815</v>
      </c>
      <c r="C1698">
        <v>25</v>
      </c>
      <c r="D1698">
        <v>25</v>
      </c>
      <c r="E1698" t="s">
        <v>1688</v>
      </c>
    </row>
    <row r="1699" spans="1:5">
      <c r="A1699">
        <f>HYPERLINK("http://www.twitter.com/NYPDnews/status/769513570522497024", "769513570522497024")</f>
        <v>0</v>
      </c>
      <c r="B1699" s="2">
        <v>42609.524375</v>
      </c>
      <c r="C1699">
        <v>91</v>
      </c>
      <c r="D1699">
        <v>22</v>
      </c>
      <c r="E1699" t="s">
        <v>1689</v>
      </c>
    </row>
    <row r="1700" spans="1:5">
      <c r="A1700">
        <f>HYPERLINK("http://www.twitter.com/NYPDnews/status/769504819409199104", "769504819409199104")</f>
        <v>0</v>
      </c>
      <c r="B1700" s="2">
        <v>42609.5002314815</v>
      </c>
      <c r="C1700">
        <v>35</v>
      </c>
      <c r="D1700">
        <v>25</v>
      </c>
      <c r="E1700" t="s">
        <v>1690</v>
      </c>
    </row>
    <row r="1701" spans="1:5">
      <c r="A1701">
        <f>HYPERLINK("http://www.twitter.com/NYPDnews/status/769363923413901312", "769363923413901312")</f>
        <v>0</v>
      </c>
      <c r="B1701" s="2">
        <v>42609.1114351852</v>
      </c>
      <c r="C1701">
        <v>110</v>
      </c>
      <c r="D1701">
        <v>35</v>
      </c>
      <c r="E1701" t="s">
        <v>1691</v>
      </c>
    </row>
    <row r="1702" spans="1:5">
      <c r="A1702">
        <f>HYPERLINK("http://www.twitter.com/NYPDnews/status/769348951879188480", "769348951879188480")</f>
        <v>0</v>
      </c>
      <c r="B1702" s="2">
        <v>42609.0701157407</v>
      </c>
      <c r="C1702">
        <v>52</v>
      </c>
      <c r="D1702">
        <v>15</v>
      </c>
      <c r="E1702" t="s">
        <v>1692</v>
      </c>
    </row>
    <row r="1703" spans="1:5">
      <c r="A1703">
        <f>HYPERLINK("http://www.twitter.com/NYPDnews/status/769308647063166977", "769308647063166977")</f>
        <v>0</v>
      </c>
      <c r="B1703" s="2">
        <v>42608.958900463</v>
      </c>
      <c r="C1703">
        <v>212</v>
      </c>
      <c r="D1703">
        <v>143</v>
      </c>
      <c r="E1703" t="s">
        <v>1693</v>
      </c>
    </row>
    <row r="1704" spans="1:5">
      <c r="A1704">
        <f>HYPERLINK("http://www.twitter.com/NYPDnews/status/769278574419410944", "769278574419410944")</f>
        <v>0</v>
      </c>
      <c r="B1704" s="2">
        <v>42608.8759143519</v>
      </c>
      <c r="C1704">
        <v>8</v>
      </c>
      <c r="D1704">
        <v>35</v>
      </c>
      <c r="E1704" t="s">
        <v>1694</v>
      </c>
    </row>
    <row r="1705" spans="1:5">
      <c r="A1705">
        <f>HYPERLINK("http://www.twitter.com/NYPDnews/status/769236842034171904", "769236842034171904")</f>
        <v>0</v>
      </c>
      <c r="B1705" s="2">
        <v>42608.7607523148</v>
      </c>
      <c r="C1705">
        <v>26</v>
      </c>
      <c r="D1705">
        <v>22</v>
      </c>
      <c r="E1705" t="s">
        <v>1695</v>
      </c>
    </row>
    <row r="1706" spans="1:5">
      <c r="A1706">
        <f>HYPERLINK("http://www.twitter.com/NYPDnews/status/769221740736221184", "769221740736221184")</f>
        <v>0</v>
      </c>
      <c r="B1706" s="2">
        <v>42608.7190856481</v>
      </c>
      <c r="C1706">
        <v>19</v>
      </c>
      <c r="D1706">
        <v>14</v>
      </c>
      <c r="E1706" t="s">
        <v>1696</v>
      </c>
    </row>
    <row r="1707" spans="1:5">
      <c r="A1707">
        <f>HYPERLINK("http://www.twitter.com/NYPDnews/status/769214247406567424", "769214247406567424")</f>
        <v>0</v>
      </c>
      <c r="B1707" s="2">
        <v>42608.6984027778</v>
      </c>
      <c r="C1707">
        <v>65</v>
      </c>
      <c r="D1707">
        <v>17</v>
      </c>
      <c r="E1707" t="s">
        <v>1697</v>
      </c>
    </row>
    <row r="1708" spans="1:5">
      <c r="A1708">
        <f>HYPERLINK("http://www.twitter.com/NYPDnews/status/769203031187521536", "769203031187521536")</f>
        <v>0</v>
      </c>
      <c r="B1708" s="2">
        <v>42608.6674537037</v>
      </c>
      <c r="C1708">
        <v>4</v>
      </c>
      <c r="D1708">
        <v>6</v>
      </c>
      <c r="E1708" t="s">
        <v>1698</v>
      </c>
    </row>
    <row r="1709" spans="1:5">
      <c r="A1709">
        <f>HYPERLINK("http://www.twitter.com/NYPDnews/status/769178882109038592", "769178882109038592")</f>
        <v>0</v>
      </c>
      <c r="B1709" s="2">
        <v>42608.6008101852</v>
      </c>
      <c r="C1709">
        <v>197</v>
      </c>
      <c r="D1709">
        <v>90</v>
      </c>
      <c r="E1709" t="s">
        <v>1699</v>
      </c>
    </row>
    <row r="1710" spans="1:5">
      <c r="A1710">
        <f>HYPERLINK("http://www.twitter.com/NYPDnews/status/769153717333594112", "769153717333594112")</f>
        <v>0</v>
      </c>
      <c r="B1710" s="2">
        <v>42608.5313773148</v>
      </c>
      <c r="C1710">
        <v>144</v>
      </c>
      <c r="D1710">
        <v>131</v>
      </c>
      <c r="E1710" t="s">
        <v>1700</v>
      </c>
    </row>
    <row r="1711" spans="1:5">
      <c r="A1711">
        <f>HYPERLINK("http://www.twitter.com/NYPDnews/status/769150126212390912", "769150126212390912")</f>
        <v>0</v>
      </c>
      <c r="B1711" s="2">
        <v>42608.5214583333</v>
      </c>
      <c r="C1711">
        <v>99</v>
      </c>
      <c r="D1711">
        <v>23</v>
      </c>
      <c r="E1711" t="s">
        <v>1701</v>
      </c>
    </row>
    <row r="1712" spans="1:5">
      <c r="A1712">
        <f>HYPERLINK("http://www.twitter.com/NYPDnews/status/769146273270226945", "769146273270226945")</f>
        <v>0</v>
      </c>
      <c r="B1712" s="2">
        <v>42608.5108333333</v>
      </c>
      <c r="C1712">
        <v>46</v>
      </c>
      <c r="D1712">
        <v>15</v>
      </c>
      <c r="E1712" t="s">
        <v>1702</v>
      </c>
    </row>
    <row r="1713" spans="1:5">
      <c r="A1713">
        <f>HYPERLINK("http://www.twitter.com/NYPDnews/status/769142752110120962", "769142752110120962")</f>
        <v>0</v>
      </c>
      <c r="B1713" s="2">
        <v>42608.5011111111</v>
      </c>
      <c r="C1713">
        <v>20</v>
      </c>
      <c r="D1713">
        <v>46</v>
      </c>
      <c r="E1713" t="s">
        <v>1703</v>
      </c>
    </row>
    <row r="1714" spans="1:5">
      <c r="A1714">
        <f>HYPERLINK("http://www.twitter.com/NYPDnews/status/768977535292014593", "768977535292014593")</f>
        <v>0</v>
      </c>
      <c r="B1714" s="2">
        <v>42608.0451967593</v>
      </c>
      <c r="C1714">
        <v>31</v>
      </c>
      <c r="D1714">
        <v>22</v>
      </c>
      <c r="E1714" t="s">
        <v>1704</v>
      </c>
    </row>
    <row r="1715" spans="1:5">
      <c r="A1715">
        <f>HYPERLINK("http://www.twitter.com/NYPDnews/status/768965025667096576", "768965025667096576")</f>
        <v>0</v>
      </c>
      <c r="B1715" s="2">
        <v>42608.0106828704</v>
      </c>
      <c r="C1715">
        <v>24</v>
      </c>
      <c r="D1715">
        <v>21</v>
      </c>
      <c r="E1715" t="s">
        <v>1705</v>
      </c>
    </row>
    <row r="1716" spans="1:5">
      <c r="A1716">
        <f>HYPERLINK("http://www.twitter.com/NYPDnews/status/768959011844681728", "768959011844681728")</f>
        <v>0</v>
      </c>
      <c r="B1716" s="2">
        <v>42607.9940856481</v>
      </c>
      <c r="C1716">
        <v>14</v>
      </c>
      <c r="D1716">
        <v>38</v>
      </c>
      <c r="E1716" t="s">
        <v>1706</v>
      </c>
    </row>
    <row r="1717" spans="1:5">
      <c r="A1717">
        <f>HYPERLINK("http://www.twitter.com/NYPDnews/status/768942328409194501", "768942328409194501")</f>
        <v>0</v>
      </c>
      <c r="B1717" s="2">
        <v>42607.9480555556</v>
      </c>
      <c r="C1717">
        <v>11</v>
      </c>
      <c r="D1717">
        <v>27</v>
      </c>
      <c r="E1717" t="s">
        <v>1707</v>
      </c>
    </row>
    <row r="1718" spans="1:5">
      <c r="A1718">
        <f>HYPERLINK("http://www.twitter.com/NYPDnews/status/768909584153112576", "768909584153112576")</f>
        <v>0</v>
      </c>
      <c r="B1718" s="2">
        <v>42607.8576967593</v>
      </c>
      <c r="C1718">
        <v>0</v>
      </c>
      <c r="D1718">
        <v>13</v>
      </c>
      <c r="E1718" t="s">
        <v>1708</v>
      </c>
    </row>
    <row r="1719" spans="1:5">
      <c r="A1719">
        <f>HYPERLINK("http://www.twitter.com/NYPDnews/status/768846709057290246", "768846709057290246")</f>
        <v>0</v>
      </c>
      <c r="B1719" s="2">
        <v>42607.6841898148</v>
      </c>
      <c r="C1719">
        <v>30</v>
      </c>
      <c r="D1719">
        <v>10</v>
      </c>
      <c r="E1719" t="s">
        <v>1709</v>
      </c>
    </row>
    <row r="1720" spans="1:5">
      <c r="A1720">
        <f>HYPERLINK("http://www.twitter.com/NYPDnews/status/768791407658147841", "768791407658147841")</f>
        <v>0</v>
      </c>
      <c r="B1720" s="2">
        <v>42607.5315856481</v>
      </c>
      <c r="C1720">
        <v>18</v>
      </c>
      <c r="D1720">
        <v>11</v>
      </c>
      <c r="E1720" t="s">
        <v>1710</v>
      </c>
    </row>
    <row r="1721" spans="1:5">
      <c r="A1721">
        <f>HYPERLINK("http://www.twitter.com/NYPDnews/status/768787571568680961", "768787571568680961")</f>
        <v>0</v>
      </c>
      <c r="B1721" s="2">
        <v>42607.5210069444</v>
      </c>
      <c r="C1721">
        <v>1</v>
      </c>
      <c r="D1721">
        <v>20</v>
      </c>
      <c r="E1721" t="s">
        <v>1711</v>
      </c>
    </row>
    <row r="1722" spans="1:5">
      <c r="A1722">
        <f>HYPERLINK("http://www.twitter.com/NYPDnews/status/768783774654033920", "768783774654033920")</f>
        <v>0</v>
      </c>
      <c r="B1722" s="2">
        <v>42607.5105208333</v>
      </c>
      <c r="C1722">
        <v>57</v>
      </c>
      <c r="D1722">
        <v>15</v>
      </c>
      <c r="E1722" t="s">
        <v>1712</v>
      </c>
    </row>
    <row r="1723" spans="1:5">
      <c r="A1723">
        <f>HYPERLINK("http://www.twitter.com/NYPDnews/status/768780442669580288", "768780442669580288")</f>
        <v>0</v>
      </c>
      <c r="B1723" s="2">
        <v>42607.5013310185</v>
      </c>
      <c r="C1723">
        <v>23</v>
      </c>
      <c r="D1723">
        <v>45</v>
      </c>
      <c r="E1723" t="s">
        <v>1713</v>
      </c>
    </row>
    <row r="1724" spans="1:5">
      <c r="A1724">
        <f>HYPERLINK("http://www.twitter.com/NYPDnews/status/768751055626797056", "768751055626797056")</f>
        <v>0</v>
      </c>
      <c r="B1724" s="2">
        <v>42607.4202430556</v>
      </c>
      <c r="C1724">
        <v>15</v>
      </c>
      <c r="D1724">
        <v>46</v>
      </c>
      <c r="E1724" t="s">
        <v>1714</v>
      </c>
    </row>
    <row r="1725" spans="1:5">
      <c r="A1725">
        <f>HYPERLINK("http://www.twitter.com/NYPDnews/status/768621460235624449", "768621460235624449")</f>
        <v>0</v>
      </c>
      <c r="B1725" s="2">
        <v>42607.0626273148</v>
      </c>
      <c r="C1725">
        <v>48</v>
      </c>
      <c r="D1725">
        <v>29</v>
      </c>
      <c r="E1725" t="s">
        <v>1715</v>
      </c>
    </row>
    <row r="1726" spans="1:5">
      <c r="A1726">
        <f>HYPERLINK("http://www.twitter.com/NYPDnews/status/768605107684507648", "768605107684507648")</f>
        <v>0</v>
      </c>
      <c r="B1726" s="2">
        <v>42607.0175</v>
      </c>
      <c r="C1726">
        <v>34</v>
      </c>
      <c r="D1726">
        <v>45</v>
      </c>
      <c r="E1726" t="s">
        <v>1695</v>
      </c>
    </row>
    <row r="1727" spans="1:5">
      <c r="A1727">
        <f>HYPERLINK("http://www.twitter.com/NYPDnews/status/768592530397093888", "768592530397093888")</f>
        <v>0</v>
      </c>
      <c r="B1727" s="2">
        <v>42606.9827893519</v>
      </c>
      <c r="C1727">
        <v>95</v>
      </c>
      <c r="D1727">
        <v>42</v>
      </c>
      <c r="E1727" t="s">
        <v>1716</v>
      </c>
    </row>
    <row r="1728" spans="1:5">
      <c r="A1728">
        <f>HYPERLINK("http://www.twitter.com/NYPDnews/status/768572429375565824", "768572429375565824")</f>
        <v>0</v>
      </c>
      <c r="B1728" s="2">
        <v>42606.9273263889</v>
      </c>
      <c r="C1728">
        <v>19</v>
      </c>
      <c r="D1728">
        <v>18</v>
      </c>
      <c r="E1728" t="s">
        <v>1717</v>
      </c>
    </row>
    <row r="1729" spans="1:5">
      <c r="A1729">
        <f>HYPERLINK("http://www.twitter.com/NYPDnews/status/768554802976555009", "768554802976555009")</f>
        <v>0</v>
      </c>
      <c r="B1729" s="2">
        <v>42606.8786805556</v>
      </c>
      <c r="C1729">
        <v>25</v>
      </c>
      <c r="D1729">
        <v>14</v>
      </c>
      <c r="E1729" t="s">
        <v>1718</v>
      </c>
    </row>
    <row r="1730" spans="1:5">
      <c r="A1730">
        <f>HYPERLINK("http://www.twitter.com/NYPDnews/status/768513847380611072", "768513847380611072")</f>
        <v>0</v>
      </c>
      <c r="B1730" s="2">
        <v>42606.7656712963</v>
      </c>
      <c r="C1730">
        <v>0</v>
      </c>
      <c r="D1730">
        <v>19</v>
      </c>
      <c r="E1730" t="s">
        <v>1719</v>
      </c>
    </row>
    <row r="1731" spans="1:5">
      <c r="A1731">
        <f>HYPERLINK("http://www.twitter.com/NYPDnews/status/768483112607215616", "768483112607215616")</f>
        <v>0</v>
      </c>
      <c r="B1731" s="2">
        <v>42606.6808564815</v>
      </c>
      <c r="C1731">
        <v>100</v>
      </c>
      <c r="D1731">
        <v>44</v>
      </c>
      <c r="E1731" t="s">
        <v>1720</v>
      </c>
    </row>
    <row r="1732" spans="1:5">
      <c r="A1732">
        <f>HYPERLINK("http://www.twitter.com/NYPDnews/status/768453001027526656", "768453001027526656")</f>
        <v>0</v>
      </c>
      <c r="B1732" s="2">
        <v>42606.5977662037</v>
      </c>
      <c r="C1732">
        <v>34</v>
      </c>
      <c r="D1732">
        <v>14</v>
      </c>
      <c r="E1732" t="s">
        <v>1721</v>
      </c>
    </row>
    <row r="1733" spans="1:5">
      <c r="A1733">
        <f>HYPERLINK("http://www.twitter.com/NYPDnews/status/768444388779384832", "768444388779384832")</f>
        <v>0</v>
      </c>
      <c r="B1733" s="2">
        <v>42606.5739930556</v>
      </c>
      <c r="C1733">
        <v>0</v>
      </c>
      <c r="D1733">
        <v>46</v>
      </c>
      <c r="E1733" t="s">
        <v>1722</v>
      </c>
    </row>
    <row r="1734" spans="1:5">
      <c r="A1734">
        <f>HYPERLINK("http://www.twitter.com/NYPDnews/status/768428958731862016", "768428958731862016")</f>
        <v>0</v>
      </c>
      <c r="B1734" s="2">
        <v>42606.5314236111</v>
      </c>
      <c r="C1734">
        <v>20</v>
      </c>
      <c r="D1734">
        <v>38</v>
      </c>
      <c r="E1734" t="s">
        <v>1723</v>
      </c>
    </row>
    <row r="1735" spans="1:5">
      <c r="A1735">
        <f>HYPERLINK("http://www.twitter.com/NYPDnews/status/768425383209365505", "768425383209365505")</f>
        <v>0</v>
      </c>
      <c r="B1735" s="2">
        <v>42606.5215509259</v>
      </c>
      <c r="C1735">
        <v>18</v>
      </c>
      <c r="D1735">
        <v>17</v>
      </c>
      <c r="E1735" t="s">
        <v>1724</v>
      </c>
    </row>
    <row r="1736" spans="1:5">
      <c r="A1736">
        <f>HYPERLINK("http://www.twitter.com/NYPDnews/status/768421469818945536", "768421469818945536")</f>
        <v>0</v>
      </c>
      <c r="B1736" s="2">
        <v>42606.5107523148</v>
      </c>
      <c r="C1736">
        <v>67</v>
      </c>
      <c r="D1736">
        <v>15</v>
      </c>
      <c r="E1736" t="s">
        <v>1725</v>
      </c>
    </row>
    <row r="1737" spans="1:5">
      <c r="A1737">
        <f>HYPERLINK("http://www.twitter.com/NYPDnews/status/768418044083367936", "768418044083367936")</f>
        <v>0</v>
      </c>
      <c r="B1737" s="2">
        <v>42606.5012962963</v>
      </c>
      <c r="C1737">
        <v>96</v>
      </c>
      <c r="D1737">
        <v>26</v>
      </c>
      <c r="E1737" t="s">
        <v>1726</v>
      </c>
    </row>
    <row r="1738" spans="1:5">
      <c r="A1738">
        <f>HYPERLINK("http://www.twitter.com/NYPDnews/status/768388689479294977", "768388689479294977")</f>
        <v>0</v>
      </c>
      <c r="B1738" s="2">
        <v>42606.4203009259</v>
      </c>
      <c r="C1738">
        <v>7</v>
      </c>
      <c r="D1738">
        <v>10</v>
      </c>
      <c r="E1738" t="s">
        <v>1727</v>
      </c>
    </row>
    <row r="1739" spans="1:5">
      <c r="A1739">
        <f>HYPERLINK("http://www.twitter.com/NYPDnews/status/768258836524302336", "768258836524302336")</f>
        <v>0</v>
      </c>
      <c r="B1739" s="2">
        <v>42606.0619675926</v>
      </c>
      <c r="C1739">
        <v>104</v>
      </c>
      <c r="D1739">
        <v>56</v>
      </c>
      <c r="E1739" t="s">
        <v>1728</v>
      </c>
    </row>
    <row r="1740" spans="1:5">
      <c r="A1740">
        <f>HYPERLINK("http://www.twitter.com/NYPDnews/status/768226415078694912", "768226415078694912")</f>
        <v>0</v>
      </c>
      <c r="B1740" s="2">
        <v>42605.9725</v>
      </c>
      <c r="C1740">
        <v>9</v>
      </c>
      <c r="D1740">
        <v>28</v>
      </c>
      <c r="E1740" t="s">
        <v>1729</v>
      </c>
    </row>
    <row r="1741" spans="1:5">
      <c r="A1741">
        <f>HYPERLINK("http://www.twitter.com/NYPDnews/status/768208781134135296", "768208781134135296")</f>
        <v>0</v>
      </c>
      <c r="B1741" s="2">
        <v>42605.9238425926</v>
      </c>
      <c r="C1741">
        <v>25</v>
      </c>
      <c r="D1741">
        <v>9</v>
      </c>
      <c r="E1741" t="s">
        <v>1730</v>
      </c>
    </row>
    <row r="1742" spans="1:5">
      <c r="A1742">
        <f>HYPERLINK("http://www.twitter.com/NYPDnews/status/768146780940804096", "768146780940804096")</f>
        <v>0</v>
      </c>
      <c r="B1742" s="2">
        <v>42605.7527546296</v>
      </c>
      <c r="C1742">
        <v>24</v>
      </c>
      <c r="D1742">
        <v>15</v>
      </c>
      <c r="E1742" t="s">
        <v>1731</v>
      </c>
    </row>
    <row r="1743" spans="1:5">
      <c r="A1743">
        <f>HYPERLINK("http://www.twitter.com/NYPDnews/status/768124446343303168", "768124446343303168")</f>
        <v>0</v>
      </c>
      <c r="B1743" s="2">
        <v>42605.6911226852</v>
      </c>
      <c r="C1743">
        <v>27</v>
      </c>
      <c r="D1743">
        <v>54</v>
      </c>
      <c r="E1743" t="s">
        <v>1732</v>
      </c>
    </row>
    <row r="1744" spans="1:5">
      <c r="A1744">
        <f>HYPERLINK("http://www.twitter.com/NYPDnews/status/768090297393934336", "768090297393934336")</f>
        <v>0</v>
      </c>
      <c r="B1744" s="2">
        <v>42605.5968865741</v>
      </c>
      <c r="C1744">
        <v>308</v>
      </c>
      <c r="D1744">
        <v>143</v>
      </c>
      <c r="E1744" t="s">
        <v>1733</v>
      </c>
    </row>
    <row r="1745" spans="1:5">
      <c r="A1745">
        <f>HYPERLINK("http://www.twitter.com/NYPDnews/status/768066637417291776", "768066637417291776")</f>
        <v>0</v>
      </c>
      <c r="B1745" s="2">
        <v>42605.5316087963</v>
      </c>
      <c r="C1745">
        <v>28</v>
      </c>
      <c r="D1745">
        <v>10</v>
      </c>
      <c r="E1745" t="s">
        <v>1734</v>
      </c>
    </row>
    <row r="1746" spans="1:5">
      <c r="A1746">
        <f>HYPERLINK("http://www.twitter.com/NYPDnews/status/768061589798981636", "768061589798981636")</f>
        <v>0</v>
      </c>
      <c r="B1746" s="2">
        <v>42605.5176736111</v>
      </c>
      <c r="C1746">
        <v>16</v>
      </c>
      <c r="D1746">
        <v>7</v>
      </c>
      <c r="E1746" t="s">
        <v>1735</v>
      </c>
    </row>
    <row r="1747" spans="1:5">
      <c r="A1747">
        <f>HYPERLINK("http://www.twitter.com/NYPDnews/status/768059081185693697", "768059081185693697")</f>
        <v>0</v>
      </c>
      <c r="B1747" s="2">
        <v>42605.5107523148</v>
      </c>
      <c r="C1747">
        <v>40</v>
      </c>
      <c r="D1747">
        <v>13</v>
      </c>
      <c r="E1747" t="s">
        <v>1736</v>
      </c>
    </row>
    <row r="1748" spans="1:5">
      <c r="A1748">
        <f>HYPERLINK("http://www.twitter.com/NYPDnews/status/768055344211828736", "768055344211828736")</f>
        <v>0</v>
      </c>
      <c r="B1748" s="2">
        <v>42605.5004398148</v>
      </c>
      <c r="C1748">
        <v>104</v>
      </c>
      <c r="D1748">
        <v>17</v>
      </c>
      <c r="E1748" t="s">
        <v>1737</v>
      </c>
    </row>
    <row r="1749" spans="1:5">
      <c r="A1749">
        <f>HYPERLINK("http://www.twitter.com/NYPDnews/status/767885350983393284", "767885350983393284")</f>
        <v>0</v>
      </c>
      <c r="B1749" s="2">
        <v>42605.0313425926</v>
      </c>
      <c r="C1749">
        <v>13</v>
      </c>
      <c r="D1749">
        <v>20</v>
      </c>
      <c r="E1749" t="s">
        <v>1738</v>
      </c>
    </row>
    <row r="1750" spans="1:5">
      <c r="A1750">
        <f>HYPERLINK("http://www.twitter.com/NYPDnews/status/767874089251930117", "767874089251930117")</f>
        <v>0</v>
      </c>
      <c r="B1750" s="2">
        <v>42605.0002662037</v>
      </c>
      <c r="C1750">
        <v>136</v>
      </c>
      <c r="D1750">
        <v>105</v>
      </c>
      <c r="E1750" t="s">
        <v>1739</v>
      </c>
    </row>
    <row r="1751" spans="1:5">
      <c r="A1751">
        <f>HYPERLINK("http://www.twitter.com/NYPDnews/status/767859154908246016", "767859154908246016")</f>
        <v>0</v>
      </c>
      <c r="B1751" s="2">
        <v>42604.9590625</v>
      </c>
      <c r="C1751">
        <v>20</v>
      </c>
      <c r="D1751">
        <v>7</v>
      </c>
      <c r="E1751" t="s">
        <v>1740</v>
      </c>
    </row>
    <row r="1752" spans="1:5">
      <c r="A1752">
        <f>HYPERLINK("http://www.twitter.com/NYPDnews/status/767855213495611393", "767855213495611393")</f>
        <v>0</v>
      </c>
      <c r="B1752" s="2">
        <v>42604.9481828704</v>
      </c>
      <c r="C1752">
        <v>78</v>
      </c>
      <c r="D1752">
        <v>20</v>
      </c>
      <c r="E1752" t="s">
        <v>1741</v>
      </c>
    </row>
    <row r="1753" spans="1:5">
      <c r="A1753">
        <f>HYPERLINK("http://www.twitter.com/NYPDnews/status/767851509186985984", "767851509186985984")</f>
        <v>0</v>
      </c>
      <c r="B1753" s="2">
        <v>42604.937962963</v>
      </c>
      <c r="C1753">
        <v>20</v>
      </c>
      <c r="D1753">
        <v>12</v>
      </c>
      <c r="E1753" t="s">
        <v>1742</v>
      </c>
    </row>
    <row r="1754" spans="1:5">
      <c r="A1754">
        <f>HYPERLINK("http://www.twitter.com/NYPDnews/status/767847673751896065", "767847673751896065")</f>
        <v>0</v>
      </c>
      <c r="B1754" s="2">
        <v>42604.9273726852</v>
      </c>
      <c r="C1754">
        <v>34</v>
      </c>
      <c r="D1754">
        <v>16</v>
      </c>
      <c r="E1754" t="s">
        <v>1743</v>
      </c>
    </row>
    <row r="1755" spans="1:5">
      <c r="A1755">
        <f>HYPERLINK("http://www.twitter.com/NYPDnews/status/767844083012407297", "767844083012407297")</f>
        <v>0</v>
      </c>
      <c r="B1755" s="2">
        <v>42604.9174652778</v>
      </c>
      <c r="C1755">
        <v>21</v>
      </c>
      <c r="D1755">
        <v>10</v>
      </c>
      <c r="E1755" t="s">
        <v>1744</v>
      </c>
    </row>
    <row r="1756" spans="1:5">
      <c r="A1756">
        <f>HYPERLINK("http://www.twitter.com/NYPDnews/status/767830002272464896", "767830002272464896")</f>
        <v>0</v>
      </c>
      <c r="B1756" s="2">
        <v>42604.8786111111</v>
      </c>
      <c r="C1756">
        <v>28</v>
      </c>
      <c r="D1756">
        <v>16</v>
      </c>
      <c r="E1756" t="s">
        <v>1745</v>
      </c>
    </row>
    <row r="1757" spans="1:5">
      <c r="A1757">
        <f>HYPERLINK("http://www.twitter.com/NYPDnews/status/767776016525828096", "767776016525828096")</f>
        <v>0</v>
      </c>
      <c r="B1757" s="2">
        <v>42604.7296412037</v>
      </c>
      <c r="C1757">
        <v>16</v>
      </c>
      <c r="D1757">
        <v>11</v>
      </c>
      <c r="E1757" t="s">
        <v>1746</v>
      </c>
    </row>
    <row r="1758" spans="1:5">
      <c r="A1758">
        <f>HYPERLINK("http://www.twitter.com/NYPDnews/status/767764605921820673", "767764605921820673")</f>
        <v>0</v>
      </c>
      <c r="B1758" s="2">
        <v>42604.6981597222</v>
      </c>
      <c r="C1758">
        <v>12</v>
      </c>
      <c r="D1758">
        <v>13</v>
      </c>
      <c r="E1758" t="s">
        <v>1747</v>
      </c>
    </row>
    <row r="1759" spans="1:5">
      <c r="A1759">
        <f>HYPERLINK("http://www.twitter.com/NYPDnews/status/767726042874347520", "767726042874347520")</f>
        <v>0</v>
      </c>
      <c r="B1759" s="2">
        <v>42604.5917361111</v>
      </c>
      <c r="C1759">
        <v>0</v>
      </c>
      <c r="D1759">
        <v>114</v>
      </c>
      <c r="E1759" t="s">
        <v>1748</v>
      </c>
    </row>
    <row r="1760" spans="1:5">
      <c r="A1760">
        <f>HYPERLINK("http://www.twitter.com/NYPDnews/status/767704170380034048", "767704170380034048")</f>
        <v>0</v>
      </c>
      <c r="B1760" s="2">
        <v>42604.5313888889</v>
      </c>
      <c r="C1760">
        <v>90</v>
      </c>
      <c r="D1760">
        <v>31</v>
      </c>
      <c r="E1760" t="s">
        <v>1749</v>
      </c>
    </row>
    <row r="1761" spans="1:5">
      <c r="A1761">
        <f>HYPERLINK("http://www.twitter.com/NYPDnews/status/767700465798811648", "767700465798811648")</f>
        <v>0</v>
      </c>
      <c r="B1761" s="2">
        <v>42604.5211574074</v>
      </c>
      <c r="C1761">
        <v>18</v>
      </c>
      <c r="D1761">
        <v>33</v>
      </c>
      <c r="E1761" t="s">
        <v>1750</v>
      </c>
    </row>
    <row r="1762" spans="1:5">
      <c r="A1762">
        <f>HYPERLINK("http://www.twitter.com/NYPDnews/status/767696616761528320", "767696616761528320")</f>
        <v>0</v>
      </c>
      <c r="B1762" s="2">
        <v>42604.5105439815</v>
      </c>
      <c r="C1762">
        <v>86</v>
      </c>
      <c r="D1762">
        <v>53</v>
      </c>
      <c r="E1762" t="s">
        <v>1751</v>
      </c>
    </row>
    <row r="1763" spans="1:5">
      <c r="A1763">
        <f>HYPERLINK("http://www.twitter.com/NYPDnews/status/767692955167625216", "767692955167625216")</f>
        <v>0</v>
      </c>
      <c r="B1763" s="2">
        <v>42604.5004398148</v>
      </c>
      <c r="C1763">
        <v>19</v>
      </c>
      <c r="D1763">
        <v>44</v>
      </c>
      <c r="E1763" t="s">
        <v>1752</v>
      </c>
    </row>
    <row r="1764" spans="1:5">
      <c r="A1764">
        <f>HYPERLINK("http://www.twitter.com/NYPDnews/status/767670227970695168", "767670227970695168")</f>
        <v>0</v>
      </c>
      <c r="B1764" s="2">
        <v>42604.4377199074</v>
      </c>
      <c r="C1764">
        <v>13</v>
      </c>
      <c r="D1764">
        <v>33</v>
      </c>
      <c r="E1764" t="s">
        <v>1753</v>
      </c>
    </row>
    <row r="1765" spans="1:5">
      <c r="A1765">
        <f>HYPERLINK("http://www.twitter.com/NYPDnews/status/767507874012594176", "767507874012594176")</f>
        <v>0</v>
      </c>
      <c r="B1765" s="2">
        <v>42603.9897106482</v>
      </c>
      <c r="C1765">
        <v>31</v>
      </c>
      <c r="D1765">
        <v>15</v>
      </c>
      <c r="E1765" t="s">
        <v>1754</v>
      </c>
    </row>
    <row r="1766" spans="1:5">
      <c r="A1766">
        <f>HYPERLINK("http://www.twitter.com/NYPDnews/status/767496634032877568", "767496634032877568")</f>
        <v>0</v>
      </c>
      <c r="B1766" s="2">
        <v>42603.9586921296</v>
      </c>
      <c r="C1766">
        <v>43</v>
      </c>
      <c r="D1766">
        <v>23</v>
      </c>
      <c r="E1766" t="s">
        <v>1755</v>
      </c>
    </row>
    <row r="1767" spans="1:5">
      <c r="A1767">
        <f>HYPERLINK("http://www.twitter.com/NYPDnews/status/767466434339430400", "767466434339430400")</f>
        <v>0</v>
      </c>
      <c r="B1767" s="2">
        <v>42603.8753587963</v>
      </c>
      <c r="C1767">
        <v>49</v>
      </c>
      <c r="D1767">
        <v>23</v>
      </c>
      <c r="E1767" t="s">
        <v>1756</v>
      </c>
    </row>
    <row r="1768" spans="1:5">
      <c r="A1768">
        <f>HYPERLINK("http://www.twitter.com/NYPDnews/status/767430751654666240", "767430751654666240")</f>
        <v>0</v>
      </c>
      <c r="B1768" s="2">
        <v>42603.7768981481</v>
      </c>
      <c r="C1768">
        <v>48</v>
      </c>
      <c r="D1768">
        <v>14</v>
      </c>
      <c r="E1768" t="s">
        <v>1757</v>
      </c>
    </row>
    <row r="1769" spans="1:5">
      <c r="A1769">
        <f>HYPERLINK("http://www.twitter.com/NYPDnews/status/767416135503478784", "767416135503478784")</f>
        <v>0</v>
      </c>
      <c r="B1769" s="2">
        <v>42603.7365625</v>
      </c>
      <c r="C1769">
        <v>32</v>
      </c>
      <c r="D1769">
        <v>16</v>
      </c>
      <c r="E1769" t="s">
        <v>1758</v>
      </c>
    </row>
    <row r="1770" spans="1:5">
      <c r="A1770">
        <f>HYPERLINK("http://www.twitter.com/NYPDnews/status/767398427026219008", "767398427026219008")</f>
        <v>0</v>
      </c>
      <c r="B1770" s="2">
        <v>42603.6876967593</v>
      </c>
      <c r="C1770">
        <v>32</v>
      </c>
      <c r="D1770">
        <v>14</v>
      </c>
      <c r="E1770" t="s">
        <v>1759</v>
      </c>
    </row>
    <row r="1771" spans="1:5">
      <c r="A1771">
        <f>HYPERLINK("http://www.twitter.com/NYPDnews/status/767374493929078784", "767374493929078784")</f>
        <v>0</v>
      </c>
      <c r="B1771" s="2">
        <v>42603.6216550926</v>
      </c>
      <c r="C1771">
        <v>149</v>
      </c>
      <c r="D1771">
        <v>36</v>
      </c>
      <c r="E1771" t="s">
        <v>1760</v>
      </c>
    </row>
    <row r="1772" spans="1:5">
      <c r="A1772">
        <f>HYPERLINK("http://www.twitter.com/NYPDnews/status/767353133232168960", "767353133232168960")</f>
        <v>0</v>
      </c>
      <c r="B1772" s="2">
        <v>42603.5627083333</v>
      </c>
      <c r="C1772">
        <v>31</v>
      </c>
      <c r="D1772">
        <v>62</v>
      </c>
      <c r="E1772" t="s">
        <v>1761</v>
      </c>
    </row>
    <row r="1773" spans="1:5">
      <c r="A1773">
        <f>HYPERLINK("http://www.twitter.com/NYPDnews/status/767344275193524224", "767344275193524224")</f>
        <v>0</v>
      </c>
      <c r="B1773" s="2">
        <v>42603.5382638889</v>
      </c>
      <c r="C1773">
        <v>24</v>
      </c>
      <c r="D1773">
        <v>13</v>
      </c>
      <c r="E1773" t="s">
        <v>1762</v>
      </c>
    </row>
    <row r="1774" spans="1:5">
      <c r="A1774">
        <f>HYPERLINK("http://www.twitter.com/NYPDnews/status/767334221954318336", "767334221954318336")</f>
        <v>0</v>
      </c>
      <c r="B1774" s="2">
        <v>42603.5105208333</v>
      </c>
      <c r="C1774">
        <v>9</v>
      </c>
      <c r="D1774">
        <v>6</v>
      </c>
      <c r="E1774" t="s">
        <v>1763</v>
      </c>
    </row>
    <row r="1775" spans="1:5">
      <c r="A1775">
        <f>HYPERLINK("http://www.twitter.com/NYPDnews/status/767166502919340032", "767166502919340032")</f>
        <v>0</v>
      </c>
      <c r="B1775" s="2">
        <v>42603.0477083333</v>
      </c>
      <c r="C1775">
        <v>132</v>
      </c>
      <c r="D1775">
        <v>36</v>
      </c>
      <c r="E1775" t="s">
        <v>1764</v>
      </c>
    </row>
    <row r="1776" spans="1:5">
      <c r="A1776">
        <f>HYPERLINK("http://www.twitter.com/NYPDnews/status/767135650663567360", "767135650663567360")</f>
        <v>0</v>
      </c>
      <c r="B1776" s="2">
        <v>42602.9625694444</v>
      </c>
      <c r="C1776">
        <v>0</v>
      </c>
      <c r="D1776">
        <v>25</v>
      </c>
      <c r="E1776" t="s">
        <v>1765</v>
      </c>
    </row>
    <row r="1777" spans="1:5">
      <c r="A1777">
        <f>HYPERLINK("http://www.twitter.com/NYPDnews/status/767058690537033728", "767058690537033728")</f>
        <v>0</v>
      </c>
      <c r="B1777" s="2">
        <v>42602.7501967593</v>
      </c>
      <c r="C1777">
        <v>15</v>
      </c>
      <c r="D1777">
        <v>25</v>
      </c>
      <c r="E1777" t="s">
        <v>1766</v>
      </c>
    </row>
    <row r="1778" spans="1:5">
      <c r="A1778">
        <f>HYPERLINK("http://www.twitter.com/NYPDnews/status/767022146614886400", "767022146614886400")</f>
        <v>0</v>
      </c>
      <c r="B1778" s="2">
        <v>42602.6493518519</v>
      </c>
      <c r="C1778">
        <v>24</v>
      </c>
      <c r="D1778">
        <v>10</v>
      </c>
      <c r="E1778" t="s">
        <v>1767</v>
      </c>
    </row>
    <row r="1779" spans="1:5">
      <c r="A1779">
        <f>HYPERLINK("http://www.twitter.com/NYPDnews/status/767011218200690691", "767011218200690691")</f>
        <v>0</v>
      </c>
      <c r="B1779" s="2">
        <v>42602.6192013889</v>
      </c>
      <c r="C1779">
        <v>0</v>
      </c>
      <c r="D1779">
        <v>107</v>
      </c>
      <c r="E1779" t="s">
        <v>1768</v>
      </c>
    </row>
    <row r="1780" spans="1:5">
      <c r="A1780">
        <f>HYPERLINK("http://www.twitter.com/NYPDnews/status/767005838158495744", "767005838158495744")</f>
        <v>0</v>
      </c>
      <c r="B1780" s="2">
        <v>42602.6043518518</v>
      </c>
      <c r="C1780">
        <v>53</v>
      </c>
      <c r="D1780">
        <v>30</v>
      </c>
      <c r="E1780" t="s">
        <v>1769</v>
      </c>
    </row>
    <row r="1781" spans="1:5">
      <c r="A1781">
        <f>HYPERLINK("http://www.twitter.com/NYPDnews/status/766987980636614656", "766987980636614656")</f>
        <v>0</v>
      </c>
      <c r="B1781" s="2">
        <v>42602.5550810185</v>
      </c>
      <c r="C1781">
        <v>14</v>
      </c>
      <c r="D1781">
        <v>11</v>
      </c>
      <c r="E1781" t="s">
        <v>1770</v>
      </c>
    </row>
    <row r="1782" spans="1:5">
      <c r="A1782">
        <f>HYPERLINK("http://www.twitter.com/NYPDnews/status/766810756297924608", "766810756297924608")</f>
        <v>0</v>
      </c>
      <c r="B1782" s="2">
        <v>42602.0660300926</v>
      </c>
      <c r="C1782">
        <v>14</v>
      </c>
      <c r="D1782">
        <v>26</v>
      </c>
      <c r="E1782" t="s">
        <v>1771</v>
      </c>
    </row>
    <row r="1783" spans="1:5">
      <c r="A1783">
        <f>HYPERLINK("http://www.twitter.com/NYPDnews/status/766802076273958914", "766802076273958914")</f>
        <v>0</v>
      </c>
      <c r="B1783" s="2">
        <v>42602.0420833333</v>
      </c>
      <c r="C1783">
        <v>19</v>
      </c>
      <c r="D1783">
        <v>22</v>
      </c>
      <c r="E1783" t="s">
        <v>1745</v>
      </c>
    </row>
    <row r="1784" spans="1:5">
      <c r="A1784">
        <f>HYPERLINK("http://www.twitter.com/NYPDnews/status/766795660393930752", "766795660393930752")</f>
        <v>0</v>
      </c>
      <c r="B1784" s="2">
        <v>42602.024375</v>
      </c>
      <c r="C1784">
        <v>398</v>
      </c>
      <c r="D1784">
        <v>118</v>
      </c>
      <c r="E1784" t="s">
        <v>1772</v>
      </c>
    </row>
    <row r="1785" spans="1:5">
      <c r="A1785">
        <f>HYPERLINK("http://www.twitter.com/NYPDnews/status/766790666949189632", "766790666949189632")</f>
        <v>0</v>
      </c>
      <c r="B1785" s="2">
        <v>42602.0105902778</v>
      </c>
      <c r="C1785">
        <v>10</v>
      </c>
      <c r="D1785">
        <v>36</v>
      </c>
      <c r="E1785" t="s">
        <v>1773</v>
      </c>
    </row>
    <row r="1786" spans="1:5">
      <c r="A1786">
        <f>HYPERLINK("http://www.twitter.com/NYPDnews/status/766778471230103552", "766778471230103552")</f>
        <v>0</v>
      </c>
      <c r="B1786" s="2">
        <v>42601.9769444444</v>
      </c>
      <c r="C1786">
        <v>159</v>
      </c>
      <c r="D1786">
        <v>72</v>
      </c>
      <c r="E1786" t="s">
        <v>1774</v>
      </c>
    </row>
    <row r="1787" spans="1:5">
      <c r="A1787">
        <f>HYPERLINK("http://www.twitter.com/NYPDnews/status/766756710543421440", "766756710543421440")</f>
        <v>0</v>
      </c>
      <c r="B1787" s="2">
        <v>42601.9168981481</v>
      </c>
      <c r="C1787">
        <v>43</v>
      </c>
      <c r="D1787">
        <v>18</v>
      </c>
      <c r="E1787" t="s">
        <v>1775</v>
      </c>
    </row>
    <row r="1788" spans="1:5">
      <c r="A1788">
        <f>HYPERLINK("http://www.twitter.com/NYPDnews/status/766726038458077184", "766726038458077184")</f>
        <v>0</v>
      </c>
      <c r="B1788" s="2">
        <v>42601.8322569444</v>
      </c>
      <c r="C1788">
        <v>0</v>
      </c>
      <c r="D1788">
        <v>74</v>
      </c>
      <c r="E1788" t="s">
        <v>1776</v>
      </c>
    </row>
    <row r="1789" spans="1:5">
      <c r="A1789">
        <f>HYPERLINK("http://www.twitter.com/NYPDnews/status/766704937661239296", "766704937661239296")</f>
        <v>0</v>
      </c>
      <c r="B1789" s="2">
        <v>42601.7740277778</v>
      </c>
      <c r="C1789">
        <v>268</v>
      </c>
      <c r="D1789">
        <v>84</v>
      </c>
      <c r="E1789" t="s">
        <v>1777</v>
      </c>
    </row>
    <row r="1790" spans="1:5">
      <c r="A1790">
        <f>HYPERLINK("http://www.twitter.com/NYPDnews/status/766671106753396737", "766671106753396737")</f>
        <v>0</v>
      </c>
      <c r="B1790" s="2">
        <v>42601.6806712963</v>
      </c>
      <c r="C1790">
        <v>153</v>
      </c>
      <c r="D1790">
        <v>42</v>
      </c>
      <c r="E1790" t="s">
        <v>1778</v>
      </c>
    </row>
    <row r="1791" spans="1:5">
      <c r="A1791">
        <f>HYPERLINK("http://www.twitter.com/NYPDnews/status/766632519429009409", "766632519429009409")</f>
        <v>0</v>
      </c>
      <c r="B1791" s="2">
        <v>42601.5741898148</v>
      </c>
      <c r="C1791">
        <v>0</v>
      </c>
      <c r="D1791">
        <v>217</v>
      </c>
      <c r="E1791" t="s">
        <v>1779</v>
      </c>
    </row>
    <row r="1792" spans="1:5">
      <c r="A1792">
        <f>HYPERLINK("http://www.twitter.com/NYPDnews/status/766617015012515840", "766617015012515840")</f>
        <v>0</v>
      </c>
      <c r="B1792" s="2">
        <v>42601.531412037</v>
      </c>
      <c r="C1792">
        <v>85</v>
      </c>
      <c r="D1792">
        <v>22</v>
      </c>
      <c r="E1792" t="s">
        <v>1780</v>
      </c>
    </row>
    <row r="1793" spans="1:5">
      <c r="A1793">
        <f>HYPERLINK("http://www.twitter.com/NYPDnews/status/766613271336058881", "766613271336058881")</f>
        <v>0</v>
      </c>
      <c r="B1793" s="2">
        <v>42601.5210763889</v>
      </c>
      <c r="C1793">
        <v>13</v>
      </c>
      <c r="D1793">
        <v>31</v>
      </c>
      <c r="E1793" t="s">
        <v>1781</v>
      </c>
    </row>
    <row r="1794" spans="1:5">
      <c r="A1794">
        <f>HYPERLINK("http://www.twitter.com/NYPDnews/status/766609461247111168", "766609461247111168")</f>
        <v>0</v>
      </c>
      <c r="B1794" s="2">
        <v>42601.5105671296</v>
      </c>
      <c r="C1794">
        <v>10</v>
      </c>
      <c r="D1794">
        <v>10</v>
      </c>
      <c r="E1794" t="s">
        <v>1782</v>
      </c>
    </row>
    <row r="1795" spans="1:5">
      <c r="A1795">
        <f>HYPERLINK("http://www.twitter.com/NYPDnews/status/766605749686591488", "766605749686591488")</f>
        <v>0</v>
      </c>
      <c r="B1795" s="2">
        <v>42601.5003240741</v>
      </c>
      <c r="C1795">
        <v>11</v>
      </c>
      <c r="D1795">
        <v>28</v>
      </c>
      <c r="E1795" t="s">
        <v>1783</v>
      </c>
    </row>
    <row r="1796" spans="1:5">
      <c r="A1796">
        <f>HYPERLINK("http://www.twitter.com/NYPDnews/status/766440849676828672", "766440849676828672")</f>
        <v>0</v>
      </c>
      <c r="B1796" s="2">
        <v>42601.0452893519</v>
      </c>
      <c r="C1796">
        <v>29</v>
      </c>
      <c r="D1796">
        <v>52</v>
      </c>
      <c r="E1796" t="s">
        <v>1773</v>
      </c>
    </row>
    <row r="1797" spans="1:5">
      <c r="A1797">
        <f>HYPERLINK("http://www.twitter.com/NYPDnews/status/766427041738743808", "766427041738743808")</f>
        <v>0</v>
      </c>
      <c r="B1797" s="2">
        <v>42601.0071759259</v>
      </c>
      <c r="C1797">
        <v>97</v>
      </c>
      <c r="D1797">
        <v>32</v>
      </c>
      <c r="E1797" t="s">
        <v>1784</v>
      </c>
    </row>
    <row r="1798" spans="1:5">
      <c r="A1798">
        <f>HYPERLINK("http://www.twitter.com/NYPDnews/status/766408138455183360", "766408138455183360")</f>
        <v>0</v>
      </c>
      <c r="B1798" s="2">
        <v>42600.9550231481</v>
      </c>
      <c r="C1798">
        <v>17</v>
      </c>
      <c r="D1798">
        <v>13</v>
      </c>
      <c r="E1798" t="s">
        <v>1785</v>
      </c>
    </row>
    <row r="1799" spans="1:5">
      <c r="A1799">
        <f>HYPERLINK("http://www.twitter.com/NYPDnews/status/766393060347539456", "766393060347539456")</f>
        <v>0</v>
      </c>
      <c r="B1799" s="2">
        <v>42600.9134143519</v>
      </c>
      <c r="C1799">
        <v>11</v>
      </c>
      <c r="D1799">
        <v>14</v>
      </c>
      <c r="E1799" t="s">
        <v>1786</v>
      </c>
    </row>
    <row r="1800" spans="1:5">
      <c r="A1800">
        <f>HYPERLINK("http://www.twitter.com/NYPDnews/status/766388398659608576", "766388398659608576")</f>
        <v>0</v>
      </c>
      <c r="B1800" s="2">
        <v>42600.9005439815</v>
      </c>
      <c r="C1800">
        <v>49</v>
      </c>
      <c r="D1800">
        <v>40</v>
      </c>
      <c r="E1800" t="s">
        <v>1787</v>
      </c>
    </row>
    <row r="1801" spans="1:5">
      <c r="A1801">
        <f>HYPERLINK("http://www.twitter.com/NYPDnews/status/766347337220456448", "766347337220456448")</f>
        <v>0</v>
      </c>
      <c r="B1801" s="2">
        <v>42600.7872337963</v>
      </c>
      <c r="C1801">
        <v>0</v>
      </c>
      <c r="D1801">
        <v>75</v>
      </c>
      <c r="E1801" t="s">
        <v>1788</v>
      </c>
    </row>
    <row r="1802" spans="1:5">
      <c r="A1802">
        <f>HYPERLINK("http://www.twitter.com/NYPDnews/status/766254631924166656", "766254631924166656")</f>
        <v>0</v>
      </c>
      <c r="B1802" s="2">
        <v>42600.5314236111</v>
      </c>
      <c r="C1802">
        <v>54</v>
      </c>
      <c r="D1802">
        <v>20</v>
      </c>
      <c r="E1802" t="s">
        <v>1789</v>
      </c>
    </row>
    <row r="1803" spans="1:5">
      <c r="A1803">
        <f>HYPERLINK("http://www.twitter.com/NYPDnews/status/766250815082336256", "766250815082336256")</f>
        <v>0</v>
      </c>
      <c r="B1803" s="2">
        <v>42600.5208912037</v>
      </c>
      <c r="C1803">
        <v>33</v>
      </c>
      <c r="D1803">
        <v>62</v>
      </c>
      <c r="E1803" t="s">
        <v>1790</v>
      </c>
    </row>
    <row r="1804" spans="1:5">
      <c r="A1804">
        <f>HYPERLINK("http://www.twitter.com/NYPDnews/status/766247067375337472", "766247067375337472")</f>
        <v>0</v>
      </c>
      <c r="B1804" s="2">
        <v>42600.5105439815</v>
      </c>
      <c r="C1804">
        <v>102</v>
      </c>
      <c r="D1804">
        <v>34</v>
      </c>
      <c r="E1804" t="s">
        <v>1791</v>
      </c>
    </row>
    <row r="1805" spans="1:5">
      <c r="A1805">
        <f>HYPERLINK("http://www.twitter.com/NYPDnews/status/766243349284151296", "766243349284151296")</f>
        <v>0</v>
      </c>
      <c r="B1805" s="2">
        <v>42600.5002893519</v>
      </c>
      <c r="C1805">
        <v>19</v>
      </c>
      <c r="D1805">
        <v>46</v>
      </c>
      <c r="E1805" t="s">
        <v>1792</v>
      </c>
    </row>
    <row r="1806" spans="1:5">
      <c r="A1806">
        <f>HYPERLINK("http://www.twitter.com/NYPDnews/status/766092300791455744", "766092300791455744")</f>
        <v>0</v>
      </c>
      <c r="B1806" s="2">
        <v>42600.0834722222</v>
      </c>
      <c r="C1806">
        <v>14</v>
      </c>
      <c r="D1806">
        <v>11</v>
      </c>
      <c r="E1806" t="s">
        <v>1793</v>
      </c>
    </row>
    <row r="1807" spans="1:5">
      <c r="A1807">
        <f>HYPERLINK("http://www.twitter.com/NYPDnews/status/766075606153003009", "766075606153003009")</f>
        <v>0</v>
      </c>
      <c r="B1807" s="2">
        <v>42600.0374074074</v>
      </c>
      <c r="C1807">
        <v>131</v>
      </c>
      <c r="D1807">
        <v>48</v>
      </c>
      <c r="E1807" t="s">
        <v>1794</v>
      </c>
    </row>
    <row r="1808" spans="1:5">
      <c r="A1808">
        <f>HYPERLINK("http://www.twitter.com/NYPDnews/status/766048277569630208", "766048277569630208")</f>
        <v>0</v>
      </c>
      <c r="B1808" s="2">
        <v>42599.9619907407</v>
      </c>
      <c r="C1808">
        <v>39</v>
      </c>
      <c r="D1808">
        <v>43</v>
      </c>
      <c r="E1808" t="s">
        <v>1795</v>
      </c>
    </row>
    <row r="1809" spans="1:5">
      <c r="A1809">
        <f>HYPERLINK("http://www.twitter.com/NYPDnews/status/766035725930393601", "766035725930393601")</f>
        <v>0</v>
      </c>
      <c r="B1809" s="2">
        <v>42599.927349537</v>
      </c>
      <c r="C1809">
        <v>83</v>
      </c>
      <c r="D1809">
        <v>20</v>
      </c>
      <c r="E1809" t="s">
        <v>1796</v>
      </c>
    </row>
    <row r="1810" spans="1:5">
      <c r="A1810">
        <f>HYPERLINK("http://www.twitter.com/NYPDnews/status/766029671213502466", "766029671213502466")</f>
        <v>0</v>
      </c>
      <c r="B1810" s="2">
        <v>42599.9106481482</v>
      </c>
      <c r="C1810">
        <v>30</v>
      </c>
      <c r="D1810">
        <v>23</v>
      </c>
      <c r="E1810" t="s">
        <v>1797</v>
      </c>
    </row>
    <row r="1811" spans="1:5">
      <c r="A1811">
        <f>HYPERLINK("http://www.twitter.com/NYPDnews/status/765992093659586560", "765992093659586560")</f>
        <v>0</v>
      </c>
      <c r="B1811" s="2">
        <v>42599.8069560185</v>
      </c>
      <c r="C1811">
        <v>0</v>
      </c>
      <c r="D1811">
        <v>175</v>
      </c>
      <c r="E1811" t="s">
        <v>1798</v>
      </c>
    </row>
    <row r="1812" spans="1:5">
      <c r="A1812">
        <f>HYPERLINK("http://www.twitter.com/NYPDnews/status/765948902780596224", "765948902780596224")</f>
        <v>0</v>
      </c>
      <c r="B1812" s="2">
        <v>42599.6877662037</v>
      </c>
      <c r="C1812">
        <v>36</v>
      </c>
      <c r="D1812">
        <v>10</v>
      </c>
      <c r="E1812" t="s">
        <v>1799</v>
      </c>
    </row>
    <row r="1813" spans="1:5">
      <c r="A1813">
        <f>HYPERLINK("http://www.twitter.com/NYPDnews/status/765945575166607362", "765945575166607362")</f>
        <v>0</v>
      </c>
      <c r="B1813" s="2">
        <v>42599.678587963</v>
      </c>
      <c r="C1813">
        <v>35</v>
      </c>
      <c r="D1813">
        <v>7</v>
      </c>
      <c r="E1813" t="s">
        <v>1800</v>
      </c>
    </row>
    <row r="1814" spans="1:5">
      <c r="A1814">
        <f>HYPERLINK("http://www.twitter.com/NYPDnews/status/765944021885841409", "765944021885841409")</f>
        <v>0</v>
      </c>
      <c r="B1814" s="2">
        <v>42599.6743055556</v>
      </c>
      <c r="C1814">
        <v>23</v>
      </c>
      <c r="D1814">
        <v>15</v>
      </c>
      <c r="E1814" t="s">
        <v>1801</v>
      </c>
    </row>
    <row r="1815" spans="1:5">
      <c r="A1815">
        <f>HYPERLINK("http://www.twitter.com/NYPDnews/status/765941308766711809", "765941308766711809")</f>
        <v>0</v>
      </c>
      <c r="B1815" s="2">
        <v>42599.6668171296</v>
      </c>
      <c r="C1815">
        <v>27</v>
      </c>
      <c r="D1815">
        <v>8</v>
      </c>
      <c r="E1815" t="s">
        <v>1802</v>
      </c>
    </row>
    <row r="1816" spans="1:5">
      <c r="A1816">
        <f>HYPERLINK("http://www.twitter.com/NYPDnews/status/765938220827893760", "765938220827893760")</f>
        <v>0</v>
      </c>
      <c r="B1816" s="2">
        <v>42599.658287037</v>
      </c>
      <c r="C1816">
        <v>26</v>
      </c>
      <c r="D1816">
        <v>16</v>
      </c>
      <c r="E1816" t="s">
        <v>1803</v>
      </c>
    </row>
    <row r="1817" spans="1:5">
      <c r="A1817">
        <f>HYPERLINK("http://www.twitter.com/NYPDnews/status/765932501214912512", "765932501214912512")</f>
        <v>0</v>
      </c>
      <c r="B1817" s="2">
        <v>42599.6425115741</v>
      </c>
      <c r="C1817">
        <v>15</v>
      </c>
      <c r="D1817">
        <v>7</v>
      </c>
      <c r="E1817" t="s">
        <v>1804</v>
      </c>
    </row>
    <row r="1818" spans="1:5">
      <c r="A1818">
        <f>HYPERLINK("http://www.twitter.com/NYPDnews/status/765892245476237313", "765892245476237313")</f>
        <v>0</v>
      </c>
      <c r="B1818" s="2">
        <v>42599.5314236111</v>
      </c>
      <c r="C1818">
        <v>40</v>
      </c>
      <c r="D1818">
        <v>11</v>
      </c>
      <c r="E1818" t="s">
        <v>1805</v>
      </c>
    </row>
    <row r="1819" spans="1:5">
      <c r="A1819">
        <f>HYPERLINK("http://www.twitter.com/NYPDnews/status/765892244695945216", "765892244695945216")</f>
        <v>0</v>
      </c>
      <c r="B1819" s="2">
        <v>42599.5314236111</v>
      </c>
      <c r="C1819">
        <v>170</v>
      </c>
      <c r="D1819">
        <v>61</v>
      </c>
      <c r="E1819" t="s">
        <v>1806</v>
      </c>
    </row>
    <row r="1820" spans="1:5">
      <c r="A1820">
        <f>HYPERLINK("http://www.twitter.com/NYPDnews/status/765884708186165248", "765884708186165248")</f>
        <v>0</v>
      </c>
      <c r="B1820" s="2">
        <v>42599.510625</v>
      </c>
      <c r="C1820">
        <v>26</v>
      </c>
      <c r="D1820">
        <v>20</v>
      </c>
      <c r="E1820" t="s">
        <v>1807</v>
      </c>
    </row>
    <row r="1821" spans="1:5">
      <c r="A1821">
        <f>HYPERLINK("http://www.twitter.com/NYPDnews/status/765881012148695040", "765881012148695040")</f>
        <v>0</v>
      </c>
      <c r="B1821" s="2">
        <v>42599.5004282407</v>
      </c>
      <c r="C1821">
        <v>12</v>
      </c>
      <c r="D1821">
        <v>38</v>
      </c>
      <c r="E1821" t="s">
        <v>1808</v>
      </c>
    </row>
    <row r="1822" spans="1:5">
      <c r="A1822">
        <f>HYPERLINK("http://www.twitter.com/NYPDnews/status/765707297490366464", "765707297490366464")</f>
        <v>0</v>
      </c>
      <c r="B1822" s="2">
        <v>42599.0210648148</v>
      </c>
      <c r="C1822">
        <v>73</v>
      </c>
      <c r="D1822">
        <v>111</v>
      </c>
      <c r="E1822" t="s">
        <v>1809</v>
      </c>
    </row>
    <row r="1823" spans="1:5">
      <c r="A1823">
        <f>HYPERLINK("http://www.twitter.com/NYPDnews/status/765701123235803136", "765701123235803136")</f>
        <v>0</v>
      </c>
      <c r="B1823" s="2">
        <v>42599.0040277778</v>
      </c>
      <c r="C1823">
        <v>0</v>
      </c>
      <c r="D1823">
        <v>25</v>
      </c>
      <c r="E1823" t="s">
        <v>1810</v>
      </c>
    </row>
    <row r="1824" spans="1:5">
      <c r="A1824">
        <f>HYPERLINK("http://www.twitter.com/NYPDnews/status/765687147127013376", "765687147127013376")</f>
        <v>0</v>
      </c>
      <c r="B1824" s="2">
        <v>42598.965462963</v>
      </c>
      <c r="C1824">
        <v>68</v>
      </c>
      <c r="D1824">
        <v>19</v>
      </c>
      <c r="E1824" t="s">
        <v>1811</v>
      </c>
    </row>
    <row r="1825" spans="1:5">
      <c r="A1825">
        <f>HYPERLINK("http://www.twitter.com/NYPDnews/status/765675787018264576", "765675787018264576")</f>
        <v>0</v>
      </c>
      <c r="B1825" s="2">
        <v>42598.9341087963</v>
      </c>
      <c r="C1825">
        <v>30</v>
      </c>
      <c r="D1825">
        <v>19</v>
      </c>
      <c r="E1825" t="s">
        <v>1812</v>
      </c>
    </row>
    <row r="1826" spans="1:5">
      <c r="A1826">
        <f>HYPERLINK("http://www.twitter.com/NYPDnews/status/765665448566353920", "765665448566353920")</f>
        <v>0</v>
      </c>
      <c r="B1826" s="2">
        <v>42598.9055787037</v>
      </c>
      <c r="C1826">
        <v>0</v>
      </c>
      <c r="D1826">
        <v>17</v>
      </c>
      <c r="E1826" t="s">
        <v>1813</v>
      </c>
    </row>
    <row r="1827" spans="1:5">
      <c r="A1827">
        <f>HYPERLINK("http://www.twitter.com/NYPDnews/status/765662573110947841", "765662573110947841")</f>
        <v>0</v>
      </c>
      <c r="B1827" s="2">
        <v>42598.897650463</v>
      </c>
      <c r="C1827">
        <v>57</v>
      </c>
      <c r="D1827">
        <v>39</v>
      </c>
      <c r="E1827" t="s">
        <v>1814</v>
      </c>
    </row>
    <row r="1828" spans="1:5">
      <c r="A1828">
        <f>HYPERLINK("http://www.twitter.com/NYPDnews/status/765626255148474368", "765626255148474368")</f>
        <v>0</v>
      </c>
      <c r="B1828" s="2">
        <v>42598.7974305556</v>
      </c>
      <c r="C1828">
        <v>0</v>
      </c>
      <c r="D1828">
        <v>48</v>
      </c>
      <c r="E1828" t="s">
        <v>1815</v>
      </c>
    </row>
    <row r="1829" spans="1:5">
      <c r="A1829">
        <f>HYPERLINK("http://www.twitter.com/NYPDnews/status/765615511224868864", "765615511224868864")</f>
        <v>0</v>
      </c>
      <c r="B1829" s="2">
        <v>42598.7677777778</v>
      </c>
      <c r="C1829">
        <v>34</v>
      </c>
      <c r="D1829">
        <v>18</v>
      </c>
      <c r="E1829" t="s">
        <v>1816</v>
      </c>
    </row>
    <row r="1830" spans="1:5">
      <c r="A1830">
        <f>HYPERLINK("http://www.twitter.com/NYPDnews/status/765529846139252736", "765529846139252736")</f>
        <v>0</v>
      </c>
      <c r="B1830" s="2">
        <v>42598.5313888889</v>
      </c>
      <c r="C1830">
        <v>66</v>
      </c>
      <c r="D1830">
        <v>13</v>
      </c>
      <c r="E1830" t="s">
        <v>1817</v>
      </c>
    </row>
    <row r="1831" spans="1:5">
      <c r="A1831">
        <f>HYPERLINK("http://www.twitter.com/NYPDnews/status/765526133433573380", "765526133433573380")</f>
        <v>0</v>
      </c>
      <c r="B1831" s="2">
        <v>42598.5211458333</v>
      </c>
      <c r="C1831">
        <v>33</v>
      </c>
      <c r="D1831">
        <v>58</v>
      </c>
      <c r="E1831" t="s">
        <v>1818</v>
      </c>
    </row>
    <row r="1832" spans="1:5">
      <c r="A1832">
        <f>HYPERLINK("http://www.twitter.com/NYPDnews/status/765522297495183360", "765522297495183360")</f>
        <v>0</v>
      </c>
      <c r="B1832" s="2">
        <v>42598.5105671296</v>
      </c>
      <c r="C1832">
        <v>63</v>
      </c>
      <c r="D1832">
        <v>21</v>
      </c>
      <c r="E1832" t="s">
        <v>1819</v>
      </c>
    </row>
    <row r="1833" spans="1:5">
      <c r="A1833">
        <f>HYPERLINK("http://www.twitter.com/NYPDnews/status/765518624308228096", "765518624308228096")</f>
        <v>0</v>
      </c>
      <c r="B1833" s="2">
        <v>42598.5004282407</v>
      </c>
      <c r="C1833">
        <v>32</v>
      </c>
      <c r="D1833">
        <v>60</v>
      </c>
      <c r="E1833" t="s">
        <v>1820</v>
      </c>
    </row>
    <row r="1834" spans="1:5">
      <c r="A1834">
        <f>HYPERLINK("http://www.twitter.com/NYPDnews/status/765488339965345792", "765488339965345792")</f>
        <v>0</v>
      </c>
      <c r="B1834" s="2">
        <v>42598.4168518518</v>
      </c>
      <c r="C1834">
        <v>61</v>
      </c>
      <c r="D1834">
        <v>50</v>
      </c>
      <c r="E1834" t="s">
        <v>1821</v>
      </c>
    </row>
    <row r="1835" spans="1:5">
      <c r="A1835">
        <f>HYPERLINK("http://www.twitter.com/NYPDnews/status/765353667318996992", "765353667318996992")</f>
        <v>0</v>
      </c>
      <c r="B1835" s="2">
        <v>42598.0452314815</v>
      </c>
      <c r="C1835">
        <v>58</v>
      </c>
      <c r="D1835">
        <v>30</v>
      </c>
      <c r="E1835" t="s">
        <v>1822</v>
      </c>
    </row>
    <row r="1836" spans="1:5">
      <c r="A1836">
        <f>HYPERLINK("http://www.twitter.com/NYPDnews/status/765342355591467008", "765342355591467008")</f>
        <v>0</v>
      </c>
      <c r="B1836" s="2">
        <v>42598.0140162037</v>
      </c>
      <c r="C1836">
        <v>71</v>
      </c>
      <c r="D1836">
        <v>20</v>
      </c>
      <c r="E1836" t="s">
        <v>1823</v>
      </c>
    </row>
    <row r="1837" spans="1:5">
      <c r="A1837">
        <f>HYPERLINK("http://www.twitter.com/NYPDnews/status/765322491258601477", "765322491258601477")</f>
        <v>0</v>
      </c>
      <c r="B1837" s="2">
        <v>42597.9592013889</v>
      </c>
      <c r="C1837">
        <v>196</v>
      </c>
      <c r="D1837">
        <v>103</v>
      </c>
      <c r="E1837" t="s">
        <v>1824</v>
      </c>
    </row>
    <row r="1838" spans="1:5">
      <c r="A1838">
        <f>HYPERLINK("http://www.twitter.com/NYPDnews/status/765309204823470080", "765309204823470080")</f>
        <v>0</v>
      </c>
      <c r="B1838" s="2">
        <v>42597.9225347222</v>
      </c>
      <c r="C1838">
        <v>35</v>
      </c>
      <c r="D1838">
        <v>22</v>
      </c>
      <c r="E1838" t="s">
        <v>1825</v>
      </c>
    </row>
    <row r="1839" spans="1:5">
      <c r="A1839">
        <f>HYPERLINK("http://www.twitter.com/NYPDnews/status/765307542549434368", "765307542549434368")</f>
        <v>0</v>
      </c>
      <c r="B1839" s="2">
        <v>42597.9179513889</v>
      </c>
      <c r="C1839">
        <v>9</v>
      </c>
      <c r="D1839">
        <v>9</v>
      </c>
      <c r="E1839" t="s">
        <v>1826</v>
      </c>
    </row>
    <row r="1840" spans="1:5">
      <c r="A1840">
        <f>HYPERLINK("http://www.twitter.com/NYPDnews/status/765216112845975554", "765216112845975554")</f>
        <v>0</v>
      </c>
      <c r="B1840" s="2">
        <v>42597.6656481481</v>
      </c>
      <c r="C1840">
        <v>32</v>
      </c>
      <c r="D1840">
        <v>13</v>
      </c>
      <c r="E1840" t="s">
        <v>1827</v>
      </c>
    </row>
    <row r="1841" spans="1:5">
      <c r="A1841">
        <f>HYPERLINK("http://www.twitter.com/NYPDnews/status/765213731424989184", "765213731424989184")</f>
        <v>0</v>
      </c>
      <c r="B1841" s="2">
        <v>42597.6590856481</v>
      </c>
      <c r="C1841">
        <v>133</v>
      </c>
      <c r="D1841">
        <v>40</v>
      </c>
      <c r="E1841" t="s">
        <v>1828</v>
      </c>
    </row>
    <row r="1842" spans="1:5">
      <c r="A1842">
        <f>HYPERLINK("http://www.twitter.com/NYPDnews/status/765210585642434560", "765210585642434560")</f>
        <v>0</v>
      </c>
      <c r="B1842" s="2">
        <v>42597.6504050926</v>
      </c>
      <c r="C1842">
        <v>58</v>
      </c>
      <c r="D1842">
        <v>26</v>
      </c>
      <c r="E1842" t="s">
        <v>1829</v>
      </c>
    </row>
    <row r="1843" spans="1:5">
      <c r="A1843">
        <f>HYPERLINK("http://www.twitter.com/NYPDnews/status/765208721907679232", "765208721907679232")</f>
        <v>0</v>
      </c>
      <c r="B1843" s="2">
        <v>42597.6452546296</v>
      </c>
      <c r="C1843">
        <v>99</v>
      </c>
      <c r="D1843">
        <v>36</v>
      </c>
      <c r="E1843" t="s">
        <v>1830</v>
      </c>
    </row>
    <row r="1844" spans="1:5">
      <c r="A1844">
        <f>HYPERLINK("http://www.twitter.com/NYPDnews/status/765208093429030912", "765208093429030912")</f>
        <v>0</v>
      </c>
      <c r="B1844" s="2">
        <v>42597.6435300926</v>
      </c>
      <c r="C1844">
        <v>0</v>
      </c>
      <c r="D1844">
        <v>34</v>
      </c>
      <c r="E1844" t="s">
        <v>1831</v>
      </c>
    </row>
    <row r="1845" spans="1:5">
      <c r="A1845">
        <f>HYPERLINK("http://www.twitter.com/NYPDnews/status/765207145642098688", "765207145642098688")</f>
        <v>0</v>
      </c>
      <c r="B1845" s="2">
        <v>42597.6409143519</v>
      </c>
      <c r="C1845">
        <v>85</v>
      </c>
      <c r="D1845">
        <v>33</v>
      </c>
      <c r="E1845" t="s">
        <v>1832</v>
      </c>
    </row>
    <row r="1846" spans="1:5">
      <c r="A1846">
        <f>HYPERLINK("http://www.twitter.com/NYPDnews/status/765167450191175680", "765167450191175680")</f>
        <v>0</v>
      </c>
      <c r="B1846" s="2">
        <v>42597.5313657407</v>
      </c>
      <c r="C1846">
        <v>68</v>
      </c>
      <c r="D1846">
        <v>25</v>
      </c>
      <c r="E1846" t="s">
        <v>1833</v>
      </c>
    </row>
    <row r="1847" spans="1:5">
      <c r="A1847">
        <f>HYPERLINK("http://www.twitter.com/NYPDnews/status/765163713108344832", "765163713108344832")</f>
        <v>0</v>
      </c>
      <c r="B1847" s="2">
        <v>42597.5210532407</v>
      </c>
      <c r="C1847">
        <v>22</v>
      </c>
      <c r="D1847">
        <v>62</v>
      </c>
      <c r="E1847" t="s">
        <v>1834</v>
      </c>
    </row>
    <row r="1848" spans="1:5">
      <c r="A1848">
        <f>HYPERLINK("http://www.twitter.com/NYPDnews/status/765159931641204736", "765159931641204736")</f>
        <v>0</v>
      </c>
      <c r="B1848" s="2">
        <v>42597.510625</v>
      </c>
      <c r="C1848">
        <v>138</v>
      </c>
      <c r="D1848">
        <v>57</v>
      </c>
      <c r="E1848" t="s">
        <v>1835</v>
      </c>
    </row>
    <row r="1849" spans="1:5">
      <c r="A1849">
        <f>HYPERLINK("http://www.twitter.com/NYPDnews/status/765156471009120256", "765156471009120256")</f>
        <v>0</v>
      </c>
      <c r="B1849" s="2">
        <v>42597.5010763889</v>
      </c>
      <c r="C1849">
        <v>14</v>
      </c>
      <c r="D1849">
        <v>30</v>
      </c>
      <c r="E1849" t="s">
        <v>1836</v>
      </c>
    </row>
    <row r="1850" spans="1:5">
      <c r="A1850">
        <f>HYPERLINK("http://www.twitter.com/NYPDnews/status/765153036268367874", "765153036268367874")</f>
        <v>0</v>
      </c>
      <c r="B1850" s="2">
        <v>42597.4915972222</v>
      </c>
      <c r="C1850">
        <v>0</v>
      </c>
      <c r="D1850">
        <v>26</v>
      </c>
      <c r="E1850" t="s">
        <v>1837</v>
      </c>
    </row>
    <row r="1851" spans="1:5">
      <c r="A1851">
        <f>HYPERLINK("http://www.twitter.com/NYPDnews/status/764990050333560832", "764990050333560832")</f>
        <v>0</v>
      </c>
      <c r="B1851" s="2">
        <v>42597.0418402778</v>
      </c>
      <c r="C1851">
        <v>48</v>
      </c>
      <c r="D1851">
        <v>106</v>
      </c>
      <c r="E1851" t="s">
        <v>1838</v>
      </c>
    </row>
    <row r="1852" spans="1:5">
      <c r="A1852">
        <f>HYPERLINK("http://www.twitter.com/NYPDnews/status/764974984951365632", "764974984951365632")</f>
        <v>0</v>
      </c>
      <c r="B1852" s="2">
        <v>42597.0002662037</v>
      </c>
      <c r="C1852">
        <v>70</v>
      </c>
      <c r="D1852">
        <v>53</v>
      </c>
      <c r="E1852" t="s">
        <v>1839</v>
      </c>
    </row>
    <row r="1853" spans="1:5">
      <c r="A1853">
        <f>HYPERLINK("http://www.twitter.com/NYPDnews/status/764969421655924736", "764969421655924736")</f>
        <v>0</v>
      </c>
      <c r="B1853" s="2">
        <v>42596.9849189815</v>
      </c>
      <c r="C1853">
        <v>0</v>
      </c>
      <c r="D1853">
        <v>62</v>
      </c>
      <c r="E1853" t="s">
        <v>1840</v>
      </c>
    </row>
    <row r="1854" spans="1:5">
      <c r="A1854">
        <f>HYPERLINK("http://www.twitter.com/NYPDnews/status/764893125437448193", "764893125437448193")</f>
        <v>0</v>
      </c>
      <c r="B1854" s="2">
        <v>42596.774375</v>
      </c>
      <c r="C1854">
        <v>116</v>
      </c>
      <c r="D1854">
        <v>41</v>
      </c>
      <c r="E1854" t="s">
        <v>1841</v>
      </c>
    </row>
    <row r="1855" spans="1:5">
      <c r="A1855">
        <f>HYPERLINK("http://www.twitter.com/NYPDnews/status/764876726941970432", "764876726941970432")</f>
        <v>0</v>
      </c>
      <c r="B1855" s="2">
        <v>42596.7291319444</v>
      </c>
      <c r="C1855">
        <v>137</v>
      </c>
      <c r="D1855">
        <v>49</v>
      </c>
      <c r="E1855" t="s">
        <v>1842</v>
      </c>
    </row>
    <row r="1856" spans="1:5">
      <c r="A1856">
        <f>HYPERLINK("http://www.twitter.com/NYPDnews/status/764855390647574532", "764855390647574532")</f>
        <v>0</v>
      </c>
      <c r="B1856" s="2">
        <v>42596.6702546296</v>
      </c>
      <c r="C1856">
        <v>33</v>
      </c>
      <c r="D1856">
        <v>105</v>
      </c>
      <c r="E1856" t="s">
        <v>1838</v>
      </c>
    </row>
    <row r="1857" spans="1:5">
      <c r="A1857">
        <f>HYPERLINK("http://www.twitter.com/NYPDnews/status/764851636351148033", "764851636351148033")</f>
        <v>0</v>
      </c>
      <c r="B1857" s="2">
        <v>42596.6598958333</v>
      </c>
      <c r="C1857">
        <v>100</v>
      </c>
      <c r="D1857">
        <v>73</v>
      </c>
      <c r="E1857" t="s">
        <v>1843</v>
      </c>
    </row>
    <row r="1858" spans="1:5">
      <c r="A1858">
        <f>HYPERLINK("http://www.twitter.com/NYPDnews/status/764844511663128576", "764844511663128576")</f>
        <v>0</v>
      </c>
      <c r="B1858" s="2">
        <v>42596.6402314815</v>
      </c>
      <c r="C1858">
        <v>0</v>
      </c>
      <c r="D1858">
        <v>30</v>
      </c>
      <c r="E1858" t="s">
        <v>1844</v>
      </c>
    </row>
    <row r="1859" spans="1:5">
      <c r="A1859">
        <f>HYPERLINK("http://www.twitter.com/NYPDnews/status/764839144308764673", "764839144308764673")</f>
        <v>0</v>
      </c>
      <c r="B1859" s="2">
        <v>42596.6254166667</v>
      </c>
      <c r="C1859">
        <v>24</v>
      </c>
      <c r="D1859">
        <v>14</v>
      </c>
      <c r="E1859" t="s">
        <v>1845</v>
      </c>
    </row>
    <row r="1860" spans="1:5">
      <c r="A1860">
        <f>HYPERLINK("http://www.twitter.com/NYPDnews/status/764811348043857920", "764811348043857920")</f>
        <v>0</v>
      </c>
      <c r="B1860" s="2">
        <v>42596.5487152778</v>
      </c>
      <c r="C1860">
        <v>47</v>
      </c>
      <c r="D1860">
        <v>86</v>
      </c>
      <c r="E1860" t="s">
        <v>1846</v>
      </c>
    </row>
    <row r="1861" spans="1:5">
      <c r="A1861">
        <f>HYPERLINK("http://www.twitter.com/NYPDnews/status/764802532552081408", "764802532552081408")</f>
        <v>0</v>
      </c>
      <c r="B1861" s="2">
        <v>42596.5243865741</v>
      </c>
      <c r="C1861">
        <v>70</v>
      </c>
      <c r="D1861">
        <v>24</v>
      </c>
      <c r="E1861" t="s">
        <v>1847</v>
      </c>
    </row>
    <row r="1862" spans="1:5">
      <c r="A1862">
        <f>HYPERLINK("http://www.twitter.com/NYPDnews/status/764798530028498944", "764798530028498944")</f>
        <v>0</v>
      </c>
      <c r="B1862" s="2">
        <v>42596.5133449074</v>
      </c>
      <c r="C1862">
        <v>0</v>
      </c>
      <c r="D1862">
        <v>164</v>
      </c>
      <c r="E1862" t="s">
        <v>1848</v>
      </c>
    </row>
    <row r="1863" spans="1:5">
      <c r="A1863">
        <f>HYPERLINK("http://www.twitter.com/NYPDnews/status/764609930368323584", "764609930368323584")</f>
        <v>0</v>
      </c>
      <c r="B1863" s="2">
        <v>42595.9929050926</v>
      </c>
      <c r="C1863">
        <v>19</v>
      </c>
      <c r="D1863">
        <v>32</v>
      </c>
      <c r="E1863" t="s">
        <v>1849</v>
      </c>
    </row>
    <row r="1864" spans="1:5">
      <c r="A1864">
        <f>HYPERLINK("http://www.twitter.com/NYPDnews/status/764597481657212928", "764597481657212928")</f>
        <v>0</v>
      </c>
      <c r="B1864" s="2">
        <v>42595.9585532407</v>
      </c>
      <c r="C1864">
        <v>31</v>
      </c>
      <c r="D1864">
        <v>46</v>
      </c>
      <c r="E1864" t="s">
        <v>1850</v>
      </c>
    </row>
    <row r="1865" spans="1:5">
      <c r="A1865">
        <f>HYPERLINK("http://www.twitter.com/NYPDnews/status/764568783130329089", "764568783130329089")</f>
        <v>0</v>
      </c>
      <c r="B1865" s="2">
        <v>42595.8793634259</v>
      </c>
      <c r="C1865">
        <v>0</v>
      </c>
      <c r="D1865">
        <v>19</v>
      </c>
      <c r="E1865" t="s">
        <v>1851</v>
      </c>
    </row>
    <row r="1866" spans="1:5">
      <c r="A1866">
        <f>HYPERLINK("http://www.twitter.com/NYPDnews/status/764526982092685312", "764526982092685312")</f>
        <v>0</v>
      </c>
      <c r="B1866" s="2">
        <v>42595.7640162037</v>
      </c>
      <c r="C1866">
        <v>32</v>
      </c>
      <c r="D1866">
        <v>11</v>
      </c>
      <c r="E1866" t="s">
        <v>1852</v>
      </c>
    </row>
    <row r="1867" spans="1:5">
      <c r="A1867">
        <f>HYPERLINK("http://www.twitter.com/NYPDnews/status/764508960552615936", "764508960552615936")</f>
        <v>0</v>
      </c>
      <c r="B1867" s="2">
        <v>42595.7142824074</v>
      </c>
      <c r="C1867">
        <v>25</v>
      </c>
      <c r="D1867">
        <v>28</v>
      </c>
      <c r="E1867" t="s">
        <v>1853</v>
      </c>
    </row>
    <row r="1868" spans="1:5">
      <c r="A1868">
        <f>HYPERLINK("http://www.twitter.com/NYPDnews/status/764479171955453952", "764479171955453952")</f>
        <v>0</v>
      </c>
      <c r="B1868" s="2">
        <v>42595.6320833333</v>
      </c>
      <c r="C1868">
        <v>24</v>
      </c>
      <c r="D1868">
        <v>60</v>
      </c>
      <c r="E1868" t="s">
        <v>1854</v>
      </c>
    </row>
    <row r="1869" spans="1:5">
      <c r="A1869">
        <f>HYPERLINK("http://www.twitter.com/NYPDnews/status/764450223322177536", "764450223322177536")</f>
        <v>0</v>
      </c>
      <c r="B1869" s="2">
        <v>42595.5521990741</v>
      </c>
      <c r="C1869">
        <v>30</v>
      </c>
      <c r="D1869">
        <v>21</v>
      </c>
      <c r="E1869" t="s">
        <v>1855</v>
      </c>
    </row>
    <row r="1870" spans="1:5">
      <c r="A1870">
        <f>HYPERLINK("http://www.twitter.com/NYPDnews/status/764431594660724736", "764431594660724736")</f>
        <v>0</v>
      </c>
      <c r="B1870" s="2">
        <v>42595.5007986111</v>
      </c>
      <c r="C1870">
        <v>32</v>
      </c>
      <c r="D1870">
        <v>21</v>
      </c>
      <c r="E1870" t="s">
        <v>1856</v>
      </c>
    </row>
    <row r="1871" spans="1:5">
      <c r="A1871">
        <f>HYPERLINK("http://www.twitter.com/NYPDnews/status/764250282108784641", "764250282108784641")</f>
        <v>0</v>
      </c>
      <c r="B1871" s="2">
        <v>42595.000462963</v>
      </c>
      <c r="C1871">
        <v>74</v>
      </c>
      <c r="D1871">
        <v>130</v>
      </c>
      <c r="E1871" t="s">
        <v>1809</v>
      </c>
    </row>
    <row r="1872" spans="1:5">
      <c r="A1872">
        <f>HYPERLINK("http://www.twitter.com/NYPDnews/status/764228840239534080", "764228840239534080")</f>
        <v>0</v>
      </c>
      <c r="B1872" s="2">
        <v>42594.9412962963</v>
      </c>
      <c r="C1872">
        <v>0</v>
      </c>
      <c r="D1872">
        <v>101</v>
      </c>
      <c r="E1872" t="s">
        <v>1857</v>
      </c>
    </row>
    <row r="1873" spans="1:5">
      <c r="A1873">
        <f>HYPERLINK("http://www.twitter.com/NYPDnews/status/764192143669882880", "764192143669882880")</f>
        <v>0</v>
      </c>
      <c r="B1873" s="2">
        <v>42594.8400347222</v>
      </c>
      <c r="C1873">
        <v>102</v>
      </c>
      <c r="D1873">
        <v>32</v>
      </c>
      <c r="E1873" t="s">
        <v>1858</v>
      </c>
    </row>
    <row r="1874" spans="1:5">
      <c r="A1874">
        <f>HYPERLINK("http://www.twitter.com/NYPDnews/status/764134386581270528", "764134386581270528")</f>
        <v>0</v>
      </c>
      <c r="B1874" s="2">
        <v>42594.6806597222</v>
      </c>
      <c r="C1874">
        <v>33</v>
      </c>
      <c r="D1874">
        <v>43</v>
      </c>
      <c r="E1874" t="s">
        <v>1859</v>
      </c>
    </row>
    <row r="1875" spans="1:5">
      <c r="A1875">
        <f>HYPERLINK("http://www.twitter.com/NYPDnews/status/764089087925948417", "764089087925948417")</f>
        <v>0</v>
      </c>
      <c r="B1875" s="2">
        <v>42594.5556597222</v>
      </c>
      <c r="C1875">
        <v>33</v>
      </c>
      <c r="D1875">
        <v>16</v>
      </c>
      <c r="E1875" t="s">
        <v>1860</v>
      </c>
    </row>
    <row r="1876" spans="1:5">
      <c r="A1876">
        <f>HYPERLINK("http://www.twitter.com/NYPDnews/status/764080320081567745", "764080320081567745")</f>
        <v>0</v>
      </c>
      <c r="B1876" s="2">
        <v>42594.5314583333</v>
      </c>
      <c r="C1876">
        <v>22</v>
      </c>
      <c r="D1876">
        <v>71</v>
      </c>
      <c r="E1876" t="s">
        <v>1861</v>
      </c>
    </row>
    <row r="1877" spans="1:5">
      <c r="A1877">
        <f>HYPERLINK("http://www.twitter.com/NYPDnews/status/764076534319554560", "764076534319554560")</f>
        <v>0</v>
      </c>
      <c r="B1877" s="2">
        <v>42594.5210185185</v>
      </c>
      <c r="C1877">
        <v>18</v>
      </c>
      <c r="D1877">
        <v>10</v>
      </c>
      <c r="E1877" t="s">
        <v>1862</v>
      </c>
    </row>
    <row r="1878" spans="1:5">
      <c r="A1878">
        <f>HYPERLINK("http://www.twitter.com/NYPDnews/status/764072939129937920", "764072939129937920")</f>
        <v>0</v>
      </c>
      <c r="B1878" s="2">
        <v>42594.511099537</v>
      </c>
      <c r="C1878">
        <v>0</v>
      </c>
      <c r="D1878">
        <v>23</v>
      </c>
      <c r="E1878" t="s">
        <v>1863</v>
      </c>
    </row>
    <row r="1879" spans="1:5">
      <c r="A1879">
        <f>HYPERLINK("http://www.twitter.com/NYPDnews/status/764069203921936384", "764069203921936384")</f>
        <v>0</v>
      </c>
      <c r="B1879" s="2">
        <v>42594.500787037</v>
      </c>
      <c r="C1879">
        <v>11</v>
      </c>
      <c r="D1879">
        <v>25</v>
      </c>
      <c r="E1879" t="s">
        <v>1864</v>
      </c>
    </row>
    <row r="1880" spans="1:5">
      <c r="A1880">
        <f>HYPERLINK("http://www.twitter.com/NYPDnews/status/763923360761774080", "763923360761774080")</f>
        <v>0</v>
      </c>
      <c r="B1880" s="2">
        <v>42594.0983333333</v>
      </c>
      <c r="C1880">
        <v>0</v>
      </c>
      <c r="D1880">
        <v>73</v>
      </c>
      <c r="E1880" t="s">
        <v>1865</v>
      </c>
    </row>
    <row r="1881" spans="1:5">
      <c r="A1881">
        <f>HYPERLINK("http://www.twitter.com/NYPDnews/status/763858825237651456", "763858825237651456")</f>
        <v>0</v>
      </c>
      <c r="B1881" s="2">
        <v>42593.9202546296</v>
      </c>
      <c r="C1881">
        <v>125</v>
      </c>
      <c r="D1881">
        <v>64</v>
      </c>
      <c r="E1881" t="s">
        <v>1866</v>
      </c>
    </row>
    <row r="1882" spans="1:5">
      <c r="A1882">
        <f>HYPERLINK("http://www.twitter.com/NYPDnews/status/763834854685442048", "763834854685442048")</f>
        <v>0</v>
      </c>
      <c r="B1882" s="2">
        <v>42593.8541087963</v>
      </c>
      <c r="C1882">
        <v>0</v>
      </c>
      <c r="D1882">
        <v>32</v>
      </c>
      <c r="E1882" t="s">
        <v>1867</v>
      </c>
    </row>
    <row r="1883" spans="1:5">
      <c r="A1883">
        <f>HYPERLINK("http://www.twitter.com/NYPDnews/status/763799989336281088", "763799989336281088")</f>
        <v>0</v>
      </c>
      <c r="B1883" s="2">
        <v>42593.7578935185</v>
      </c>
      <c r="C1883">
        <v>0</v>
      </c>
      <c r="D1883">
        <v>16</v>
      </c>
      <c r="E1883" t="s">
        <v>1868</v>
      </c>
    </row>
    <row r="1884" spans="1:5">
      <c r="A1884">
        <f>HYPERLINK("http://www.twitter.com/NYPDnews/status/763778388523909120", "763778388523909120")</f>
        <v>0</v>
      </c>
      <c r="B1884" s="2">
        <v>42593.698287037</v>
      </c>
      <c r="C1884">
        <v>42</v>
      </c>
      <c r="D1884">
        <v>59</v>
      </c>
      <c r="E1884" t="s">
        <v>1869</v>
      </c>
    </row>
    <row r="1885" spans="1:5">
      <c r="A1885">
        <f>HYPERLINK("http://www.twitter.com/NYPDnews/status/763718193873575936", "763718193873575936")</f>
        <v>0</v>
      </c>
      <c r="B1885" s="2">
        <v>42593.5321875</v>
      </c>
      <c r="C1885">
        <v>35</v>
      </c>
      <c r="D1885">
        <v>21</v>
      </c>
      <c r="E1885" t="s">
        <v>1870</v>
      </c>
    </row>
    <row r="1886" spans="1:5">
      <c r="A1886">
        <f>HYPERLINK("http://www.twitter.com/NYPDnews/status/763714153886474240", "763714153886474240")</f>
        <v>0</v>
      </c>
      <c r="B1886" s="2">
        <v>42593.5210416667</v>
      </c>
      <c r="C1886">
        <v>19</v>
      </c>
      <c r="D1886">
        <v>76</v>
      </c>
      <c r="E1886" t="s">
        <v>1871</v>
      </c>
    </row>
    <row r="1887" spans="1:5">
      <c r="A1887">
        <f>HYPERLINK("http://www.twitter.com/NYPDnews/status/763710359115067392", "763710359115067392")</f>
        <v>0</v>
      </c>
      <c r="B1887" s="2">
        <v>42593.5105671296</v>
      </c>
      <c r="C1887">
        <v>21</v>
      </c>
      <c r="D1887">
        <v>11</v>
      </c>
      <c r="E1887" t="s">
        <v>1872</v>
      </c>
    </row>
    <row r="1888" spans="1:5">
      <c r="A1888">
        <f>HYPERLINK("http://www.twitter.com/NYPDnews/status/763706640109563904", "763706640109563904")</f>
        <v>0</v>
      </c>
      <c r="B1888" s="2">
        <v>42593.5003009259</v>
      </c>
      <c r="C1888">
        <v>24</v>
      </c>
      <c r="D1888">
        <v>61</v>
      </c>
      <c r="E1888" t="s">
        <v>1873</v>
      </c>
    </row>
    <row r="1889" spans="1:5">
      <c r="A1889">
        <f>HYPERLINK("http://www.twitter.com/NYPDnews/status/763701649177186304", "763701649177186304")</f>
        <v>0</v>
      </c>
      <c r="B1889" s="2">
        <v>42593.4865277778</v>
      </c>
      <c r="C1889">
        <v>0</v>
      </c>
      <c r="D1889">
        <v>49</v>
      </c>
      <c r="E1889" t="s">
        <v>1874</v>
      </c>
    </row>
    <row r="1890" spans="1:5">
      <c r="A1890">
        <f>HYPERLINK("http://www.twitter.com/NYPDnews/status/763555558184058880", "763555558184058880")</f>
        <v>0</v>
      </c>
      <c r="B1890" s="2">
        <v>42593.0833912037</v>
      </c>
      <c r="C1890">
        <v>201</v>
      </c>
      <c r="D1890">
        <v>93</v>
      </c>
      <c r="E1890" t="s">
        <v>1875</v>
      </c>
    </row>
    <row r="1891" spans="1:5">
      <c r="A1891">
        <f>HYPERLINK("http://www.twitter.com/NYPDnews/status/763550529360396288", "763550529360396288")</f>
        <v>0</v>
      </c>
      <c r="B1891" s="2">
        <v>42593.0695138889</v>
      </c>
      <c r="C1891">
        <v>72</v>
      </c>
      <c r="D1891">
        <v>169</v>
      </c>
      <c r="E1891" t="s">
        <v>1809</v>
      </c>
    </row>
    <row r="1892" spans="1:5">
      <c r="A1892">
        <f>HYPERLINK("http://www.twitter.com/NYPDnews/status/763534180697378817", "763534180697378817")</f>
        <v>0</v>
      </c>
      <c r="B1892" s="2">
        <v>42593.0244097222</v>
      </c>
      <c r="C1892">
        <v>20</v>
      </c>
      <c r="D1892">
        <v>49</v>
      </c>
      <c r="E1892" t="s">
        <v>1876</v>
      </c>
    </row>
    <row r="1893" spans="1:5">
      <c r="A1893">
        <f>HYPERLINK("http://www.twitter.com/NYPDnews/status/763525555899817985", "763525555899817985")</f>
        <v>0</v>
      </c>
      <c r="B1893" s="2">
        <v>42593.0006018519</v>
      </c>
      <c r="C1893">
        <v>46</v>
      </c>
      <c r="D1893">
        <v>18</v>
      </c>
      <c r="E1893" t="s">
        <v>1877</v>
      </c>
    </row>
    <row r="1894" spans="1:5">
      <c r="A1894">
        <f>HYPERLINK("http://www.twitter.com/NYPDnews/status/763505565607796741", "763505565607796741")</f>
        <v>0</v>
      </c>
      <c r="B1894" s="2">
        <v>42592.9454398148</v>
      </c>
      <c r="C1894">
        <v>330</v>
      </c>
      <c r="D1894">
        <v>198</v>
      </c>
      <c r="E1894" t="s">
        <v>1878</v>
      </c>
    </row>
    <row r="1895" spans="1:5">
      <c r="A1895">
        <f>HYPERLINK("http://www.twitter.com/NYPDnews/status/763500394421125121", "763500394421125121")</f>
        <v>0</v>
      </c>
      <c r="B1895" s="2">
        <v>42592.9311689815</v>
      </c>
      <c r="C1895">
        <v>231</v>
      </c>
      <c r="D1895">
        <v>139</v>
      </c>
      <c r="E1895" t="s">
        <v>1879</v>
      </c>
    </row>
    <row r="1896" spans="1:5">
      <c r="A1896">
        <f>HYPERLINK("http://www.twitter.com/NYPDnews/status/763497310273859586", "763497310273859586")</f>
        <v>0</v>
      </c>
      <c r="B1896" s="2">
        <v>42592.922662037</v>
      </c>
      <c r="C1896">
        <v>0</v>
      </c>
      <c r="D1896">
        <v>146</v>
      </c>
      <c r="E1896" t="s">
        <v>1880</v>
      </c>
    </row>
    <row r="1897" spans="1:5">
      <c r="A1897">
        <f>HYPERLINK("http://www.twitter.com/NYPDnews/status/763488120960454656", "763488120960454656")</f>
        <v>0</v>
      </c>
      <c r="B1897" s="2">
        <v>42592.8973032407</v>
      </c>
      <c r="C1897">
        <v>0</v>
      </c>
      <c r="D1897">
        <v>246</v>
      </c>
      <c r="E1897" t="s">
        <v>1881</v>
      </c>
    </row>
    <row r="1898" spans="1:5">
      <c r="A1898">
        <f>HYPERLINK("http://www.twitter.com/NYPDnews/status/763485436404703232", "763485436404703232")</f>
        <v>0</v>
      </c>
      <c r="B1898" s="2">
        <v>42592.8898958333</v>
      </c>
      <c r="C1898">
        <v>99</v>
      </c>
      <c r="D1898">
        <v>123</v>
      </c>
      <c r="E1898" t="s">
        <v>1882</v>
      </c>
    </row>
    <row r="1899" spans="1:5">
      <c r="A1899">
        <f>HYPERLINK("http://www.twitter.com/NYPDnews/status/763483851637358592", "763483851637358592")</f>
        <v>0</v>
      </c>
      <c r="B1899" s="2">
        <v>42592.8855208333</v>
      </c>
      <c r="C1899">
        <v>19</v>
      </c>
      <c r="D1899">
        <v>9</v>
      </c>
      <c r="E1899" t="s">
        <v>1883</v>
      </c>
    </row>
    <row r="1900" spans="1:5">
      <c r="A1900">
        <f>HYPERLINK("http://www.twitter.com/NYPDnews/status/763462464595955712", "763462464595955712")</f>
        <v>0</v>
      </c>
      <c r="B1900" s="2">
        <v>42592.8265046296</v>
      </c>
      <c r="C1900">
        <v>56</v>
      </c>
      <c r="D1900">
        <v>21</v>
      </c>
      <c r="E1900" t="s">
        <v>1884</v>
      </c>
    </row>
    <row r="1901" spans="1:5">
      <c r="A1901">
        <f>HYPERLINK("http://www.twitter.com/NYPDnews/status/763405162551664641", "763405162551664641")</f>
        <v>0</v>
      </c>
      <c r="B1901" s="2">
        <v>42592.6683796296</v>
      </c>
      <c r="C1901">
        <v>0</v>
      </c>
      <c r="D1901">
        <v>30</v>
      </c>
      <c r="E1901" t="s">
        <v>1885</v>
      </c>
    </row>
    <row r="1902" spans="1:5">
      <c r="A1902">
        <f>HYPERLINK("http://www.twitter.com/NYPDnews/status/763402660296986624", "763402660296986624")</f>
        <v>0</v>
      </c>
      <c r="B1902" s="2">
        <v>42592.6614814815</v>
      </c>
      <c r="C1902">
        <v>0</v>
      </c>
      <c r="D1902">
        <v>25</v>
      </c>
      <c r="E1902" t="s">
        <v>1886</v>
      </c>
    </row>
    <row r="1903" spans="1:5">
      <c r="A1903">
        <f>HYPERLINK("http://www.twitter.com/NYPDnews/status/763356629307883520", "763356629307883520")</f>
        <v>0</v>
      </c>
      <c r="B1903" s="2">
        <v>42592.5344560185</v>
      </c>
      <c r="C1903">
        <v>53</v>
      </c>
      <c r="D1903">
        <v>113</v>
      </c>
      <c r="E1903" t="s">
        <v>1887</v>
      </c>
    </row>
    <row r="1904" spans="1:5">
      <c r="A1904">
        <f>HYPERLINK("http://www.twitter.com/NYPDnews/status/763351763927916582", "763351763927916582")</f>
        <v>0</v>
      </c>
      <c r="B1904" s="2">
        <v>42592.5210300926</v>
      </c>
      <c r="C1904">
        <v>37</v>
      </c>
      <c r="D1904">
        <v>14</v>
      </c>
      <c r="E1904" t="s">
        <v>1888</v>
      </c>
    </row>
    <row r="1905" spans="1:5">
      <c r="A1905">
        <f>HYPERLINK("http://www.twitter.com/NYPDnews/status/763347960776327174", "763347960776327174")</f>
        <v>0</v>
      </c>
      <c r="B1905" s="2">
        <v>42592.5105324074</v>
      </c>
      <c r="C1905">
        <v>82</v>
      </c>
      <c r="D1905">
        <v>28</v>
      </c>
      <c r="E1905" t="s">
        <v>1889</v>
      </c>
    </row>
    <row r="1906" spans="1:5">
      <c r="A1906">
        <f>HYPERLINK("http://www.twitter.com/NYPDnews/status/763344253951078400", "763344253951078400")</f>
        <v>0</v>
      </c>
      <c r="B1906" s="2">
        <v>42592.5003125</v>
      </c>
      <c r="C1906">
        <v>38</v>
      </c>
      <c r="D1906">
        <v>56</v>
      </c>
      <c r="E1906" t="s">
        <v>1890</v>
      </c>
    </row>
    <row r="1907" spans="1:5">
      <c r="A1907">
        <f>HYPERLINK("http://www.twitter.com/NYPDnews/status/763182289228599296", "763182289228599296")</f>
        <v>0</v>
      </c>
      <c r="B1907" s="2">
        <v>42592.0533680556</v>
      </c>
      <c r="C1907">
        <v>100</v>
      </c>
      <c r="D1907">
        <v>150</v>
      </c>
      <c r="E1907" t="s">
        <v>1809</v>
      </c>
    </row>
    <row r="1908" spans="1:5">
      <c r="A1908">
        <f>HYPERLINK("http://www.twitter.com/NYPDnews/status/763157434160541696", "763157434160541696")</f>
        <v>0</v>
      </c>
      <c r="B1908" s="2">
        <v>42591.9847800926</v>
      </c>
      <c r="C1908">
        <v>45</v>
      </c>
      <c r="D1908">
        <v>24</v>
      </c>
      <c r="E1908" t="s">
        <v>1891</v>
      </c>
    </row>
    <row r="1909" spans="1:5">
      <c r="A1909">
        <f>HYPERLINK("http://www.twitter.com/NYPDnews/status/763125245834321921", "763125245834321921")</f>
        <v>0</v>
      </c>
      <c r="B1909" s="2">
        <v>42591.8959606482</v>
      </c>
      <c r="C1909">
        <v>38</v>
      </c>
      <c r="D1909">
        <v>16</v>
      </c>
      <c r="E1909" t="s">
        <v>1892</v>
      </c>
    </row>
    <row r="1910" spans="1:5">
      <c r="A1910">
        <f>HYPERLINK("http://www.twitter.com/NYPDnews/status/763084540411772929", "763084540411772929")</f>
        <v>0</v>
      </c>
      <c r="B1910" s="2">
        <v>42591.7836342593</v>
      </c>
      <c r="C1910">
        <v>0</v>
      </c>
      <c r="D1910">
        <v>29</v>
      </c>
      <c r="E1910" t="s">
        <v>1893</v>
      </c>
    </row>
    <row r="1911" spans="1:5">
      <c r="A1911">
        <f>HYPERLINK("http://www.twitter.com/NYPDnews/status/763046020456513536", "763046020456513536")</f>
        <v>0</v>
      </c>
      <c r="B1911" s="2">
        <v>42591.677337963</v>
      </c>
      <c r="C1911">
        <v>32</v>
      </c>
      <c r="D1911">
        <v>24</v>
      </c>
      <c r="E1911" t="s">
        <v>1894</v>
      </c>
    </row>
    <row r="1912" spans="1:5">
      <c r="A1912">
        <f>HYPERLINK("http://www.twitter.com/NYPDnews/status/762993127456137216", "762993127456137216")</f>
        <v>0</v>
      </c>
      <c r="B1912" s="2">
        <v>42591.5313773148</v>
      </c>
      <c r="C1912">
        <v>10</v>
      </c>
      <c r="D1912">
        <v>24</v>
      </c>
      <c r="E1912" t="s">
        <v>1895</v>
      </c>
    </row>
    <row r="1913" spans="1:5">
      <c r="A1913">
        <f>HYPERLINK("http://www.twitter.com/NYPDnews/status/762989365815549952", "762989365815549952")</f>
        <v>0</v>
      </c>
      <c r="B1913" s="2">
        <v>42591.5210069444</v>
      </c>
      <c r="C1913">
        <v>58</v>
      </c>
      <c r="D1913">
        <v>118</v>
      </c>
      <c r="E1913" t="s">
        <v>1896</v>
      </c>
    </row>
    <row r="1914" spans="1:5">
      <c r="A1914">
        <f>HYPERLINK("http://www.twitter.com/NYPDnews/status/762985563800629248", "762985563800629248")</f>
        <v>0</v>
      </c>
      <c r="B1914" s="2">
        <v>42591.5105092593</v>
      </c>
      <c r="C1914">
        <v>115</v>
      </c>
      <c r="D1914">
        <v>30</v>
      </c>
      <c r="E1914" t="s">
        <v>1897</v>
      </c>
    </row>
    <row r="1915" spans="1:5">
      <c r="A1915">
        <f>HYPERLINK("http://www.twitter.com/NYPDnews/status/762981870061678592", "762981870061678592")</f>
        <v>0</v>
      </c>
      <c r="B1915" s="2">
        <v>42591.5003125</v>
      </c>
      <c r="C1915">
        <v>7</v>
      </c>
      <c r="D1915">
        <v>23</v>
      </c>
      <c r="E1915" t="s">
        <v>1898</v>
      </c>
    </row>
    <row r="1916" spans="1:5">
      <c r="A1916">
        <f>HYPERLINK("http://www.twitter.com/NYPDnews/status/762961640434331652", "762961640434331652")</f>
        <v>0</v>
      </c>
      <c r="B1916" s="2">
        <v>42591.4444907407</v>
      </c>
      <c r="C1916">
        <v>43</v>
      </c>
      <c r="D1916">
        <v>29</v>
      </c>
      <c r="E1916" t="s">
        <v>1899</v>
      </c>
    </row>
    <row r="1917" spans="1:5">
      <c r="A1917">
        <f>HYPERLINK("http://www.twitter.com/NYPDnews/status/762804379892191236", "762804379892191236")</f>
        <v>0</v>
      </c>
      <c r="B1917" s="2">
        <v>42591.0105439815</v>
      </c>
      <c r="C1917">
        <v>121</v>
      </c>
      <c r="D1917">
        <v>36</v>
      </c>
      <c r="E1917" t="s">
        <v>1900</v>
      </c>
    </row>
    <row r="1918" spans="1:5">
      <c r="A1918">
        <f>HYPERLINK("http://www.twitter.com/NYPDnews/status/762785596045684736", "762785596045684736")</f>
        <v>0</v>
      </c>
      <c r="B1918" s="2">
        <v>42590.9587037037</v>
      </c>
      <c r="C1918">
        <v>42</v>
      </c>
      <c r="D1918">
        <v>18</v>
      </c>
      <c r="E1918" t="s">
        <v>1901</v>
      </c>
    </row>
    <row r="1919" spans="1:5">
      <c r="A1919">
        <f>HYPERLINK("http://www.twitter.com/NYPDnews/status/762755409040011264", "762755409040011264")</f>
        <v>0</v>
      </c>
      <c r="B1919" s="2">
        <v>42590.8754050926</v>
      </c>
      <c r="C1919">
        <v>16</v>
      </c>
      <c r="D1919">
        <v>6</v>
      </c>
      <c r="E1919" t="s">
        <v>1902</v>
      </c>
    </row>
    <row r="1920" spans="1:5">
      <c r="A1920">
        <f>HYPERLINK("http://www.twitter.com/NYPDnews/status/762726432426655745", "762726432426655745")</f>
        <v>0</v>
      </c>
      <c r="B1920" s="2">
        <v>42590.7954398148</v>
      </c>
      <c r="C1920">
        <v>0</v>
      </c>
      <c r="D1920">
        <v>30</v>
      </c>
      <c r="E1920" t="s">
        <v>1903</v>
      </c>
    </row>
    <row r="1921" spans="1:5">
      <c r="A1921">
        <f>HYPERLINK("http://www.twitter.com/NYPDnews/status/762714051256393728", "762714051256393728")</f>
        <v>0</v>
      </c>
      <c r="B1921" s="2">
        <v>42590.7612847222</v>
      </c>
      <c r="C1921">
        <v>0</v>
      </c>
      <c r="D1921">
        <v>13</v>
      </c>
      <c r="E1921" t="s">
        <v>1904</v>
      </c>
    </row>
    <row r="1922" spans="1:5">
      <c r="A1922">
        <f>HYPERLINK("http://www.twitter.com/NYPDnews/status/762672169205788672", "762672169205788672")</f>
        <v>0</v>
      </c>
      <c r="B1922" s="2">
        <v>42590.6457060185</v>
      </c>
      <c r="C1922">
        <v>85</v>
      </c>
      <c r="D1922">
        <v>25</v>
      </c>
      <c r="E1922" t="s">
        <v>1905</v>
      </c>
    </row>
    <row r="1923" spans="1:5">
      <c r="A1923">
        <f>HYPERLINK("http://www.twitter.com/NYPDnews/status/762630743797497857", "762630743797497857")</f>
        <v>0</v>
      </c>
      <c r="B1923" s="2">
        <v>42590.5313888889</v>
      </c>
      <c r="C1923">
        <v>113</v>
      </c>
      <c r="D1923">
        <v>220</v>
      </c>
      <c r="E1923" t="s">
        <v>1906</v>
      </c>
    </row>
    <row r="1924" spans="1:5">
      <c r="A1924">
        <f>HYPERLINK("http://www.twitter.com/NYPDnews/status/762628217966620672", "762628217966620672")</f>
        <v>0</v>
      </c>
      <c r="B1924" s="2">
        <v>42590.5244212963</v>
      </c>
      <c r="C1924">
        <v>17</v>
      </c>
      <c r="D1924">
        <v>12</v>
      </c>
      <c r="E1924" t="s">
        <v>1907</v>
      </c>
    </row>
    <row r="1925" spans="1:5">
      <c r="A1925">
        <f>HYPERLINK("http://www.twitter.com/NYPDnews/status/762623054614765568", "762623054614765568")</f>
        <v>0</v>
      </c>
      <c r="B1925" s="2">
        <v>42590.5101736111</v>
      </c>
      <c r="C1925">
        <v>0</v>
      </c>
      <c r="D1925">
        <v>31</v>
      </c>
      <c r="E1925" t="s">
        <v>1908</v>
      </c>
    </row>
    <row r="1926" spans="1:5">
      <c r="A1926">
        <f>HYPERLINK("http://www.twitter.com/NYPDnews/status/762619515645595649", "762619515645595649")</f>
        <v>0</v>
      </c>
      <c r="B1926" s="2">
        <v>42590.5004050926</v>
      </c>
      <c r="C1926">
        <v>18</v>
      </c>
      <c r="D1926">
        <v>42</v>
      </c>
      <c r="E1926" t="s">
        <v>1909</v>
      </c>
    </row>
    <row r="1927" spans="1:5">
      <c r="A1927">
        <f>HYPERLINK("http://www.twitter.com/NYPDnews/status/762436954000461824", "762436954000461824")</f>
        <v>0</v>
      </c>
      <c r="B1927" s="2">
        <v>42589.9966319444</v>
      </c>
      <c r="C1927">
        <v>138</v>
      </c>
      <c r="D1927">
        <v>32</v>
      </c>
      <c r="E1927" t="s">
        <v>1910</v>
      </c>
    </row>
    <row r="1928" spans="1:5">
      <c r="A1928">
        <f>HYPERLINK("http://www.twitter.com/NYPDnews/status/762426891168993284", "762426891168993284")</f>
        <v>0</v>
      </c>
      <c r="B1928" s="2">
        <v>42589.9688657407</v>
      </c>
      <c r="C1928">
        <v>4</v>
      </c>
      <c r="D1928">
        <v>6</v>
      </c>
      <c r="E1928" t="s">
        <v>1911</v>
      </c>
    </row>
    <row r="1929" spans="1:5">
      <c r="A1929">
        <f>HYPERLINK("http://www.twitter.com/NYPDnews/status/762387190097772544", "762387190097772544")</f>
        <v>0</v>
      </c>
      <c r="B1929" s="2">
        <v>42589.8593171296</v>
      </c>
      <c r="C1929">
        <v>92</v>
      </c>
      <c r="D1929">
        <v>42</v>
      </c>
      <c r="E1929" t="s">
        <v>1912</v>
      </c>
    </row>
    <row r="1930" spans="1:5">
      <c r="A1930">
        <f>HYPERLINK("http://www.twitter.com/NYPDnews/status/762302346726629377", "762302346726629377")</f>
        <v>0</v>
      </c>
      <c r="B1930" s="2">
        <v>42589.6251967593</v>
      </c>
      <c r="C1930">
        <v>0</v>
      </c>
      <c r="D1930">
        <v>264</v>
      </c>
      <c r="E1930" t="s">
        <v>1913</v>
      </c>
    </row>
    <row r="1931" spans="1:5">
      <c r="A1931">
        <f>HYPERLINK("http://www.twitter.com/NYPDnews/status/762287374168690688", "762287374168690688")</f>
        <v>0</v>
      </c>
      <c r="B1931" s="2">
        <v>42589.5838773148</v>
      </c>
      <c r="C1931">
        <v>46</v>
      </c>
      <c r="D1931">
        <v>15</v>
      </c>
      <c r="E1931" t="s">
        <v>1914</v>
      </c>
    </row>
    <row r="1932" spans="1:5">
      <c r="A1932">
        <f>HYPERLINK("http://www.twitter.com/NYPDnews/status/762284167778410496", "762284167778410496")</f>
        <v>0</v>
      </c>
      <c r="B1932" s="2">
        <v>42589.5750231482</v>
      </c>
      <c r="C1932">
        <v>6</v>
      </c>
      <c r="D1932">
        <v>8</v>
      </c>
      <c r="E1932" t="s">
        <v>1915</v>
      </c>
    </row>
    <row r="1933" spans="1:5">
      <c r="A1933">
        <f>HYPERLINK("http://www.twitter.com/NYPDnews/status/762268173018300416", "762268173018300416")</f>
        <v>0</v>
      </c>
      <c r="B1933" s="2">
        <v>42589.5308912037</v>
      </c>
      <c r="C1933">
        <v>33</v>
      </c>
      <c r="D1933">
        <v>13</v>
      </c>
      <c r="E1933" t="s">
        <v>1916</v>
      </c>
    </row>
    <row r="1934" spans="1:5">
      <c r="A1934">
        <f>HYPERLINK("http://www.twitter.com/NYPDnews/status/762260675410423808", "762260675410423808")</f>
        <v>0</v>
      </c>
      <c r="B1934" s="2">
        <v>42589.5101967593</v>
      </c>
      <c r="C1934">
        <v>0</v>
      </c>
      <c r="D1934">
        <v>13</v>
      </c>
      <c r="E1934" t="s">
        <v>1917</v>
      </c>
    </row>
    <row r="1935" spans="1:5">
      <c r="A1935">
        <f>HYPERLINK("http://www.twitter.com/NYPDnews/status/762170187198193664", "762170187198193664")</f>
        <v>0</v>
      </c>
      <c r="B1935" s="2">
        <v>42589.2604976852</v>
      </c>
      <c r="C1935">
        <v>163</v>
      </c>
      <c r="D1935">
        <v>46</v>
      </c>
      <c r="E1935" t="s">
        <v>1918</v>
      </c>
    </row>
    <row r="1936" spans="1:5">
      <c r="A1936">
        <f>HYPERLINK("http://www.twitter.com/NYPDnews/status/762121149245431808", "762121149245431808")</f>
        <v>0</v>
      </c>
      <c r="B1936" s="2">
        <v>42589.1251851852</v>
      </c>
      <c r="C1936">
        <v>93</v>
      </c>
      <c r="D1936">
        <v>159</v>
      </c>
      <c r="E1936" t="s">
        <v>1906</v>
      </c>
    </row>
    <row r="1937" spans="1:5">
      <c r="A1937">
        <f>HYPERLINK("http://www.twitter.com/NYPDnews/status/762090243088580608", "762090243088580608")</f>
        <v>0</v>
      </c>
      <c r="B1937" s="2">
        <v>42589.0398958333</v>
      </c>
      <c r="C1937">
        <v>82</v>
      </c>
      <c r="D1937">
        <v>48</v>
      </c>
      <c r="E1937" t="s">
        <v>1919</v>
      </c>
    </row>
    <row r="1938" spans="1:5">
      <c r="A1938">
        <f>HYPERLINK("http://www.twitter.com/NYPDnews/status/762075863919783936", "762075863919783936")</f>
        <v>0</v>
      </c>
      <c r="B1938" s="2">
        <v>42589.0002199074</v>
      </c>
      <c r="C1938">
        <v>53</v>
      </c>
      <c r="D1938">
        <v>31</v>
      </c>
      <c r="E1938" t="s">
        <v>1920</v>
      </c>
    </row>
    <row r="1939" spans="1:5">
      <c r="A1939">
        <f>HYPERLINK("http://www.twitter.com/NYPDnews/status/762040065136660480", "762040065136660480")</f>
        <v>0</v>
      </c>
      <c r="B1939" s="2">
        <v>42588.9014351852</v>
      </c>
      <c r="C1939">
        <v>0</v>
      </c>
      <c r="D1939">
        <v>34</v>
      </c>
      <c r="E1939" t="s">
        <v>1921</v>
      </c>
    </row>
    <row r="1940" spans="1:5">
      <c r="A1940">
        <f>HYPERLINK("http://www.twitter.com/NYPDnews/status/762029257057001477", "762029257057001477")</f>
        <v>0</v>
      </c>
      <c r="B1940" s="2">
        <v>42588.8716087963</v>
      </c>
      <c r="C1940">
        <v>38</v>
      </c>
      <c r="D1940">
        <v>15</v>
      </c>
      <c r="E1940" t="s">
        <v>1922</v>
      </c>
    </row>
    <row r="1941" spans="1:5">
      <c r="A1941">
        <f>HYPERLINK("http://www.twitter.com/NYPDnews/status/761976408906293253", "761976408906293253")</f>
        <v>0</v>
      </c>
      <c r="B1941" s="2">
        <v>42588.725775463</v>
      </c>
      <c r="C1941">
        <v>40</v>
      </c>
      <c r="D1941">
        <v>45</v>
      </c>
      <c r="E1941" t="s">
        <v>1923</v>
      </c>
    </row>
    <row r="1942" spans="1:5">
      <c r="A1942">
        <f>HYPERLINK("http://www.twitter.com/NYPDnews/status/761958825977081856", "761958825977081856")</f>
        <v>0</v>
      </c>
      <c r="B1942" s="2">
        <v>42588.6772569444</v>
      </c>
      <c r="C1942">
        <v>82</v>
      </c>
      <c r="D1942">
        <v>28</v>
      </c>
      <c r="E1942" t="s">
        <v>1924</v>
      </c>
    </row>
    <row r="1943" spans="1:5">
      <c r="A1943">
        <f>HYPERLINK("http://www.twitter.com/NYPDnews/status/761932423601020929", "761932423601020929")</f>
        <v>0</v>
      </c>
      <c r="B1943" s="2">
        <v>42588.6043981481</v>
      </c>
      <c r="C1943">
        <v>101</v>
      </c>
      <c r="D1943">
        <v>215</v>
      </c>
      <c r="E1943" t="s">
        <v>1906</v>
      </c>
    </row>
    <row r="1944" spans="1:5">
      <c r="A1944">
        <f>HYPERLINK("http://www.twitter.com/NYPDnews/status/761917410635051012", "761917410635051012")</f>
        <v>0</v>
      </c>
      <c r="B1944" s="2">
        <v>42588.562974537</v>
      </c>
      <c r="C1944">
        <v>12</v>
      </c>
      <c r="D1944">
        <v>40</v>
      </c>
      <c r="E1944" t="s">
        <v>1925</v>
      </c>
    </row>
    <row r="1945" spans="1:5">
      <c r="A1945">
        <f>HYPERLINK("http://www.twitter.com/NYPDnews/status/761909797159591936", "761909797159591936")</f>
        <v>0</v>
      </c>
      <c r="B1945" s="2">
        <v>42588.5419560185</v>
      </c>
      <c r="C1945">
        <v>33</v>
      </c>
      <c r="D1945">
        <v>36</v>
      </c>
      <c r="E1945" t="s">
        <v>1926</v>
      </c>
    </row>
    <row r="1946" spans="1:5">
      <c r="A1946">
        <f>HYPERLINK("http://www.twitter.com/NYPDnews/status/761894674244206595", "761894674244206595")</f>
        <v>0</v>
      </c>
      <c r="B1946" s="2">
        <v>42588.5002314815</v>
      </c>
      <c r="C1946">
        <v>36</v>
      </c>
      <c r="D1946">
        <v>16</v>
      </c>
      <c r="E1946" t="s">
        <v>1927</v>
      </c>
    </row>
    <row r="1947" spans="1:5">
      <c r="A1947">
        <f>HYPERLINK("http://www.twitter.com/NYPDnews/status/761728582221783041", "761728582221783041")</f>
        <v>0</v>
      </c>
      <c r="B1947" s="2">
        <v>42588.0418981481</v>
      </c>
      <c r="C1947">
        <v>51</v>
      </c>
      <c r="D1947">
        <v>19</v>
      </c>
      <c r="E1947" t="s">
        <v>1928</v>
      </c>
    </row>
    <row r="1948" spans="1:5">
      <c r="A1948">
        <f>HYPERLINK("http://www.twitter.com/NYPDnews/status/761714690703712257", "761714690703712257")</f>
        <v>0</v>
      </c>
      <c r="B1948" s="2">
        <v>42588.0035648148</v>
      </c>
      <c r="C1948">
        <v>35</v>
      </c>
      <c r="D1948">
        <v>21</v>
      </c>
      <c r="E1948" t="s">
        <v>1877</v>
      </c>
    </row>
    <row r="1949" spans="1:5">
      <c r="A1949">
        <f>HYPERLINK("http://www.twitter.com/NYPDnews/status/761702122379415553", "761702122379415553")</f>
        <v>0</v>
      </c>
      <c r="B1949" s="2">
        <v>42587.9688888889</v>
      </c>
      <c r="C1949">
        <v>30</v>
      </c>
      <c r="D1949">
        <v>16</v>
      </c>
      <c r="E1949" t="s">
        <v>1929</v>
      </c>
    </row>
    <row r="1950" spans="1:5">
      <c r="A1950">
        <f>HYPERLINK("http://www.twitter.com/NYPDnews/status/761697029710110720", "761697029710110720")</f>
        <v>0</v>
      </c>
      <c r="B1950" s="2">
        <v>42587.954837963</v>
      </c>
      <c r="C1950">
        <v>0</v>
      </c>
      <c r="D1950">
        <v>101</v>
      </c>
      <c r="E1950" t="s">
        <v>1930</v>
      </c>
    </row>
    <row r="1951" spans="1:5">
      <c r="A1951">
        <f>HYPERLINK("http://www.twitter.com/NYPDnews/status/761653108367818752", "761653108367818752")</f>
        <v>0</v>
      </c>
      <c r="B1951" s="2">
        <v>42587.8336342593</v>
      </c>
      <c r="C1951">
        <v>38</v>
      </c>
      <c r="D1951">
        <v>20</v>
      </c>
      <c r="E1951" t="s">
        <v>1931</v>
      </c>
    </row>
    <row r="1952" spans="1:5">
      <c r="A1952">
        <f>HYPERLINK("http://www.twitter.com/NYPDnews/status/761629528418549760", "761629528418549760")</f>
        <v>0</v>
      </c>
      <c r="B1952" s="2">
        <v>42587.7685648148</v>
      </c>
      <c r="C1952">
        <v>0</v>
      </c>
      <c r="D1952">
        <v>78</v>
      </c>
      <c r="E1952" t="s">
        <v>1932</v>
      </c>
    </row>
    <row r="1953" spans="1:5">
      <c r="A1953">
        <f>HYPERLINK("http://www.twitter.com/NYPDnews/status/761545474851635201", "761545474851635201")</f>
        <v>0</v>
      </c>
      <c r="B1953" s="2">
        <v>42587.5366203704</v>
      </c>
      <c r="C1953">
        <v>42</v>
      </c>
      <c r="D1953">
        <v>44</v>
      </c>
      <c r="E1953" t="s">
        <v>1933</v>
      </c>
    </row>
    <row r="1954" spans="1:5">
      <c r="A1954">
        <f>HYPERLINK("http://www.twitter.com/NYPDnews/status/761539839745482752", "761539839745482752")</f>
        <v>0</v>
      </c>
      <c r="B1954" s="2">
        <v>42587.5210763889</v>
      </c>
      <c r="C1954">
        <v>26</v>
      </c>
      <c r="D1954">
        <v>58</v>
      </c>
      <c r="E1954" t="s">
        <v>1934</v>
      </c>
    </row>
    <row r="1955" spans="1:5">
      <c r="A1955">
        <f>HYPERLINK("http://www.twitter.com/NYPDnews/status/761536019187597312", "761536019187597312")</f>
        <v>0</v>
      </c>
      <c r="B1955" s="2">
        <v>42587.5105324074</v>
      </c>
      <c r="C1955">
        <v>53</v>
      </c>
      <c r="D1955">
        <v>15</v>
      </c>
      <c r="E1955" t="s">
        <v>1935</v>
      </c>
    </row>
    <row r="1956" spans="1:5">
      <c r="A1956">
        <f>HYPERLINK("http://www.twitter.com/NYPDnews/status/761532241591885824", "761532241591885824")</f>
        <v>0</v>
      </c>
      <c r="B1956" s="2">
        <v>42587.5001041667</v>
      </c>
      <c r="C1956">
        <v>16</v>
      </c>
      <c r="D1956">
        <v>34</v>
      </c>
      <c r="E1956" t="s">
        <v>1936</v>
      </c>
    </row>
    <row r="1957" spans="1:5">
      <c r="A1957">
        <f>HYPERLINK("http://www.twitter.com/NYPDnews/status/761525938077204480", "761525938077204480")</f>
        <v>0</v>
      </c>
      <c r="B1957" s="2">
        <v>42587.4827083333</v>
      </c>
      <c r="C1957">
        <v>99</v>
      </c>
      <c r="D1957">
        <v>36</v>
      </c>
      <c r="E1957" t="s">
        <v>1937</v>
      </c>
    </row>
    <row r="1958" spans="1:5">
      <c r="A1958">
        <f>HYPERLINK("http://www.twitter.com/NYPDnews/status/761377460265033728", "761377460265033728")</f>
        <v>0</v>
      </c>
      <c r="B1958" s="2">
        <v>42587.0729861111</v>
      </c>
      <c r="C1958">
        <v>82</v>
      </c>
      <c r="D1958">
        <v>38</v>
      </c>
      <c r="E1958" t="s">
        <v>1938</v>
      </c>
    </row>
    <row r="1959" spans="1:5">
      <c r="A1959">
        <f>HYPERLINK("http://www.twitter.com/NYPDnews/status/761359369787285504", "761359369787285504")</f>
        <v>0</v>
      </c>
      <c r="B1959" s="2">
        <v>42587.0230671296</v>
      </c>
      <c r="C1959">
        <v>42</v>
      </c>
      <c r="D1959">
        <v>16</v>
      </c>
      <c r="E1959" t="s">
        <v>1939</v>
      </c>
    </row>
    <row r="1960" spans="1:5">
      <c r="A1960">
        <f>HYPERLINK("http://www.twitter.com/NYPDnews/status/761327431923986432", "761327431923986432")</f>
        <v>0</v>
      </c>
      <c r="B1960" s="2">
        <v>42586.9349421296</v>
      </c>
      <c r="C1960">
        <v>8</v>
      </c>
      <c r="D1960">
        <v>11</v>
      </c>
      <c r="E1960" t="s">
        <v>1940</v>
      </c>
    </row>
    <row r="1961" spans="1:5">
      <c r="A1961">
        <f>HYPERLINK("http://www.twitter.com/NYPDnews/status/761255623761813505", "761255623761813505")</f>
        <v>0</v>
      </c>
      <c r="B1961" s="2">
        <v>42586.7367824074</v>
      </c>
      <c r="C1961">
        <v>8</v>
      </c>
      <c r="D1961">
        <v>28</v>
      </c>
      <c r="E1961" t="s">
        <v>1941</v>
      </c>
    </row>
    <row r="1962" spans="1:5">
      <c r="A1962">
        <f>HYPERLINK("http://www.twitter.com/NYPDnews/status/761254478238642177", "761254478238642177")</f>
        <v>0</v>
      </c>
      <c r="B1962" s="2">
        <v>42586.7336226852</v>
      </c>
      <c r="C1962">
        <v>58</v>
      </c>
      <c r="D1962">
        <v>19</v>
      </c>
      <c r="E1962" t="s">
        <v>1942</v>
      </c>
    </row>
    <row r="1963" spans="1:5">
      <c r="A1963">
        <f>HYPERLINK("http://www.twitter.com/NYPDnews/status/761252978519109632", "761252978519109632")</f>
        <v>0</v>
      </c>
      <c r="B1963" s="2">
        <v>42586.7294907407</v>
      </c>
      <c r="C1963">
        <v>41</v>
      </c>
      <c r="D1963">
        <v>11</v>
      </c>
      <c r="E1963" t="s">
        <v>1943</v>
      </c>
    </row>
    <row r="1964" spans="1:5">
      <c r="A1964">
        <f>HYPERLINK("http://www.twitter.com/NYPDnews/status/761250849314205696", "761250849314205696")</f>
        <v>0</v>
      </c>
      <c r="B1964" s="2">
        <v>42586.7236111111</v>
      </c>
      <c r="C1964">
        <v>20</v>
      </c>
      <c r="D1964">
        <v>11</v>
      </c>
      <c r="E1964" t="s">
        <v>1944</v>
      </c>
    </row>
    <row r="1965" spans="1:5">
      <c r="A1965">
        <f>HYPERLINK("http://www.twitter.com/NYPDnews/status/761250014408634368", "761250014408634368")</f>
        <v>0</v>
      </c>
      <c r="B1965" s="2">
        <v>42586.7213078704</v>
      </c>
      <c r="C1965">
        <v>39</v>
      </c>
      <c r="D1965">
        <v>10</v>
      </c>
      <c r="E1965" t="s">
        <v>1945</v>
      </c>
    </row>
    <row r="1966" spans="1:5">
      <c r="A1966">
        <f>HYPERLINK("http://www.twitter.com/NYPDnews/status/761248486503440385", "761248486503440385")</f>
        <v>0</v>
      </c>
      <c r="B1966" s="2">
        <v>42586.7170949074</v>
      </c>
      <c r="C1966">
        <v>35</v>
      </c>
      <c r="D1966">
        <v>20</v>
      </c>
      <c r="E1966" t="s">
        <v>1946</v>
      </c>
    </row>
    <row r="1967" spans="1:5">
      <c r="A1967">
        <f>HYPERLINK("http://www.twitter.com/NYPDnews/status/761247950265802752", "761247950265802752")</f>
        <v>0</v>
      </c>
      <c r="B1967" s="2">
        <v>42586.7156134259</v>
      </c>
      <c r="C1967">
        <v>18</v>
      </c>
      <c r="D1967">
        <v>12</v>
      </c>
      <c r="E1967" t="s">
        <v>1947</v>
      </c>
    </row>
    <row r="1968" spans="1:5">
      <c r="A1968">
        <f>HYPERLINK("http://www.twitter.com/NYPDnews/status/761246852138340354", "761246852138340354")</f>
        <v>0</v>
      </c>
      <c r="B1968" s="2">
        <v>42586.7125810185</v>
      </c>
      <c r="C1968">
        <v>8</v>
      </c>
      <c r="D1968">
        <v>10</v>
      </c>
      <c r="E1968" t="s">
        <v>1948</v>
      </c>
    </row>
    <row r="1969" spans="1:5">
      <c r="A1969">
        <f>HYPERLINK("http://www.twitter.com/NYPDnews/status/761181193262002176", "761181193262002176")</f>
        <v>0</v>
      </c>
      <c r="B1969" s="2">
        <v>42586.531400463</v>
      </c>
      <c r="C1969">
        <v>34</v>
      </c>
      <c r="D1969">
        <v>24</v>
      </c>
      <c r="E1969" t="s">
        <v>1949</v>
      </c>
    </row>
    <row r="1970" spans="1:5">
      <c r="A1970">
        <f>HYPERLINK("http://www.twitter.com/NYPDnews/status/761177441234739200", "761177441234739200")</f>
        <v>0</v>
      </c>
      <c r="B1970" s="2">
        <v>42586.5210416667</v>
      </c>
      <c r="C1970">
        <v>70</v>
      </c>
      <c r="D1970">
        <v>28</v>
      </c>
      <c r="E1970" t="s">
        <v>1950</v>
      </c>
    </row>
    <row r="1971" spans="1:5">
      <c r="A1971">
        <f>HYPERLINK("http://www.twitter.com/NYPDnews/status/761173636686512129", "761173636686512129")</f>
        <v>0</v>
      </c>
      <c r="B1971" s="2">
        <v>42586.5105439815</v>
      </c>
      <c r="C1971">
        <v>7</v>
      </c>
      <c r="D1971">
        <v>24</v>
      </c>
      <c r="E1971" t="s">
        <v>1951</v>
      </c>
    </row>
    <row r="1972" spans="1:5">
      <c r="A1972">
        <f>HYPERLINK("http://www.twitter.com/NYPDnews/status/761169918238846976", "761169918238846976")</f>
        <v>0</v>
      </c>
      <c r="B1972" s="2">
        <v>42586.5002893519</v>
      </c>
      <c r="C1972">
        <v>41</v>
      </c>
      <c r="D1972">
        <v>10</v>
      </c>
      <c r="E1972" t="s">
        <v>1952</v>
      </c>
    </row>
    <row r="1973" spans="1:5">
      <c r="A1973">
        <f>HYPERLINK("http://www.twitter.com/NYPDnews/status/761162934542278656", "761162934542278656")</f>
        <v>0</v>
      </c>
      <c r="B1973" s="2">
        <v>42586.4810069444</v>
      </c>
      <c r="C1973">
        <v>0</v>
      </c>
      <c r="D1973">
        <v>20</v>
      </c>
      <c r="E1973" t="s">
        <v>1953</v>
      </c>
    </row>
    <row r="1974" spans="1:5">
      <c r="A1974">
        <f>HYPERLINK("http://www.twitter.com/NYPDnews/status/761011364236320768", "761011364236320768")</f>
        <v>0</v>
      </c>
      <c r="B1974" s="2">
        <v>42586.0627546296</v>
      </c>
      <c r="C1974">
        <v>32</v>
      </c>
      <c r="D1974">
        <v>27</v>
      </c>
      <c r="E1974" t="s">
        <v>1954</v>
      </c>
    </row>
    <row r="1975" spans="1:5">
      <c r="A1975">
        <f>HYPERLINK("http://www.twitter.com/NYPDnews/status/760992705581314048", "760992705581314048")</f>
        <v>0</v>
      </c>
      <c r="B1975" s="2">
        <v>42586.0112731481</v>
      </c>
      <c r="C1975">
        <v>74</v>
      </c>
      <c r="D1975">
        <v>39</v>
      </c>
      <c r="E1975" t="s">
        <v>1955</v>
      </c>
    </row>
    <row r="1976" spans="1:5">
      <c r="A1976">
        <f>HYPERLINK("http://www.twitter.com/NYPDnews/status/760974815620689921", "760974815620689921")</f>
        <v>0</v>
      </c>
      <c r="B1976" s="2">
        <v>42585.9618981481</v>
      </c>
      <c r="C1976">
        <v>16</v>
      </c>
      <c r="D1976">
        <v>13</v>
      </c>
      <c r="E1976" t="s">
        <v>1956</v>
      </c>
    </row>
    <row r="1977" spans="1:5">
      <c r="A1977">
        <f>HYPERLINK("http://www.twitter.com/NYPDnews/status/760954704016838656", "760954704016838656")</f>
        <v>0</v>
      </c>
      <c r="B1977" s="2">
        <v>42585.906400463</v>
      </c>
      <c r="C1977">
        <v>40</v>
      </c>
      <c r="D1977">
        <v>15</v>
      </c>
      <c r="E1977" t="s">
        <v>1957</v>
      </c>
    </row>
    <row r="1978" spans="1:5">
      <c r="A1978">
        <f>HYPERLINK("http://www.twitter.com/NYPDnews/status/760930023247319040", "760930023247319040")</f>
        <v>0</v>
      </c>
      <c r="B1978" s="2">
        <v>42585.8382986111</v>
      </c>
      <c r="C1978">
        <v>0</v>
      </c>
      <c r="D1978">
        <v>45</v>
      </c>
      <c r="E1978" t="s">
        <v>1958</v>
      </c>
    </row>
    <row r="1979" spans="1:5">
      <c r="A1979">
        <f>HYPERLINK("http://www.twitter.com/NYPDnews/status/760891027368583169", "760891027368583169")</f>
        <v>0</v>
      </c>
      <c r="B1979" s="2">
        <v>42585.7306944444</v>
      </c>
      <c r="C1979">
        <v>77</v>
      </c>
      <c r="D1979">
        <v>12</v>
      </c>
      <c r="E1979" t="s">
        <v>1959</v>
      </c>
    </row>
    <row r="1980" spans="1:5">
      <c r="A1980">
        <f>HYPERLINK("http://www.twitter.com/NYPDnews/status/760843190194868224", "760843190194868224")</f>
        <v>0</v>
      </c>
      <c r="B1980" s="2">
        <v>42585.5986805556</v>
      </c>
      <c r="C1980">
        <v>6</v>
      </c>
      <c r="D1980">
        <v>8</v>
      </c>
      <c r="E1980" t="s">
        <v>1960</v>
      </c>
    </row>
    <row r="1981" spans="1:5">
      <c r="A1981">
        <f>HYPERLINK("http://www.twitter.com/NYPDnews/status/760841750147637249", "760841750147637249")</f>
        <v>0</v>
      </c>
      <c r="B1981" s="2">
        <v>42585.5947106481</v>
      </c>
      <c r="C1981">
        <v>17</v>
      </c>
      <c r="D1981">
        <v>11</v>
      </c>
      <c r="E1981" t="s">
        <v>1961</v>
      </c>
    </row>
    <row r="1982" spans="1:5">
      <c r="A1982">
        <f>HYPERLINK("http://www.twitter.com/NYPDnews/status/760815054115729408", "760815054115729408")</f>
        <v>0</v>
      </c>
      <c r="B1982" s="2">
        <v>42585.5210416667</v>
      </c>
      <c r="C1982">
        <v>64</v>
      </c>
      <c r="D1982">
        <v>18</v>
      </c>
      <c r="E1982" t="s">
        <v>1962</v>
      </c>
    </row>
    <row r="1983" spans="1:5">
      <c r="A1983">
        <f>HYPERLINK("http://www.twitter.com/NYPDnews/status/760811252318961664", "760811252318961664")</f>
        <v>0</v>
      </c>
      <c r="B1983" s="2">
        <v>42585.5105555556</v>
      </c>
      <c r="C1983">
        <v>47</v>
      </c>
      <c r="D1983">
        <v>37</v>
      </c>
      <c r="E1983" t="s">
        <v>1963</v>
      </c>
    </row>
    <row r="1984" spans="1:5">
      <c r="A1984">
        <f>HYPERLINK("http://www.twitter.com/NYPDnews/status/760809113471385600", "760809113471385600")</f>
        <v>0</v>
      </c>
      <c r="B1984" s="2">
        <v>42585.5046527778</v>
      </c>
      <c r="C1984">
        <v>0</v>
      </c>
      <c r="D1984">
        <v>155</v>
      </c>
      <c r="E1984" t="s">
        <v>1964</v>
      </c>
    </row>
    <row r="1985" spans="1:5">
      <c r="A1985">
        <f>HYPERLINK("http://www.twitter.com/NYPDnews/status/760804555600830464", "760804555600830464")</f>
        <v>0</v>
      </c>
      <c r="B1985" s="2">
        <v>42585.4920717593</v>
      </c>
      <c r="C1985">
        <v>52</v>
      </c>
      <c r="D1985">
        <v>22</v>
      </c>
      <c r="E1985" t="s">
        <v>1965</v>
      </c>
    </row>
    <row r="1986" spans="1:5">
      <c r="A1986">
        <f>HYPERLINK("http://www.twitter.com/NYPDnews/status/760803534111637504", "760803534111637504")</f>
        <v>0</v>
      </c>
      <c r="B1986" s="2">
        <v>42585.4892592593</v>
      </c>
      <c r="C1986">
        <v>9</v>
      </c>
      <c r="D1986">
        <v>8</v>
      </c>
      <c r="E1986" t="s">
        <v>1966</v>
      </c>
    </row>
    <row r="1987" spans="1:5">
      <c r="A1987">
        <f>HYPERLINK("http://www.twitter.com/NYPDnews/status/760784334521499648", "760784334521499648")</f>
        <v>0</v>
      </c>
      <c r="B1987" s="2">
        <v>42585.4362731481</v>
      </c>
      <c r="C1987">
        <v>8</v>
      </c>
      <c r="D1987">
        <v>6</v>
      </c>
      <c r="E1987" t="s">
        <v>1967</v>
      </c>
    </row>
    <row r="1988" spans="1:5">
      <c r="A1988">
        <f>HYPERLINK("http://www.twitter.com/NYPDnews/status/760783819687460864", "760783819687460864")</f>
        <v>0</v>
      </c>
      <c r="B1988" s="2">
        <v>42585.434849537</v>
      </c>
      <c r="C1988">
        <v>32</v>
      </c>
      <c r="D1988">
        <v>13</v>
      </c>
      <c r="E1988" t="s">
        <v>1968</v>
      </c>
    </row>
    <row r="1989" spans="1:5">
      <c r="A1989">
        <f>HYPERLINK("http://www.twitter.com/NYPDnews/status/760783096845328384", "760783096845328384")</f>
        <v>0</v>
      </c>
      <c r="B1989" s="2">
        <v>42585.4328587963</v>
      </c>
      <c r="C1989">
        <v>8</v>
      </c>
      <c r="D1989">
        <v>7</v>
      </c>
      <c r="E1989" t="s">
        <v>1969</v>
      </c>
    </row>
    <row r="1990" spans="1:5">
      <c r="A1990">
        <f>HYPERLINK("http://www.twitter.com/NYPDnews/status/760777760071614468", "760777760071614468")</f>
        <v>0</v>
      </c>
      <c r="B1990" s="2">
        <v>42585.4181365741</v>
      </c>
      <c r="C1990">
        <v>0</v>
      </c>
      <c r="D1990">
        <v>10</v>
      </c>
      <c r="E1990" t="s">
        <v>1970</v>
      </c>
    </row>
    <row r="1991" spans="1:5">
      <c r="A1991">
        <f>HYPERLINK("http://www.twitter.com/NYPDnews/status/760775213856456704", "760775213856456704")</f>
        <v>0</v>
      </c>
      <c r="B1991" s="2">
        <v>42585.4111111111</v>
      </c>
      <c r="C1991">
        <v>24</v>
      </c>
      <c r="D1991">
        <v>15</v>
      </c>
      <c r="E1991" t="s">
        <v>1971</v>
      </c>
    </row>
    <row r="1992" spans="1:5">
      <c r="A1992">
        <f>HYPERLINK("http://www.twitter.com/NYPDnews/status/760636464111751168", "760636464111751168")</f>
        <v>0</v>
      </c>
      <c r="B1992" s="2">
        <v>42585.0282291667</v>
      </c>
      <c r="C1992">
        <v>32</v>
      </c>
      <c r="D1992">
        <v>15</v>
      </c>
      <c r="E1992" t="s">
        <v>1972</v>
      </c>
    </row>
    <row r="1993" spans="1:5">
      <c r="A1993">
        <f>HYPERLINK("http://www.twitter.com/NYPDnews/status/760618077025366016", "760618077025366016")</f>
        <v>0</v>
      </c>
      <c r="B1993" s="2">
        <v>42584.9774884259</v>
      </c>
      <c r="C1993">
        <v>0</v>
      </c>
      <c r="D1993">
        <v>24</v>
      </c>
      <c r="E1993" t="s">
        <v>1973</v>
      </c>
    </row>
    <row r="1994" spans="1:5">
      <c r="A1994">
        <f>HYPERLINK("http://www.twitter.com/NYPDnews/status/760617589299109888", "760617589299109888")</f>
        <v>0</v>
      </c>
      <c r="B1994" s="2">
        <v>42584.9761458333</v>
      </c>
      <c r="C1994">
        <v>0</v>
      </c>
      <c r="D1994">
        <v>9</v>
      </c>
      <c r="E1994" t="s">
        <v>1974</v>
      </c>
    </row>
    <row r="1995" spans="1:5">
      <c r="A1995">
        <f>HYPERLINK("http://www.twitter.com/NYPDnews/status/760617148494540801", "760617148494540801")</f>
        <v>0</v>
      </c>
      <c r="B1995" s="2">
        <v>42584.9749305556</v>
      </c>
      <c r="C1995">
        <v>0</v>
      </c>
      <c r="D1995">
        <v>33</v>
      </c>
      <c r="E1995" t="s">
        <v>1975</v>
      </c>
    </row>
    <row r="1996" spans="1:5">
      <c r="A1996">
        <f>HYPERLINK("http://www.twitter.com/NYPDnews/status/760616934874447872", "760616934874447872")</f>
        <v>0</v>
      </c>
      <c r="B1996" s="2">
        <v>42584.9743402778</v>
      </c>
      <c r="C1996">
        <v>17</v>
      </c>
      <c r="D1996">
        <v>6</v>
      </c>
      <c r="E1996" t="s">
        <v>1976</v>
      </c>
    </row>
    <row r="1997" spans="1:5">
      <c r="A1997">
        <f>HYPERLINK("http://www.twitter.com/NYPDnews/status/760612977699614720", "760612977699614720")</f>
        <v>0</v>
      </c>
      <c r="B1997" s="2">
        <v>42584.9634259259</v>
      </c>
      <c r="C1997">
        <v>0</v>
      </c>
      <c r="D1997">
        <v>148</v>
      </c>
      <c r="E1997" t="s">
        <v>1977</v>
      </c>
    </row>
    <row r="1998" spans="1:5">
      <c r="A1998">
        <f>HYPERLINK("http://www.twitter.com/NYPDnews/status/760597315732250624", "760597315732250624")</f>
        <v>0</v>
      </c>
      <c r="B1998" s="2">
        <v>42584.9201967593</v>
      </c>
      <c r="C1998">
        <v>11</v>
      </c>
      <c r="D1998">
        <v>11</v>
      </c>
      <c r="E1998" t="s">
        <v>1978</v>
      </c>
    </row>
    <row r="1999" spans="1:5">
      <c r="A1999">
        <f>HYPERLINK("http://www.twitter.com/NYPDnews/status/760595480980127744", "760595480980127744")</f>
        <v>0</v>
      </c>
      <c r="B1999" s="2">
        <v>42584.9151388889</v>
      </c>
      <c r="C1999">
        <v>49</v>
      </c>
      <c r="D1999">
        <v>17</v>
      </c>
      <c r="E1999" t="s">
        <v>1979</v>
      </c>
    </row>
    <row r="2000" spans="1:5">
      <c r="A2000">
        <f>HYPERLINK("http://www.twitter.com/NYPDnews/status/760594393640361984", "760594393640361984")</f>
        <v>0</v>
      </c>
      <c r="B2000" s="2">
        <v>42584.9121412037</v>
      </c>
      <c r="C2000">
        <v>42</v>
      </c>
      <c r="D2000">
        <v>11</v>
      </c>
      <c r="E2000" t="s">
        <v>1980</v>
      </c>
    </row>
    <row r="2001" spans="1:5">
      <c r="A2001">
        <f>HYPERLINK("http://www.twitter.com/NYPDnews/status/760592542668763141", "760592542668763141")</f>
        <v>0</v>
      </c>
      <c r="B2001" s="2">
        <v>42584.907025463</v>
      </c>
      <c r="C2001">
        <v>19</v>
      </c>
      <c r="D2001">
        <v>12</v>
      </c>
      <c r="E2001" t="s">
        <v>1981</v>
      </c>
    </row>
    <row r="2002" spans="1:5">
      <c r="A2002">
        <f>HYPERLINK("http://www.twitter.com/NYPDnews/status/760591419992055812", "760591419992055812")</f>
        <v>0</v>
      </c>
      <c r="B2002" s="2">
        <v>42584.9039351852</v>
      </c>
      <c r="C2002">
        <v>33</v>
      </c>
      <c r="D2002">
        <v>12</v>
      </c>
      <c r="E2002" t="s">
        <v>1982</v>
      </c>
    </row>
    <row r="2003" spans="1:5">
      <c r="A2003">
        <f>HYPERLINK("http://www.twitter.com/NYPDnews/status/760590140888711172", "760590140888711172")</f>
        <v>0</v>
      </c>
      <c r="B2003" s="2">
        <v>42584.9004050926</v>
      </c>
      <c r="C2003">
        <v>35</v>
      </c>
      <c r="D2003">
        <v>17</v>
      </c>
      <c r="E2003" t="s">
        <v>1983</v>
      </c>
    </row>
    <row r="2004" spans="1:5">
      <c r="A2004">
        <f>HYPERLINK("http://www.twitter.com/NYPDnews/status/760589472966770688", "760589472966770688")</f>
        <v>0</v>
      </c>
      <c r="B2004" s="2">
        <v>42584.8985648148</v>
      </c>
      <c r="C2004">
        <v>20</v>
      </c>
      <c r="D2004">
        <v>9</v>
      </c>
      <c r="E2004" t="s">
        <v>1984</v>
      </c>
    </row>
    <row r="2005" spans="1:5">
      <c r="A2005">
        <f>HYPERLINK("http://www.twitter.com/NYPDnews/status/760572236814245888", "760572236814245888")</f>
        <v>0</v>
      </c>
      <c r="B2005" s="2">
        <v>42584.8509953704</v>
      </c>
      <c r="C2005">
        <v>113</v>
      </c>
      <c r="D2005">
        <v>37</v>
      </c>
      <c r="E2005" t="s">
        <v>1985</v>
      </c>
    </row>
    <row r="2006" spans="1:5">
      <c r="A2006">
        <f>HYPERLINK("http://www.twitter.com/NYPDnews/status/760561483566710788", "760561483566710788")</f>
        <v>0</v>
      </c>
      <c r="B2006" s="2">
        <v>42584.8213194444</v>
      </c>
      <c r="C2006">
        <v>0</v>
      </c>
      <c r="D2006">
        <v>8</v>
      </c>
      <c r="E2006" t="s">
        <v>1986</v>
      </c>
    </row>
    <row r="2007" spans="1:5">
      <c r="A2007">
        <f>HYPERLINK("http://www.twitter.com/NYPDnews/status/760556320563073028", "760556320563073028")</f>
        <v>0</v>
      </c>
      <c r="B2007" s="2">
        <v>42584.8070717593</v>
      </c>
      <c r="C2007">
        <v>34</v>
      </c>
      <c r="D2007">
        <v>30</v>
      </c>
      <c r="E2007" t="s">
        <v>1987</v>
      </c>
    </row>
    <row r="2008" spans="1:5">
      <c r="A2008">
        <f>HYPERLINK("http://www.twitter.com/NYPDnews/status/760553783092973568", "760553783092973568")</f>
        <v>0</v>
      </c>
      <c r="B2008" s="2">
        <v>42584.8000694444</v>
      </c>
      <c r="C2008">
        <v>0</v>
      </c>
      <c r="D2008">
        <v>17</v>
      </c>
      <c r="E2008" t="s">
        <v>1988</v>
      </c>
    </row>
    <row r="2009" spans="1:5">
      <c r="A2009">
        <f>HYPERLINK("http://www.twitter.com/NYPDnews/status/760521009107722242", "760521009107722242")</f>
        <v>0</v>
      </c>
      <c r="B2009" s="2">
        <v>42584.7096412037</v>
      </c>
      <c r="C2009">
        <v>62</v>
      </c>
      <c r="D2009">
        <v>25</v>
      </c>
      <c r="E2009" t="s">
        <v>1989</v>
      </c>
    </row>
    <row r="2010" spans="1:5">
      <c r="A2010">
        <f>HYPERLINK("http://www.twitter.com/NYPDnews/status/760517022920871936", "760517022920871936")</f>
        <v>0</v>
      </c>
      <c r="B2010" s="2">
        <v>42584.6986342593</v>
      </c>
      <c r="C2010">
        <v>52</v>
      </c>
      <c r="D2010">
        <v>21</v>
      </c>
      <c r="E2010" t="s">
        <v>1990</v>
      </c>
    </row>
    <row r="2011" spans="1:5">
      <c r="A2011">
        <f>HYPERLINK("http://www.twitter.com/NYPDnews/status/760516800010420224", "760516800010420224")</f>
        <v>0</v>
      </c>
      <c r="B2011" s="2">
        <v>42584.6980208333</v>
      </c>
      <c r="C2011">
        <v>36</v>
      </c>
      <c r="D2011">
        <v>20</v>
      </c>
      <c r="E2011" t="s">
        <v>1991</v>
      </c>
    </row>
    <row r="2012" spans="1:5">
      <c r="A2012">
        <f>HYPERLINK("http://www.twitter.com/NYPDnews/status/760514702426472448", "760514702426472448")</f>
        <v>0</v>
      </c>
      <c r="B2012" s="2">
        <v>42584.6922337963</v>
      </c>
      <c r="C2012">
        <v>32</v>
      </c>
      <c r="D2012">
        <v>20</v>
      </c>
      <c r="E2012" t="s">
        <v>1992</v>
      </c>
    </row>
    <row r="2013" spans="1:5">
      <c r="A2013">
        <f>HYPERLINK("http://www.twitter.com/NYPDnews/status/760514031509704704", "760514031509704704")</f>
        <v>0</v>
      </c>
      <c r="B2013" s="2">
        <v>42584.6903819444</v>
      </c>
      <c r="C2013">
        <v>64</v>
      </c>
      <c r="D2013">
        <v>30</v>
      </c>
      <c r="E2013" t="s">
        <v>1993</v>
      </c>
    </row>
    <row r="2014" spans="1:5">
      <c r="A2014">
        <f>HYPERLINK("http://www.twitter.com/NYPDnews/status/760513428750471168", "760513428750471168")</f>
        <v>0</v>
      </c>
      <c r="B2014" s="2">
        <v>42584.6887152778</v>
      </c>
      <c r="C2014">
        <v>27</v>
      </c>
      <c r="D2014">
        <v>13</v>
      </c>
      <c r="E2014" t="s">
        <v>1994</v>
      </c>
    </row>
    <row r="2015" spans="1:5">
      <c r="A2015">
        <f>HYPERLINK("http://www.twitter.com/NYPDnews/status/760512240638459904", "760512240638459904")</f>
        <v>0</v>
      </c>
      <c r="B2015" s="2">
        <v>42584.6854398148</v>
      </c>
      <c r="C2015">
        <v>39</v>
      </c>
      <c r="D2015">
        <v>28</v>
      </c>
      <c r="E2015" t="s">
        <v>1995</v>
      </c>
    </row>
    <row r="2016" spans="1:5">
      <c r="A2016">
        <f>HYPERLINK("http://www.twitter.com/NYPDnews/status/760510376605810688", "760510376605810688")</f>
        <v>0</v>
      </c>
      <c r="B2016" s="2">
        <v>42584.6803009259</v>
      </c>
      <c r="C2016">
        <v>113</v>
      </c>
      <c r="D2016">
        <v>74</v>
      </c>
      <c r="E2016" t="s">
        <v>1996</v>
      </c>
    </row>
    <row r="2017" spans="1:5">
      <c r="A2017">
        <f>HYPERLINK("http://www.twitter.com/NYPDnews/status/760508517145010177", "760508517145010177")</f>
        <v>0</v>
      </c>
      <c r="B2017" s="2">
        <v>42584.675162037</v>
      </c>
      <c r="C2017">
        <v>49</v>
      </c>
      <c r="D2017">
        <v>35</v>
      </c>
      <c r="E2017" t="s">
        <v>1997</v>
      </c>
    </row>
    <row r="2018" spans="1:5">
      <c r="A2018">
        <f>HYPERLINK("http://www.twitter.com/NYPDnews/status/760507507181752320", "760507507181752320")</f>
        <v>0</v>
      </c>
      <c r="B2018" s="2">
        <v>42584.6723726852</v>
      </c>
      <c r="C2018">
        <v>23</v>
      </c>
      <c r="D2018">
        <v>33</v>
      </c>
      <c r="E2018" t="s">
        <v>1998</v>
      </c>
    </row>
    <row r="2019" spans="1:5">
      <c r="A2019">
        <f>HYPERLINK("http://www.twitter.com/NYPDnews/status/760502962087194626", "760502962087194626")</f>
        <v>0</v>
      </c>
      <c r="B2019" s="2">
        <v>42584.659837963</v>
      </c>
      <c r="C2019">
        <v>8</v>
      </c>
      <c r="D2019">
        <v>16</v>
      </c>
      <c r="E2019" t="s">
        <v>1999</v>
      </c>
    </row>
    <row r="2020" spans="1:5">
      <c r="A2020">
        <f>HYPERLINK("http://www.twitter.com/NYPDnews/status/760456671722438656", "760456671722438656")</f>
        <v>0</v>
      </c>
      <c r="B2020" s="2">
        <v>42584.5320949074</v>
      </c>
      <c r="C2020">
        <v>48</v>
      </c>
      <c r="D2020">
        <v>20</v>
      </c>
      <c r="E2020" t="s">
        <v>2000</v>
      </c>
    </row>
    <row r="2021" spans="1:5">
      <c r="A2021">
        <f>HYPERLINK("http://www.twitter.com/NYPDnews/status/760453627848916992", "760453627848916992")</f>
        <v>0</v>
      </c>
      <c r="B2021" s="2">
        <v>42584.5237037037</v>
      </c>
      <c r="C2021">
        <v>89</v>
      </c>
      <c r="D2021">
        <v>31</v>
      </c>
      <c r="E2021" t="s">
        <v>2001</v>
      </c>
    </row>
    <row r="2022" spans="1:5">
      <c r="A2022">
        <f>HYPERLINK("http://www.twitter.com/NYPDnews/status/760448856907808768", "760448856907808768")</f>
        <v>0</v>
      </c>
      <c r="B2022" s="2">
        <v>42584.5105324074</v>
      </c>
      <c r="C2022">
        <v>16</v>
      </c>
      <c r="D2022">
        <v>11</v>
      </c>
      <c r="E2022" t="s">
        <v>2002</v>
      </c>
    </row>
    <row r="2023" spans="1:5">
      <c r="A2023">
        <f>HYPERLINK("http://www.twitter.com/NYPDnews/status/760445365535535104", "760445365535535104")</f>
        <v>0</v>
      </c>
      <c r="B2023" s="2">
        <v>42584.5009027778</v>
      </c>
      <c r="C2023">
        <v>41</v>
      </c>
      <c r="D2023">
        <v>13</v>
      </c>
      <c r="E2023" t="s">
        <v>2003</v>
      </c>
    </row>
    <row r="2024" spans="1:5">
      <c r="A2024">
        <f>HYPERLINK("http://www.twitter.com/NYPDnews/status/760280258780291078", "760280258780291078")</f>
        <v>0</v>
      </c>
      <c r="B2024" s="2">
        <v>42584.0452893519</v>
      </c>
      <c r="C2024">
        <v>80</v>
      </c>
      <c r="D2024">
        <v>19</v>
      </c>
      <c r="E2024" t="s">
        <v>2004</v>
      </c>
    </row>
    <row r="2025" spans="1:5">
      <c r="A2025">
        <f>HYPERLINK("http://www.twitter.com/NYPDnews/status/760270153678544896", "760270153678544896")</f>
        <v>0</v>
      </c>
      <c r="B2025" s="2">
        <v>42584.0174074074</v>
      </c>
      <c r="C2025">
        <v>12</v>
      </c>
      <c r="D2025">
        <v>9</v>
      </c>
      <c r="E2025" t="s">
        <v>2005</v>
      </c>
    </row>
    <row r="2026" spans="1:5">
      <c r="A2026">
        <f>HYPERLINK("http://www.twitter.com/NYPDnews/status/760264083673317378", "760264083673317378")</f>
        <v>0</v>
      </c>
      <c r="B2026" s="2">
        <v>42584.0006597222</v>
      </c>
      <c r="C2026">
        <v>20</v>
      </c>
      <c r="D2026">
        <v>11</v>
      </c>
      <c r="E2026" t="s">
        <v>2006</v>
      </c>
    </row>
    <row r="2027" spans="1:5">
      <c r="A2027">
        <f>HYPERLINK("http://www.twitter.com/NYPDnews/status/760251337066024960", "760251337066024960")</f>
        <v>0</v>
      </c>
      <c r="B2027" s="2">
        <v>42583.9654861111</v>
      </c>
      <c r="C2027">
        <v>67</v>
      </c>
      <c r="D2027">
        <v>23</v>
      </c>
      <c r="E2027" t="s">
        <v>2007</v>
      </c>
    </row>
    <row r="2028" spans="1:5">
      <c r="A2028">
        <f>HYPERLINK("http://www.twitter.com/NYPDnews/status/760237498471710720", "760237498471710720")</f>
        <v>0</v>
      </c>
      <c r="B2028" s="2">
        <v>42583.9272916667</v>
      </c>
      <c r="C2028">
        <v>81</v>
      </c>
      <c r="D2028">
        <v>23</v>
      </c>
      <c r="E2028" t="s">
        <v>2008</v>
      </c>
    </row>
    <row r="2029" spans="1:5">
      <c r="A2029">
        <f>HYPERLINK("http://www.twitter.com/NYPDnews/status/760218059634249732", "760218059634249732")</f>
        <v>0</v>
      </c>
      <c r="B2029" s="2">
        <v>42583.8736574074</v>
      </c>
      <c r="C2029">
        <v>16</v>
      </c>
      <c r="D2029">
        <v>14</v>
      </c>
      <c r="E2029" t="s">
        <v>2009</v>
      </c>
    </row>
    <row r="2030" spans="1:5">
      <c r="A2030">
        <f>HYPERLINK("http://www.twitter.com/NYPDnews/status/760217907989245952", "760217907989245952")</f>
        <v>0</v>
      </c>
      <c r="B2030" s="2">
        <v>42583.8732407407</v>
      </c>
      <c r="C2030">
        <v>17</v>
      </c>
      <c r="D2030">
        <v>14</v>
      </c>
      <c r="E2030" t="s">
        <v>2010</v>
      </c>
    </row>
    <row r="2031" spans="1:5">
      <c r="A2031">
        <f>HYPERLINK("http://www.twitter.com/NYPDnews/status/760217661930344448", "760217661930344448")</f>
        <v>0</v>
      </c>
      <c r="B2031" s="2">
        <v>42583.8725578704</v>
      </c>
      <c r="C2031">
        <v>16</v>
      </c>
      <c r="D2031">
        <v>19</v>
      </c>
      <c r="E2031" t="s">
        <v>2011</v>
      </c>
    </row>
    <row r="2032" spans="1:5">
      <c r="A2032">
        <f>HYPERLINK("http://www.twitter.com/NYPDnews/status/760216526628745216", "760216526628745216")</f>
        <v>0</v>
      </c>
      <c r="B2032" s="2">
        <v>42583.8694212963</v>
      </c>
      <c r="C2032">
        <v>13</v>
      </c>
      <c r="D2032">
        <v>19</v>
      </c>
      <c r="E2032" t="s">
        <v>2012</v>
      </c>
    </row>
    <row r="2033" spans="1:5">
      <c r="A2033">
        <f>HYPERLINK("http://www.twitter.com/NYPDnews/status/760216082133245952", "760216082133245952")</f>
        <v>0</v>
      </c>
      <c r="B2033" s="2">
        <v>42583.8681944444</v>
      </c>
      <c r="C2033">
        <v>17</v>
      </c>
      <c r="D2033">
        <v>22</v>
      </c>
      <c r="E2033" t="s">
        <v>2013</v>
      </c>
    </row>
    <row r="2034" spans="1:5">
      <c r="A2034">
        <f>HYPERLINK("http://www.twitter.com/NYPDnews/status/760215826792386560", "760215826792386560")</f>
        <v>0</v>
      </c>
      <c r="B2034" s="2">
        <v>42583.8674884259</v>
      </c>
      <c r="C2034">
        <v>21</v>
      </c>
      <c r="D2034">
        <v>17</v>
      </c>
      <c r="E2034" t="s">
        <v>2014</v>
      </c>
    </row>
    <row r="2035" spans="1:5">
      <c r="A2035">
        <f>HYPERLINK("http://www.twitter.com/NYPDnews/status/760215298662359041", "760215298662359041")</f>
        <v>0</v>
      </c>
      <c r="B2035" s="2">
        <v>42583.8660300926</v>
      </c>
      <c r="C2035">
        <v>15</v>
      </c>
      <c r="D2035">
        <v>18</v>
      </c>
      <c r="E2035" t="s">
        <v>2015</v>
      </c>
    </row>
    <row r="2036" spans="1:5">
      <c r="A2036">
        <f>HYPERLINK("http://www.twitter.com/NYPDnews/status/760215139375312896", "760215139375312896")</f>
        <v>0</v>
      </c>
      <c r="B2036" s="2">
        <v>42583.8655902778</v>
      </c>
      <c r="C2036">
        <v>11</v>
      </c>
      <c r="D2036">
        <v>15</v>
      </c>
      <c r="E2036" t="s">
        <v>2016</v>
      </c>
    </row>
    <row r="2037" spans="1:5">
      <c r="A2037">
        <f>HYPERLINK("http://www.twitter.com/NYPDnews/status/760215063047307265", "760215063047307265")</f>
        <v>0</v>
      </c>
      <c r="B2037" s="2">
        <v>42583.8653819444</v>
      </c>
      <c r="C2037">
        <v>13</v>
      </c>
      <c r="D2037">
        <v>14</v>
      </c>
      <c r="E2037" t="s">
        <v>2017</v>
      </c>
    </row>
    <row r="2038" spans="1:5">
      <c r="A2038">
        <f>HYPERLINK("http://www.twitter.com/NYPDnews/status/760215002791944192", "760215002791944192")</f>
        <v>0</v>
      </c>
      <c r="B2038" s="2">
        <v>42583.8652199074</v>
      </c>
      <c r="C2038">
        <v>14</v>
      </c>
      <c r="D2038">
        <v>17</v>
      </c>
      <c r="E2038" t="s">
        <v>2018</v>
      </c>
    </row>
    <row r="2039" spans="1:5">
      <c r="A2039">
        <f>HYPERLINK("http://www.twitter.com/NYPDnews/status/760214906243276800", "760214906243276800")</f>
        <v>0</v>
      </c>
      <c r="B2039" s="2">
        <v>42583.8649537037</v>
      </c>
      <c r="C2039">
        <v>15</v>
      </c>
      <c r="D2039">
        <v>17</v>
      </c>
      <c r="E2039" t="s">
        <v>2019</v>
      </c>
    </row>
    <row r="2040" spans="1:5">
      <c r="A2040">
        <f>HYPERLINK("http://www.twitter.com/NYPDnews/status/760214817743536128", "760214817743536128")</f>
        <v>0</v>
      </c>
      <c r="B2040" s="2">
        <v>42583.8647106482</v>
      </c>
      <c r="C2040">
        <v>34</v>
      </c>
      <c r="D2040">
        <v>24</v>
      </c>
      <c r="E2040" t="s">
        <v>2020</v>
      </c>
    </row>
    <row r="2041" spans="1:5">
      <c r="A2041">
        <f>HYPERLINK("http://www.twitter.com/NYPDnews/status/760210552438284292", "760210552438284292")</f>
        <v>0</v>
      </c>
      <c r="B2041" s="2">
        <v>42583.8529398148</v>
      </c>
      <c r="C2041">
        <v>0</v>
      </c>
      <c r="D2041">
        <v>4</v>
      </c>
      <c r="E2041" t="s">
        <v>2021</v>
      </c>
    </row>
    <row r="2042" spans="1:5">
      <c r="A2042">
        <f>HYPERLINK("http://www.twitter.com/NYPDnews/status/760207570384674821", "760207570384674821")</f>
        <v>0</v>
      </c>
      <c r="B2042" s="2">
        <v>42583.8447106481</v>
      </c>
      <c r="C2042">
        <v>0</v>
      </c>
      <c r="D2042">
        <v>8</v>
      </c>
      <c r="E2042" t="s">
        <v>2022</v>
      </c>
    </row>
    <row r="2043" spans="1:5">
      <c r="A2043">
        <f>HYPERLINK("http://www.twitter.com/NYPDnews/status/760184257805516800", "760184257805516800")</f>
        <v>0</v>
      </c>
      <c r="B2043" s="2">
        <v>42583.7803819444</v>
      </c>
      <c r="C2043">
        <v>24</v>
      </c>
      <c r="D2043">
        <v>38</v>
      </c>
      <c r="E2043" t="s">
        <v>2023</v>
      </c>
    </row>
    <row r="2044" spans="1:5">
      <c r="A2044">
        <f>HYPERLINK("http://www.twitter.com/NYPDnews/status/760168261296074752", "760168261296074752")</f>
        <v>0</v>
      </c>
      <c r="B2044" s="2">
        <v>42583.7362384259</v>
      </c>
      <c r="C2044">
        <v>20</v>
      </c>
      <c r="D2044">
        <v>16</v>
      </c>
      <c r="E2044" t="s">
        <v>2024</v>
      </c>
    </row>
    <row r="2045" spans="1:5">
      <c r="A2045">
        <f>HYPERLINK("http://www.twitter.com/NYPDnews/status/760164829541916672", "760164829541916672")</f>
        <v>0</v>
      </c>
      <c r="B2045" s="2">
        <v>42583.7267708333</v>
      </c>
      <c r="C2045">
        <v>35</v>
      </c>
      <c r="D2045">
        <v>17</v>
      </c>
      <c r="E2045" t="s">
        <v>2025</v>
      </c>
    </row>
    <row r="2046" spans="1:5">
      <c r="A2046">
        <f>HYPERLINK("http://www.twitter.com/NYPDnews/status/760163892102205440", "760163892102205440")</f>
        <v>0</v>
      </c>
      <c r="B2046" s="2">
        <v>42583.7241782407</v>
      </c>
      <c r="C2046">
        <v>38</v>
      </c>
      <c r="D2046">
        <v>31</v>
      </c>
      <c r="E2046" t="s">
        <v>2026</v>
      </c>
    </row>
    <row r="2047" spans="1:5">
      <c r="A2047">
        <f>HYPERLINK("http://www.twitter.com/NYPDnews/status/760162853760360448", "760162853760360448")</f>
        <v>0</v>
      </c>
      <c r="B2047" s="2">
        <v>42583.7213194444</v>
      </c>
      <c r="C2047">
        <v>21</v>
      </c>
      <c r="D2047">
        <v>14</v>
      </c>
      <c r="E2047" t="s">
        <v>2027</v>
      </c>
    </row>
    <row r="2048" spans="1:5">
      <c r="A2048">
        <f>HYPERLINK("http://www.twitter.com/NYPDnews/status/760123818929188864", "760123818929188864")</f>
        <v>0</v>
      </c>
      <c r="B2048" s="2">
        <v>42583.613599537</v>
      </c>
      <c r="C2048">
        <v>205</v>
      </c>
      <c r="D2048">
        <v>70</v>
      </c>
      <c r="E2048" t="s">
        <v>2028</v>
      </c>
    </row>
    <row r="2049" spans="1:5">
      <c r="A2049">
        <f>HYPERLINK("http://www.twitter.com/NYPDnews/status/760120083754528770", "760120083754528770")</f>
        <v>0</v>
      </c>
      <c r="B2049" s="2">
        <v>42583.603287037</v>
      </c>
      <c r="C2049">
        <v>159</v>
      </c>
      <c r="D2049">
        <v>55</v>
      </c>
      <c r="E2049" t="s">
        <v>2029</v>
      </c>
    </row>
    <row r="2050" spans="1:5">
      <c r="A2050">
        <f>HYPERLINK("http://www.twitter.com/NYPDnews/status/760114537303412736", "760114537303412736")</f>
        <v>0</v>
      </c>
      <c r="B2050" s="2">
        <v>42583.5879861111</v>
      </c>
      <c r="C2050">
        <v>132</v>
      </c>
      <c r="D2050">
        <v>45</v>
      </c>
      <c r="E2050" t="s">
        <v>2030</v>
      </c>
    </row>
    <row r="2051" spans="1:5">
      <c r="A2051">
        <f>HYPERLINK("http://www.twitter.com/NYPDnews/status/760094024288043008", "760094024288043008")</f>
        <v>0</v>
      </c>
      <c r="B2051" s="2">
        <v>42583.5313773148</v>
      </c>
      <c r="C2051">
        <v>11</v>
      </c>
      <c r="D2051">
        <v>7</v>
      </c>
      <c r="E2051" t="s">
        <v>2031</v>
      </c>
    </row>
    <row r="2052" spans="1:5">
      <c r="A2052">
        <f>HYPERLINK("http://www.twitter.com/NYPDnews/status/760090295115460608", "760090295115460608")</f>
        <v>0</v>
      </c>
      <c r="B2052" s="2">
        <v>42583.521087963</v>
      </c>
      <c r="C2052">
        <v>79</v>
      </c>
      <c r="D2052">
        <v>14</v>
      </c>
      <c r="E2052" t="s">
        <v>2032</v>
      </c>
    </row>
    <row r="2053" spans="1:5">
      <c r="A2053">
        <f>HYPERLINK("http://www.twitter.com/NYPDnews/status/760086464730435585", "760086464730435585")</f>
        <v>0</v>
      </c>
      <c r="B2053" s="2">
        <v>42583.5105208333</v>
      </c>
      <c r="C2053">
        <v>15</v>
      </c>
      <c r="D2053">
        <v>30</v>
      </c>
      <c r="E2053" t="s">
        <v>2033</v>
      </c>
    </row>
    <row r="2054" spans="1:5">
      <c r="A2054">
        <f>HYPERLINK("http://www.twitter.com/NYPDnews/status/760082774544019456", "760082774544019456")</f>
        <v>0</v>
      </c>
      <c r="B2054" s="2">
        <v>42583.5003356481</v>
      </c>
      <c r="C2054">
        <v>92</v>
      </c>
      <c r="D2054">
        <v>11</v>
      </c>
      <c r="E2054" t="s">
        <v>2034</v>
      </c>
    </row>
    <row r="2055" spans="1:5">
      <c r="A2055">
        <f>HYPERLINK("http://www.twitter.com/NYPDnews/status/759894353389158400", "759894353389158400")</f>
        <v>0</v>
      </c>
      <c r="B2055" s="2">
        <v>42582.9803935185</v>
      </c>
      <c r="C2055">
        <v>0</v>
      </c>
      <c r="D2055">
        <v>27</v>
      </c>
      <c r="E2055" t="s">
        <v>2035</v>
      </c>
    </row>
    <row r="2056" spans="1:5">
      <c r="A2056">
        <f>HYPERLINK("http://www.twitter.com/NYPDnews/status/759883489378463744", "759883489378463744")</f>
        <v>0</v>
      </c>
      <c r="B2056" s="2">
        <v>42582.9504166667</v>
      </c>
      <c r="C2056">
        <v>19</v>
      </c>
      <c r="D2056">
        <v>42</v>
      </c>
      <c r="E2056" t="s">
        <v>2036</v>
      </c>
    </row>
    <row r="2057" spans="1:5">
      <c r="A2057">
        <f>HYPERLINK("http://www.twitter.com/NYPDnews/status/759826059428855809", "759826059428855809")</f>
        <v>0</v>
      </c>
      <c r="B2057" s="2">
        <v>42582.7919444444</v>
      </c>
      <c r="C2057">
        <v>52</v>
      </c>
      <c r="D2057">
        <v>28</v>
      </c>
      <c r="E2057" t="s">
        <v>2037</v>
      </c>
    </row>
    <row r="2058" spans="1:5">
      <c r="A2058">
        <f>HYPERLINK("http://www.twitter.com/NYPDnews/status/759780242705833984", "759780242705833984")</f>
        <v>0</v>
      </c>
      <c r="B2058" s="2">
        <v>42582.6655092593</v>
      </c>
      <c r="C2058">
        <v>30</v>
      </c>
      <c r="D2058">
        <v>106</v>
      </c>
      <c r="E2058" t="s">
        <v>2038</v>
      </c>
    </row>
    <row r="2059" spans="1:5">
      <c r="A2059">
        <f>HYPERLINK("http://www.twitter.com/NYPDnews/status/759732923239108608", "759732923239108608")</f>
        <v>0</v>
      </c>
      <c r="B2059" s="2">
        <v>42582.5349305556</v>
      </c>
      <c r="C2059">
        <v>26</v>
      </c>
      <c r="D2059">
        <v>19</v>
      </c>
      <c r="E2059" t="s">
        <v>2039</v>
      </c>
    </row>
    <row r="2060" spans="1:5">
      <c r="A2060">
        <f>HYPERLINK("http://www.twitter.com/NYPDnews/status/759607075068604417", "759607075068604417")</f>
        <v>0</v>
      </c>
      <c r="B2060" s="2">
        <v>42582.187662037</v>
      </c>
      <c r="C2060">
        <v>12</v>
      </c>
      <c r="D2060">
        <v>9</v>
      </c>
      <c r="E2060" t="s">
        <v>2040</v>
      </c>
    </row>
    <row r="2061" spans="1:5">
      <c r="A2061">
        <f>HYPERLINK("http://www.twitter.com/NYPDnews/status/759526514526486528", "759526514526486528")</f>
        <v>0</v>
      </c>
      <c r="B2061" s="2">
        <v>42581.9653587963</v>
      </c>
      <c r="C2061">
        <v>127</v>
      </c>
      <c r="D2061">
        <v>37</v>
      </c>
      <c r="E2061" t="s">
        <v>2041</v>
      </c>
    </row>
    <row r="2062" spans="1:5">
      <c r="A2062">
        <f>HYPERLINK("http://www.twitter.com/NYPDnews/status/759495262259843072", "759495262259843072")</f>
        <v>0</v>
      </c>
      <c r="B2062" s="2">
        <v>42581.8791087963</v>
      </c>
      <c r="C2062">
        <v>519</v>
      </c>
      <c r="D2062">
        <v>239</v>
      </c>
      <c r="E2062" t="s">
        <v>2042</v>
      </c>
    </row>
    <row r="2063" spans="1:5">
      <c r="A2063">
        <f>HYPERLINK("http://www.twitter.com/NYPDnews/status/759457311689760768", "759457311689760768")</f>
        <v>0</v>
      </c>
      <c r="B2063" s="2">
        <v>42581.7743865741</v>
      </c>
      <c r="C2063">
        <v>16</v>
      </c>
      <c r="D2063">
        <v>13</v>
      </c>
      <c r="E2063" t="s">
        <v>2043</v>
      </c>
    </row>
    <row r="2064" spans="1:5">
      <c r="A2064">
        <f>HYPERLINK("http://www.twitter.com/NYPDnews/status/759418409050406912", "759418409050406912")</f>
        <v>0</v>
      </c>
      <c r="B2064" s="2">
        <v>42581.667037037</v>
      </c>
      <c r="C2064">
        <v>61</v>
      </c>
      <c r="D2064">
        <v>18</v>
      </c>
      <c r="E2064" t="s">
        <v>2044</v>
      </c>
    </row>
    <row r="2065" spans="1:5">
      <c r="A2065">
        <f>HYPERLINK("http://www.twitter.com/NYPDnews/status/759394410148818944", "759394410148818944")</f>
        <v>0</v>
      </c>
      <c r="B2065" s="2">
        <v>42581.6008101852</v>
      </c>
      <c r="C2065">
        <v>52</v>
      </c>
      <c r="D2065">
        <v>15</v>
      </c>
      <c r="E2065" t="s">
        <v>2045</v>
      </c>
    </row>
    <row r="2066" spans="1:5">
      <c r="A2066">
        <f>HYPERLINK("http://www.twitter.com/NYPDnews/status/759388406166253568", "759388406166253568")</f>
        <v>0</v>
      </c>
      <c r="B2066" s="2">
        <v>42581.5842476852</v>
      </c>
      <c r="C2066">
        <v>18</v>
      </c>
      <c r="D2066">
        <v>14</v>
      </c>
      <c r="E2066" t="s">
        <v>2046</v>
      </c>
    </row>
    <row r="2067" spans="1:5">
      <c r="A2067">
        <f>HYPERLINK("http://www.twitter.com/NYPDnews/status/759373054522847232", "759373054522847232")</f>
        <v>0</v>
      </c>
      <c r="B2067" s="2">
        <v>42581.5418865741</v>
      </c>
      <c r="C2067">
        <v>70</v>
      </c>
      <c r="D2067">
        <v>24</v>
      </c>
      <c r="E2067" t="s">
        <v>2047</v>
      </c>
    </row>
    <row r="2068" spans="1:5">
      <c r="A2068">
        <f>HYPERLINK("http://www.twitter.com/NYPDnews/status/759191854000836608", "759191854000836608")</f>
        <v>0</v>
      </c>
      <c r="B2068" s="2">
        <v>42581.0418634259</v>
      </c>
      <c r="C2068">
        <v>39</v>
      </c>
      <c r="D2068">
        <v>128</v>
      </c>
      <c r="E2068" t="s">
        <v>2048</v>
      </c>
    </row>
    <row r="2069" spans="1:5">
      <c r="A2069">
        <f>HYPERLINK("http://www.twitter.com/NYPDnews/status/759185537248944128", "759185537248944128")</f>
        <v>0</v>
      </c>
      <c r="B2069" s="2">
        <v>42581.0244328704</v>
      </c>
      <c r="C2069">
        <v>92</v>
      </c>
      <c r="D2069">
        <v>23</v>
      </c>
      <c r="E2069" t="s">
        <v>2049</v>
      </c>
    </row>
    <row r="2070" spans="1:5">
      <c r="A2070">
        <f>HYPERLINK("http://www.twitter.com/NYPDnews/status/759164152657108993", "759164152657108993")</f>
        <v>0</v>
      </c>
      <c r="B2070" s="2">
        <v>42580.9654282407</v>
      </c>
      <c r="C2070">
        <v>11</v>
      </c>
      <c r="D2070">
        <v>5</v>
      </c>
      <c r="E2070" t="s">
        <v>2050</v>
      </c>
    </row>
    <row r="2071" spans="1:5">
      <c r="A2071">
        <f>HYPERLINK("http://www.twitter.com/NYPDnews/status/759152183833161728", "759152183833161728")</f>
        <v>0</v>
      </c>
      <c r="B2071" s="2">
        <v>42580.9323958333</v>
      </c>
      <c r="C2071">
        <v>57</v>
      </c>
      <c r="D2071">
        <v>23</v>
      </c>
      <c r="E2071" t="s">
        <v>2051</v>
      </c>
    </row>
    <row r="2072" spans="1:5">
      <c r="A2072">
        <f>HYPERLINK("http://www.twitter.com/NYPDnews/status/759140224782000128", "759140224782000128")</f>
        <v>0</v>
      </c>
      <c r="B2072" s="2">
        <v>42580.8993981481</v>
      </c>
      <c r="C2072">
        <v>287</v>
      </c>
      <c r="D2072">
        <v>118</v>
      </c>
      <c r="E2072" t="s">
        <v>2052</v>
      </c>
    </row>
    <row r="2073" spans="1:5">
      <c r="A2073">
        <f>HYPERLINK("http://www.twitter.com/NYPDnews/status/759117572705050624", "759117572705050624")</f>
        <v>0</v>
      </c>
      <c r="B2073" s="2">
        <v>42580.8368865741</v>
      </c>
      <c r="C2073">
        <v>37</v>
      </c>
      <c r="D2073">
        <v>18</v>
      </c>
      <c r="E2073" t="s">
        <v>2047</v>
      </c>
    </row>
    <row r="2074" spans="1:5">
      <c r="A2074">
        <f>HYPERLINK("http://www.twitter.com/NYPDnews/status/759100710206267393", "759100710206267393")</f>
        <v>0</v>
      </c>
      <c r="B2074" s="2">
        <v>42580.7903587963</v>
      </c>
      <c r="C2074">
        <v>0</v>
      </c>
      <c r="D2074">
        <v>34</v>
      </c>
      <c r="E2074" t="s">
        <v>2053</v>
      </c>
    </row>
    <row r="2075" spans="1:5">
      <c r="A2075">
        <f>HYPERLINK("http://www.twitter.com/NYPDnews/status/759074844629762048", "759074844629762048")</f>
        <v>0</v>
      </c>
      <c r="B2075" s="2">
        <v>42580.7189814815</v>
      </c>
      <c r="C2075">
        <v>102</v>
      </c>
      <c r="D2075">
        <v>16</v>
      </c>
      <c r="E2075" t="s">
        <v>2054</v>
      </c>
    </row>
    <row r="2076" spans="1:5">
      <c r="A2076">
        <f>HYPERLINK("http://www.twitter.com/NYPDnews/status/759006869541167107", "759006869541167107")</f>
        <v>0</v>
      </c>
      <c r="B2076" s="2">
        <v>42580.531412037</v>
      </c>
      <c r="C2076">
        <v>31</v>
      </c>
      <c r="D2076">
        <v>19</v>
      </c>
      <c r="E2076" t="s">
        <v>2055</v>
      </c>
    </row>
    <row r="2077" spans="1:5">
      <c r="A2077">
        <f>HYPERLINK("http://www.twitter.com/NYPDnews/status/758999308418945028", "758999308418945028")</f>
        <v>0</v>
      </c>
      <c r="B2077" s="2">
        <v>42580.5105439815</v>
      </c>
      <c r="C2077">
        <v>20</v>
      </c>
      <c r="D2077">
        <v>54</v>
      </c>
      <c r="E2077" t="s">
        <v>2056</v>
      </c>
    </row>
    <row r="2078" spans="1:5">
      <c r="A2078">
        <f>HYPERLINK("http://www.twitter.com/NYPDnews/status/758995611622313989", "758995611622313989")</f>
        <v>0</v>
      </c>
      <c r="B2078" s="2">
        <v>42580.5003356481</v>
      </c>
      <c r="C2078">
        <v>27</v>
      </c>
      <c r="D2078">
        <v>10</v>
      </c>
      <c r="E2078" t="s">
        <v>2057</v>
      </c>
    </row>
    <row r="2079" spans="1:5">
      <c r="A2079">
        <f>HYPERLINK("http://www.twitter.com/NYPDnews/status/758992555157495808", "758992555157495808")</f>
        <v>0</v>
      </c>
      <c r="B2079" s="2">
        <v>42580.4919097222</v>
      </c>
      <c r="C2079">
        <v>104</v>
      </c>
      <c r="D2079">
        <v>58</v>
      </c>
      <c r="E2079" t="s">
        <v>2058</v>
      </c>
    </row>
    <row r="2080" spans="1:5">
      <c r="A2080">
        <f>HYPERLINK("http://www.twitter.com/NYPDnews/status/758822012991045632", "758822012991045632")</f>
        <v>0</v>
      </c>
      <c r="B2080" s="2">
        <v>42580.0212962963</v>
      </c>
      <c r="C2080">
        <v>214</v>
      </c>
      <c r="D2080">
        <v>39</v>
      </c>
      <c r="E2080" t="s">
        <v>2059</v>
      </c>
    </row>
    <row r="2081" spans="1:5">
      <c r="A2081">
        <f>HYPERLINK("http://www.twitter.com/NYPDnews/status/758787934690553856", "758787934690553856")</f>
        <v>0</v>
      </c>
      <c r="B2081" s="2">
        <v>42579.9272569444</v>
      </c>
      <c r="C2081">
        <v>29</v>
      </c>
      <c r="D2081">
        <v>65</v>
      </c>
      <c r="E2081" t="s">
        <v>2060</v>
      </c>
    </row>
    <row r="2082" spans="1:5">
      <c r="A2082">
        <f>HYPERLINK("http://www.twitter.com/NYPDnews/status/758714945978638337", "758714945978638337")</f>
        <v>0</v>
      </c>
      <c r="B2082" s="2">
        <v>42579.7258564815</v>
      </c>
      <c r="C2082">
        <v>19</v>
      </c>
      <c r="D2082">
        <v>43</v>
      </c>
      <c r="E2082" t="s">
        <v>2061</v>
      </c>
    </row>
    <row r="2083" spans="1:5">
      <c r="A2083">
        <f>HYPERLINK("http://www.twitter.com/NYPDnews/status/758644473064779776", "758644473064779776")</f>
        <v>0</v>
      </c>
      <c r="B2083" s="2">
        <v>42579.5313773148</v>
      </c>
      <c r="C2083">
        <v>67</v>
      </c>
      <c r="D2083">
        <v>38</v>
      </c>
      <c r="E2083" t="s">
        <v>2062</v>
      </c>
    </row>
    <row r="2084" spans="1:5">
      <c r="A2084">
        <f>HYPERLINK("http://www.twitter.com/NYPDnews/status/758640959571763200", "758640959571763200")</f>
        <v>0</v>
      </c>
      <c r="B2084" s="2">
        <v>42579.5216898148</v>
      </c>
      <c r="C2084">
        <v>14</v>
      </c>
      <c r="D2084">
        <v>30</v>
      </c>
      <c r="E2084" t="s">
        <v>2063</v>
      </c>
    </row>
    <row r="2085" spans="1:5">
      <c r="A2085">
        <f>HYPERLINK("http://www.twitter.com/NYPDnews/status/758636924047327232", "758636924047327232")</f>
        <v>0</v>
      </c>
      <c r="B2085" s="2">
        <v>42579.5105555556</v>
      </c>
      <c r="C2085">
        <v>128</v>
      </c>
      <c r="D2085">
        <v>43</v>
      </c>
      <c r="E2085" t="s">
        <v>2064</v>
      </c>
    </row>
    <row r="2086" spans="1:5">
      <c r="A2086">
        <f>HYPERLINK("http://www.twitter.com/NYPDnews/status/758633219671592960", "758633219671592960")</f>
        <v>0</v>
      </c>
      <c r="B2086" s="2">
        <v>42579.5003240741</v>
      </c>
      <c r="C2086">
        <v>23</v>
      </c>
      <c r="D2086">
        <v>34</v>
      </c>
      <c r="E2086" t="s">
        <v>2065</v>
      </c>
    </row>
    <row r="2087" spans="1:5">
      <c r="A2087">
        <f>HYPERLINK("http://www.twitter.com/NYPDnews/status/758459706084102144", "758459706084102144")</f>
        <v>0</v>
      </c>
      <c r="B2087" s="2">
        <v>42579.0215277778</v>
      </c>
      <c r="C2087">
        <v>120</v>
      </c>
      <c r="D2087">
        <v>57</v>
      </c>
      <c r="E2087" t="s">
        <v>2066</v>
      </c>
    </row>
    <row r="2088" spans="1:5">
      <c r="A2088">
        <f>HYPERLINK("http://www.twitter.com/NYPDnews/status/758430437320589312", "758430437320589312")</f>
        <v>0</v>
      </c>
      <c r="B2088" s="2">
        <v>42578.9407523148</v>
      </c>
      <c r="C2088">
        <v>0</v>
      </c>
      <c r="D2088">
        <v>38</v>
      </c>
      <c r="E2088" t="s">
        <v>2067</v>
      </c>
    </row>
    <row r="2089" spans="1:5">
      <c r="A2089">
        <f>HYPERLINK("http://www.twitter.com/NYPDnews/status/758406710914584576", "758406710914584576")</f>
        <v>0</v>
      </c>
      <c r="B2089" s="2">
        <v>42578.8752893519</v>
      </c>
      <c r="C2089">
        <v>15</v>
      </c>
      <c r="D2089">
        <v>19</v>
      </c>
      <c r="E2089" t="s">
        <v>1859</v>
      </c>
    </row>
    <row r="2090" spans="1:5">
      <c r="A2090">
        <f>HYPERLINK("http://www.twitter.com/NYPDnews/status/758369964248199169", "758369964248199169")</f>
        <v>0</v>
      </c>
      <c r="B2090" s="2">
        <v>42578.7738773148</v>
      </c>
      <c r="C2090">
        <v>46</v>
      </c>
      <c r="D2090">
        <v>22</v>
      </c>
      <c r="E2090" t="s">
        <v>2068</v>
      </c>
    </row>
    <row r="2091" spans="1:5">
      <c r="A2091">
        <f>HYPERLINK("http://www.twitter.com/NYPDnews/status/758344880515153921", "758344880515153921")</f>
        <v>0</v>
      </c>
      <c r="B2091" s="2">
        <v>42578.7046643519</v>
      </c>
      <c r="C2091">
        <v>85</v>
      </c>
      <c r="D2091">
        <v>24</v>
      </c>
      <c r="E2091" t="s">
        <v>2069</v>
      </c>
    </row>
    <row r="2092" spans="1:5">
      <c r="A2092">
        <f>HYPERLINK("http://www.twitter.com/NYPDnews/status/758339281450663936", "758339281450663936")</f>
        <v>0</v>
      </c>
      <c r="B2092" s="2">
        <v>42578.689212963</v>
      </c>
      <c r="C2092">
        <v>157</v>
      </c>
      <c r="D2092">
        <v>46</v>
      </c>
      <c r="E2092" t="s">
        <v>2070</v>
      </c>
    </row>
    <row r="2093" spans="1:5">
      <c r="A2093">
        <f>HYPERLINK("http://www.twitter.com/NYPDnews/status/758310969831546880", "758310969831546880")</f>
        <v>0</v>
      </c>
      <c r="B2093" s="2">
        <v>42578.611087963</v>
      </c>
      <c r="C2093">
        <v>141</v>
      </c>
      <c r="D2093">
        <v>56</v>
      </c>
      <c r="E2093" t="s">
        <v>2071</v>
      </c>
    </row>
    <row r="2094" spans="1:5">
      <c r="A2094">
        <f>HYPERLINK("http://www.twitter.com/NYPDnews/status/758305193847033856", "758305193847033856")</f>
        <v>0</v>
      </c>
      <c r="B2094" s="2">
        <v>42578.595150463</v>
      </c>
      <c r="C2094">
        <v>96</v>
      </c>
      <c r="D2094">
        <v>37</v>
      </c>
      <c r="E2094" t="s">
        <v>2072</v>
      </c>
    </row>
    <row r="2095" spans="1:5">
      <c r="A2095">
        <f>HYPERLINK("http://www.twitter.com/NYPDnews/status/758294674092195841", "758294674092195841")</f>
        <v>0</v>
      </c>
      <c r="B2095" s="2">
        <v>42578.5661226852</v>
      </c>
      <c r="C2095">
        <v>0</v>
      </c>
      <c r="D2095">
        <v>61</v>
      </c>
      <c r="E2095" t="s">
        <v>2073</v>
      </c>
    </row>
    <row r="2096" spans="1:5">
      <c r="A2096">
        <f>HYPERLINK("http://www.twitter.com/NYPDnews/status/758282079582945280", "758282079582945280")</f>
        <v>0</v>
      </c>
      <c r="B2096" s="2">
        <v>42578.5313657407</v>
      </c>
      <c r="C2096">
        <v>27</v>
      </c>
      <c r="D2096">
        <v>12</v>
      </c>
      <c r="E2096" t="s">
        <v>2074</v>
      </c>
    </row>
    <row r="2097" spans="1:5">
      <c r="A2097">
        <f>HYPERLINK("http://www.twitter.com/NYPDnews/status/758278499027316736", "758278499027316736")</f>
        <v>0</v>
      </c>
      <c r="B2097" s="2">
        <v>42578.5214814815</v>
      </c>
      <c r="C2097">
        <v>9</v>
      </c>
      <c r="D2097">
        <v>25</v>
      </c>
      <c r="E2097" t="s">
        <v>2075</v>
      </c>
    </row>
    <row r="2098" spans="1:5">
      <c r="A2098">
        <f>HYPERLINK("http://www.twitter.com/NYPDnews/status/758274526698504192", "758274526698504192")</f>
        <v>0</v>
      </c>
      <c r="B2098" s="2">
        <v>42578.5105208333</v>
      </c>
      <c r="C2098">
        <v>10</v>
      </c>
      <c r="D2098">
        <v>3</v>
      </c>
      <c r="E2098" t="s">
        <v>2076</v>
      </c>
    </row>
    <row r="2099" spans="1:5">
      <c r="A2099">
        <f>HYPERLINK("http://www.twitter.com/NYPDnews/status/758270990258405376", "758270990258405376")</f>
        <v>0</v>
      </c>
      <c r="B2099" s="2">
        <v>42578.5007638889</v>
      </c>
      <c r="C2099">
        <v>8</v>
      </c>
      <c r="D2099">
        <v>23</v>
      </c>
      <c r="E2099" t="s">
        <v>2077</v>
      </c>
    </row>
    <row r="2100" spans="1:5">
      <c r="A2100">
        <f>HYPERLINK("http://www.twitter.com/NYPDnews/status/758099395279724544", "758099395279724544")</f>
        <v>0</v>
      </c>
      <c r="B2100" s="2">
        <v>42578.0272569444</v>
      </c>
      <c r="C2100">
        <v>62</v>
      </c>
      <c r="D2100">
        <v>15</v>
      </c>
      <c r="E2100" t="s">
        <v>2078</v>
      </c>
    </row>
    <row r="2101" spans="1:5">
      <c r="A2101">
        <f>HYPERLINK("http://www.twitter.com/NYPDnews/status/758093383072186368", "758093383072186368")</f>
        <v>0</v>
      </c>
      <c r="B2101" s="2">
        <v>42578.0106597222</v>
      </c>
      <c r="C2101">
        <v>12</v>
      </c>
      <c r="D2101">
        <v>41</v>
      </c>
      <c r="E2101" t="s">
        <v>2079</v>
      </c>
    </row>
    <row r="2102" spans="1:5">
      <c r="A2102">
        <f>HYPERLINK("http://www.twitter.com/NYPDnews/status/758075738151067649", "758075738151067649")</f>
        <v>0</v>
      </c>
      <c r="B2102" s="2">
        <v>42577.9619675926</v>
      </c>
      <c r="C2102">
        <v>12</v>
      </c>
      <c r="D2102">
        <v>37</v>
      </c>
      <c r="E2102" t="s">
        <v>2080</v>
      </c>
    </row>
    <row r="2103" spans="1:5">
      <c r="A2103">
        <f>HYPERLINK("http://www.twitter.com/NYPDnews/status/758064413438013440", "758064413438013440")</f>
        <v>0</v>
      </c>
      <c r="B2103" s="2">
        <v>42577.9307175926</v>
      </c>
      <c r="C2103">
        <v>11</v>
      </c>
      <c r="D2103">
        <v>5</v>
      </c>
      <c r="E2103" t="s">
        <v>2081</v>
      </c>
    </row>
    <row r="2104" spans="1:5">
      <c r="A2104">
        <f>HYPERLINK("http://www.twitter.com/NYPDnews/status/758051702545195008", "758051702545195008")</f>
        <v>0</v>
      </c>
      <c r="B2104" s="2">
        <v>42577.8956481482</v>
      </c>
      <c r="C2104">
        <v>67</v>
      </c>
      <c r="D2104">
        <v>16</v>
      </c>
      <c r="E2104" t="s">
        <v>2082</v>
      </c>
    </row>
    <row r="2105" spans="1:5">
      <c r="A2105">
        <f>HYPERLINK("http://www.twitter.com/NYPDnews/status/758046807880560640", "758046807880560640")</f>
        <v>0</v>
      </c>
      <c r="B2105" s="2">
        <v>42577.8821412037</v>
      </c>
      <c r="C2105">
        <v>15</v>
      </c>
      <c r="D2105">
        <v>36</v>
      </c>
      <c r="E2105" t="s">
        <v>2083</v>
      </c>
    </row>
    <row r="2106" spans="1:5">
      <c r="A2106">
        <f>HYPERLINK("http://www.twitter.com/NYPDnews/status/757991535162093568", "757991535162093568")</f>
        <v>0</v>
      </c>
      <c r="B2106" s="2">
        <v>42577.7296180556</v>
      </c>
      <c r="C2106">
        <v>19</v>
      </c>
      <c r="D2106">
        <v>12</v>
      </c>
      <c r="E2106" t="s">
        <v>2084</v>
      </c>
    </row>
    <row r="2107" spans="1:5">
      <c r="A2107">
        <f>HYPERLINK("http://www.twitter.com/NYPDnews/status/757990778887086080", "757990778887086080")</f>
        <v>0</v>
      </c>
      <c r="B2107" s="2">
        <v>42577.7275347222</v>
      </c>
      <c r="C2107">
        <v>13</v>
      </c>
      <c r="D2107">
        <v>12</v>
      </c>
      <c r="E2107" t="s">
        <v>2085</v>
      </c>
    </row>
    <row r="2108" spans="1:5">
      <c r="A2108">
        <f>HYPERLINK("http://www.twitter.com/NYPDnews/status/757988997595619328", "757988997595619328")</f>
        <v>0</v>
      </c>
      <c r="B2108" s="2">
        <v>42577.7226157407</v>
      </c>
      <c r="C2108">
        <v>27</v>
      </c>
      <c r="D2108">
        <v>20</v>
      </c>
      <c r="E2108" t="s">
        <v>2086</v>
      </c>
    </row>
    <row r="2109" spans="1:5">
      <c r="A2109">
        <f>HYPERLINK("http://www.twitter.com/NYPDnews/status/757987646769618944", "757987646769618944")</f>
        <v>0</v>
      </c>
      <c r="B2109" s="2">
        <v>42577.7188888889</v>
      </c>
      <c r="C2109">
        <v>12</v>
      </c>
      <c r="D2109">
        <v>11</v>
      </c>
      <c r="E2109" t="s">
        <v>2087</v>
      </c>
    </row>
    <row r="2110" spans="1:5">
      <c r="A2110">
        <f>HYPERLINK("http://www.twitter.com/NYPDnews/status/757962744830300164", "757962744830300164")</f>
        <v>0</v>
      </c>
      <c r="B2110" s="2">
        <v>42577.6501736111</v>
      </c>
      <c r="C2110">
        <v>59</v>
      </c>
      <c r="D2110">
        <v>28</v>
      </c>
      <c r="E2110" t="s">
        <v>2088</v>
      </c>
    </row>
    <row r="2111" spans="1:5">
      <c r="A2111">
        <f>HYPERLINK("http://www.twitter.com/NYPDnews/status/757961995836649472", "757961995836649472")</f>
        <v>0</v>
      </c>
      <c r="B2111" s="2">
        <v>42577.6481018519</v>
      </c>
      <c r="C2111">
        <v>43</v>
      </c>
      <c r="D2111">
        <v>19</v>
      </c>
      <c r="E2111" t="s">
        <v>2089</v>
      </c>
    </row>
    <row r="2112" spans="1:5">
      <c r="A2112">
        <f>HYPERLINK("http://www.twitter.com/NYPDnews/status/757961164663971842", "757961164663971842")</f>
        <v>0</v>
      </c>
      <c r="B2112" s="2">
        <v>42577.6458101852</v>
      </c>
      <c r="C2112">
        <v>15</v>
      </c>
      <c r="D2112">
        <v>8</v>
      </c>
      <c r="E2112" t="s">
        <v>2090</v>
      </c>
    </row>
    <row r="2113" spans="1:5">
      <c r="A2113">
        <f>HYPERLINK("http://www.twitter.com/NYPDnews/status/757960649792159745", "757960649792159745")</f>
        <v>0</v>
      </c>
      <c r="B2113" s="2">
        <v>42577.6443865741</v>
      </c>
      <c r="C2113">
        <v>22</v>
      </c>
      <c r="D2113">
        <v>11</v>
      </c>
      <c r="E2113" t="s">
        <v>2091</v>
      </c>
    </row>
    <row r="2114" spans="1:5">
      <c r="A2114">
        <f>HYPERLINK("http://www.twitter.com/NYPDnews/status/757958157327015936", "757958157327015936")</f>
        <v>0</v>
      </c>
      <c r="B2114" s="2">
        <v>42577.6375115741</v>
      </c>
      <c r="C2114">
        <v>19</v>
      </c>
      <c r="D2114">
        <v>14</v>
      </c>
      <c r="E2114" t="s">
        <v>2092</v>
      </c>
    </row>
    <row r="2115" spans="1:5">
      <c r="A2115">
        <f>HYPERLINK("http://www.twitter.com/NYPDnews/status/757919733236789248", "757919733236789248")</f>
        <v>0</v>
      </c>
      <c r="B2115" s="2">
        <v>42577.5314814815</v>
      </c>
      <c r="C2115">
        <v>11</v>
      </c>
      <c r="D2115">
        <v>9</v>
      </c>
      <c r="E2115" t="s">
        <v>2093</v>
      </c>
    </row>
    <row r="2116" spans="1:5">
      <c r="A2116">
        <f>HYPERLINK("http://www.twitter.com/NYPDnews/status/757916060775514112", "757916060775514112")</f>
        <v>0</v>
      </c>
      <c r="B2116" s="2">
        <v>42577.5213425926</v>
      </c>
      <c r="C2116">
        <v>30</v>
      </c>
      <c r="D2116">
        <v>23</v>
      </c>
      <c r="E2116" t="s">
        <v>2094</v>
      </c>
    </row>
    <row r="2117" spans="1:5">
      <c r="A2117">
        <f>HYPERLINK("http://www.twitter.com/NYPDnews/status/757912184689156096", "757912184689156096")</f>
        <v>0</v>
      </c>
      <c r="B2117" s="2">
        <v>42577.5106481481</v>
      </c>
      <c r="C2117">
        <v>49</v>
      </c>
      <c r="D2117">
        <v>22</v>
      </c>
      <c r="E2117" t="s">
        <v>2095</v>
      </c>
    </row>
    <row r="2118" spans="1:5">
      <c r="A2118">
        <f>HYPERLINK("http://www.twitter.com/NYPDnews/status/757908609875513344", "757908609875513344")</f>
        <v>0</v>
      </c>
      <c r="B2118" s="2">
        <v>42577.500787037</v>
      </c>
      <c r="C2118">
        <v>9</v>
      </c>
      <c r="D2118">
        <v>7</v>
      </c>
      <c r="E2118" t="s">
        <v>2096</v>
      </c>
    </row>
    <row r="2119" spans="1:5">
      <c r="A2119">
        <f>HYPERLINK("http://www.twitter.com/NYPDnews/status/757905837411164160", "757905837411164160")</f>
        <v>0</v>
      </c>
      <c r="B2119" s="2">
        <v>42577.4931365741</v>
      </c>
      <c r="C2119">
        <v>17</v>
      </c>
      <c r="D2119">
        <v>68</v>
      </c>
      <c r="E2119" t="s">
        <v>2097</v>
      </c>
    </row>
    <row r="2120" spans="1:5">
      <c r="A2120">
        <f>HYPERLINK("http://www.twitter.com/NYPDnews/status/757752764961263616", "757752764961263616")</f>
        <v>0</v>
      </c>
      <c r="B2120" s="2">
        <v>42577.0707407407</v>
      </c>
      <c r="C2120">
        <v>0</v>
      </c>
      <c r="D2120">
        <v>27</v>
      </c>
      <c r="E2120" t="s">
        <v>2098</v>
      </c>
    </row>
    <row r="2121" spans="1:5">
      <c r="A2121">
        <f>HYPERLINK("http://www.twitter.com/NYPDnews/status/757737258699132928", "757737258699132928")</f>
        <v>0</v>
      </c>
      <c r="B2121" s="2">
        <v>42577.0279513889</v>
      </c>
      <c r="C2121">
        <v>91</v>
      </c>
      <c r="D2121">
        <v>24</v>
      </c>
      <c r="E2121" t="s">
        <v>2099</v>
      </c>
    </row>
    <row r="2122" spans="1:5">
      <c r="A2122">
        <f>HYPERLINK("http://www.twitter.com/NYPDnews/status/757732199651246080", "757732199651246080")</f>
        <v>0</v>
      </c>
      <c r="B2122" s="2">
        <v>42577.0139930556</v>
      </c>
      <c r="C2122">
        <v>16</v>
      </c>
      <c r="D2122">
        <v>12</v>
      </c>
      <c r="E2122" t="s">
        <v>2100</v>
      </c>
    </row>
    <row r="2123" spans="1:5">
      <c r="A2123">
        <f>HYPERLINK("http://www.twitter.com/NYPDnews/status/757727223029825536", "757727223029825536")</f>
        <v>0</v>
      </c>
      <c r="B2123" s="2">
        <v>42577.0002546296</v>
      </c>
      <c r="C2123">
        <v>146</v>
      </c>
      <c r="D2123">
        <v>62</v>
      </c>
      <c r="E2123" t="s">
        <v>2101</v>
      </c>
    </row>
    <row r="2124" spans="1:5">
      <c r="A2124">
        <f>HYPERLINK("http://www.twitter.com/NYPDnews/status/757670607987286016", "757670607987286016")</f>
        <v>0</v>
      </c>
      <c r="B2124" s="2">
        <v>42576.8440277778</v>
      </c>
      <c r="C2124">
        <v>0</v>
      </c>
      <c r="D2124">
        <v>31</v>
      </c>
      <c r="E2124" t="s">
        <v>2102</v>
      </c>
    </row>
    <row r="2125" spans="1:5">
      <c r="A2125">
        <f>HYPERLINK("http://www.twitter.com/NYPDnews/status/757604155905175552", "757604155905175552")</f>
        <v>0</v>
      </c>
      <c r="B2125" s="2">
        <v>42576.6606597222</v>
      </c>
      <c r="C2125">
        <v>29</v>
      </c>
      <c r="D2125">
        <v>44</v>
      </c>
      <c r="E2125" t="s">
        <v>2103</v>
      </c>
    </row>
    <row r="2126" spans="1:5">
      <c r="A2126">
        <f>HYPERLINK("http://www.twitter.com/NYPDnews/status/757591268356677632", "757591268356677632")</f>
        <v>0</v>
      </c>
      <c r="B2126" s="2">
        <v>42576.6250925926</v>
      </c>
      <c r="C2126">
        <v>100</v>
      </c>
      <c r="D2126">
        <v>38</v>
      </c>
      <c r="E2126" t="s">
        <v>2104</v>
      </c>
    </row>
    <row r="2127" spans="1:5">
      <c r="A2127">
        <f>HYPERLINK("http://www.twitter.com/NYPDnews/status/757589946567888896", "757589946567888896")</f>
        <v>0</v>
      </c>
      <c r="B2127" s="2">
        <v>42576.6214467593</v>
      </c>
      <c r="C2127">
        <v>35</v>
      </c>
      <c r="D2127">
        <v>21</v>
      </c>
      <c r="E2127" t="s">
        <v>2105</v>
      </c>
    </row>
    <row r="2128" spans="1:5">
      <c r="A2128">
        <f>HYPERLINK("http://www.twitter.com/NYPDnews/status/757588973443252224", "757588973443252224")</f>
        <v>0</v>
      </c>
      <c r="B2128" s="2">
        <v>42576.6187615741</v>
      </c>
      <c r="C2128">
        <v>82</v>
      </c>
      <c r="D2128">
        <v>23</v>
      </c>
      <c r="E2128" t="s">
        <v>2106</v>
      </c>
    </row>
    <row r="2129" spans="1:5">
      <c r="A2129">
        <f>HYPERLINK("http://www.twitter.com/NYPDnews/status/757587880852283395", "757587880852283395")</f>
        <v>0</v>
      </c>
      <c r="B2129" s="2">
        <v>42576.6157407407</v>
      </c>
      <c r="C2129">
        <v>68</v>
      </c>
      <c r="D2129">
        <v>20</v>
      </c>
      <c r="E2129" t="s">
        <v>2107</v>
      </c>
    </row>
    <row r="2130" spans="1:5">
      <c r="A2130">
        <f>HYPERLINK("http://www.twitter.com/NYPDnews/status/757586076814942208", "757586076814942208")</f>
        <v>0</v>
      </c>
      <c r="B2130" s="2">
        <v>42576.6107638889</v>
      </c>
      <c r="C2130">
        <v>14</v>
      </c>
      <c r="D2130">
        <v>7</v>
      </c>
      <c r="E2130" t="s">
        <v>2108</v>
      </c>
    </row>
    <row r="2131" spans="1:5">
      <c r="A2131">
        <f>HYPERLINK("http://www.twitter.com/NYPDnews/status/757584952699543552", "757584952699543552")</f>
        <v>0</v>
      </c>
      <c r="B2131" s="2">
        <v>42576.607662037</v>
      </c>
      <c r="C2131">
        <v>16</v>
      </c>
      <c r="D2131">
        <v>6</v>
      </c>
      <c r="E2131" t="s">
        <v>2109</v>
      </c>
    </row>
    <row r="2132" spans="1:5">
      <c r="A2132">
        <f>HYPERLINK("http://www.twitter.com/NYPDnews/status/757582846571708416", "757582846571708416")</f>
        <v>0</v>
      </c>
      <c r="B2132" s="2">
        <v>42576.6018518519</v>
      </c>
      <c r="C2132">
        <v>88</v>
      </c>
      <c r="D2132">
        <v>30</v>
      </c>
      <c r="E2132" t="s">
        <v>2110</v>
      </c>
    </row>
    <row r="2133" spans="1:5">
      <c r="A2133">
        <f>HYPERLINK("http://www.twitter.com/NYPDnews/status/757557317386768384", "757557317386768384")</f>
        <v>0</v>
      </c>
      <c r="B2133" s="2">
        <v>42576.531400463</v>
      </c>
      <c r="C2133">
        <v>19</v>
      </c>
      <c r="D2133">
        <v>42</v>
      </c>
      <c r="E2133" t="s">
        <v>2111</v>
      </c>
    </row>
    <row r="2134" spans="1:5">
      <c r="A2134">
        <f>HYPERLINK("http://www.twitter.com/NYPDnews/status/757553574675091456", "757553574675091456")</f>
        <v>0</v>
      </c>
      <c r="B2134" s="2">
        <v>42576.5210763889</v>
      </c>
      <c r="C2134">
        <v>16</v>
      </c>
      <c r="D2134">
        <v>11</v>
      </c>
      <c r="E2134" t="s">
        <v>2112</v>
      </c>
    </row>
    <row r="2135" spans="1:5">
      <c r="A2135">
        <f>HYPERLINK("http://www.twitter.com/NYPDnews/status/757549766360305666", "757549766360305666")</f>
        <v>0</v>
      </c>
      <c r="B2135" s="2">
        <v>42576.5105671296</v>
      </c>
      <c r="C2135">
        <v>9</v>
      </c>
      <c r="D2135">
        <v>32</v>
      </c>
      <c r="E2135" t="s">
        <v>2113</v>
      </c>
    </row>
    <row r="2136" spans="1:5">
      <c r="A2136">
        <f>HYPERLINK("http://www.twitter.com/NYPDnews/status/757546072495513600", "757546072495513600")</f>
        <v>0</v>
      </c>
      <c r="B2136" s="2">
        <v>42576.5003703704</v>
      </c>
      <c r="C2136">
        <v>36</v>
      </c>
      <c r="D2136">
        <v>33</v>
      </c>
      <c r="E2136" t="s">
        <v>2114</v>
      </c>
    </row>
    <row r="2137" spans="1:5">
      <c r="A2137">
        <f>HYPERLINK("http://www.twitter.com/NYPDnews/status/757383793070239745", "757383793070239745")</f>
        <v>0</v>
      </c>
      <c r="B2137" s="2">
        <v>42576.0525694444</v>
      </c>
      <c r="C2137">
        <v>0</v>
      </c>
      <c r="D2137">
        <v>59</v>
      </c>
      <c r="E2137" t="s">
        <v>2115</v>
      </c>
    </row>
    <row r="2138" spans="1:5">
      <c r="A2138">
        <f>HYPERLINK("http://www.twitter.com/NYPDnews/status/757323248057155584", "757323248057155584")</f>
        <v>0</v>
      </c>
      <c r="B2138" s="2">
        <v>42575.8854976852</v>
      </c>
      <c r="C2138">
        <v>175</v>
      </c>
      <c r="D2138">
        <v>59</v>
      </c>
      <c r="E2138" t="s">
        <v>2116</v>
      </c>
    </row>
    <row r="2139" spans="1:5">
      <c r="A2139">
        <f>HYPERLINK("http://www.twitter.com/NYPDnews/status/757261601636491264", "757261601636491264")</f>
        <v>0</v>
      </c>
      <c r="B2139" s="2">
        <v>42575.7153819444</v>
      </c>
      <c r="C2139">
        <v>36</v>
      </c>
      <c r="D2139">
        <v>28</v>
      </c>
      <c r="E2139" t="s">
        <v>2117</v>
      </c>
    </row>
    <row r="2140" spans="1:5">
      <c r="A2140">
        <f>HYPERLINK("http://www.twitter.com/NYPDnews/status/757231392489168896", "757231392489168896")</f>
        <v>0</v>
      </c>
      <c r="B2140" s="2">
        <v>42575.632025463</v>
      </c>
      <c r="C2140">
        <v>167</v>
      </c>
      <c r="D2140">
        <v>60</v>
      </c>
      <c r="E2140" t="s">
        <v>2118</v>
      </c>
    </row>
    <row r="2141" spans="1:5">
      <c r="A2141">
        <f>HYPERLINK("http://www.twitter.com/NYPDnews/status/757214457957347328", "757214457957347328")</f>
        <v>0</v>
      </c>
      <c r="B2141" s="2">
        <v>42575.5852893519</v>
      </c>
      <c r="C2141">
        <v>111</v>
      </c>
      <c r="D2141">
        <v>19</v>
      </c>
      <c r="E2141" t="s">
        <v>2119</v>
      </c>
    </row>
    <row r="2142" spans="1:5">
      <c r="A2142">
        <f>HYPERLINK("http://www.twitter.com/NYPDnews/status/757197034868838405", "757197034868838405")</f>
        <v>0</v>
      </c>
      <c r="B2142" s="2">
        <v>42575.5372106481</v>
      </c>
      <c r="C2142">
        <v>32</v>
      </c>
      <c r="D2142">
        <v>13</v>
      </c>
      <c r="E2142" t="s">
        <v>2120</v>
      </c>
    </row>
    <row r="2143" spans="1:5">
      <c r="A2143">
        <f>HYPERLINK("http://www.twitter.com/NYPDnews/status/757190155270774784", "757190155270774784")</f>
        <v>0</v>
      </c>
      <c r="B2143" s="2">
        <v>42575.5182291667</v>
      </c>
      <c r="C2143">
        <v>0</v>
      </c>
      <c r="D2143">
        <v>44</v>
      </c>
      <c r="E2143" t="s">
        <v>2121</v>
      </c>
    </row>
    <row r="2144" spans="1:5">
      <c r="A2144">
        <f>HYPERLINK("http://www.twitter.com/NYPDnews/status/757019803886325760", "757019803886325760")</f>
        <v>0</v>
      </c>
      <c r="B2144" s="2">
        <v>42575.0481481481</v>
      </c>
      <c r="C2144">
        <v>25</v>
      </c>
      <c r="D2144">
        <v>50</v>
      </c>
      <c r="E2144" t="s">
        <v>2122</v>
      </c>
    </row>
    <row r="2145" spans="1:5">
      <c r="A2145">
        <f>HYPERLINK("http://www.twitter.com/NYPDnews/status/756984444439916544", "756984444439916544")</f>
        <v>0</v>
      </c>
      <c r="B2145" s="2">
        <v>42574.9505787037</v>
      </c>
      <c r="C2145">
        <v>0</v>
      </c>
      <c r="D2145">
        <v>39</v>
      </c>
      <c r="E2145" t="s">
        <v>2123</v>
      </c>
    </row>
    <row r="2146" spans="1:5">
      <c r="A2146">
        <f>HYPERLINK("http://www.twitter.com/NYPDnews/status/756919401719406593", "756919401719406593")</f>
        <v>0</v>
      </c>
      <c r="B2146" s="2">
        <v>42574.771087963</v>
      </c>
      <c r="C2146">
        <v>87</v>
      </c>
      <c r="D2146">
        <v>19</v>
      </c>
      <c r="E2146" t="s">
        <v>2124</v>
      </c>
    </row>
    <row r="2147" spans="1:5">
      <c r="A2147">
        <f>HYPERLINK("http://www.twitter.com/NYPDnews/status/756885383636455425", "756885383636455425")</f>
        <v>0</v>
      </c>
      <c r="B2147" s="2">
        <v>42574.6772222222</v>
      </c>
      <c r="C2147">
        <v>21</v>
      </c>
      <c r="D2147">
        <v>12</v>
      </c>
      <c r="E2147" t="s">
        <v>2125</v>
      </c>
    </row>
    <row r="2148" spans="1:5">
      <c r="A2148">
        <f>HYPERLINK("http://www.twitter.com/NYPDnews/status/756871526130081793", "756871526130081793")</f>
        <v>0</v>
      </c>
      <c r="B2148" s="2">
        <v>42574.6389814815</v>
      </c>
      <c r="C2148">
        <v>20</v>
      </c>
      <c r="D2148">
        <v>27</v>
      </c>
      <c r="E2148" t="s">
        <v>2126</v>
      </c>
    </row>
    <row r="2149" spans="1:5">
      <c r="A2149">
        <f>HYPERLINK("http://www.twitter.com/NYPDnews/status/756840066857730048", "756840066857730048")</f>
        <v>0</v>
      </c>
      <c r="B2149" s="2">
        <v>42574.5521759259</v>
      </c>
      <c r="C2149">
        <v>72</v>
      </c>
      <c r="D2149">
        <v>29</v>
      </c>
      <c r="E2149" t="s">
        <v>2127</v>
      </c>
    </row>
    <row r="2150" spans="1:5">
      <c r="A2150">
        <f>HYPERLINK("http://www.twitter.com/NYPDnews/status/756825936654376960", "756825936654376960")</f>
        <v>0</v>
      </c>
      <c r="B2150" s="2">
        <v>42574.5131828704</v>
      </c>
      <c r="C2150">
        <v>58</v>
      </c>
      <c r="D2150">
        <v>31</v>
      </c>
      <c r="E2150" t="s">
        <v>2128</v>
      </c>
    </row>
    <row r="2151" spans="1:5">
      <c r="A2151">
        <f>HYPERLINK("http://www.twitter.com/NYPDnews/status/756651326310940674", "756651326310940674")</f>
        <v>0</v>
      </c>
      <c r="B2151" s="2">
        <v>42574.0313425926</v>
      </c>
      <c r="C2151">
        <v>418</v>
      </c>
      <c r="D2151">
        <v>302</v>
      </c>
      <c r="E2151" t="s">
        <v>2129</v>
      </c>
    </row>
    <row r="2152" spans="1:5">
      <c r="A2152">
        <f>HYPERLINK("http://www.twitter.com/NYPDnews/status/756627462235316224", "756627462235316224")</f>
        <v>0</v>
      </c>
      <c r="B2152" s="2">
        <v>42573.9654976852</v>
      </c>
      <c r="C2152">
        <v>46</v>
      </c>
      <c r="D2152">
        <v>104</v>
      </c>
      <c r="E2152" t="s">
        <v>2130</v>
      </c>
    </row>
    <row r="2153" spans="1:5">
      <c r="A2153">
        <f>HYPERLINK("http://www.twitter.com/NYPDnews/status/756618652804415489", "756618652804415489")</f>
        <v>0</v>
      </c>
      <c r="B2153" s="2">
        <v>42573.9411805556</v>
      </c>
      <c r="C2153">
        <v>0</v>
      </c>
      <c r="D2153">
        <v>51</v>
      </c>
      <c r="E2153" t="s">
        <v>2131</v>
      </c>
    </row>
    <row r="2154" spans="1:5">
      <c r="A2154">
        <f>HYPERLINK("http://www.twitter.com/NYPDnews/status/756571048846450688", "756571048846450688")</f>
        <v>0</v>
      </c>
      <c r="B2154" s="2">
        <v>42573.8098263889</v>
      </c>
      <c r="C2154">
        <v>17</v>
      </c>
      <c r="D2154">
        <v>29</v>
      </c>
      <c r="E2154" t="s">
        <v>2132</v>
      </c>
    </row>
    <row r="2155" spans="1:5">
      <c r="A2155">
        <f>HYPERLINK("http://www.twitter.com/NYPDnews/status/756535397367283713", "756535397367283713")</f>
        <v>0</v>
      </c>
      <c r="B2155" s="2">
        <v>42573.7114467593</v>
      </c>
      <c r="C2155">
        <v>0</v>
      </c>
      <c r="D2155">
        <v>62</v>
      </c>
      <c r="E2155" t="s">
        <v>2133</v>
      </c>
    </row>
    <row r="2156" spans="1:5">
      <c r="A2156">
        <f>HYPERLINK("http://www.twitter.com/NYPDnews/status/756523158136623104", "756523158136623104")</f>
        <v>0</v>
      </c>
      <c r="B2156" s="2">
        <v>42573.6776736111</v>
      </c>
      <c r="C2156">
        <v>0</v>
      </c>
      <c r="D2156">
        <v>55</v>
      </c>
      <c r="E2156" t="s">
        <v>2134</v>
      </c>
    </row>
    <row r="2157" spans="1:5">
      <c r="A2157">
        <f>HYPERLINK("http://www.twitter.com/NYPDnews/status/756470188976078848", "756470188976078848")</f>
        <v>0</v>
      </c>
      <c r="B2157" s="2">
        <v>42573.5315046296</v>
      </c>
      <c r="C2157">
        <v>131</v>
      </c>
      <c r="D2157">
        <v>41</v>
      </c>
      <c r="E2157" t="s">
        <v>2135</v>
      </c>
    </row>
    <row r="2158" spans="1:5">
      <c r="A2158">
        <f>HYPERLINK("http://www.twitter.com/NYPDnews/status/756466393504251904", "756466393504251904")</f>
        <v>0</v>
      </c>
      <c r="B2158" s="2">
        <v>42573.5210300926</v>
      </c>
      <c r="C2158">
        <v>72</v>
      </c>
      <c r="D2158">
        <v>38</v>
      </c>
      <c r="E2158" t="s">
        <v>2136</v>
      </c>
    </row>
    <row r="2159" spans="1:5">
      <c r="A2159">
        <f>HYPERLINK("http://www.twitter.com/NYPDnews/status/756462656467431424", "756462656467431424")</f>
        <v>0</v>
      </c>
      <c r="B2159" s="2">
        <v>42573.5107175926</v>
      </c>
      <c r="C2159">
        <v>24</v>
      </c>
      <c r="D2159">
        <v>12</v>
      </c>
      <c r="E2159" t="s">
        <v>2137</v>
      </c>
    </row>
    <row r="2160" spans="1:5">
      <c r="A2160">
        <f>HYPERLINK("http://www.twitter.com/NYPDnews/status/756459148729020416", "756459148729020416")</f>
        <v>0</v>
      </c>
      <c r="B2160" s="2">
        <v>42573.5010416667</v>
      </c>
      <c r="C2160">
        <v>10</v>
      </c>
      <c r="D2160">
        <v>36</v>
      </c>
      <c r="E2160" t="s">
        <v>2138</v>
      </c>
    </row>
    <row r="2161" spans="1:5">
      <c r="A2161">
        <f>HYPERLINK("http://www.twitter.com/NYPDnews/status/756368263123206144", "756368263123206144")</f>
        <v>0</v>
      </c>
      <c r="B2161" s="2">
        <v>42573.2502430556</v>
      </c>
      <c r="C2161">
        <v>207</v>
      </c>
      <c r="D2161">
        <v>77</v>
      </c>
      <c r="E2161" t="s">
        <v>2139</v>
      </c>
    </row>
    <row r="2162" spans="1:5">
      <c r="A2162">
        <f>HYPERLINK("http://www.twitter.com/NYPDnews/status/756286409598574593", "756286409598574593")</f>
        <v>0</v>
      </c>
      <c r="B2162" s="2">
        <v>42573.0243634259</v>
      </c>
      <c r="C2162">
        <v>13</v>
      </c>
      <c r="D2162">
        <v>37</v>
      </c>
      <c r="E2162" t="s">
        <v>2140</v>
      </c>
    </row>
    <row r="2163" spans="1:5">
      <c r="A2163">
        <f>HYPERLINK("http://www.twitter.com/NYPDnews/status/756277493896798208", "756277493896798208")</f>
        <v>0</v>
      </c>
      <c r="B2163" s="2">
        <v>42572.9997685185</v>
      </c>
      <c r="C2163">
        <v>0</v>
      </c>
      <c r="D2163">
        <v>29</v>
      </c>
      <c r="E2163" t="s">
        <v>2141</v>
      </c>
    </row>
    <row r="2164" spans="1:5">
      <c r="A2164">
        <f>HYPERLINK("http://www.twitter.com/NYPDnews/status/756263649740750849", "756263649740750849")</f>
        <v>0</v>
      </c>
      <c r="B2164" s="2">
        <v>42572.9615625</v>
      </c>
      <c r="C2164">
        <v>0</v>
      </c>
      <c r="D2164">
        <v>10</v>
      </c>
      <c r="E2164" t="s">
        <v>2142</v>
      </c>
    </row>
    <row r="2165" spans="1:5">
      <c r="A2165">
        <f>HYPERLINK("http://www.twitter.com/NYPDnews/status/756250062070611968", "756250062070611968")</f>
        <v>0</v>
      </c>
      <c r="B2165" s="2">
        <v>42572.9240625</v>
      </c>
      <c r="C2165">
        <v>363</v>
      </c>
      <c r="D2165">
        <v>248</v>
      </c>
      <c r="E2165" t="s">
        <v>2143</v>
      </c>
    </row>
    <row r="2166" spans="1:5">
      <c r="A2166">
        <f>HYPERLINK("http://www.twitter.com/NYPDnews/status/756110164323889152", "756110164323889152")</f>
        <v>0</v>
      </c>
      <c r="B2166" s="2">
        <v>42572.5380208333</v>
      </c>
      <c r="C2166">
        <v>197</v>
      </c>
      <c r="D2166">
        <v>92</v>
      </c>
      <c r="E2166" t="s">
        <v>2144</v>
      </c>
    </row>
    <row r="2167" spans="1:5">
      <c r="A2167">
        <f>HYPERLINK("http://www.twitter.com/NYPDnews/status/756108470248738816", "756108470248738816")</f>
        <v>0</v>
      </c>
      <c r="B2167" s="2">
        <v>42572.5333449074</v>
      </c>
      <c r="C2167">
        <v>314</v>
      </c>
      <c r="D2167">
        <v>173</v>
      </c>
      <c r="E2167" t="s">
        <v>2145</v>
      </c>
    </row>
    <row r="2168" spans="1:5">
      <c r="A2168">
        <f>HYPERLINK("http://www.twitter.com/NYPDnews/status/756107441843175425", "756107441843175425")</f>
        <v>0</v>
      </c>
      <c r="B2168" s="2">
        <v>42572.5305092593</v>
      </c>
      <c r="C2168">
        <v>43</v>
      </c>
      <c r="D2168">
        <v>23</v>
      </c>
      <c r="E2168" t="s">
        <v>2146</v>
      </c>
    </row>
    <row r="2169" spans="1:5">
      <c r="A2169">
        <f>HYPERLINK("http://www.twitter.com/NYPDnews/status/756106950253940736", "756106950253940736")</f>
        <v>0</v>
      </c>
      <c r="B2169" s="2">
        <v>42572.5291550926</v>
      </c>
      <c r="C2169">
        <v>56</v>
      </c>
      <c r="D2169">
        <v>48</v>
      </c>
      <c r="E2169" t="s">
        <v>2147</v>
      </c>
    </row>
    <row r="2170" spans="1:5">
      <c r="A2170">
        <f>HYPERLINK("http://www.twitter.com/NYPDnews/status/756106245736660992", "756106245736660992")</f>
        <v>0</v>
      </c>
      <c r="B2170" s="2">
        <v>42572.5272106481</v>
      </c>
      <c r="C2170">
        <v>29</v>
      </c>
      <c r="D2170">
        <v>24</v>
      </c>
      <c r="E2170" t="s">
        <v>2148</v>
      </c>
    </row>
    <row r="2171" spans="1:5">
      <c r="A2171">
        <f>HYPERLINK("http://www.twitter.com/NYPDnews/status/756105862285037568", "756105862285037568")</f>
        <v>0</v>
      </c>
      <c r="B2171" s="2">
        <v>42572.5261458333</v>
      </c>
      <c r="C2171">
        <v>15</v>
      </c>
      <c r="D2171">
        <v>14</v>
      </c>
      <c r="E2171" t="s">
        <v>2149</v>
      </c>
    </row>
    <row r="2172" spans="1:5">
      <c r="A2172">
        <f>HYPERLINK("http://www.twitter.com/NYPDnews/status/756105390455132160", "756105390455132160")</f>
        <v>0</v>
      </c>
      <c r="B2172" s="2">
        <v>42572.524849537</v>
      </c>
      <c r="C2172">
        <v>21</v>
      </c>
      <c r="D2172">
        <v>14</v>
      </c>
      <c r="E2172" t="s">
        <v>2150</v>
      </c>
    </row>
    <row r="2173" spans="1:5">
      <c r="A2173">
        <f>HYPERLINK("http://www.twitter.com/NYPDnews/status/756104837230653440", "756104837230653440")</f>
        <v>0</v>
      </c>
      <c r="B2173" s="2">
        <v>42572.5233217593</v>
      </c>
      <c r="C2173">
        <v>24</v>
      </c>
      <c r="D2173">
        <v>14</v>
      </c>
      <c r="E2173" t="s">
        <v>2151</v>
      </c>
    </row>
    <row r="2174" spans="1:5">
      <c r="A2174">
        <f>HYPERLINK("http://www.twitter.com/NYPDnews/status/756104614794170368", "756104614794170368")</f>
        <v>0</v>
      </c>
      <c r="B2174" s="2">
        <v>42572.5227083333</v>
      </c>
      <c r="C2174">
        <v>16</v>
      </c>
      <c r="D2174">
        <v>12</v>
      </c>
      <c r="E2174" t="s">
        <v>2152</v>
      </c>
    </row>
    <row r="2175" spans="1:5">
      <c r="A2175">
        <f>HYPERLINK("http://www.twitter.com/NYPDnews/status/756104378864504832", "756104378864504832")</f>
        <v>0</v>
      </c>
      <c r="B2175" s="2">
        <v>42572.5220601852</v>
      </c>
      <c r="C2175">
        <v>39</v>
      </c>
      <c r="D2175">
        <v>25</v>
      </c>
      <c r="E2175" t="s">
        <v>2153</v>
      </c>
    </row>
    <row r="2176" spans="1:5">
      <c r="A2176">
        <f>HYPERLINK("http://www.twitter.com/NYPDnews/status/756102131732639744", "756102131732639744")</f>
        <v>0</v>
      </c>
      <c r="B2176" s="2">
        <v>42572.5158564815</v>
      </c>
      <c r="C2176">
        <v>36</v>
      </c>
      <c r="D2176">
        <v>33</v>
      </c>
      <c r="E2176" t="s">
        <v>2154</v>
      </c>
    </row>
    <row r="2177" spans="1:5">
      <c r="A2177">
        <f>HYPERLINK("http://www.twitter.com/NYPDnews/status/756101002382696448", "756101002382696448")</f>
        <v>0</v>
      </c>
      <c r="B2177" s="2">
        <v>42572.5127430556</v>
      </c>
      <c r="C2177">
        <v>21</v>
      </c>
      <c r="D2177">
        <v>14</v>
      </c>
      <c r="E2177" t="s">
        <v>2155</v>
      </c>
    </row>
    <row r="2178" spans="1:5">
      <c r="A2178">
        <f>HYPERLINK("http://www.twitter.com/NYPDnews/status/756097473572134912", "756097473572134912")</f>
        <v>0</v>
      </c>
      <c r="B2178" s="2">
        <v>42572.5029976852</v>
      </c>
      <c r="C2178">
        <v>81</v>
      </c>
      <c r="D2178">
        <v>42</v>
      </c>
      <c r="E2178" t="s">
        <v>2156</v>
      </c>
    </row>
    <row r="2179" spans="1:5">
      <c r="A2179">
        <f>HYPERLINK("http://www.twitter.com/NYPDnews/status/756079481262051328", "756079481262051328")</f>
        <v>0</v>
      </c>
      <c r="B2179" s="2">
        <v>42572.4533564815</v>
      </c>
      <c r="C2179">
        <v>0</v>
      </c>
      <c r="D2179">
        <v>145</v>
      </c>
      <c r="E2179" t="s">
        <v>2157</v>
      </c>
    </row>
    <row r="2180" spans="1:5">
      <c r="A2180">
        <f>HYPERLINK("http://www.twitter.com/NYPDnews/status/756078991275126784", "756078991275126784")</f>
        <v>0</v>
      </c>
      <c r="B2180" s="2">
        <v>42572.4520023148</v>
      </c>
      <c r="C2180">
        <v>0</v>
      </c>
      <c r="D2180">
        <v>29</v>
      </c>
      <c r="E2180" t="s">
        <v>2158</v>
      </c>
    </row>
    <row r="2181" spans="1:5">
      <c r="A2181">
        <f>HYPERLINK("http://www.twitter.com/NYPDnews/status/756078961201975296", "756078961201975296")</f>
        <v>0</v>
      </c>
      <c r="B2181" s="2">
        <v>42572.4519212963</v>
      </c>
      <c r="C2181">
        <v>0</v>
      </c>
      <c r="D2181">
        <v>39</v>
      </c>
      <c r="E2181" t="s">
        <v>2159</v>
      </c>
    </row>
    <row r="2182" spans="1:5">
      <c r="A2182">
        <f>HYPERLINK("http://www.twitter.com/NYPDnews/status/755926554190970881", "755926554190970881")</f>
        <v>0</v>
      </c>
      <c r="B2182" s="2">
        <v>42572.0313541667</v>
      </c>
      <c r="C2182">
        <v>70</v>
      </c>
      <c r="D2182">
        <v>48</v>
      </c>
      <c r="E2182" t="s">
        <v>2160</v>
      </c>
    </row>
    <row r="2183" spans="1:5">
      <c r="A2183">
        <f>HYPERLINK("http://www.twitter.com/NYPDnews/status/755915305533181953", "755915305533181953")</f>
        <v>0</v>
      </c>
      <c r="B2183" s="2">
        <v>42572.0003125</v>
      </c>
      <c r="C2183">
        <v>71</v>
      </c>
      <c r="D2183">
        <v>21</v>
      </c>
      <c r="E2183" t="s">
        <v>2161</v>
      </c>
    </row>
    <row r="2184" spans="1:5">
      <c r="A2184">
        <f>HYPERLINK("http://www.twitter.com/NYPDnews/status/755890074001240064", "755890074001240064")</f>
        <v>0</v>
      </c>
      <c r="B2184" s="2">
        <v>42571.9306944444</v>
      </c>
      <c r="C2184">
        <v>15</v>
      </c>
      <c r="D2184">
        <v>32</v>
      </c>
      <c r="E2184" t="s">
        <v>2162</v>
      </c>
    </row>
    <row r="2185" spans="1:5">
      <c r="A2185">
        <f>HYPERLINK("http://www.twitter.com/NYPDnews/status/755877560643444736", "755877560643444736")</f>
        <v>0</v>
      </c>
      <c r="B2185" s="2">
        <v>42571.8961574074</v>
      </c>
      <c r="C2185">
        <v>45</v>
      </c>
      <c r="D2185">
        <v>22</v>
      </c>
      <c r="E2185" t="s">
        <v>2163</v>
      </c>
    </row>
    <row r="2186" spans="1:5">
      <c r="A2186">
        <f>HYPERLINK("http://www.twitter.com/NYPDnews/status/755821053079908352", "755821053079908352")</f>
        <v>0</v>
      </c>
      <c r="B2186" s="2">
        <v>42571.7402314815</v>
      </c>
      <c r="C2186">
        <v>0</v>
      </c>
      <c r="D2186">
        <v>53</v>
      </c>
      <c r="E2186" t="s">
        <v>2164</v>
      </c>
    </row>
    <row r="2187" spans="1:5">
      <c r="A2187">
        <f>HYPERLINK("http://www.twitter.com/NYPDnews/status/755804144875601920", "755804144875601920")</f>
        <v>0</v>
      </c>
      <c r="B2187" s="2">
        <v>42571.6935648148</v>
      </c>
      <c r="C2187">
        <v>291</v>
      </c>
      <c r="D2187">
        <v>145</v>
      </c>
      <c r="E2187" t="s">
        <v>2165</v>
      </c>
    </row>
    <row r="2188" spans="1:5">
      <c r="A2188">
        <f>HYPERLINK("http://www.twitter.com/NYPDnews/status/755752726269665280", "755752726269665280")</f>
        <v>0</v>
      </c>
      <c r="B2188" s="2">
        <v>42571.5516782407</v>
      </c>
      <c r="C2188">
        <v>73</v>
      </c>
      <c r="D2188">
        <v>27</v>
      </c>
      <c r="E2188" t="s">
        <v>2166</v>
      </c>
    </row>
    <row r="2189" spans="1:5">
      <c r="A2189">
        <f>HYPERLINK("http://www.twitter.com/NYPDnews/status/755751587931365376", "755751587931365376")</f>
        <v>0</v>
      </c>
      <c r="B2189" s="2">
        <v>42571.5485416667</v>
      </c>
      <c r="C2189">
        <v>23</v>
      </c>
      <c r="D2189">
        <v>7</v>
      </c>
      <c r="E2189" t="s">
        <v>2167</v>
      </c>
    </row>
    <row r="2190" spans="1:5">
      <c r="A2190">
        <f>HYPERLINK("http://www.twitter.com/NYPDnews/status/755748381016879104", "755748381016879104")</f>
        <v>0</v>
      </c>
      <c r="B2190" s="2">
        <v>42571.5396875</v>
      </c>
      <c r="C2190">
        <v>43</v>
      </c>
      <c r="D2190">
        <v>18</v>
      </c>
      <c r="E2190" t="s">
        <v>2168</v>
      </c>
    </row>
    <row r="2191" spans="1:5">
      <c r="A2191">
        <f>HYPERLINK("http://www.twitter.com/NYPDnews/status/755743856306585600", "755743856306585600")</f>
        <v>0</v>
      </c>
      <c r="B2191" s="2">
        <v>42571.5272106481</v>
      </c>
      <c r="C2191">
        <v>13</v>
      </c>
      <c r="D2191">
        <v>7</v>
      </c>
      <c r="E2191" t="s">
        <v>2169</v>
      </c>
    </row>
    <row r="2192" spans="1:5">
      <c r="A2192">
        <f>HYPERLINK("http://www.twitter.com/NYPDnews/status/755737845952831488", "755737845952831488")</f>
        <v>0</v>
      </c>
      <c r="B2192" s="2">
        <v>42571.510625</v>
      </c>
      <c r="C2192">
        <v>46</v>
      </c>
      <c r="D2192">
        <v>81</v>
      </c>
      <c r="E2192" t="s">
        <v>2170</v>
      </c>
    </row>
    <row r="2193" spans="1:5">
      <c r="A2193">
        <f>HYPERLINK("http://www.twitter.com/NYPDnews/status/755734118827167744", "755734118827167744")</f>
        <v>0</v>
      </c>
      <c r="B2193" s="2">
        <v>42571.5003356481</v>
      </c>
      <c r="C2193">
        <v>207</v>
      </c>
      <c r="D2193">
        <v>74</v>
      </c>
      <c r="E2193" t="s">
        <v>2171</v>
      </c>
    </row>
    <row r="2194" spans="1:5">
      <c r="A2194">
        <f>HYPERLINK("http://www.twitter.com/NYPDnews/status/755730237305094144", "755730237305094144")</f>
        <v>0</v>
      </c>
      <c r="B2194" s="2">
        <v>42571.4896296296</v>
      </c>
      <c r="C2194">
        <v>23</v>
      </c>
      <c r="D2194">
        <v>56</v>
      </c>
      <c r="E2194" t="s">
        <v>2172</v>
      </c>
    </row>
    <row r="2195" spans="1:5">
      <c r="A2195">
        <f>HYPERLINK("http://www.twitter.com/NYPDnews/status/755564203575013377", "755564203575013377")</f>
        <v>0</v>
      </c>
      <c r="B2195" s="2">
        <v>42571.0314583333</v>
      </c>
      <c r="C2195">
        <v>31</v>
      </c>
      <c r="D2195">
        <v>71</v>
      </c>
      <c r="E2195" t="s">
        <v>2173</v>
      </c>
    </row>
    <row r="2196" spans="1:5">
      <c r="A2196">
        <f>HYPERLINK("http://www.twitter.com/NYPDnews/status/755557902685995008", "755557902685995008")</f>
        <v>0</v>
      </c>
      <c r="B2196" s="2">
        <v>42571.0140740741</v>
      </c>
      <c r="C2196">
        <v>27</v>
      </c>
      <c r="D2196">
        <v>9</v>
      </c>
      <c r="E2196" t="s">
        <v>2174</v>
      </c>
    </row>
    <row r="2197" spans="1:5">
      <c r="A2197">
        <f>HYPERLINK("http://www.twitter.com/NYPDnews/status/755537828268871680", "755537828268871680")</f>
        <v>0</v>
      </c>
      <c r="B2197" s="2">
        <v>42570.9586805556</v>
      </c>
      <c r="C2197">
        <v>34</v>
      </c>
      <c r="D2197">
        <v>9</v>
      </c>
      <c r="E2197" t="s">
        <v>2175</v>
      </c>
    </row>
    <row r="2198" spans="1:5">
      <c r="A2198">
        <f>HYPERLINK("http://www.twitter.com/NYPDnews/status/755515750027321351", "755515750027321351")</f>
        <v>0</v>
      </c>
      <c r="B2198" s="2">
        <v>42570.8977546296</v>
      </c>
      <c r="C2198">
        <v>67</v>
      </c>
      <c r="D2198">
        <v>27</v>
      </c>
      <c r="E2198" t="s">
        <v>2176</v>
      </c>
    </row>
    <row r="2199" spans="1:5">
      <c r="A2199">
        <f>HYPERLINK("http://www.twitter.com/NYPDnews/status/755467580484255744", "755467580484255744")</f>
        <v>0</v>
      </c>
      <c r="B2199" s="2">
        <v>42570.7648263889</v>
      </c>
      <c r="C2199">
        <v>0</v>
      </c>
      <c r="D2199">
        <v>7</v>
      </c>
      <c r="E2199" t="s">
        <v>2177</v>
      </c>
    </row>
    <row r="2200" spans="1:5">
      <c r="A2200">
        <f>HYPERLINK("http://www.twitter.com/NYPDnews/status/755458629050966022", "755458629050966022")</f>
        <v>0</v>
      </c>
      <c r="B2200" s="2">
        <v>42570.7401273148</v>
      </c>
      <c r="C2200">
        <v>31</v>
      </c>
      <c r="D2200">
        <v>7</v>
      </c>
      <c r="E2200" t="s">
        <v>2178</v>
      </c>
    </row>
    <row r="2201" spans="1:5">
      <c r="A2201">
        <f>HYPERLINK("http://www.twitter.com/NYPDnews/status/755434595181531137", "755434595181531137")</f>
        <v>0</v>
      </c>
      <c r="B2201" s="2">
        <v>42570.6738078704</v>
      </c>
      <c r="C2201">
        <v>118</v>
      </c>
      <c r="D2201">
        <v>37</v>
      </c>
      <c r="E2201" t="s">
        <v>2179</v>
      </c>
    </row>
    <row r="2202" spans="1:5">
      <c r="A2202">
        <f>HYPERLINK("http://www.twitter.com/NYPDnews/status/755382977190850560", "755382977190850560")</f>
        <v>0</v>
      </c>
      <c r="B2202" s="2">
        <v>42570.5313657407</v>
      </c>
      <c r="C2202">
        <v>15</v>
      </c>
      <c r="D2202">
        <v>15</v>
      </c>
      <c r="E2202" t="s">
        <v>2180</v>
      </c>
    </row>
    <row r="2203" spans="1:5">
      <c r="A2203">
        <f>HYPERLINK("http://www.twitter.com/NYPDnews/status/755379250069397504", "755379250069397504")</f>
        <v>0</v>
      </c>
      <c r="B2203" s="2">
        <v>42570.521087963</v>
      </c>
      <c r="C2203">
        <v>337</v>
      </c>
      <c r="D2203">
        <v>61</v>
      </c>
      <c r="E2203" t="s">
        <v>2181</v>
      </c>
    </row>
    <row r="2204" spans="1:5">
      <c r="A2204">
        <f>HYPERLINK("http://www.twitter.com/NYPDnews/status/755375422091759616", "755375422091759616")</f>
        <v>0</v>
      </c>
      <c r="B2204" s="2">
        <v>42570.5105208333</v>
      </c>
      <c r="C2204">
        <v>26</v>
      </c>
      <c r="D2204">
        <v>69</v>
      </c>
      <c r="E2204" t="s">
        <v>2182</v>
      </c>
    </row>
    <row r="2205" spans="1:5">
      <c r="A2205">
        <f>HYPERLINK("http://www.twitter.com/NYPDnews/status/755371912608514049", "755371912608514049")</f>
        <v>0</v>
      </c>
      <c r="B2205" s="2">
        <v>42570.5008333333</v>
      </c>
      <c r="C2205">
        <v>21</v>
      </c>
      <c r="D2205">
        <v>17</v>
      </c>
      <c r="E2205" t="s">
        <v>2183</v>
      </c>
    </row>
    <row r="2206" spans="1:5">
      <c r="A2206">
        <f>HYPERLINK("http://www.twitter.com/NYPDnews/status/755343446781661184", "755343446781661184")</f>
        <v>0</v>
      </c>
      <c r="B2206" s="2">
        <v>42570.4222800926</v>
      </c>
      <c r="C2206">
        <v>41</v>
      </c>
      <c r="D2206">
        <v>97</v>
      </c>
      <c r="E2206" t="s">
        <v>2184</v>
      </c>
    </row>
    <row r="2207" spans="1:5">
      <c r="A2207">
        <f>HYPERLINK("http://www.twitter.com/NYPDnews/status/755288652004089858", "755288652004089858")</f>
        <v>0</v>
      </c>
      <c r="B2207" s="2">
        <v>42570.2710763889</v>
      </c>
      <c r="C2207">
        <v>449</v>
      </c>
      <c r="D2207">
        <v>97</v>
      </c>
      <c r="E2207" t="s">
        <v>2185</v>
      </c>
    </row>
    <row r="2208" spans="1:5">
      <c r="A2208">
        <f>HYPERLINK("http://www.twitter.com/NYPDnews/status/755211026182901760", "755211026182901760")</f>
        <v>0</v>
      </c>
      <c r="B2208" s="2">
        <v>42570.056875</v>
      </c>
      <c r="C2208">
        <v>0</v>
      </c>
      <c r="D2208">
        <v>17</v>
      </c>
      <c r="E2208" t="s">
        <v>2186</v>
      </c>
    </row>
    <row r="2209" spans="1:5">
      <c r="A2209">
        <f>HYPERLINK("http://www.twitter.com/NYPDnews/status/755181634576584706", "755181634576584706")</f>
        <v>0</v>
      </c>
      <c r="B2209" s="2">
        <v>42569.9757638889</v>
      </c>
      <c r="C2209">
        <v>89</v>
      </c>
      <c r="D2209">
        <v>30</v>
      </c>
      <c r="E2209" t="s">
        <v>2187</v>
      </c>
    </row>
    <row r="2210" spans="1:5">
      <c r="A2210">
        <f>HYPERLINK("http://www.twitter.com/NYPDnews/status/755126227711787012", "755126227711787012")</f>
        <v>0</v>
      </c>
      <c r="B2210" s="2">
        <v>42569.8228703704</v>
      </c>
      <c r="C2210">
        <v>55</v>
      </c>
      <c r="D2210">
        <v>109</v>
      </c>
      <c r="E2210" t="s">
        <v>2188</v>
      </c>
    </row>
    <row r="2211" spans="1:5">
      <c r="A2211">
        <f>HYPERLINK("http://www.twitter.com/NYPDnews/status/755095030470172672", "755095030470172672")</f>
        <v>0</v>
      </c>
      <c r="B2211" s="2">
        <v>42569.7367824074</v>
      </c>
      <c r="C2211">
        <v>0</v>
      </c>
      <c r="D2211">
        <v>42</v>
      </c>
      <c r="E2211" t="s">
        <v>2189</v>
      </c>
    </row>
    <row r="2212" spans="1:5">
      <c r="A2212">
        <f>HYPERLINK("http://www.twitter.com/NYPDnews/status/755073181799493633", "755073181799493633")</f>
        <v>0</v>
      </c>
      <c r="B2212" s="2">
        <v>42569.6764930556</v>
      </c>
      <c r="C2212">
        <v>249</v>
      </c>
      <c r="D2212">
        <v>103</v>
      </c>
      <c r="E2212" t="s">
        <v>2190</v>
      </c>
    </row>
    <row r="2213" spans="1:5">
      <c r="A2213">
        <f>HYPERLINK("http://www.twitter.com/NYPDnews/status/755020596199747584", "755020596199747584")</f>
        <v>0</v>
      </c>
      <c r="B2213" s="2">
        <v>42569.5313888889</v>
      </c>
      <c r="C2213">
        <v>78</v>
      </c>
      <c r="D2213">
        <v>18</v>
      </c>
      <c r="E2213" t="s">
        <v>2191</v>
      </c>
    </row>
    <row r="2214" spans="1:5">
      <c r="A2214">
        <f>HYPERLINK("http://www.twitter.com/NYPDnews/status/755016871947239424", "755016871947239424")</f>
        <v>0</v>
      </c>
      <c r="B2214" s="2">
        <v>42569.5211111111</v>
      </c>
      <c r="C2214">
        <v>14</v>
      </c>
      <c r="D2214">
        <v>29</v>
      </c>
      <c r="E2214" t="s">
        <v>2192</v>
      </c>
    </row>
    <row r="2215" spans="1:5">
      <c r="A2215">
        <f>HYPERLINK("http://www.twitter.com/NYPDnews/status/755013040119156740", "755013040119156740")</f>
        <v>0</v>
      </c>
      <c r="B2215" s="2">
        <v>42569.5105324074</v>
      </c>
      <c r="C2215">
        <v>49</v>
      </c>
      <c r="D2215">
        <v>30</v>
      </c>
      <c r="E2215" t="s">
        <v>2193</v>
      </c>
    </row>
    <row r="2216" spans="1:5">
      <c r="A2216">
        <f>HYPERLINK("http://www.twitter.com/NYPDnews/status/755009372623962112", "755009372623962112")</f>
        <v>0</v>
      </c>
      <c r="B2216" s="2">
        <v>42569.5004166667</v>
      </c>
      <c r="C2216">
        <v>32</v>
      </c>
      <c r="D2216">
        <v>64</v>
      </c>
      <c r="E2216" t="s">
        <v>2194</v>
      </c>
    </row>
    <row r="2217" spans="1:5">
      <c r="A2217">
        <f>HYPERLINK("http://www.twitter.com/NYPDnews/status/754860167649456128", "754860167649456128")</f>
        <v>0</v>
      </c>
      <c r="B2217" s="2">
        <v>42569.0886921296</v>
      </c>
      <c r="C2217">
        <v>0</v>
      </c>
      <c r="D2217">
        <v>38</v>
      </c>
      <c r="E2217" t="s">
        <v>2195</v>
      </c>
    </row>
    <row r="2218" spans="1:5">
      <c r="A2218">
        <f>HYPERLINK("http://www.twitter.com/NYPDnews/status/754853847223394304", "754853847223394304")</f>
        <v>0</v>
      </c>
      <c r="B2218" s="2">
        <v>42569.07125</v>
      </c>
      <c r="C2218">
        <v>25</v>
      </c>
      <c r="D2218">
        <v>18</v>
      </c>
      <c r="E2218" t="s">
        <v>2196</v>
      </c>
    </row>
    <row r="2219" spans="1:5">
      <c r="A2219">
        <f>HYPERLINK("http://www.twitter.com/NYPDnews/status/754797886370701317", "754797886370701317")</f>
        <v>0</v>
      </c>
      <c r="B2219" s="2">
        <v>42568.9168287037</v>
      </c>
      <c r="C2219">
        <v>44</v>
      </c>
      <c r="D2219">
        <v>24</v>
      </c>
      <c r="E2219" t="s">
        <v>2197</v>
      </c>
    </row>
    <row r="2220" spans="1:5">
      <c r="A2220">
        <f>HYPERLINK("http://www.twitter.com/NYPDnews/status/754772013957443585", "754772013957443585")</f>
        <v>0</v>
      </c>
      <c r="B2220" s="2">
        <v>42568.8454282407</v>
      </c>
      <c r="C2220">
        <v>19</v>
      </c>
      <c r="D2220">
        <v>15</v>
      </c>
      <c r="E2220" t="s">
        <v>2198</v>
      </c>
    </row>
    <row r="2221" spans="1:5">
      <c r="A2221">
        <f>HYPERLINK("http://www.twitter.com/NYPDnews/status/754760812011610112", "754760812011610112")</f>
        <v>0</v>
      </c>
      <c r="B2221" s="2">
        <v>42568.814525463</v>
      </c>
      <c r="C2221">
        <v>0</v>
      </c>
      <c r="D2221">
        <v>232</v>
      </c>
      <c r="E2221" t="s">
        <v>2199</v>
      </c>
    </row>
    <row r="2222" spans="1:5">
      <c r="A2222">
        <f>HYPERLINK("http://www.twitter.com/NYPDnews/status/754701262348836864", "754701262348836864")</f>
        <v>0</v>
      </c>
      <c r="B2222" s="2">
        <v>42568.6501967593</v>
      </c>
      <c r="C2222">
        <v>24</v>
      </c>
      <c r="D2222">
        <v>12</v>
      </c>
      <c r="E2222" t="s">
        <v>2200</v>
      </c>
    </row>
    <row r="2223" spans="1:5">
      <c r="A2223">
        <f>HYPERLINK("http://www.twitter.com/NYPDnews/status/754701112205254656", "754701112205254656")</f>
        <v>0</v>
      </c>
      <c r="B2223" s="2">
        <v>42568.6497800926</v>
      </c>
      <c r="C2223">
        <v>22</v>
      </c>
      <c r="D2223">
        <v>23</v>
      </c>
      <c r="E2223" t="s">
        <v>2201</v>
      </c>
    </row>
    <row r="2224" spans="1:5">
      <c r="A2224">
        <f>HYPERLINK("http://www.twitter.com/NYPDnews/status/754700789789196288", "754700789789196288")</f>
        <v>0</v>
      </c>
      <c r="B2224" s="2">
        <v>42568.6488888889</v>
      </c>
      <c r="C2224">
        <v>52</v>
      </c>
      <c r="D2224">
        <v>21</v>
      </c>
      <c r="E2224" t="s">
        <v>2202</v>
      </c>
    </row>
    <row r="2225" spans="1:5">
      <c r="A2225">
        <f>HYPERLINK("http://www.twitter.com/NYPDnews/status/754699974085054464", "754699974085054464")</f>
        <v>0</v>
      </c>
      <c r="B2225" s="2">
        <v>42568.6466435185</v>
      </c>
      <c r="C2225">
        <v>50</v>
      </c>
      <c r="D2225">
        <v>42</v>
      </c>
      <c r="E2225" t="s">
        <v>2203</v>
      </c>
    </row>
    <row r="2226" spans="1:5">
      <c r="A2226">
        <f>HYPERLINK("http://www.twitter.com/NYPDnews/status/754698096387432448", "754698096387432448")</f>
        <v>0</v>
      </c>
      <c r="B2226" s="2">
        <v>42568.6414583333</v>
      </c>
      <c r="C2226">
        <v>27</v>
      </c>
      <c r="D2226">
        <v>28</v>
      </c>
      <c r="E2226" t="s">
        <v>2204</v>
      </c>
    </row>
    <row r="2227" spans="1:5">
      <c r="A2227">
        <f>HYPERLINK("http://www.twitter.com/NYPDnews/status/754695881341988864", "754695881341988864")</f>
        <v>0</v>
      </c>
      <c r="B2227" s="2">
        <v>42568.6353472222</v>
      </c>
      <c r="C2227">
        <v>39</v>
      </c>
      <c r="D2227">
        <v>36</v>
      </c>
      <c r="E2227" t="s">
        <v>2205</v>
      </c>
    </row>
    <row r="2228" spans="1:5">
      <c r="A2228">
        <f>HYPERLINK("http://www.twitter.com/NYPDnews/status/754689680650694656", "754689680650694656")</f>
        <v>0</v>
      </c>
      <c r="B2228" s="2">
        <v>42568.6182291667</v>
      </c>
      <c r="C2228">
        <v>75</v>
      </c>
      <c r="D2228">
        <v>39</v>
      </c>
      <c r="E2228" t="s">
        <v>2206</v>
      </c>
    </row>
    <row r="2229" spans="1:5">
      <c r="A2229">
        <f>HYPERLINK("http://www.twitter.com/NYPDnews/status/754681154482102273", "754681154482102273")</f>
        <v>0</v>
      </c>
      <c r="B2229" s="2">
        <v>42568.5947106481</v>
      </c>
      <c r="C2229">
        <v>76</v>
      </c>
      <c r="D2229">
        <v>37</v>
      </c>
      <c r="E2229" t="s">
        <v>2207</v>
      </c>
    </row>
    <row r="2230" spans="1:5">
      <c r="A2230">
        <f>HYPERLINK("http://www.twitter.com/NYPDnews/status/754668553559740416", "754668553559740416")</f>
        <v>0</v>
      </c>
      <c r="B2230" s="2">
        <v>42568.5599305556</v>
      </c>
      <c r="C2230">
        <v>18</v>
      </c>
      <c r="D2230">
        <v>35</v>
      </c>
      <c r="E2230" t="s">
        <v>2208</v>
      </c>
    </row>
    <row r="2231" spans="1:5">
      <c r="A2231">
        <f>HYPERLINK("http://www.twitter.com/NYPDnews/status/754647925289062400", "754647925289062400")</f>
        <v>0</v>
      </c>
      <c r="B2231" s="2">
        <v>42568.5030092593</v>
      </c>
      <c r="C2231">
        <v>30</v>
      </c>
      <c r="D2231">
        <v>44</v>
      </c>
      <c r="E2231" t="s">
        <v>2209</v>
      </c>
    </row>
    <row r="2232" spans="1:5">
      <c r="A2232">
        <f>HYPERLINK("http://www.twitter.com/NYPDnews/status/754489296841834496", "754489296841834496")</f>
        <v>0</v>
      </c>
      <c r="B2232" s="2">
        <v>42568.0652777778</v>
      </c>
      <c r="C2232">
        <v>36</v>
      </c>
      <c r="D2232">
        <v>19</v>
      </c>
      <c r="E2232" t="s">
        <v>2210</v>
      </c>
    </row>
    <row r="2233" spans="1:5">
      <c r="A2233">
        <f>HYPERLINK("http://www.twitter.com/NYPDnews/status/754446569626271745", "754446569626271745")</f>
        <v>0</v>
      </c>
      <c r="B2233" s="2">
        <v>42567.9473726852</v>
      </c>
      <c r="C2233">
        <v>65</v>
      </c>
      <c r="D2233">
        <v>40</v>
      </c>
      <c r="E2233" t="s">
        <v>2211</v>
      </c>
    </row>
    <row r="2234" spans="1:5">
      <c r="A2234">
        <f>HYPERLINK("http://www.twitter.com/NYPDnews/status/754417045178122244", "754417045178122244")</f>
        <v>0</v>
      </c>
      <c r="B2234" s="2">
        <v>42567.8659027778</v>
      </c>
      <c r="C2234">
        <v>0</v>
      </c>
      <c r="D2234">
        <v>86</v>
      </c>
      <c r="E2234" t="s">
        <v>2212</v>
      </c>
    </row>
    <row r="2235" spans="1:5">
      <c r="A2235">
        <f>HYPERLINK("http://www.twitter.com/NYPDnews/status/754344636806815745", "754344636806815745")</f>
        <v>0</v>
      </c>
      <c r="B2235" s="2">
        <v>42567.666099537</v>
      </c>
      <c r="C2235">
        <v>39</v>
      </c>
      <c r="D2235">
        <v>20</v>
      </c>
      <c r="E2235" t="s">
        <v>2213</v>
      </c>
    </row>
    <row r="2236" spans="1:5">
      <c r="A2236">
        <f>HYPERLINK("http://www.twitter.com/NYPDnews/status/754322264628269057", "754322264628269057")</f>
        <v>0</v>
      </c>
      <c r="B2236" s="2">
        <v>42567.6043634259</v>
      </c>
      <c r="C2236">
        <v>60</v>
      </c>
      <c r="D2236">
        <v>25</v>
      </c>
      <c r="E2236" t="s">
        <v>2214</v>
      </c>
    </row>
    <row r="2237" spans="1:5">
      <c r="A2237">
        <f>HYPERLINK("http://www.twitter.com/NYPDnews/status/754299423669248000", "754299423669248000")</f>
        <v>0</v>
      </c>
      <c r="B2237" s="2">
        <v>42567.5413310185</v>
      </c>
      <c r="C2237">
        <v>72</v>
      </c>
      <c r="D2237">
        <v>22</v>
      </c>
      <c r="E2237" t="s">
        <v>2215</v>
      </c>
    </row>
    <row r="2238" spans="1:5">
      <c r="A2238">
        <f>HYPERLINK("http://www.twitter.com/NYPDnews/status/754287922812227584", "754287922812227584")</f>
        <v>0</v>
      </c>
      <c r="B2238" s="2">
        <v>42567.5095949074</v>
      </c>
      <c r="C2238">
        <v>35</v>
      </c>
      <c r="D2238">
        <v>22</v>
      </c>
      <c r="E2238" t="s">
        <v>2216</v>
      </c>
    </row>
    <row r="2239" spans="1:5">
      <c r="A2239">
        <f>HYPERLINK("http://www.twitter.com/NYPDnews/status/754121959076691970", "754121959076691970")</f>
        <v>0</v>
      </c>
      <c r="B2239" s="2">
        <v>42567.0516203704</v>
      </c>
      <c r="C2239">
        <v>44</v>
      </c>
      <c r="D2239">
        <v>17</v>
      </c>
      <c r="E2239" t="s">
        <v>2217</v>
      </c>
    </row>
    <row r="2240" spans="1:5">
      <c r="A2240">
        <f>HYPERLINK("http://www.twitter.com/NYPDnews/status/754057203879903232", "754057203879903232")</f>
        <v>0</v>
      </c>
      <c r="B2240" s="2">
        <v>42566.8729282407</v>
      </c>
      <c r="C2240">
        <v>96</v>
      </c>
      <c r="D2240">
        <v>83</v>
      </c>
      <c r="E2240" t="s">
        <v>2218</v>
      </c>
    </row>
    <row r="2241" spans="1:5">
      <c r="A2241">
        <f>HYPERLINK("http://www.twitter.com/NYPDnews/status/754010633293688833", "754010633293688833")</f>
        <v>0</v>
      </c>
      <c r="B2241" s="2">
        <v>42566.7444212963</v>
      </c>
      <c r="C2241">
        <v>33</v>
      </c>
      <c r="D2241">
        <v>14</v>
      </c>
      <c r="E2241" t="s">
        <v>2219</v>
      </c>
    </row>
    <row r="2242" spans="1:5">
      <c r="A2242">
        <f>HYPERLINK("http://www.twitter.com/NYPDnews/status/754002656817999872", "754002656817999872")</f>
        <v>0</v>
      </c>
      <c r="B2242" s="2">
        <v>42566.7224074074</v>
      </c>
      <c r="C2242">
        <v>11</v>
      </c>
      <c r="D2242">
        <v>6</v>
      </c>
      <c r="E2242" t="s">
        <v>2220</v>
      </c>
    </row>
    <row r="2243" spans="1:5">
      <c r="A2243">
        <f>HYPERLINK("http://www.twitter.com/NYPDnews/status/753989803763437569", "753989803763437569")</f>
        <v>0</v>
      </c>
      <c r="B2243" s="2">
        <v>42566.6869444444</v>
      </c>
      <c r="C2243">
        <v>84</v>
      </c>
      <c r="D2243">
        <v>40</v>
      </c>
      <c r="E2243" t="s">
        <v>2221</v>
      </c>
    </row>
    <row r="2244" spans="1:5">
      <c r="A2244">
        <f>HYPERLINK("http://www.twitter.com/NYPDnews/status/753987435642621952", "753987435642621952")</f>
        <v>0</v>
      </c>
      <c r="B2244" s="2">
        <v>42566.6804050926</v>
      </c>
      <c r="C2244">
        <v>45</v>
      </c>
      <c r="D2244">
        <v>18</v>
      </c>
      <c r="E2244" t="s">
        <v>2222</v>
      </c>
    </row>
    <row r="2245" spans="1:5">
      <c r="A2245">
        <f>HYPERLINK("http://www.twitter.com/NYPDnews/status/753985920622362624", "753985920622362624")</f>
        <v>0</v>
      </c>
      <c r="B2245" s="2">
        <v>42566.6762268519</v>
      </c>
      <c r="C2245">
        <v>58</v>
      </c>
      <c r="D2245">
        <v>27</v>
      </c>
      <c r="E2245" t="s">
        <v>2223</v>
      </c>
    </row>
    <row r="2246" spans="1:5">
      <c r="A2246">
        <f>HYPERLINK("http://www.twitter.com/NYPDnews/status/753985369167765504", "753985369167765504")</f>
        <v>0</v>
      </c>
      <c r="B2246" s="2">
        <v>42566.6747106481</v>
      </c>
      <c r="C2246">
        <v>13</v>
      </c>
      <c r="D2246">
        <v>7</v>
      </c>
      <c r="E2246" t="s">
        <v>2224</v>
      </c>
    </row>
    <row r="2247" spans="1:5">
      <c r="A2247">
        <f>HYPERLINK("http://www.twitter.com/NYPDnews/status/753978677004738560", "753978677004738560")</f>
        <v>0</v>
      </c>
      <c r="B2247" s="2">
        <v>42566.6562384259</v>
      </c>
      <c r="C2247">
        <v>77</v>
      </c>
      <c r="D2247">
        <v>23</v>
      </c>
      <c r="E2247" t="s">
        <v>2225</v>
      </c>
    </row>
    <row r="2248" spans="1:5">
      <c r="A2248">
        <f>HYPERLINK("http://www.twitter.com/NYPDnews/status/753973267078246401", "753973267078246401")</f>
        <v>0</v>
      </c>
      <c r="B2248" s="2">
        <v>42566.6413078704</v>
      </c>
      <c r="C2248">
        <v>52</v>
      </c>
      <c r="D2248">
        <v>10</v>
      </c>
      <c r="E2248" t="s">
        <v>2226</v>
      </c>
    </row>
    <row r="2249" spans="1:5">
      <c r="A2249">
        <f>HYPERLINK("http://www.twitter.com/NYPDnews/status/753972428120915968", "753972428120915968")</f>
        <v>0</v>
      </c>
      <c r="B2249" s="2">
        <v>42566.6389930556</v>
      </c>
      <c r="C2249">
        <v>86</v>
      </c>
      <c r="D2249">
        <v>19</v>
      </c>
      <c r="E2249" t="s">
        <v>2227</v>
      </c>
    </row>
    <row r="2250" spans="1:5">
      <c r="A2250">
        <f>HYPERLINK("http://www.twitter.com/NYPDnews/status/753970255089770496", "753970255089770496")</f>
        <v>0</v>
      </c>
      <c r="B2250" s="2">
        <v>42566.6329976852</v>
      </c>
      <c r="C2250">
        <v>99</v>
      </c>
      <c r="D2250">
        <v>22</v>
      </c>
      <c r="E2250" t="s">
        <v>2228</v>
      </c>
    </row>
    <row r="2251" spans="1:5">
      <c r="A2251">
        <f>HYPERLINK("http://www.twitter.com/NYPDnews/status/753966821754150912", "753966821754150912")</f>
        <v>0</v>
      </c>
      <c r="B2251" s="2">
        <v>42566.6235185185</v>
      </c>
      <c r="C2251">
        <v>87</v>
      </c>
      <c r="D2251">
        <v>26</v>
      </c>
      <c r="E2251" t="s">
        <v>2229</v>
      </c>
    </row>
    <row r="2252" spans="1:5">
      <c r="A2252">
        <f>HYPERLINK("http://www.twitter.com/NYPDnews/status/753937223175770113", "753937223175770113")</f>
        <v>0</v>
      </c>
      <c r="B2252" s="2">
        <v>42566.5418518518</v>
      </c>
      <c r="C2252">
        <v>46</v>
      </c>
      <c r="D2252">
        <v>126</v>
      </c>
      <c r="E2252" t="s">
        <v>2230</v>
      </c>
    </row>
    <row r="2253" spans="1:5">
      <c r="A2253">
        <f>HYPERLINK("http://www.twitter.com/NYPDnews/status/753933418673672192", "753933418673672192")</f>
        <v>0</v>
      </c>
      <c r="B2253" s="2">
        <v>42566.5313541667</v>
      </c>
      <c r="C2253">
        <v>13</v>
      </c>
      <c r="D2253">
        <v>6</v>
      </c>
      <c r="E2253" t="s">
        <v>2231</v>
      </c>
    </row>
    <row r="2254" spans="1:5">
      <c r="A2254">
        <f>HYPERLINK("http://www.twitter.com/NYPDnews/status/753925874370678784", "753925874370678784")</f>
        <v>0</v>
      </c>
      <c r="B2254" s="2">
        <v>42566.5105324074</v>
      </c>
      <c r="C2254">
        <v>17</v>
      </c>
      <c r="D2254">
        <v>7</v>
      </c>
      <c r="E2254" t="s">
        <v>2232</v>
      </c>
    </row>
    <row r="2255" spans="1:5">
      <c r="A2255">
        <f>HYPERLINK("http://www.twitter.com/NYPDnews/status/753925872827203584", "753925872827203584")</f>
        <v>0</v>
      </c>
      <c r="B2255" s="2">
        <v>42566.5105324074</v>
      </c>
      <c r="C2255">
        <v>34</v>
      </c>
      <c r="D2255">
        <v>11</v>
      </c>
      <c r="E2255" t="s">
        <v>2233</v>
      </c>
    </row>
    <row r="2256" spans="1:5">
      <c r="A2256">
        <f>HYPERLINK("http://www.twitter.com/NYPDnews/status/753922176538075136", "753922176538075136")</f>
        <v>0</v>
      </c>
      <c r="B2256" s="2">
        <v>42566.5003240741</v>
      </c>
      <c r="C2256">
        <v>77</v>
      </c>
      <c r="D2256">
        <v>18</v>
      </c>
      <c r="E2256" t="s">
        <v>2234</v>
      </c>
    </row>
    <row r="2257" spans="1:5">
      <c r="A2257">
        <f>HYPERLINK("http://www.twitter.com/NYPDnews/status/753920819319955456", "753920819319955456")</f>
        <v>0</v>
      </c>
      <c r="B2257" s="2">
        <v>42566.4965856482</v>
      </c>
      <c r="C2257">
        <v>27</v>
      </c>
      <c r="D2257">
        <v>11</v>
      </c>
      <c r="E2257" t="s">
        <v>2235</v>
      </c>
    </row>
    <row r="2258" spans="1:5">
      <c r="A2258">
        <f>HYPERLINK("http://www.twitter.com/NYPDnews/status/753912683544637440", "753912683544637440")</f>
        <v>0</v>
      </c>
      <c r="B2258" s="2">
        <v>42566.4741319444</v>
      </c>
      <c r="C2258">
        <v>0</v>
      </c>
      <c r="D2258">
        <v>227</v>
      </c>
      <c r="E2258" t="s">
        <v>2236</v>
      </c>
    </row>
    <row r="2259" spans="1:5">
      <c r="A2259">
        <f>HYPERLINK("http://www.twitter.com/NYPDnews/status/753747182906466304", "753747182906466304")</f>
        <v>0</v>
      </c>
      <c r="B2259" s="2">
        <v>42566.0174421296</v>
      </c>
      <c r="C2259">
        <v>70</v>
      </c>
      <c r="D2259">
        <v>25</v>
      </c>
      <c r="E2259" t="s">
        <v>2237</v>
      </c>
    </row>
    <row r="2260" spans="1:5">
      <c r="A2260">
        <f>HYPERLINK("http://www.twitter.com/NYPDnews/status/753736081762287617", "753736081762287617")</f>
        <v>0</v>
      </c>
      <c r="B2260" s="2">
        <v>42565.9868055556</v>
      </c>
      <c r="C2260">
        <v>285</v>
      </c>
      <c r="D2260">
        <v>85</v>
      </c>
      <c r="E2260" t="s">
        <v>2238</v>
      </c>
    </row>
    <row r="2261" spans="1:5">
      <c r="A2261">
        <f>HYPERLINK("http://www.twitter.com/NYPDnews/status/753684057440092160", "753684057440092160")</f>
        <v>0</v>
      </c>
      <c r="B2261" s="2">
        <v>42565.8432407407</v>
      </c>
      <c r="C2261">
        <v>17</v>
      </c>
      <c r="D2261">
        <v>9</v>
      </c>
      <c r="E2261" t="s">
        <v>2239</v>
      </c>
    </row>
    <row r="2262" spans="1:5">
      <c r="A2262">
        <f>HYPERLINK("http://www.twitter.com/NYPDnews/status/753683198522040321", "753683198522040321")</f>
        <v>0</v>
      </c>
      <c r="B2262" s="2">
        <v>42565.8408680556</v>
      </c>
      <c r="C2262">
        <v>12</v>
      </c>
      <c r="D2262">
        <v>4</v>
      </c>
      <c r="E2262" t="s">
        <v>2240</v>
      </c>
    </row>
    <row r="2263" spans="1:5">
      <c r="A2263">
        <f>HYPERLINK("http://www.twitter.com/NYPDnews/status/753682831751127040", "753682831751127040")</f>
        <v>0</v>
      </c>
      <c r="B2263" s="2">
        <v>42565.8398611111</v>
      </c>
      <c r="C2263">
        <v>23</v>
      </c>
      <c r="D2263">
        <v>7</v>
      </c>
      <c r="E2263" t="s">
        <v>2241</v>
      </c>
    </row>
    <row r="2264" spans="1:5">
      <c r="A2264">
        <f>HYPERLINK("http://www.twitter.com/NYPDnews/status/753682381337399296", "753682381337399296")</f>
        <v>0</v>
      </c>
      <c r="B2264" s="2">
        <v>42565.8386226852</v>
      </c>
      <c r="C2264">
        <v>20</v>
      </c>
      <c r="D2264">
        <v>11</v>
      </c>
      <c r="E2264" t="s">
        <v>2242</v>
      </c>
    </row>
    <row r="2265" spans="1:5">
      <c r="A2265">
        <f>HYPERLINK("http://www.twitter.com/NYPDnews/status/753681641764184064", "753681641764184064")</f>
        <v>0</v>
      </c>
      <c r="B2265" s="2">
        <v>42565.8365740741</v>
      </c>
      <c r="C2265">
        <v>9</v>
      </c>
      <c r="D2265">
        <v>9</v>
      </c>
      <c r="E2265" t="s">
        <v>2243</v>
      </c>
    </row>
    <row r="2266" spans="1:5">
      <c r="A2266">
        <f>HYPERLINK("http://www.twitter.com/NYPDnews/status/753591026909077504", "753591026909077504")</f>
        <v>0</v>
      </c>
      <c r="B2266" s="2">
        <v>42565.5865277778</v>
      </c>
      <c r="C2266">
        <v>13</v>
      </c>
      <c r="D2266">
        <v>13</v>
      </c>
      <c r="E2266" t="s">
        <v>2244</v>
      </c>
    </row>
    <row r="2267" spans="1:5">
      <c r="A2267">
        <f>HYPERLINK("http://www.twitter.com/NYPDnews/status/753588998849892355", "753588998849892355")</f>
        <v>0</v>
      </c>
      <c r="B2267" s="2">
        <v>42565.5809259259</v>
      </c>
      <c r="C2267">
        <v>105</v>
      </c>
      <c r="D2267">
        <v>33</v>
      </c>
      <c r="E2267" t="s">
        <v>2245</v>
      </c>
    </row>
    <row r="2268" spans="1:5">
      <c r="A2268">
        <f>HYPERLINK("http://www.twitter.com/NYPDnews/status/753582750934900736", "753582750934900736")</f>
        <v>0</v>
      </c>
      <c r="B2268" s="2">
        <v>42565.5636921296</v>
      </c>
      <c r="C2268">
        <v>246</v>
      </c>
      <c r="D2268">
        <v>89</v>
      </c>
      <c r="E2268" t="s">
        <v>2246</v>
      </c>
    </row>
    <row r="2269" spans="1:5">
      <c r="A2269">
        <f>HYPERLINK("http://www.twitter.com/NYPDnews/status/753582615437991936", "753582615437991936")</f>
        <v>0</v>
      </c>
      <c r="B2269" s="2">
        <v>42565.5633217593</v>
      </c>
      <c r="C2269">
        <v>35</v>
      </c>
      <c r="D2269">
        <v>9</v>
      </c>
      <c r="E2269" t="s">
        <v>2247</v>
      </c>
    </row>
    <row r="2270" spans="1:5">
      <c r="A2270">
        <f>HYPERLINK("http://www.twitter.com/NYPDnews/status/753580465060184064", "753580465060184064")</f>
        <v>0</v>
      </c>
      <c r="B2270" s="2">
        <v>42565.5573842593</v>
      </c>
      <c r="C2270">
        <v>98</v>
      </c>
      <c r="D2270">
        <v>29</v>
      </c>
      <c r="E2270" t="s">
        <v>2248</v>
      </c>
    </row>
    <row r="2271" spans="1:5">
      <c r="A2271">
        <f>HYPERLINK("http://www.twitter.com/NYPDnews/status/753576772252344320", "753576772252344320")</f>
        <v>0</v>
      </c>
      <c r="B2271" s="2">
        <v>42565.5471875</v>
      </c>
      <c r="C2271">
        <v>184</v>
      </c>
      <c r="D2271">
        <v>70</v>
      </c>
      <c r="E2271" t="s">
        <v>2249</v>
      </c>
    </row>
    <row r="2272" spans="1:5">
      <c r="A2272">
        <f>HYPERLINK("http://www.twitter.com/NYPDnews/status/753571081995378688", "753571081995378688")</f>
        <v>0</v>
      </c>
      <c r="B2272" s="2">
        <v>42565.5314930556</v>
      </c>
      <c r="C2272">
        <v>66</v>
      </c>
      <c r="D2272">
        <v>25</v>
      </c>
      <c r="E2272" t="s">
        <v>2250</v>
      </c>
    </row>
    <row r="2273" spans="1:5">
      <c r="A2273">
        <f>HYPERLINK("http://www.twitter.com/NYPDnews/status/753567279376375808", "753567279376375808")</f>
        <v>0</v>
      </c>
      <c r="B2273" s="2">
        <v>42565.5209953704</v>
      </c>
      <c r="C2273">
        <v>13</v>
      </c>
      <c r="D2273">
        <v>6</v>
      </c>
      <c r="E2273" t="s">
        <v>2251</v>
      </c>
    </row>
    <row r="2274" spans="1:5">
      <c r="A2274">
        <f>HYPERLINK("http://www.twitter.com/NYPDnews/status/753563493018767360", "753563493018767360")</f>
        <v>0</v>
      </c>
      <c r="B2274" s="2">
        <v>42565.5105439815</v>
      </c>
      <c r="C2274">
        <v>27</v>
      </c>
      <c r="D2274">
        <v>7</v>
      </c>
      <c r="E2274" t="s">
        <v>2252</v>
      </c>
    </row>
    <row r="2275" spans="1:5">
      <c r="A2275">
        <f>HYPERLINK("http://www.twitter.com/NYPDnews/status/753559679842840576", "753559679842840576")</f>
        <v>0</v>
      </c>
      <c r="B2275" s="2">
        <v>42565.5000231481</v>
      </c>
      <c r="C2275">
        <v>40</v>
      </c>
      <c r="D2275">
        <v>104</v>
      </c>
      <c r="E2275" t="s">
        <v>2253</v>
      </c>
    </row>
    <row r="2276" spans="1:5">
      <c r="A2276">
        <f>HYPERLINK("http://www.twitter.com/NYPDnews/status/753383574640979969", "753383574640979969")</f>
        <v>0</v>
      </c>
      <c r="B2276" s="2">
        <v>42565.0140740741</v>
      </c>
      <c r="C2276">
        <v>57</v>
      </c>
      <c r="D2276">
        <v>22</v>
      </c>
      <c r="E2276" t="s">
        <v>2254</v>
      </c>
    </row>
    <row r="2277" spans="1:5">
      <c r="A2277">
        <f>HYPERLINK("http://www.twitter.com/NYPDnews/status/753372209016627200", "753372209016627200")</f>
        <v>0</v>
      </c>
      <c r="B2277" s="2">
        <v>42564.9827083333</v>
      </c>
      <c r="C2277">
        <v>400</v>
      </c>
      <c r="D2277">
        <v>120</v>
      </c>
      <c r="E2277" t="s">
        <v>2255</v>
      </c>
    </row>
    <row r="2278" spans="1:5">
      <c r="A2278">
        <f>HYPERLINK("http://www.twitter.com/NYPDnews/status/753348505327046656", "753348505327046656")</f>
        <v>0</v>
      </c>
      <c r="B2278" s="2">
        <v>42564.9172916667</v>
      </c>
      <c r="C2278">
        <v>28</v>
      </c>
      <c r="D2278">
        <v>8</v>
      </c>
      <c r="E2278" t="s">
        <v>2256</v>
      </c>
    </row>
    <row r="2279" spans="1:5">
      <c r="A2279">
        <f>HYPERLINK("http://www.twitter.com/NYPDnews/status/753345798792941568", "753345798792941568")</f>
        <v>0</v>
      </c>
      <c r="B2279" s="2">
        <v>42564.9098263889</v>
      </c>
      <c r="C2279">
        <v>16</v>
      </c>
      <c r="D2279">
        <v>38</v>
      </c>
      <c r="E2279" t="s">
        <v>2257</v>
      </c>
    </row>
    <row r="2280" spans="1:5">
      <c r="A2280">
        <f>HYPERLINK("http://www.twitter.com/NYPDnews/status/753341531675918336", "753341531675918336")</f>
        <v>0</v>
      </c>
      <c r="B2280" s="2">
        <v>42564.8980555556</v>
      </c>
      <c r="C2280">
        <v>0</v>
      </c>
      <c r="D2280">
        <v>34</v>
      </c>
      <c r="E2280" t="s">
        <v>2258</v>
      </c>
    </row>
    <row r="2281" spans="1:5">
      <c r="A2281">
        <f>HYPERLINK("http://www.twitter.com/NYPDnews/status/753333302753460224", "753333302753460224")</f>
        <v>0</v>
      </c>
      <c r="B2281" s="2">
        <v>42564.8753472222</v>
      </c>
      <c r="C2281">
        <v>17</v>
      </c>
      <c r="D2281">
        <v>67</v>
      </c>
      <c r="E2281" t="s">
        <v>2259</v>
      </c>
    </row>
    <row r="2282" spans="1:5">
      <c r="A2282">
        <f>HYPERLINK("http://www.twitter.com/NYPDnews/status/753298028572749824", "753298028572749824")</f>
        <v>0</v>
      </c>
      <c r="B2282" s="2">
        <v>42564.7780092593</v>
      </c>
      <c r="C2282">
        <v>255</v>
      </c>
      <c r="D2282">
        <v>126</v>
      </c>
      <c r="E2282" t="s">
        <v>2260</v>
      </c>
    </row>
    <row r="2283" spans="1:5">
      <c r="A2283">
        <f>HYPERLINK("http://www.twitter.com/NYPDnews/status/753213840163209217", "753213840163209217")</f>
        <v>0</v>
      </c>
      <c r="B2283" s="2">
        <v>42564.5456944444</v>
      </c>
      <c r="C2283">
        <v>0</v>
      </c>
      <c r="D2283">
        <v>15</v>
      </c>
      <c r="E2283" t="s">
        <v>2261</v>
      </c>
    </row>
    <row r="2284" spans="1:5">
      <c r="A2284">
        <f>HYPERLINK("http://www.twitter.com/NYPDnews/status/753208652643917824", "753208652643917824")</f>
        <v>0</v>
      </c>
      <c r="B2284" s="2">
        <v>42564.5313773148</v>
      </c>
      <c r="C2284">
        <v>97</v>
      </c>
      <c r="D2284">
        <v>35</v>
      </c>
      <c r="E2284" t="s">
        <v>2262</v>
      </c>
    </row>
    <row r="2285" spans="1:5">
      <c r="A2285">
        <f>HYPERLINK("http://www.twitter.com/NYPDnews/status/753205825137672192", "753205825137672192")</f>
        <v>0</v>
      </c>
      <c r="B2285" s="2">
        <v>42564.5235763889</v>
      </c>
      <c r="C2285">
        <v>58</v>
      </c>
      <c r="D2285">
        <v>20</v>
      </c>
      <c r="E2285" t="s">
        <v>2263</v>
      </c>
    </row>
    <row r="2286" spans="1:5">
      <c r="A2286">
        <f>HYPERLINK("http://www.twitter.com/NYPDnews/status/753201127693361152", "753201127693361152")</f>
        <v>0</v>
      </c>
      <c r="B2286" s="2">
        <v>42564.5106134259</v>
      </c>
      <c r="C2286">
        <v>35</v>
      </c>
      <c r="D2286">
        <v>75</v>
      </c>
      <c r="E2286" t="s">
        <v>2264</v>
      </c>
    </row>
    <row r="2287" spans="1:5">
      <c r="A2287">
        <f>HYPERLINK("http://www.twitter.com/NYPDnews/status/753197294959353856", "753197294959353856")</f>
        <v>0</v>
      </c>
      <c r="B2287" s="2">
        <v>42564.5000347222</v>
      </c>
      <c r="C2287">
        <v>24</v>
      </c>
      <c r="D2287">
        <v>74</v>
      </c>
      <c r="E2287" t="s">
        <v>2265</v>
      </c>
    </row>
    <row r="2288" spans="1:5">
      <c r="A2288">
        <f>HYPERLINK("http://www.twitter.com/NYPDnews/status/753061450344726528", "753061450344726528")</f>
        <v>0</v>
      </c>
      <c r="B2288" s="2">
        <v>42564.1251736111</v>
      </c>
      <c r="C2288">
        <v>13</v>
      </c>
      <c r="D2288">
        <v>7</v>
      </c>
      <c r="E2288" t="s">
        <v>2266</v>
      </c>
    </row>
    <row r="2289" spans="1:5">
      <c r="A2289">
        <f>HYPERLINK("http://www.twitter.com/NYPDnews/status/753050314312417280", "753050314312417280")</f>
        <v>0</v>
      </c>
      <c r="B2289" s="2">
        <v>42564.0944444444</v>
      </c>
      <c r="C2289">
        <v>0</v>
      </c>
      <c r="D2289">
        <v>56</v>
      </c>
      <c r="E2289" t="s">
        <v>2267</v>
      </c>
    </row>
    <row r="2290" spans="1:5">
      <c r="A2290">
        <f>HYPERLINK("http://www.twitter.com/NYPDnews/status/753042534297919488", "753042534297919488")</f>
        <v>0</v>
      </c>
      <c r="B2290" s="2">
        <v>42564.072974537</v>
      </c>
      <c r="C2290">
        <v>17</v>
      </c>
      <c r="D2290">
        <v>8</v>
      </c>
      <c r="E2290" t="s">
        <v>2268</v>
      </c>
    </row>
    <row r="2291" spans="1:5">
      <c r="A2291">
        <f>HYPERLINK("http://www.twitter.com/NYPDnews/status/753030647036411904", "753030647036411904")</f>
        <v>0</v>
      </c>
      <c r="B2291" s="2">
        <v>42564.0401736111</v>
      </c>
      <c r="C2291">
        <v>0</v>
      </c>
      <c r="D2291">
        <v>54</v>
      </c>
      <c r="E2291" t="s">
        <v>2269</v>
      </c>
    </row>
    <row r="2292" spans="1:5">
      <c r="A2292">
        <f>HYPERLINK("http://www.twitter.com/NYPDnews/status/753019949598273536", "753019949598273536")</f>
        <v>0</v>
      </c>
      <c r="B2292" s="2">
        <v>42564.0106597222</v>
      </c>
      <c r="C2292">
        <v>14</v>
      </c>
      <c r="D2292">
        <v>27</v>
      </c>
      <c r="E2292" t="s">
        <v>2270</v>
      </c>
    </row>
    <row r="2293" spans="1:5">
      <c r="A2293">
        <f>HYPERLINK("http://www.twitter.com/NYPDnews/status/753015005260439552", "753015005260439552")</f>
        <v>0</v>
      </c>
      <c r="B2293" s="2">
        <v>42563.9970138889</v>
      </c>
      <c r="C2293">
        <v>165</v>
      </c>
      <c r="D2293">
        <v>52</v>
      </c>
      <c r="E2293" t="s">
        <v>2271</v>
      </c>
    </row>
    <row r="2294" spans="1:5">
      <c r="A2294">
        <f>HYPERLINK("http://www.twitter.com/NYPDnews/status/753004816109015040", "753004816109015040")</f>
        <v>0</v>
      </c>
      <c r="B2294" s="2">
        <v>42563.9688888889</v>
      </c>
      <c r="C2294">
        <v>178</v>
      </c>
      <c r="D2294">
        <v>113</v>
      </c>
      <c r="E2294" t="s">
        <v>2272</v>
      </c>
    </row>
    <row r="2295" spans="1:5">
      <c r="A2295">
        <f>HYPERLINK("http://www.twitter.com/NYPDnews/status/752980910241357826", "752980910241357826")</f>
        <v>0</v>
      </c>
      <c r="B2295" s="2">
        <v>42563.9029282407</v>
      </c>
      <c r="C2295">
        <v>174</v>
      </c>
      <c r="D2295">
        <v>76</v>
      </c>
      <c r="E2295" t="s">
        <v>2273</v>
      </c>
    </row>
    <row r="2296" spans="1:5">
      <c r="A2296">
        <f>HYPERLINK("http://www.twitter.com/NYPDnews/status/752918022537547776", "752918022537547776")</f>
        <v>0</v>
      </c>
      <c r="B2296" s="2">
        <v>42563.7293865741</v>
      </c>
      <c r="C2296">
        <v>100</v>
      </c>
      <c r="D2296">
        <v>35</v>
      </c>
      <c r="E2296" t="s">
        <v>2274</v>
      </c>
    </row>
    <row r="2297" spans="1:5">
      <c r="A2297">
        <f>HYPERLINK("http://www.twitter.com/NYPDnews/status/752905127179198464", "752905127179198464")</f>
        <v>0</v>
      </c>
      <c r="B2297" s="2">
        <v>42563.6938078704</v>
      </c>
      <c r="C2297">
        <v>0</v>
      </c>
      <c r="D2297">
        <v>25</v>
      </c>
      <c r="E2297" t="s">
        <v>2275</v>
      </c>
    </row>
    <row r="2298" spans="1:5">
      <c r="A2298">
        <f>HYPERLINK("http://www.twitter.com/NYPDnews/status/752899155220131840", "752899155220131840")</f>
        <v>0</v>
      </c>
      <c r="B2298" s="2">
        <v>42563.6773263889</v>
      </c>
      <c r="C2298">
        <v>12</v>
      </c>
      <c r="D2298">
        <v>4</v>
      </c>
      <c r="E2298" t="s">
        <v>2276</v>
      </c>
    </row>
    <row r="2299" spans="1:5">
      <c r="A2299">
        <f>HYPERLINK("http://www.twitter.com/NYPDnews/status/752846258214232069", "752846258214232069")</f>
        <v>0</v>
      </c>
      <c r="B2299" s="2">
        <v>42563.5313541667</v>
      </c>
      <c r="C2299">
        <v>14</v>
      </c>
      <c r="D2299">
        <v>10</v>
      </c>
      <c r="E2299" t="s">
        <v>2277</v>
      </c>
    </row>
    <row r="2300" spans="1:5">
      <c r="A2300">
        <f>HYPERLINK("http://www.twitter.com/NYPDnews/status/752842533860937729", "752842533860937729")</f>
        <v>0</v>
      </c>
      <c r="B2300" s="2">
        <v>42563.5210763889</v>
      </c>
      <c r="C2300">
        <v>202</v>
      </c>
      <c r="D2300">
        <v>87</v>
      </c>
      <c r="E2300" t="s">
        <v>2278</v>
      </c>
    </row>
    <row r="2301" spans="1:5">
      <c r="A2301">
        <f>HYPERLINK("http://www.twitter.com/NYPDnews/status/752838680092545024", "752838680092545024")</f>
        <v>0</v>
      </c>
      <c r="B2301" s="2">
        <v>42563.5104513889</v>
      </c>
      <c r="C2301">
        <v>46</v>
      </c>
      <c r="D2301">
        <v>80</v>
      </c>
      <c r="E2301" t="s">
        <v>2279</v>
      </c>
    </row>
    <row r="2302" spans="1:5">
      <c r="A2302">
        <f>HYPERLINK("http://www.twitter.com/NYPDnews/status/752835184379256832", "752835184379256832")</f>
        <v>0</v>
      </c>
      <c r="B2302" s="2">
        <v>42563.5007986111</v>
      </c>
      <c r="C2302">
        <v>57</v>
      </c>
      <c r="D2302">
        <v>35</v>
      </c>
      <c r="E2302" t="s">
        <v>2280</v>
      </c>
    </row>
    <row r="2303" spans="1:5">
      <c r="A2303">
        <f>HYPERLINK("http://www.twitter.com/NYPDnews/status/752669559543455744", "752669559543455744")</f>
        <v>0</v>
      </c>
      <c r="B2303" s="2">
        <v>42563.0437615741</v>
      </c>
      <c r="C2303">
        <v>11</v>
      </c>
      <c r="D2303">
        <v>28</v>
      </c>
      <c r="E2303" t="s">
        <v>2281</v>
      </c>
    </row>
    <row r="2304" spans="1:5">
      <c r="A2304">
        <f>HYPERLINK("http://www.twitter.com/NYPDnews/status/752668966296907776", "752668966296907776")</f>
        <v>0</v>
      </c>
      <c r="B2304" s="2">
        <v>42563.0421296296</v>
      </c>
      <c r="C2304">
        <v>10</v>
      </c>
      <c r="D2304">
        <v>24</v>
      </c>
      <c r="E2304" t="s">
        <v>2282</v>
      </c>
    </row>
    <row r="2305" spans="1:5">
      <c r="A2305">
        <f>HYPERLINK("http://www.twitter.com/NYPDnews/status/752668047312322560", "752668047312322560")</f>
        <v>0</v>
      </c>
      <c r="B2305" s="2">
        <v>42563.0395949074</v>
      </c>
      <c r="C2305">
        <v>15</v>
      </c>
      <c r="D2305">
        <v>18</v>
      </c>
      <c r="E2305" t="s">
        <v>2283</v>
      </c>
    </row>
    <row r="2306" spans="1:5">
      <c r="A2306">
        <f>HYPERLINK("http://www.twitter.com/NYPDnews/status/752667401959997440", "752667401959997440")</f>
        <v>0</v>
      </c>
      <c r="B2306" s="2">
        <v>42563.0378125</v>
      </c>
      <c r="C2306">
        <v>33</v>
      </c>
      <c r="D2306">
        <v>30</v>
      </c>
      <c r="E2306" t="s">
        <v>2284</v>
      </c>
    </row>
    <row r="2307" spans="1:5">
      <c r="A2307">
        <f>HYPERLINK("http://www.twitter.com/NYPDnews/status/752666828317523968", "752666828317523968")</f>
        <v>0</v>
      </c>
      <c r="B2307" s="2">
        <v>42563.0362268519</v>
      </c>
      <c r="C2307">
        <v>25</v>
      </c>
      <c r="D2307">
        <v>26</v>
      </c>
      <c r="E2307" t="s">
        <v>2285</v>
      </c>
    </row>
    <row r="2308" spans="1:5">
      <c r="A2308">
        <f>HYPERLINK("http://www.twitter.com/NYPDnews/status/752666712122748928", "752666712122748928")</f>
        <v>0</v>
      </c>
      <c r="B2308" s="2">
        <v>42563.0359027778</v>
      </c>
      <c r="C2308">
        <v>18</v>
      </c>
      <c r="D2308">
        <v>30</v>
      </c>
      <c r="E2308" t="s">
        <v>2286</v>
      </c>
    </row>
    <row r="2309" spans="1:5">
      <c r="A2309">
        <f>HYPERLINK("http://www.twitter.com/NYPDnews/status/752666179743940608", "752666179743940608")</f>
        <v>0</v>
      </c>
      <c r="B2309" s="2">
        <v>42563.0344328704</v>
      </c>
      <c r="C2309">
        <v>48</v>
      </c>
      <c r="D2309">
        <v>24</v>
      </c>
      <c r="E2309" t="s">
        <v>2287</v>
      </c>
    </row>
    <row r="2310" spans="1:5">
      <c r="A2310">
        <f>HYPERLINK("http://www.twitter.com/NYPDnews/status/752665794761351168", "752665794761351168")</f>
        <v>0</v>
      </c>
      <c r="B2310" s="2">
        <v>42563.0333680556</v>
      </c>
      <c r="C2310">
        <v>20</v>
      </c>
      <c r="D2310">
        <v>17</v>
      </c>
      <c r="E2310" t="s">
        <v>2288</v>
      </c>
    </row>
    <row r="2311" spans="1:5">
      <c r="A2311">
        <f>HYPERLINK("http://www.twitter.com/NYPDnews/status/752652274028150784", "752652274028150784")</f>
        <v>0</v>
      </c>
      <c r="B2311" s="2">
        <v>42562.9960648148</v>
      </c>
      <c r="C2311">
        <v>58</v>
      </c>
      <c r="D2311">
        <v>64</v>
      </c>
      <c r="E2311" t="s">
        <v>2289</v>
      </c>
    </row>
    <row r="2312" spans="1:5">
      <c r="A2312">
        <f>HYPERLINK("http://www.twitter.com/NYPDnews/status/752649584653066241", "752649584653066241")</f>
        <v>0</v>
      </c>
      <c r="B2312" s="2">
        <v>42562.9886458333</v>
      </c>
      <c r="C2312">
        <v>37</v>
      </c>
      <c r="D2312">
        <v>61</v>
      </c>
      <c r="E2312" t="s">
        <v>2290</v>
      </c>
    </row>
    <row r="2313" spans="1:5">
      <c r="A2313">
        <f>HYPERLINK("http://www.twitter.com/NYPDnews/status/752641140038496256", "752641140038496256")</f>
        <v>0</v>
      </c>
      <c r="B2313" s="2">
        <v>42562.9653356482</v>
      </c>
      <c r="C2313">
        <v>65</v>
      </c>
      <c r="D2313">
        <v>30</v>
      </c>
      <c r="E2313" t="s">
        <v>2291</v>
      </c>
    </row>
    <row r="2314" spans="1:5">
      <c r="A2314">
        <f>HYPERLINK("http://www.twitter.com/NYPDnews/status/752628122458152960", "752628122458152960")</f>
        <v>0</v>
      </c>
      <c r="B2314" s="2">
        <v>42562.9294212963</v>
      </c>
      <c r="C2314">
        <v>0</v>
      </c>
      <c r="D2314">
        <v>19</v>
      </c>
      <c r="E2314" t="s">
        <v>2292</v>
      </c>
    </row>
    <row r="2315" spans="1:5">
      <c r="A2315">
        <f>HYPERLINK("http://www.twitter.com/NYPDnews/status/752616047946194945", "752616047946194945")</f>
        <v>0</v>
      </c>
      <c r="B2315" s="2">
        <v>42562.896099537</v>
      </c>
      <c r="C2315">
        <v>20</v>
      </c>
      <c r="D2315">
        <v>52</v>
      </c>
      <c r="E2315" t="s">
        <v>2293</v>
      </c>
    </row>
    <row r="2316" spans="1:5">
      <c r="A2316">
        <f>HYPERLINK("http://www.twitter.com/NYPDnews/status/752588395533242368", "752588395533242368")</f>
        <v>0</v>
      </c>
      <c r="B2316" s="2">
        <v>42562.8197916667</v>
      </c>
      <c r="C2316">
        <v>0</v>
      </c>
      <c r="D2316">
        <v>34</v>
      </c>
      <c r="E2316" t="s">
        <v>2294</v>
      </c>
    </row>
    <row r="2317" spans="1:5">
      <c r="A2317">
        <f>HYPERLINK("http://www.twitter.com/NYPDnews/status/752554874357899264", "752554874357899264")</f>
        <v>0</v>
      </c>
      <c r="B2317" s="2">
        <v>42562.7272916667</v>
      </c>
      <c r="C2317">
        <v>0</v>
      </c>
      <c r="D2317">
        <v>49</v>
      </c>
      <c r="E2317" t="s">
        <v>2295</v>
      </c>
    </row>
    <row r="2318" spans="1:5">
      <c r="A2318">
        <f>HYPERLINK("http://www.twitter.com/NYPDnews/status/752542289214464000", "752542289214464000")</f>
        <v>0</v>
      </c>
      <c r="B2318" s="2">
        <v>42562.6925578704</v>
      </c>
      <c r="C2318">
        <v>15</v>
      </c>
      <c r="D2318">
        <v>9</v>
      </c>
      <c r="E2318" t="s">
        <v>2296</v>
      </c>
    </row>
    <row r="2319" spans="1:5">
      <c r="A2319">
        <f>HYPERLINK("http://www.twitter.com/NYPDnews/status/752536572785033217", "752536572785033217")</f>
        <v>0</v>
      </c>
      <c r="B2319" s="2">
        <v>42562.6767939815</v>
      </c>
      <c r="C2319">
        <v>7</v>
      </c>
      <c r="D2319">
        <v>4</v>
      </c>
      <c r="E2319" t="s">
        <v>2297</v>
      </c>
    </row>
    <row r="2320" spans="1:5">
      <c r="A2320">
        <f>HYPERLINK("http://www.twitter.com/NYPDnews/status/752534637612765184", "752534637612765184")</f>
        <v>0</v>
      </c>
      <c r="B2320" s="2">
        <v>42562.6714467593</v>
      </c>
      <c r="C2320">
        <v>41</v>
      </c>
      <c r="D2320">
        <v>14</v>
      </c>
      <c r="E2320" t="s">
        <v>2298</v>
      </c>
    </row>
    <row r="2321" spans="1:5">
      <c r="A2321">
        <f>HYPERLINK("http://www.twitter.com/NYPDnews/status/752532721847730181", "752532721847730181")</f>
        <v>0</v>
      </c>
      <c r="B2321" s="2">
        <v>42562.6661574074</v>
      </c>
      <c r="C2321">
        <v>56</v>
      </c>
      <c r="D2321">
        <v>33</v>
      </c>
      <c r="E2321" t="s">
        <v>2299</v>
      </c>
    </row>
    <row r="2322" spans="1:5">
      <c r="A2322">
        <f>HYPERLINK("http://www.twitter.com/NYPDnews/status/752530032891981828", "752530032891981828")</f>
        <v>0</v>
      </c>
      <c r="B2322" s="2">
        <v>42562.6587384259</v>
      </c>
      <c r="C2322">
        <v>34</v>
      </c>
      <c r="D2322">
        <v>16</v>
      </c>
      <c r="E2322" t="s">
        <v>2300</v>
      </c>
    </row>
    <row r="2323" spans="1:5">
      <c r="A2323">
        <f>HYPERLINK("http://www.twitter.com/NYPDnews/status/752529026397433856", "752529026397433856")</f>
        <v>0</v>
      </c>
      <c r="B2323" s="2">
        <v>42562.6559606481</v>
      </c>
      <c r="C2323">
        <v>58</v>
      </c>
      <c r="D2323">
        <v>21</v>
      </c>
      <c r="E2323" t="s">
        <v>2301</v>
      </c>
    </row>
    <row r="2324" spans="1:5">
      <c r="A2324">
        <f>HYPERLINK("http://www.twitter.com/NYPDnews/status/752527044244832256", "752527044244832256")</f>
        <v>0</v>
      </c>
      <c r="B2324" s="2">
        <v>42562.6504976852</v>
      </c>
      <c r="C2324">
        <v>24</v>
      </c>
      <c r="D2324">
        <v>19</v>
      </c>
      <c r="E2324" t="s">
        <v>2302</v>
      </c>
    </row>
    <row r="2325" spans="1:5">
      <c r="A2325">
        <f>HYPERLINK("http://www.twitter.com/NYPDnews/status/752483881744498688", "752483881744498688")</f>
        <v>0</v>
      </c>
      <c r="B2325" s="2">
        <v>42562.5313888889</v>
      </c>
      <c r="C2325">
        <v>17</v>
      </c>
      <c r="D2325">
        <v>42</v>
      </c>
      <c r="E2325" t="s">
        <v>2303</v>
      </c>
    </row>
    <row r="2326" spans="1:5">
      <c r="A2326">
        <f>HYPERLINK("http://www.twitter.com/NYPDnews/status/752480130946199552", "752480130946199552")</f>
        <v>0</v>
      </c>
      <c r="B2326" s="2">
        <v>42562.5210416667</v>
      </c>
      <c r="C2326">
        <v>36</v>
      </c>
      <c r="D2326">
        <v>16</v>
      </c>
      <c r="E2326" t="s">
        <v>2304</v>
      </c>
    </row>
    <row r="2327" spans="1:5">
      <c r="A2327">
        <f>HYPERLINK("http://www.twitter.com/NYPDnews/status/752474138439258116", "752474138439258116")</f>
        <v>0</v>
      </c>
      <c r="B2327" s="2">
        <v>42562.5045023148</v>
      </c>
      <c r="C2327">
        <v>62</v>
      </c>
      <c r="D2327">
        <v>36</v>
      </c>
      <c r="E2327" t="s">
        <v>2305</v>
      </c>
    </row>
    <row r="2328" spans="1:5">
      <c r="A2328">
        <f>HYPERLINK("http://www.twitter.com/NYPDnews/status/752286320177864704", "752286320177864704")</f>
        <v>0</v>
      </c>
      <c r="B2328" s="2">
        <v>42561.9862268519</v>
      </c>
      <c r="C2328">
        <v>359</v>
      </c>
      <c r="D2328">
        <v>154</v>
      </c>
      <c r="E2328" t="s">
        <v>2306</v>
      </c>
    </row>
    <row r="2329" spans="1:5">
      <c r="A2329">
        <f>HYPERLINK("http://www.twitter.com/NYPDnews/status/752246110505361408", "752246110505361408")</f>
        <v>0</v>
      </c>
      <c r="B2329" s="2">
        <v>42561.8752662037</v>
      </c>
      <c r="C2329">
        <v>124</v>
      </c>
      <c r="D2329">
        <v>27</v>
      </c>
      <c r="E2329" t="s">
        <v>2307</v>
      </c>
    </row>
    <row r="2330" spans="1:5">
      <c r="A2330">
        <f>HYPERLINK("http://www.twitter.com/NYPDnews/status/752233791335301120", "752233791335301120")</f>
        <v>0</v>
      </c>
      <c r="B2330" s="2">
        <v>42561.8412731482</v>
      </c>
      <c r="C2330">
        <v>19</v>
      </c>
      <c r="D2330">
        <v>14</v>
      </c>
      <c r="E2330" t="s">
        <v>2308</v>
      </c>
    </row>
    <row r="2331" spans="1:5">
      <c r="A2331">
        <f>HYPERLINK("http://www.twitter.com/NYPDnews/status/752194442287837185", "752194442287837185")</f>
        <v>0</v>
      </c>
      <c r="B2331" s="2">
        <v>42561.7326851852</v>
      </c>
      <c r="C2331">
        <v>46</v>
      </c>
      <c r="D2331">
        <v>27</v>
      </c>
      <c r="E2331" t="s">
        <v>2309</v>
      </c>
    </row>
    <row r="2332" spans="1:5">
      <c r="A2332">
        <f>HYPERLINK("http://www.twitter.com/NYPDnews/status/752168215871123456", "752168215871123456")</f>
        <v>0</v>
      </c>
      <c r="B2332" s="2">
        <v>42561.6603125</v>
      </c>
      <c r="C2332">
        <v>35</v>
      </c>
      <c r="D2332">
        <v>27</v>
      </c>
      <c r="E2332" t="s">
        <v>2310</v>
      </c>
    </row>
    <row r="2333" spans="1:5">
      <c r="A2333">
        <f>HYPERLINK("http://www.twitter.com/NYPDnews/status/752167982990757888", "752167982990757888")</f>
        <v>0</v>
      </c>
      <c r="B2333" s="2">
        <v>42561.6596759259</v>
      </c>
      <c r="C2333">
        <v>45</v>
      </c>
      <c r="D2333">
        <v>37</v>
      </c>
      <c r="E2333" t="s">
        <v>2311</v>
      </c>
    </row>
    <row r="2334" spans="1:5">
      <c r="A2334">
        <f>HYPERLINK("http://www.twitter.com/NYPDnews/status/752167450909761536", "752167450909761536")</f>
        <v>0</v>
      </c>
      <c r="B2334" s="2">
        <v>42561.6582060185</v>
      </c>
      <c r="C2334">
        <v>63</v>
      </c>
      <c r="D2334">
        <v>48</v>
      </c>
      <c r="E2334" t="s">
        <v>2312</v>
      </c>
    </row>
    <row r="2335" spans="1:5">
      <c r="A2335">
        <f>HYPERLINK("http://www.twitter.com/NYPDnews/status/752167053767897089", "752167053767897089")</f>
        <v>0</v>
      </c>
      <c r="B2335" s="2">
        <v>42561.6571064815</v>
      </c>
      <c r="C2335">
        <v>45</v>
      </c>
      <c r="D2335">
        <v>40</v>
      </c>
      <c r="E2335" t="s">
        <v>2313</v>
      </c>
    </row>
    <row r="2336" spans="1:5">
      <c r="A2336">
        <f>HYPERLINK("http://www.twitter.com/NYPDnews/status/752166937468231680", "752166937468231680")</f>
        <v>0</v>
      </c>
      <c r="B2336" s="2">
        <v>42561.6567939815</v>
      </c>
      <c r="C2336">
        <v>0</v>
      </c>
      <c r="D2336">
        <v>10</v>
      </c>
      <c r="E2336" t="s">
        <v>2314</v>
      </c>
    </row>
    <row r="2337" spans="1:5">
      <c r="A2337">
        <f>HYPERLINK("http://www.twitter.com/NYPDnews/status/752136861133467648", "752136861133467648")</f>
        <v>0</v>
      </c>
      <c r="B2337" s="2">
        <v>42561.5737962963</v>
      </c>
      <c r="C2337">
        <v>127</v>
      </c>
      <c r="D2337">
        <v>76</v>
      </c>
      <c r="E2337" t="s">
        <v>2315</v>
      </c>
    </row>
    <row r="2338" spans="1:5">
      <c r="A2338">
        <f>HYPERLINK("http://www.twitter.com/NYPDnews/status/752128229645938688", "752128229645938688")</f>
        <v>0</v>
      </c>
      <c r="B2338" s="2">
        <v>42561.5499768518</v>
      </c>
      <c r="C2338">
        <v>0</v>
      </c>
      <c r="D2338">
        <v>8</v>
      </c>
      <c r="E2338" t="s">
        <v>2316</v>
      </c>
    </row>
    <row r="2339" spans="1:5">
      <c r="A2339">
        <f>HYPERLINK("http://www.twitter.com/NYPDnews/status/752125352173047809", "752125352173047809")</f>
        <v>0</v>
      </c>
      <c r="B2339" s="2">
        <v>42561.542037037</v>
      </c>
      <c r="C2339">
        <v>27</v>
      </c>
      <c r="D2339">
        <v>25</v>
      </c>
      <c r="E2339" t="s">
        <v>2317</v>
      </c>
    </row>
    <row r="2340" spans="1:5">
      <c r="A2340">
        <f>HYPERLINK("http://www.twitter.com/NYPDnews/status/752110231937773568", "752110231937773568")</f>
        <v>0</v>
      </c>
      <c r="B2340" s="2">
        <v>42561.5003125</v>
      </c>
      <c r="C2340">
        <v>65</v>
      </c>
      <c r="D2340">
        <v>30</v>
      </c>
      <c r="E2340" t="s">
        <v>2318</v>
      </c>
    </row>
    <row r="2341" spans="1:5">
      <c r="A2341">
        <f>HYPERLINK("http://www.twitter.com/NYPDnews/status/751967900706148352", "751967900706148352")</f>
        <v>0</v>
      </c>
      <c r="B2341" s="2">
        <v>42561.1075578704</v>
      </c>
      <c r="C2341">
        <v>19</v>
      </c>
      <c r="D2341">
        <v>13</v>
      </c>
      <c r="E2341" t="s">
        <v>2319</v>
      </c>
    </row>
    <row r="2342" spans="1:5">
      <c r="A2342">
        <f>HYPERLINK("http://www.twitter.com/NYPDnews/status/751911952620879873", "751911952620879873")</f>
        <v>0</v>
      </c>
      <c r="B2342" s="2">
        <v>42560.9531712963</v>
      </c>
      <c r="C2342">
        <v>0</v>
      </c>
      <c r="D2342">
        <v>52</v>
      </c>
      <c r="E2342" t="s">
        <v>2320</v>
      </c>
    </row>
    <row r="2343" spans="1:5">
      <c r="A2343">
        <f>HYPERLINK("http://www.twitter.com/NYPDnews/status/751874838730567681", "751874838730567681")</f>
        <v>0</v>
      </c>
      <c r="B2343" s="2">
        <v>42560.8507523148</v>
      </c>
      <c r="C2343">
        <v>22</v>
      </c>
      <c r="D2343">
        <v>9</v>
      </c>
      <c r="E2343" t="s">
        <v>2321</v>
      </c>
    </row>
    <row r="2344" spans="1:5">
      <c r="A2344">
        <f>HYPERLINK("http://www.twitter.com/NYPDnews/status/751841135316897792", "751841135316897792")</f>
        <v>0</v>
      </c>
      <c r="B2344" s="2">
        <v>42560.7577430556</v>
      </c>
      <c r="C2344">
        <v>215</v>
      </c>
      <c r="D2344">
        <v>47</v>
      </c>
      <c r="E2344" t="s">
        <v>2322</v>
      </c>
    </row>
    <row r="2345" spans="1:5">
      <c r="A2345">
        <f>HYPERLINK("http://www.twitter.com/NYPDnews/status/751785559262191616", "751785559262191616")</f>
        <v>0</v>
      </c>
      <c r="B2345" s="2">
        <v>42560.6043865741</v>
      </c>
      <c r="C2345">
        <v>400</v>
      </c>
      <c r="D2345">
        <v>64</v>
      </c>
      <c r="E2345" t="s">
        <v>2323</v>
      </c>
    </row>
    <row r="2346" spans="1:5">
      <c r="A2346">
        <f>HYPERLINK("http://www.twitter.com/NYPDnews/status/751778024710868992", "751778024710868992")</f>
        <v>0</v>
      </c>
      <c r="B2346" s="2">
        <v>42560.583599537</v>
      </c>
      <c r="C2346">
        <v>122</v>
      </c>
      <c r="D2346">
        <v>27</v>
      </c>
      <c r="E2346" t="s">
        <v>2324</v>
      </c>
    </row>
    <row r="2347" spans="1:5">
      <c r="A2347">
        <f>HYPERLINK("http://www.twitter.com/NYPDnews/status/751766642619715584", "751766642619715584")</f>
        <v>0</v>
      </c>
      <c r="B2347" s="2">
        <v>42560.5521875</v>
      </c>
      <c r="C2347">
        <v>46</v>
      </c>
      <c r="D2347">
        <v>104</v>
      </c>
      <c r="E2347" t="s">
        <v>2325</v>
      </c>
    </row>
    <row r="2348" spans="1:5">
      <c r="A2348">
        <f>HYPERLINK("http://www.twitter.com/NYPDnews/status/751763900903911424", "751763900903911424")</f>
        <v>0</v>
      </c>
      <c r="B2348" s="2">
        <v>42560.5446180556</v>
      </c>
      <c r="C2348">
        <v>65</v>
      </c>
      <c r="D2348">
        <v>30</v>
      </c>
      <c r="E2348" t="s">
        <v>2326</v>
      </c>
    </row>
    <row r="2349" spans="1:5">
      <c r="A2349">
        <f>HYPERLINK("http://www.twitter.com/NYPDnews/status/751567826410962944", "751567826410962944")</f>
        <v>0</v>
      </c>
      <c r="B2349" s="2">
        <v>42560.0035532407</v>
      </c>
      <c r="C2349">
        <v>20</v>
      </c>
      <c r="D2349">
        <v>12</v>
      </c>
      <c r="E2349" t="s">
        <v>2327</v>
      </c>
    </row>
    <row r="2350" spans="1:5">
      <c r="A2350">
        <f>HYPERLINK("http://www.twitter.com/NYPDnews/status/751526015634137088", "751526015634137088")</f>
        <v>0</v>
      </c>
      <c r="B2350" s="2">
        <v>42559.8881828704</v>
      </c>
      <c r="C2350">
        <v>12</v>
      </c>
      <c r="D2350">
        <v>4</v>
      </c>
      <c r="E2350" t="s">
        <v>2328</v>
      </c>
    </row>
    <row r="2351" spans="1:5">
      <c r="A2351">
        <f>HYPERLINK("http://www.twitter.com/NYPDnews/status/751524958828888066", "751524958828888066")</f>
        <v>0</v>
      </c>
      <c r="B2351" s="2">
        <v>42559.8852662037</v>
      </c>
      <c r="C2351">
        <v>47</v>
      </c>
      <c r="D2351">
        <v>20</v>
      </c>
      <c r="E2351" t="s">
        <v>2329</v>
      </c>
    </row>
    <row r="2352" spans="1:5">
      <c r="A2352">
        <f>HYPERLINK("http://www.twitter.com/NYPDnews/status/751523285444202496", "751523285444202496")</f>
        <v>0</v>
      </c>
      <c r="B2352" s="2">
        <v>42559.8806481482</v>
      </c>
      <c r="C2352">
        <v>69</v>
      </c>
      <c r="D2352">
        <v>28</v>
      </c>
      <c r="E2352" t="s">
        <v>2330</v>
      </c>
    </row>
    <row r="2353" spans="1:5">
      <c r="A2353">
        <f>HYPERLINK("http://www.twitter.com/NYPDnews/status/751522651408044032", "751522651408044032")</f>
        <v>0</v>
      </c>
      <c r="B2353" s="2">
        <v>42559.878900463</v>
      </c>
      <c r="C2353">
        <v>43</v>
      </c>
      <c r="D2353">
        <v>19</v>
      </c>
      <c r="E2353" t="s">
        <v>2331</v>
      </c>
    </row>
    <row r="2354" spans="1:5">
      <c r="A2354">
        <f>HYPERLINK("http://www.twitter.com/NYPDnews/status/751521141735522304", "751521141735522304")</f>
        <v>0</v>
      </c>
      <c r="B2354" s="2">
        <v>42559.8747337963</v>
      </c>
      <c r="C2354">
        <v>12</v>
      </c>
      <c r="D2354">
        <v>5</v>
      </c>
      <c r="E2354" t="s">
        <v>2332</v>
      </c>
    </row>
    <row r="2355" spans="1:5">
      <c r="A2355">
        <f>HYPERLINK("http://www.twitter.com/NYPDnews/status/751510736866795520", "751510736866795520")</f>
        <v>0</v>
      </c>
      <c r="B2355" s="2">
        <v>42559.8460185185</v>
      </c>
      <c r="C2355">
        <v>0</v>
      </c>
      <c r="D2355">
        <v>42</v>
      </c>
      <c r="E2355" t="s">
        <v>2333</v>
      </c>
    </row>
    <row r="2356" spans="1:5">
      <c r="A2356">
        <f>HYPERLINK("http://www.twitter.com/NYPDnews/status/751469679630319617", "751469679630319617")</f>
        <v>0</v>
      </c>
      <c r="B2356" s="2">
        <v>42559.7327199074</v>
      </c>
      <c r="C2356">
        <v>188</v>
      </c>
      <c r="D2356">
        <v>58</v>
      </c>
      <c r="E2356" t="s">
        <v>2334</v>
      </c>
    </row>
    <row r="2357" spans="1:5">
      <c r="A2357">
        <f>HYPERLINK("http://www.twitter.com/NYPDnews/status/751468451546427392", "751468451546427392")</f>
        <v>0</v>
      </c>
      <c r="B2357" s="2">
        <v>42559.7293402778</v>
      </c>
      <c r="C2357">
        <v>155</v>
      </c>
      <c r="D2357">
        <v>79</v>
      </c>
      <c r="E2357" t="s">
        <v>2335</v>
      </c>
    </row>
    <row r="2358" spans="1:5">
      <c r="A2358">
        <f>HYPERLINK("http://www.twitter.com/NYPDnews/status/751468011836542976", "751468011836542976")</f>
        <v>0</v>
      </c>
      <c r="B2358" s="2">
        <v>42559.728125</v>
      </c>
      <c r="C2358">
        <v>104</v>
      </c>
      <c r="D2358">
        <v>75</v>
      </c>
      <c r="E2358" t="s">
        <v>2336</v>
      </c>
    </row>
    <row r="2359" spans="1:5">
      <c r="A2359">
        <f>HYPERLINK("http://www.twitter.com/NYPDnews/status/751467158853521408", "751467158853521408")</f>
        <v>0</v>
      </c>
      <c r="B2359" s="2">
        <v>42559.7257638889</v>
      </c>
      <c r="C2359">
        <v>138</v>
      </c>
      <c r="D2359">
        <v>36</v>
      </c>
      <c r="E2359" t="s">
        <v>2337</v>
      </c>
    </row>
    <row r="2360" spans="1:5">
      <c r="A2360">
        <f>HYPERLINK("http://www.twitter.com/NYPDnews/status/751464750274445312", "751464750274445312")</f>
        <v>0</v>
      </c>
      <c r="B2360" s="2">
        <v>42559.7191203704</v>
      </c>
      <c r="C2360">
        <v>38</v>
      </c>
      <c r="D2360">
        <v>21</v>
      </c>
      <c r="E2360" t="s">
        <v>2338</v>
      </c>
    </row>
    <row r="2361" spans="1:5">
      <c r="A2361">
        <f>HYPERLINK("http://www.twitter.com/NYPDnews/status/751463845617598464", "751463845617598464")</f>
        <v>0</v>
      </c>
      <c r="B2361" s="2">
        <v>42559.7166203704</v>
      </c>
      <c r="C2361">
        <v>9</v>
      </c>
      <c r="D2361">
        <v>5</v>
      </c>
      <c r="E2361" t="s">
        <v>2339</v>
      </c>
    </row>
    <row r="2362" spans="1:5">
      <c r="A2362">
        <f>HYPERLINK("http://www.twitter.com/NYPDnews/status/751462309894184960", "751462309894184960")</f>
        <v>0</v>
      </c>
      <c r="B2362" s="2">
        <v>42559.7123842593</v>
      </c>
      <c r="C2362">
        <v>36</v>
      </c>
      <c r="D2362">
        <v>17</v>
      </c>
      <c r="E2362" t="s">
        <v>2340</v>
      </c>
    </row>
    <row r="2363" spans="1:5">
      <c r="A2363">
        <f>HYPERLINK("http://www.twitter.com/NYPDnews/status/751459944570949632", "751459944570949632")</f>
        <v>0</v>
      </c>
      <c r="B2363" s="2">
        <v>42559.7058564815</v>
      </c>
      <c r="C2363">
        <v>30</v>
      </c>
      <c r="D2363">
        <v>17</v>
      </c>
      <c r="E2363" t="s">
        <v>2341</v>
      </c>
    </row>
    <row r="2364" spans="1:5">
      <c r="A2364">
        <f>HYPERLINK("http://www.twitter.com/NYPDnews/status/751437728399720452", "751437728399720452")</f>
        <v>0</v>
      </c>
      <c r="B2364" s="2">
        <v>42559.6445601852</v>
      </c>
      <c r="C2364">
        <v>200</v>
      </c>
      <c r="D2364">
        <v>117</v>
      </c>
      <c r="E2364" t="s">
        <v>2342</v>
      </c>
    </row>
    <row r="2365" spans="1:5">
      <c r="A2365">
        <f>HYPERLINK("http://www.twitter.com/NYPDnews/status/751393053705986048", "751393053705986048")</f>
        <v>0</v>
      </c>
      <c r="B2365" s="2">
        <v>42559.5212731482</v>
      </c>
      <c r="C2365">
        <v>18</v>
      </c>
      <c r="D2365">
        <v>5</v>
      </c>
      <c r="E2365" t="s">
        <v>2343</v>
      </c>
    </row>
    <row r="2366" spans="1:5">
      <c r="A2366">
        <f>HYPERLINK("http://www.twitter.com/NYPDnews/status/751389147500273664", "751389147500273664")</f>
        <v>0</v>
      </c>
      <c r="B2366" s="2">
        <v>42559.5104976852</v>
      </c>
      <c r="C2366">
        <v>27</v>
      </c>
      <c r="D2366">
        <v>6</v>
      </c>
      <c r="E2366" t="s">
        <v>2344</v>
      </c>
    </row>
    <row r="2367" spans="1:5">
      <c r="A2367">
        <f>HYPERLINK("http://www.twitter.com/NYPDnews/status/751385648100237313", "751385648100237313")</f>
        <v>0</v>
      </c>
      <c r="B2367" s="2">
        <v>42559.5008449074</v>
      </c>
      <c r="C2367">
        <v>18</v>
      </c>
      <c r="D2367">
        <v>32</v>
      </c>
      <c r="E2367" t="s">
        <v>2345</v>
      </c>
    </row>
    <row r="2368" spans="1:5">
      <c r="A2368">
        <f>HYPERLINK("http://www.twitter.com/NYPDnews/status/751215527117385728", "751215527117385728")</f>
        <v>0</v>
      </c>
      <c r="B2368" s="2">
        <v>42559.031400463</v>
      </c>
      <c r="C2368">
        <v>86</v>
      </c>
      <c r="D2368">
        <v>57</v>
      </c>
      <c r="E2368" t="s">
        <v>2346</v>
      </c>
    </row>
    <row r="2369" spans="1:5">
      <c r="A2369">
        <f>HYPERLINK("http://www.twitter.com/NYPDnews/status/751209233157353472", "751209233157353472")</f>
        <v>0</v>
      </c>
      <c r="B2369" s="2">
        <v>42559.0140277778</v>
      </c>
      <c r="C2369">
        <v>17</v>
      </c>
      <c r="D2369">
        <v>6</v>
      </c>
      <c r="E2369" t="s">
        <v>2347</v>
      </c>
    </row>
    <row r="2370" spans="1:5">
      <c r="A2370">
        <f>HYPERLINK("http://www.twitter.com/NYPDnews/status/751170254554927104", "751170254554927104")</f>
        <v>0</v>
      </c>
      <c r="B2370" s="2">
        <v>42558.9064699074</v>
      </c>
      <c r="C2370">
        <v>9</v>
      </c>
      <c r="D2370">
        <v>7</v>
      </c>
      <c r="E2370" t="s">
        <v>2348</v>
      </c>
    </row>
    <row r="2371" spans="1:5">
      <c r="A2371">
        <f>HYPERLINK("http://www.twitter.com/NYPDnews/status/751137138272563201", "751137138272563201")</f>
        <v>0</v>
      </c>
      <c r="B2371" s="2">
        <v>42558.8150810185</v>
      </c>
      <c r="C2371">
        <v>0</v>
      </c>
      <c r="D2371">
        <v>53</v>
      </c>
      <c r="E2371" t="s">
        <v>2349</v>
      </c>
    </row>
    <row r="2372" spans="1:5">
      <c r="A2372">
        <f>HYPERLINK("http://www.twitter.com/NYPDnews/status/751084968114290689", "751084968114290689")</f>
        <v>0</v>
      </c>
      <c r="B2372" s="2">
        <v>42558.6711226852</v>
      </c>
      <c r="C2372">
        <v>36</v>
      </c>
      <c r="D2372">
        <v>30</v>
      </c>
      <c r="E2372" t="s">
        <v>2350</v>
      </c>
    </row>
    <row r="2373" spans="1:5">
      <c r="A2373">
        <f>HYPERLINK("http://www.twitter.com/NYPDnews/status/751038186328031233", "751038186328031233")</f>
        <v>0</v>
      </c>
      <c r="B2373" s="2">
        <v>42558.542025463</v>
      </c>
      <c r="C2373">
        <v>19</v>
      </c>
      <c r="D2373">
        <v>44</v>
      </c>
      <c r="E2373" t="s">
        <v>2351</v>
      </c>
    </row>
    <row r="2374" spans="1:5">
      <c r="A2374">
        <f>HYPERLINK("http://www.twitter.com/NYPDnews/status/751034327987814400", "751034327987814400")</f>
        <v>0</v>
      </c>
      <c r="B2374" s="2">
        <v>42558.5313773148</v>
      </c>
      <c r="C2374">
        <v>40</v>
      </c>
      <c r="D2374">
        <v>12</v>
      </c>
      <c r="E2374" t="s">
        <v>2352</v>
      </c>
    </row>
    <row r="2375" spans="1:5">
      <c r="A2375">
        <f>HYPERLINK("http://www.twitter.com/NYPDnews/status/751030582398844928", "751030582398844928")</f>
        <v>0</v>
      </c>
      <c r="B2375" s="2">
        <v>42558.5210416667</v>
      </c>
      <c r="C2375">
        <v>15</v>
      </c>
      <c r="D2375">
        <v>9</v>
      </c>
      <c r="E2375" t="s">
        <v>2353</v>
      </c>
    </row>
    <row r="2376" spans="1:5">
      <c r="A2376">
        <f>HYPERLINK("http://www.twitter.com/NYPDnews/status/751026771412324352", "751026771412324352")</f>
        <v>0</v>
      </c>
      <c r="B2376" s="2">
        <v>42558.5105324074</v>
      </c>
      <c r="C2376">
        <v>29</v>
      </c>
      <c r="D2376">
        <v>51</v>
      </c>
      <c r="E2376" t="s">
        <v>2354</v>
      </c>
    </row>
    <row r="2377" spans="1:5">
      <c r="A2377">
        <f>HYPERLINK("http://www.twitter.com/NYPDnews/status/751023067648909313", "751023067648909313")</f>
        <v>0</v>
      </c>
      <c r="B2377" s="2">
        <v>42558.5003125</v>
      </c>
      <c r="C2377">
        <v>5</v>
      </c>
      <c r="D2377">
        <v>4</v>
      </c>
      <c r="E2377" t="s">
        <v>2355</v>
      </c>
    </row>
    <row r="2378" spans="1:5">
      <c r="A2378">
        <f>HYPERLINK("http://www.twitter.com/NYPDnews/status/751000360551059456", "751000360551059456")</f>
        <v>0</v>
      </c>
      <c r="B2378" s="2">
        <v>42558.437650463</v>
      </c>
      <c r="C2378">
        <v>15</v>
      </c>
      <c r="D2378">
        <v>50</v>
      </c>
      <c r="E2378" t="s">
        <v>2356</v>
      </c>
    </row>
    <row r="2379" spans="1:5">
      <c r="A2379">
        <f>HYPERLINK("http://www.twitter.com/NYPDnews/status/750853154930102272", "750853154930102272")</f>
        <v>0</v>
      </c>
      <c r="B2379" s="2">
        <v>42558.0314351852</v>
      </c>
      <c r="C2379">
        <v>22</v>
      </c>
      <c r="D2379">
        <v>9</v>
      </c>
      <c r="E2379" t="s">
        <v>2357</v>
      </c>
    </row>
    <row r="2380" spans="1:5">
      <c r="A2380">
        <f>HYPERLINK("http://www.twitter.com/NYPDnews/status/750841983254556673", "750841983254556673")</f>
        <v>0</v>
      </c>
      <c r="B2380" s="2">
        <v>42558.0006134259</v>
      </c>
      <c r="C2380">
        <v>123</v>
      </c>
      <c r="D2380">
        <v>74</v>
      </c>
      <c r="E2380" t="s">
        <v>2358</v>
      </c>
    </row>
    <row r="2381" spans="1:5">
      <c r="A2381">
        <f>HYPERLINK("http://www.twitter.com/NYPDnews/status/750819610014941184", "750819610014941184")</f>
        <v>0</v>
      </c>
      <c r="B2381" s="2">
        <v>42557.9388773148</v>
      </c>
      <c r="C2381">
        <v>0</v>
      </c>
      <c r="D2381">
        <v>56</v>
      </c>
      <c r="E2381" t="s">
        <v>2359</v>
      </c>
    </row>
    <row r="2382" spans="1:5">
      <c r="A2382">
        <f>HYPERLINK("http://www.twitter.com/NYPDnews/status/750797754595680256", "750797754595680256")</f>
        <v>0</v>
      </c>
      <c r="B2382" s="2">
        <v>42557.8785648148</v>
      </c>
      <c r="C2382">
        <v>26</v>
      </c>
      <c r="D2382">
        <v>9</v>
      </c>
      <c r="E2382" t="s">
        <v>2360</v>
      </c>
    </row>
    <row r="2383" spans="1:5">
      <c r="A2383">
        <f>HYPERLINK("http://www.twitter.com/NYPDnews/status/750744897565655042", "750744897565655042")</f>
        <v>0</v>
      </c>
      <c r="B2383" s="2">
        <v>42557.7327083333</v>
      </c>
      <c r="C2383">
        <v>43</v>
      </c>
      <c r="D2383">
        <v>37</v>
      </c>
      <c r="E2383" t="s">
        <v>2361</v>
      </c>
    </row>
    <row r="2384" spans="1:5">
      <c r="A2384">
        <f>HYPERLINK("http://www.twitter.com/NYPDnews/status/750737396585619456", "750737396585619456")</f>
        <v>0</v>
      </c>
      <c r="B2384" s="2">
        <v>42557.7120138889</v>
      </c>
      <c r="C2384">
        <v>17</v>
      </c>
      <c r="D2384">
        <v>10</v>
      </c>
      <c r="E2384" t="s">
        <v>2362</v>
      </c>
    </row>
    <row r="2385" spans="1:5">
      <c r="A2385">
        <f>HYPERLINK("http://www.twitter.com/NYPDnews/status/750727459725840384", "750727459725840384")</f>
        <v>0</v>
      </c>
      <c r="B2385" s="2">
        <v>42557.6845833333</v>
      </c>
      <c r="C2385">
        <v>0</v>
      </c>
      <c r="D2385">
        <v>30</v>
      </c>
      <c r="E2385" t="s">
        <v>2363</v>
      </c>
    </row>
    <row r="2386" spans="1:5">
      <c r="A2386">
        <f>HYPERLINK("http://www.twitter.com/NYPDnews/status/750698217906593792", "750698217906593792")</f>
        <v>0</v>
      </c>
      <c r="B2386" s="2">
        <v>42557.603900463</v>
      </c>
      <c r="C2386">
        <v>0</v>
      </c>
      <c r="D2386">
        <v>107</v>
      </c>
      <c r="E2386" t="s">
        <v>2364</v>
      </c>
    </row>
    <row r="2387" spans="1:5">
      <c r="A2387">
        <f>HYPERLINK("http://www.twitter.com/NYPDnews/status/750671935642697728", "750671935642697728")</f>
        <v>0</v>
      </c>
      <c r="B2387" s="2">
        <v>42557.5313657407</v>
      </c>
      <c r="C2387">
        <v>28</v>
      </c>
      <c r="D2387">
        <v>12</v>
      </c>
      <c r="E2387" t="s">
        <v>2365</v>
      </c>
    </row>
    <row r="2388" spans="1:5">
      <c r="A2388">
        <f>HYPERLINK("http://www.twitter.com/NYPDnews/status/750668217278951428", "750668217278951428")</f>
        <v>0</v>
      </c>
      <c r="B2388" s="2">
        <v>42557.5211111111</v>
      </c>
      <c r="C2388">
        <v>9</v>
      </c>
      <c r="D2388">
        <v>42</v>
      </c>
      <c r="E2388" t="s">
        <v>2366</v>
      </c>
    </row>
    <row r="2389" spans="1:5">
      <c r="A2389">
        <f>HYPERLINK("http://www.twitter.com/NYPDnews/status/750664437774909440", "750664437774909440")</f>
        <v>0</v>
      </c>
      <c r="B2389" s="2">
        <v>42557.5106828704</v>
      </c>
      <c r="C2389">
        <v>101</v>
      </c>
      <c r="D2389">
        <v>30</v>
      </c>
      <c r="E2389" t="s">
        <v>2367</v>
      </c>
    </row>
    <row r="2390" spans="1:5">
      <c r="A2390">
        <f>HYPERLINK("http://www.twitter.com/NYPDnews/status/750660708543627264", "750660708543627264")</f>
        <v>0</v>
      </c>
      <c r="B2390" s="2">
        <v>42557.5003935185</v>
      </c>
      <c r="C2390">
        <v>23</v>
      </c>
      <c r="D2390">
        <v>58</v>
      </c>
      <c r="E2390" t="s">
        <v>2368</v>
      </c>
    </row>
    <row r="2391" spans="1:5">
      <c r="A2391">
        <f>HYPERLINK("http://www.twitter.com/NYPDnews/status/750487067910635520", "750487067910635520")</f>
        <v>0</v>
      </c>
      <c r="B2391" s="2">
        <v>42557.0212384259</v>
      </c>
      <c r="C2391">
        <v>36</v>
      </c>
      <c r="D2391">
        <v>11</v>
      </c>
      <c r="E2391" t="s">
        <v>2369</v>
      </c>
    </row>
    <row r="2392" spans="1:5">
      <c r="A2392">
        <f>HYPERLINK("http://www.twitter.com/NYPDnews/status/750439204845395973", "750439204845395973")</f>
        <v>0</v>
      </c>
      <c r="B2392" s="2">
        <v>42556.8891550926</v>
      </c>
      <c r="C2392">
        <v>22</v>
      </c>
      <c r="D2392">
        <v>44</v>
      </c>
      <c r="E2392" t="s">
        <v>2370</v>
      </c>
    </row>
    <row r="2393" spans="1:5">
      <c r="A2393">
        <f>HYPERLINK("http://www.twitter.com/NYPDnews/status/750435655025647616", "750435655025647616")</f>
        <v>0</v>
      </c>
      <c r="B2393" s="2">
        <v>42556.8793634259</v>
      </c>
      <c r="C2393">
        <v>0</v>
      </c>
      <c r="D2393">
        <v>59</v>
      </c>
      <c r="E2393" t="s">
        <v>2371</v>
      </c>
    </row>
    <row r="2394" spans="1:5">
      <c r="A2394">
        <f>HYPERLINK("http://www.twitter.com/NYPDnews/status/750378768347361280", "750378768347361280")</f>
        <v>0</v>
      </c>
      <c r="B2394" s="2">
        <v>42556.7223842593</v>
      </c>
      <c r="C2394">
        <v>155</v>
      </c>
      <c r="D2394">
        <v>44</v>
      </c>
      <c r="E2394" t="s">
        <v>2372</v>
      </c>
    </row>
    <row r="2395" spans="1:5">
      <c r="A2395">
        <f>HYPERLINK("http://www.twitter.com/NYPDnews/status/750358858665689088", "750358858665689088")</f>
        <v>0</v>
      </c>
      <c r="B2395" s="2">
        <v>42556.6674421296</v>
      </c>
      <c r="C2395">
        <v>17</v>
      </c>
      <c r="D2395">
        <v>6</v>
      </c>
      <c r="E2395" t="s">
        <v>2373</v>
      </c>
    </row>
    <row r="2396" spans="1:5">
      <c r="A2396">
        <f>HYPERLINK("http://www.twitter.com/NYPDnews/status/750309587383967744", "750309587383967744")</f>
        <v>0</v>
      </c>
      <c r="B2396" s="2">
        <v>42556.5314814815</v>
      </c>
      <c r="C2396">
        <v>132</v>
      </c>
      <c r="D2396">
        <v>34</v>
      </c>
      <c r="E2396" t="s">
        <v>2374</v>
      </c>
    </row>
    <row r="2397" spans="1:5">
      <c r="A2397">
        <f>HYPERLINK("http://www.twitter.com/NYPDnews/status/750305905678356480", "750305905678356480")</f>
        <v>0</v>
      </c>
      <c r="B2397" s="2">
        <v>42556.5213194444</v>
      </c>
      <c r="C2397">
        <v>26</v>
      </c>
      <c r="D2397">
        <v>48</v>
      </c>
      <c r="E2397" t="s">
        <v>2375</v>
      </c>
    </row>
    <row r="2398" spans="1:5">
      <c r="A2398">
        <f>HYPERLINK("http://www.twitter.com/NYPDnews/status/750302033392070657", "750302033392070657")</f>
        <v>0</v>
      </c>
      <c r="B2398" s="2">
        <v>42556.5106365741</v>
      </c>
      <c r="C2398">
        <v>106</v>
      </c>
      <c r="D2398">
        <v>32</v>
      </c>
      <c r="E2398" t="s">
        <v>2376</v>
      </c>
    </row>
    <row r="2399" spans="1:5">
      <c r="A2399">
        <f>HYPERLINK("http://www.twitter.com/NYPDnews/status/750298451267710976", "750298451267710976")</f>
        <v>0</v>
      </c>
      <c r="B2399" s="2">
        <v>42556.5007523148</v>
      </c>
      <c r="C2399">
        <v>13</v>
      </c>
      <c r="D2399">
        <v>48</v>
      </c>
      <c r="E2399" t="s">
        <v>2377</v>
      </c>
    </row>
    <row r="2400" spans="1:5">
      <c r="A2400">
        <f>HYPERLINK("http://www.twitter.com/NYPDnews/status/750290695479500800", "750290695479500800")</f>
        <v>0</v>
      </c>
      <c r="B2400" s="2">
        <v>42556.4793518518</v>
      </c>
      <c r="C2400">
        <v>33</v>
      </c>
      <c r="D2400">
        <v>10</v>
      </c>
      <c r="E2400" t="s">
        <v>2378</v>
      </c>
    </row>
    <row r="2401" spans="1:5">
      <c r="A2401">
        <f>HYPERLINK("http://www.twitter.com/NYPDnews/status/750176153806266369", "750176153806266369")</f>
        <v>0</v>
      </c>
      <c r="B2401" s="2">
        <v>42556.163275463</v>
      </c>
      <c r="C2401">
        <v>38</v>
      </c>
      <c r="D2401">
        <v>18</v>
      </c>
      <c r="E2401" t="s">
        <v>2379</v>
      </c>
    </row>
    <row r="2402" spans="1:5">
      <c r="A2402">
        <f>HYPERLINK("http://www.twitter.com/NYPDnews/status/750148920769122304", "750148920769122304")</f>
        <v>0</v>
      </c>
      <c r="B2402" s="2">
        <v>42556.088125</v>
      </c>
      <c r="C2402">
        <v>184</v>
      </c>
      <c r="D2402">
        <v>66</v>
      </c>
      <c r="E2402" t="s">
        <v>2380</v>
      </c>
    </row>
    <row r="2403" spans="1:5">
      <c r="A2403">
        <f>HYPERLINK("http://www.twitter.com/NYPDnews/status/750130638532083712", "750130638532083712")</f>
        <v>0</v>
      </c>
      <c r="B2403" s="2">
        <v>42556.0376736111</v>
      </c>
      <c r="C2403">
        <v>313</v>
      </c>
      <c r="D2403">
        <v>75</v>
      </c>
      <c r="E2403" t="s">
        <v>2381</v>
      </c>
    </row>
    <row r="2404" spans="1:5">
      <c r="A2404">
        <f>HYPERLINK("http://www.twitter.com/NYPDnews/status/750105663523713028", "750105663523713028")</f>
        <v>0</v>
      </c>
      <c r="B2404" s="2">
        <v>42555.9687615741</v>
      </c>
      <c r="C2404">
        <v>0</v>
      </c>
      <c r="D2404">
        <v>17</v>
      </c>
      <c r="E2404" t="s">
        <v>2382</v>
      </c>
    </row>
    <row r="2405" spans="1:5">
      <c r="A2405">
        <f>HYPERLINK("http://www.twitter.com/NYPDnews/status/750101964717948928", "750101964717948928")</f>
        <v>0</v>
      </c>
      <c r="B2405" s="2">
        <v>42555.9585532407</v>
      </c>
      <c r="C2405">
        <v>24</v>
      </c>
      <c r="D2405">
        <v>7</v>
      </c>
      <c r="E2405" t="s">
        <v>2383</v>
      </c>
    </row>
    <row r="2406" spans="1:5">
      <c r="A2406">
        <f>HYPERLINK("http://www.twitter.com/NYPDnews/status/750092400329158656", "750092400329158656")</f>
        <v>0</v>
      </c>
      <c r="B2406" s="2">
        <v>42555.9321527778</v>
      </c>
      <c r="C2406">
        <v>194</v>
      </c>
      <c r="D2406">
        <v>80</v>
      </c>
      <c r="E2406" t="s">
        <v>2384</v>
      </c>
    </row>
    <row r="2407" spans="1:5">
      <c r="A2407">
        <f>HYPERLINK("http://www.twitter.com/NYPDnews/status/750082540409675776", "750082540409675776")</f>
        <v>0</v>
      </c>
      <c r="B2407" s="2">
        <v>42555.9049537037</v>
      </c>
      <c r="C2407">
        <v>148</v>
      </c>
      <c r="D2407">
        <v>52</v>
      </c>
      <c r="E2407" t="s">
        <v>2385</v>
      </c>
    </row>
    <row r="2408" spans="1:5">
      <c r="A2408">
        <f>HYPERLINK("http://www.twitter.com/NYPDnews/status/750079473597476864", "750079473597476864")</f>
        <v>0</v>
      </c>
      <c r="B2408" s="2">
        <v>42555.8964814815</v>
      </c>
      <c r="C2408">
        <v>0</v>
      </c>
      <c r="D2408">
        <v>13</v>
      </c>
      <c r="E2408" t="s">
        <v>2386</v>
      </c>
    </row>
    <row r="2409" spans="1:5">
      <c r="A2409">
        <f>HYPERLINK("http://www.twitter.com/NYPDnews/status/750048658448650240", "750048658448650240")</f>
        <v>0</v>
      </c>
      <c r="B2409" s="2">
        <v>42555.8114583333</v>
      </c>
      <c r="C2409">
        <v>56</v>
      </c>
      <c r="D2409">
        <v>21</v>
      </c>
      <c r="E2409" t="s">
        <v>2387</v>
      </c>
    </row>
    <row r="2410" spans="1:5">
      <c r="A2410">
        <f>HYPERLINK("http://www.twitter.com/NYPDnews/status/750045696456331264", "750045696456331264")</f>
        <v>0</v>
      </c>
      <c r="B2410" s="2">
        <v>42555.803275463</v>
      </c>
      <c r="C2410">
        <v>22</v>
      </c>
      <c r="D2410">
        <v>15</v>
      </c>
      <c r="E2410" t="s">
        <v>2388</v>
      </c>
    </row>
    <row r="2411" spans="1:5">
      <c r="A2411">
        <f>HYPERLINK("http://www.twitter.com/NYPDnews/status/750044406833709056", "750044406833709056")</f>
        <v>0</v>
      </c>
      <c r="B2411" s="2">
        <v>42555.7997222222</v>
      </c>
      <c r="C2411">
        <v>143</v>
      </c>
      <c r="D2411">
        <v>44</v>
      </c>
      <c r="E2411" t="s">
        <v>2389</v>
      </c>
    </row>
    <row r="2412" spans="1:5">
      <c r="A2412">
        <f>HYPERLINK("http://www.twitter.com/NYPDnews/status/750043566492250112", "750043566492250112")</f>
        <v>0</v>
      </c>
      <c r="B2412" s="2">
        <v>42555.7974074074</v>
      </c>
      <c r="C2412">
        <v>69</v>
      </c>
      <c r="D2412">
        <v>34</v>
      </c>
      <c r="E2412" t="s">
        <v>2390</v>
      </c>
    </row>
    <row r="2413" spans="1:5">
      <c r="A2413">
        <f>HYPERLINK("http://www.twitter.com/NYPDnews/status/750007585877745668", "750007585877745668")</f>
        <v>0</v>
      </c>
      <c r="B2413" s="2">
        <v>42555.6981134259</v>
      </c>
      <c r="C2413">
        <v>265</v>
      </c>
      <c r="D2413">
        <v>182</v>
      </c>
      <c r="E2413" t="s">
        <v>2391</v>
      </c>
    </row>
    <row r="2414" spans="1:5">
      <c r="A2414">
        <f>HYPERLINK("http://www.twitter.com/NYPDnews/status/749989533832343554", "749989533832343554")</f>
        <v>0</v>
      </c>
      <c r="B2414" s="2">
        <v>42555.6482986111</v>
      </c>
      <c r="C2414">
        <v>68</v>
      </c>
      <c r="D2414">
        <v>27</v>
      </c>
      <c r="E2414" t="s">
        <v>2392</v>
      </c>
    </row>
    <row r="2415" spans="1:5">
      <c r="A2415">
        <f>HYPERLINK("http://www.twitter.com/NYPDnews/status/749977039088812032", "749977039088812032")</f>
        <v>0</v>
      </c>
      <c r="B2415" s="2">
        <v>42555.6138194444</v>
      </c>
      <c r="C2415">
        <v>6</v>
      </c>
      <c r="D2415">
        <v>7</v>
      </c>
      <c r="E2415" t="s">
        <v>2393</v>
      </c>
    </row>
    <row r="2416" spans="1:5">
      <c r="A2416">
        <f>HYPERLINK("http://www.twitter.com/NYPDnews/status/749976118032273408", "749976118032273408")</f>
        <v>0</v>
      </c>
      <c r="B2416" s="2">
        <v>42555.6112847222</v>
      </c>
      <c r="C2416">
        <v>17</v>
      </c>
      <c r="D2416">
        <v>9</v>
      </c>
      <c r="E2416" t="s">
        <v>2394</v>
      </c>
    </row>
    <row r="2417" spans="1:5">
      <c r="A2417">
        <f>HYPERLINK("http://www.twitter.com/NYPDnews/status/749969397524078592", "749969397524078592")</f>
        <v>0</v>
      </c>
      <c r="B2417" s="2">
        <v>42555.5927314815</v>
      </c>
      <c r="C2417">
        <v>58</v>
      </c>
      <c r="D2417">
        <v>27</v>
      </c>
      <c r="E2417" t="s">
        <v>2395</v>
      </c>
    </row>
    <row r="2418" spans="1:5">
      <c r="A2418">
        <f>HYPERLINK("http://www.twitter.com/NYPDnews/status/749948402591535104", "749948402591535104")</f>
        <v>0</v>
      </c>
      <c r="B2418" s="2">
        <v>42555.5348032407</v>
      </c>
      <c r="C2418">
        <v>26</v>
      </c>
      <c r="D2418">
        <v>46</v>
      </c>
      <c r="E2418" t="s">
        <v>2396</v>
      </c>
    </row>
    <row r="2419" spans="1:5">
      <c r="A2419">
        <f>HYPERLINK("http://www.twitter.com/NYPDnews/status/749943393690804224", "749943393690804224")</f>
        <v>0</v>
      </c>
      <c r="B2419" s="2">
        <v>42555.5209722222</v>
      </c>
      <c r="C2419">
        <v>13</v>
      </c>
      <c r="D2419">
        <v>15</v>
      </c>
      <c r="E2419" t="s">
        <v>2397</v>
      </c>
    </row>
    <row r="2420" spans="1:5">
      <c r="A2420">
        <f>HYPERLINK("http://www.twitter.com/NYPDnews/status/749940564552998912", "749940564552998912")</f>
        <v>0</v>
      </c>
      <c r="B2420" s="2">
        <v>42555.5131712963</v>
      </c>
      <c r="C2420">
        <v>26</v>
      </c>
      <c r="D2420">
        <v>73</v>
      </c>
      <c r="E2420" t="s">
        <v>2398</v>
      </c>
    </row>
    <row r="2421" spans="1:5">
      <c r="A2421">
        <f>HYPERLINK("http://www.twitter.com/NYPDnews/status/749815068813094912", "749815068813094912")</f>
        <v>0</v>
      </c>
      <c r="B2421" s="2">
        <v>42555.1668634259</v>
      </c>
      <c r="C2421">
        <v>74</v>
      </c>
      <c r="D2421">
        <v>43</v>
      </c>
      <c r="E2421" t="s">
        <v>2399</v>
      </c>
    </row>
    <row r="2422" spans="1:5">
      <c r="A2422">
        <f>HYPERLINK("http://www.twitter.com/NYPDnews/status/749802067108229120", "749802067108229120")</f>
        <v>0</v>
      </c>
      <c r="B2422" s="2">
        <v>42555.1309953704</v>
      </c>
      <c r="C2422">
        <v>69</v>
      </c>
      <c r="D2422">
        <v>80</v>
      </c>
      <c r="E2422" t="s">
        <v>2400</v>
      </c>
    </row>
    <row r="2423" spans="1:5">
      <c r="A2423">
        <f>HYPERLINK("http://www.twitter.com/NYPDnews/status/749777277202862085", "749777277202862085")</f>
        <v>0</v>
      </c>
      <c r="B2423" s="2">
        <v>42555.0625810185</v>
      </c>
      <c r="C2423">
        <v>7</v>
      </c>
      <c r="D2423">
        <v>42</v>
      </c>
      <c r="E2423" t="s">
        <v>2401</v>
      </c>
    </row>
    <row r="2424" spans="1:5">
      <c r="A2424">
        <f>HYPERLINK("http://www.twitter.com/NYPDnews/status/749763432602333185", "749763432602333185")</f>
        <v>0</v>
      </c>
      <c r="B2424" s="2">
        <v>42555.024375</v>
      </c>
      <c r="C2424">
        <v>74</v>
      </c>
      <c r="D2424">
        <v>53</v>
      </c>
      <c r="E2424" t="s">
        <v>2402</v>
      </c>
    </row>
    <row r="2425" spans="1:5">
      <c r="A2425">
        <f>HYPERLINK("http://www.twitter.com/NYPDnews/status/749687943627931648", "749687943627931648")</f>
        <v>0</v>
      </c>
      <c r="B2425" s="2">
        <v>42554.8160648148</v>
      </c>
      <c r="C2425">
        <v>41</v>
      </c>
      <c r="D2425">
        <v>50</v>
      </c>
      <c r="E2425" t="s">
        <v>2403</v>
      </c>
    </row>
    <row r="2426" spans="1:5">
      <c r="A2426">
        <f>HYPERLINK("http://www.twitter.com/NYPDnews/status/749633926772252672", "749633926772252672")</f>
        <v>0</v>
      </c>
      <c r="B2426" s="2">
        <v>42554.6670138889</v>
      </c>
      <c r="C2426">
        <v>33</v>
      </c>
      <c r="D2426">
        <v>78</v>
      </c>
      <c r="E2426" t="s">
        <v>2404</v>
      </c>
    </row>
    <row r="2427" spans="1:5">
      <c r="A2427">
        <f>HYPERLINK("http://www.twitter.com/NYPDnews/status/749607426182307840", "749607426182307840")</f>
        <v>0</v>
      </c>
      <c r="B2427" s="2">
        <v>42554.5938888889</v>
      </c>
      <c r="C2427">
        <v>69</v>
      </c>
      <c r="D2427">
        <v>48</v>
      </c>
      <c r="E2427" t="s">
        <v>2405</v>
      </c>
    </row>
    <row r="2428" spans="1:5">
      <c r="A2428">
        <f>HYPERLINK("http://www.twitter.com/NYPDnews/status/749588638426603520", "749588638426603520")</f>
        <v>0</v>
      </c>
      <c r="B2428" s="2">
        <v>42554.542037037</v>
      </c>
      <c r="C2428">
        <v>10</v>
      </c>
      <c r="D2428">
        <v>4</v>
      </c>
      <c r="E2428" t="s">
        <v>2406</v>
      </c>
    </row>
    <row r="2429" spans="1:5">
      <c r="A2429">
        <f>HYPERLINK("http://www.twitter.com/NYPDnews/status/749573532150075392", "749573532150075392")</f>
        <v>0</v>
      </c>
      <c r="B2429" s="2">
        <v>42554.5003587963</v>
      </c>
      <c r="C2429">
        <v>59</v>
      </c>
      <c r="D2429">
        <v>51</v>
      </c>
      <c r="E2429" t="s">
        <v>2407</v>
      </c>
    </row>
    <row r="2430" spans="1:5">
      <c r="A2430">
        <f>HYPERLINK("http://www.twitter.com/NYPDnews/status/749399847111892997", "749399847111892997")</f>
        <v>0</v>
      </c>
      <c r="B2430" s="2">
        <v>42554.0210763889</v>
      </c>
      <c r="C2430">
        <v>58</v>
      </c>
      <c r="D2430">
        <v>99</v>
      </c>
      <c r="E2430" t="s">
        <v>2408</v>
      </c>
    </row>
    <row r="2431" spans="1:5">
      <c r="A2431">
        <f>HYPERLINK("http://www.twitter.com/NYPDnews/status/749350722983067648", "749350722983067648")</f>
        <v>0</v>
      </c>
      <c r="B2431" s="2">
        <v>42553.8855208333</v>
      </c>
      <c r="C2431">
        <v>25</v>
      </c>
      <c r="D2431">
        <v>12</v>
      </c>
      <c r="E2431" t="s">
        <v>2409</v>
      </c>
    </row>
    <row r="2432" spans="1:5">
      <c r="A2432">
        <f>HYPERLINK("http://www.twitter.com/NYPDnews/status/749333187055259648", "749333187055259648")</f>
        <v>0</v>
      </c>
      <c r="B2432" s="2">
        <v>42553.8371296296</v>
      </c>
      <c r="C2432">
        <v>0</v>
      </c>
      <c r="D2432">
        <v>66</v>
      </c>
      <c r="E2432" t="s">
        <v>2410</v>
      </c>
    </row>
    <row r="2433" spans="1:5">
      <c r="A2433">
        <f>HYPERLINK("http://www.twitter.com/NYPDnews/status/749320526372466697", "749320526372466697")</f>
        <v>0</v>
      </c>
      <c r="B2433" s="2">
        <v>42553.8021875</v>
      </c>
      <c r="C2433">
        <v>15</v>
      </c>
      <c r="D2433">
        <v>16</v>
      </c>
      <c r="E2433" t="s">
        <v>2411</v>
      </c>
    </row>
    <row r="2434" spans="1:5">
      <c r="A2434">
        <f>HYPERLINK("http://www.twitter.com/NYPDnews/status/749280260269731840", "749280260269731840")</f>
        <v>0</v>
      </c>
      <c r="B2434" s="2">
        <v>42553.6910763889</v>
      </c>
      <c r="C2434">
        <v>137</v>
      </c>
      <c r="D2434">
        <v>49</v>
      </c>
      <c r="E2434" t="s">
        <v>2412</v>
      </c>
    </row>
    <row r="2435" spans="1:5">
      <c r="A2435">
        <f>HYPERLINK("http://www.twitter.com/NYPDnews/status/749260126540922880", "749260126540922880")</f>
        <v>0</v>
      </c>
      <c r="B2435" s="2">
        <v>42553.6355208333</v>
      </c>
      <c r="C2435">
        <v>37</v>
      </c>
      <c r="D2435">
        <v>18</v>
      </c>
      <c r="E2435" t="s">
        <v>2413</v>
      </c>
    </row>
    <row r="2436" spans="1:5">
      <c r="A2436">
        <f>HYPERLINK("http://www.twitter.com/NYPDnews/status/749233724911386625", "749233724911386625")</f>
        <v>0</v>
      </c>
      <c r="B2436" s="2">
        <v>42553.562662037</v>
      </c>
      <c r="C2436">
        <v>42</v>
      </c>
      <c r="D2436">
        <v>40</v>
      </c>
      <c r="E2436" t="s">
        <v>2414</v>
      </c>
    </row>
    <row r="2437" spans="1:5">
      <c r="A2437">
        <f>HYPERLINK("http://www.twitter.com/NYPDnews/status/749212512231514116", "749212512231514116")</f>
        <v>0</v>
      </c>
      <c r="B2437" s="2">
        <v>42553.5041319444</v>
      </c>
      <c r="C2437">
        <v>40</v>
      </c>
      <c r="D2437">
        <v>57</v>
      </c>
      <c r="E2437" t="s">
        <v>2415</v>
      </c>
    </row>
    <row r="2438" spans="1:5">
      <c r="A2438">
        <f>HYPERLINK("http://www.twitter.com/NYPDnews/status/749019818154754049", "749019818154754049")</f>
        <v>0</v>
      </c>
      <c r="B2438" s="2">
        <v>42552.9723958333</v>
      </c>
      <c r="C2438">
        <v>114</v>
      </c>
      <c r="D2438">
        <v>100</v>
      </c>
      <c r="E2438" t="s">
        <v>2416</v>
      </c>
    </row>
    <row r="2439" spans="1:5">
      <c r="A2439">
        <f>HYPERLINK("http://www.twitter.com/NYPDnews/status/748999723319689216", "748999723319689216")</f>
        <v>0</v>
      </c>
      <c r="B2439" s="2">
        <v>42552.9169444444</v>
      </c>
      <c r="C2439">
        <v>366</v>
      </c>
      <c r="D2439">
        <v>84</v>
      </c>
      <c r="E2439" t="s">
        <v>2417</v>
      </c>
    </row>
    <row r="2440" spans="1:5">
      <c r="A2440">
        <f>HYPERLINK("http://www.twitter.com/NYPDnews/status/748927854994481152", "748927854994481152")</f>
        <v>0</v>
      </c>
      <c r="B2440" s="2">
        <v>42552.7186226852</v>
      </c>
      <c r="C2440">
        <v>107</v>
      </c>
      <c r="D2440">
        <v>30</v>
      </c>
      <c r="E2440" t="s">
        <v>2418</v>
      </c>
    </row>
    <row r="2441" spans="1:5">
      <c r="A2441">
        <f>HYPERLINK("http://www.twitter.com/NYPDnews/status/748927039470698497", "748927039470698497")</f>
        <v>0</v>
      </c>
      <c r="B2441" s="2">
        <v>42552.7163773148</v>
      </c>
      <c r="C2441">
        <v>60</v>
      </c>
      <c r="D2441">
        <v>17</v>
      </c>
      <c r="E2441" t="s">
        <v>2419</v>
      </c>
    </row>
    <row r="2442" spans="1:5">
      <c r="A2442">
        <f>HYPERLINK("http://www.twitter.com/NYPDnews/status/748926142233636864", "748926142233636864")</f>
        <v>0</v>
      </c>
      <c r="B2442" s="2">
        <v>42552.713900463</v>
      </c>
      <c r="C2442">
        <v>52</v>
      </c>
      <c r="D2442">
        <v>29</v>
      </c>
      <c r="E2442" t="s">
        <v>2420</v>
      </c>
    </row>
    <row r="2443" spans="1:5">
      <c r="A2443">
        <f>HYPERLINK("http://www.twitter.com/NYPDnews/status/748925542150340608", "748925542150340608")</f>
        <v>0</v>
      </c>
      <c r="B2443" s="2">
        <v>42552.7122453704</v>
      </c>
      <c r="C2443">
        <v>18</v>
      </c>
      <c r="D2443">
        <v>9</v>
      </c>
      <c r="E2443" t="s">
        <v>2421</v>
      </c>
    </row>
    <row r="2444" spans="1:5">
      <c r="A2444">
        <f>HYPERLINK("http://www.twitter.com/NYPDnews/status/748925274373386240", "748925274373386240")</f>
        <v>0</v>
      </c>
      <c r="B2444" s="2">
        <v>42552.7115046296</v>
      </c>
      <c r="C2444">
        <v>13</v>
      </c>
      <c r="D2444">
        <v>11</v>
      </c>
      <c r="E2444" t="s">
        <v>2422</v>
      </c>
    </row>
    <row r="2445" spans="1:5">
      <c r="A2445">
        <f>HYPERLINK("http://www.twitter.com/NYPDnews/status/748917784462123008", "748917784462123008")</f>
        <v>0</v>
      </c>
      <c r="B2445" s="2">
        <v>42552.6908333333</v>
      </c>
      <c r="C2445">
        <v>213</v>
      </c>
      <c r="D2445">
        <v>93</v>
      </c>
      <c r="E2445" t="s">
        <v>2423</v>
      </c>
    </row>
    <row r="2446" spans="1:5">
      <c r="A2446">
        <f>HYPERLINK("http://www.twitter.com/NYPDnews/status/748908517248081920", "748908517248081920")</f>
        <v>0</v>
      </c>
      <c r="B2446" s="2">
        <v>42552.6652662037</v>
      </c>
      <c r="C2446">
        <v>116</v>
      </c>
      <c r="D2446">
        <v>40</v>
      </c>
      <c r="E2446" t="s">
        <v>2424</v>
      </c>
    </row>
    <row r="2447" spans="1:5">
      <c r="A2447">
        <f>HYPERLINK("http://www.twitter.com/NYPDnews/status/748906448579592192", "748906448579592192")</f>
        <v>0</v>
      </c>
      <c r="B2447" s="2">
        <v>42552.6595601852</v>
      </c>
      <c r="C2447">
        <v>16</v>
      </c>
      <c r="D2447">
        <v>8</v>
      </c>
      <c r="E2447" t="s">
        <v>2425</v>
      </c>
    </row>
    <row r="2448" spans="1:5">
      <c r="A2448">
        <f>HYPERLINK("http://www.twitter.com/NYPDnews/status/748905230620848128", "748905230620848128")</f>
        <v>0</v>
      </c>
      <c r="B2448" s="2">
        <v>42552.6561921296</v>
      </c>
      <c r="C2448">
        <v>81</v>
      </c>
      <c r="D2448">
        <v>22</v>
      </c>
      <c r="E2448" t="s">
        <v>2426</v>
      </c>
    </row>
    <row r="2449" spans="1:5">
      <c r="A2449">
        <f>HYPERLINK("http://www.twitter.com/NYPDnews/status/748903686932459520", "748903686932459520")</f>
        <v>0</v>
      </c>
      <c r="B2449" s="2">
        <v>42552.6519328704</v>
      </c>
      <c r="C2449">
        <v>239</v>
      </c>
      <c r="D2449">
        <v>95</v>
      </c>
      <c r="E2449" t="s">
        <v>2427</v>
      </c>
    </row>
    <row r="2450" spans="1:5">
      <c r="A2450">
        <f>HYPERLINK("http://www.twitter.com/NYPDnews/status/748901446473703424", "748901446473703424")</f>
        <v>0</v>
      </c>
      <c r="B2450" s="2">
        <v>42552.6457523148</v>
      </c>
      <c r="C2450">
        <v>129</v>
      </c>
      <c r="D2450">
        <v>43</v>
      </c>
      <c r="E2450" t="s">
        <v>2428</v>
      </c>
    </row>
    <row r="2451" spans="1:5">
      <c r="A2451">
        <f>HYPERLINK("http://www.twitter.com/NYPDnews/status/748900373822312448", "748900373822312448")</f>
        <v>0</v>
      </c>
      <c r="B2451" s="2">
        <v>42552.6427893518</v>
      </c>
      <c r="C2451">
        <v>224</v>
      </c>
      <c r="D2451">
        <v>131</v>
      </c>
      <c r="E2451" t="s">
        <v>2429</v>
      </c>
    </row>
    <row r="2452" spans="1:5">
      <c r="A2452">
        <f>HYPERLINK("http://www.twitter.com/NYPDnews/status/748894933050855424", "748894933050855424")</f>
        <v>0</v>
      </c>
      <c r="B2452" s="2">
        <v>42552.6277777778</v>
      </c>
      <c r="C2452">
        <v>28</v>
      </c>
      <c r="D2452">
        <v>11</v>
      </c>
      <c r="E2452" t="s">
        <v>2430</v>
      </c>
    </row>
    <row r="2453" spans="1:5">
      <c r="A2453">
        <f>HYPERLINK("http://www.twitter.com/NYPDnews/status/748892954148868096", "748892954148868096")</f>
        <v>0</v>
      </c>
      <c r="B2453" s="2">
        <v>42552.6223148148</v>
      </c>
      <c r="C2453">
        <v>133</v>
      </c>
      <c r="D2453">
        <v>55</v>
      </c>
      <c r="E2453" t="s">
        <v>2431</v>
      </c>
    </row>
    <row r="2454" spans="1:5">
      <c r="A2454">
        <f>HYPERLINK("http://www.twitter.com/NYPDnews/status/748859987208921089", "748859987208921089")</f>
        <v>0</v>
      </c>
      <c r="B2454" s="2">
        <v>42552.5313425926</v>
      </c>
      <c r="C2454">
        <v>27</v>
      </c>
      <c r="D2454">
        <v>19</v>
      </c>
      <c r="E2454" t="s">
        <v>2432</v>
      </c>
    </row>
    <row r="2455" spans="1:5">
      <c r="A2455">
        <f>HYPERLINK("http://www.twitter.com/NYPDnews/status/748856404409249793", "748856404409249793")</f>
        <v>0</v>
      </c>
      <c r="B2455" s="2">
        <v>42552.5214583333</v>
      </c>
      <c r="C2455">
        <v>20</v>
      </c>
      <c r="D2455">
        <v>59</v>
      </c>
      <c r="E2455" t="s">
        <v>2433</v>
      </c>
    </row>
    <row r="2456" spans="1:5">
      <c r="A2456">
        <f>HYPERLINK("http://www.twitter.com/NYPDnews/status/748852437985988609", "748852437985988609")</f>
        <v>0</v>
      </c>
      <c r="B2456" s="2">
        <v>42552.5105092593</v>
      </c>
      <c r="C2456">
        <v>16</v>
      </c>
      <c r="D2456">
        <v>11</v>
      </c>
      <c r="E2456" t="s">
        <v>2434</v>
      </c>
    </row>
    <row r="2457" spans="1:5">
      <c r="A2457">
        <f>HYPERLINK("http://www.twitter.com/NYPDnews/status/748848726626725888", "748848726626725888")</f>
        <v>0</v>
      </c>
      <c r="B2457" s="2">
        <v>42552.5002777778</v>
      </c>
      <c r="C2457">
        <v>10</v>
      </c>
      <c r="D2457">
        <v>29</v>
      </c>
      <c r="E2457" t="s">
        <v>2435</v>
      </c>
    </row>
    <row r="2458" spans="1:5">
      <c r="A2458">
        <f>HYPERLINK("http://www.twitter.com/NYPDnews/status/748676281236062209", "748676281236062209")</f>
        <v>0</v>
      </c>
      <c r="B2458" s="2">
        <v>42552.0244097222</v>
      </c>
      <c r="C2458">
        <v>41</v>
      </c>
      <c r="D2458">
        <v>33</v>
      </c>
      <c r="E2458" t="s">
        <v>2436</v>
      </c>
    </row>
    <row r="2459" spans="1:5">
      <c r="A2459">
        <f>HYPERLINK("http://www.twitter.com/NYPDnews/status/748675145791832065", "748675145791832065")</f>
        <v>0</v>
      </c>
      <c r="B2459" s="2">
        <v>42552.0212847222</v>
      </c>
      <c r="C2459">
        <v>11</v>
      </c>
      <c r="D2459">
        <v>39</v>
      </c>
      <c r="E2459" t="s">
        <v>2437</v>
      </c>
    </row>
    <row r="2460" spans="1:5">
      <c r="A2460">
        <f>HYPERLINK("http://www.twitter.com/NYPDnews/status/748663701826379776", "748663701826379776")</f>
        <v>0</v>
      </c>
      <c r="B2460" s="2">
        <v>42551.9896990741</v>
      </c>
      <c r="C2460">
        <v>28</v>
      </c>
      <c r="D2460">
        <v>15</v>
      </c>
      <c r="E2460" t="s">
        <v>2438</v>
      </c>
    </row>
    <row r="2461" spans="1:5">
      <c r="A2461">
        <f>HYPERLINK("http://www.twitter.com/NYPDnews/status/748655828857720832", "748655828857720832")</f>
        <v>0</v>
      </c>
      <c r="B2461" s="2">
        <v>42551.967974537</v>
      </c>
      <c r="C2461">
        <v>81</v>
      </c>
      <c r="D2461">
        <v>34</v>
      </c>
      <c r="E2461" t="s">
        <v>2439</v>
      </c>
    </row>
    <row r="2462" spans="1:5">
      <c r="A2462">
        <f>HYPERLINK("http://www.twitter.com/NYPDnews/status/748629404520222720", "748629404520222720")</f>
        <v>0</v>
      </c>
      <c r="B2462" s="2">
        <v>42551.8950578704</v>
      </c>
      <c r="C2462">
        <v>0</v>
      </c>
      <c r="D2462">
        <v>14</v>
      </c>
      <c r="E2462" t="s">
        <v>2440</v>
      </c>
    </row>
    <row r="2463" spans="1:5">
      <c r="A2463">
        <f>HYPERLINK("http://www.twitter.com/NYPDnews/status/748582361646923776", "748582361646923776")</f>
        <v>0</v>
      </c>
      <c r="B2463" s="2">
        <v>42551.7652430556</v>
      </c>
      <c r="C2463">
        <v>21</v>
      </c>
      <c r="D2463">
        <v>9</v>
      </c>
      <c r="E2463" t="s">
        <v>2441</v>
      </c>
    </row>
    <row r="2464" spans="1:5">
      <c r="A2464">
        <f>HYPERLINK("http://www.twitter.com/NYPDnews/status/748581492276736001", "748581492276736001")</f>
        <v>0</v>
      </c>
      <c r="B2464" s="2">
        <v>42551.7628472222</v>
      </c>
      <c r="C2464">
        <v>49</v>
      </c>
      <c r="D2464">
        <v>15</v>
      </c>
      <c r="E2464" t="s">
        <v>2442</v>
      </c>
    </row>
    <row r="2465" spans="1:5">
      <c r="A2465">
        <f>HYPERLINK("http://www.twitter.com/NYPDnews/status/748580475229339648", "748580475229339648")</f>
        <v>0</v>
      </c>
      <c r="B2465" s="2">
        <v>42551.7600347222</v>
      </c>
      <c r="C2465">
        <v>0</v>
      </c>
      <c r="D2465">
        <v>10</v>
      </c>
      <c r="E2465" t="s">
        <v>2443</v>
      </c>
    </row>
    <row r="2466" spans="1:5">
      <c r="A2466">
        <f>HYPERLINK("http://www.twitter.com/NYPDnews/status/748580262179708928", "748580262179708928")</f>
        <v>0</v>
      </c>
      <c r="B2466" s="2">
        <v>42551.7594560185</v>
      </c>
      <c r="C2466">
        <v>19</v>
      </c>
      <c r="D2466">
        <v>10</v>
      </c>
      <c r="E2466" t="s">
        <v>2444</v>
      </c>
    </row>
    <row r="2467" spans="1:5">
      <c r="A2467">
        <f>HYPERLINK("http://www.twitter.com/NYPDnews/status/748523010764738560", "748523010764738560")</f>
        <v>0</v>
      </c>
      <c r="B2467" s="2">
        <v>42551.6014699074</v>
      </c>
      <c r="C2467">
        <v>30</v>
      </c>
      <c r="D2467">
        <v>14</v>
      </c>
      <c r="E2467" t="s">
        <v>2445</v>
      </c>
    </row>
    <row r="2468" spans="1:5">
      <c r="A2468">
        <f>HYPERLINK("http://www.twitter.com/NYPDnews/status/748521464597520384", "748521464597520384")</f>
        <v>0</v>
      </c>
      <c r="B2468" s="2">
        <v>42551.5971990741</v>
      </c>
      <c r="C2468">
        <v>26</v>
      </c>
      <c r="D2468">
        <v>18</v>
      </c>
      <c r="E2468" t="s">
        <v>2446</v>
      </c>
    </row>
    <row r="2469" spans="1:5">
      <c r="A2469">
        <f>HYPERLINK("http://www.twitter.com/NYPDnews/status/748505475453489152", "748505475453489152")</f>
        <v>0</v>
      </c>
      <c r="B2469" s="2">
        <v>42551.5530787037</v>
      </c>
      <c r="C2469">
        <v>34</v>
      </c>
      <c r="D2469">
        <v>23</v>
      </c>
      <c r="E2469" t="s">
        <v>2447</v>
      </c>
    </row>
    <row r="2470" spans="1:5">
      <c r="A2470">
        <f>HYPERLINK("http://www.twitter.com/NYPDnews/status/748499682146533376", "748499682146533376")</f>
        <v>0</v>
      </c>
      <c r="B2470" s="2">
        <v>42551.5370949074</v>
      </c>
      <c r="C2470">
        <v>29</v>
      </c>
      <c r="D2470">
        <v>15</v>
      </c>
      <c r="E2470" t="s">
        <v>2448</v>
      </c>
    </row>
    <row r="2471" spans="1:5">
      <c r="A2471">
        <f>HYPERLINK("http://www.twitter.com/NYPDnews/status/748493989351923712", "748493989351923712")</f>
        <v>0</v>
      </c>
      <c r="B2471" s="2">
        <v>42551.5213888889</v>
      </c>
      <c r="C2471">
        <v>53</v>
      </c>
      <c r="D2471">
        <v>94</v>
      </c>
      <c r="E2471" t="s">
        <v>2449</v>
      </c>
    </row>
    <row r="2472" spans="1:5">
      <c r="A2472">
        <f>HYPERLINK("http://www.twitter.com/NYPDnews/status/748490068210421760", "748490068210421760")</f>
        <v>0</v>
      </c>
      <c r="B2472" s="2">
        <v>42551.5105671296</v>
      </c>
      <c r="C2472">
        <v>30</v>
      </c>
      <c r="D2472">
        <v>9</v>
      </c>
      <c r="E2472" t="s">
        <v>2450</v>
      </c>
    </row>
    <row r="2473" spans="1:5">
      <c r="A2473">
        <f>HYPERLINK("http://www.twitter.com/NYPDnews/status/748486602654105600", "748486602654105600")</f>
        <v>0</v>
      </c>
      <c r="B2473" s="2">
        <v>42551.5009953704</v>
      </c>
      <c r="C2473">
        <v>10</v>
      </c>
      <c r="D2473">
        <v>41</v>
      </c>
      <c r="E2473" t="s">
        <v>2451</v>
      </c>
    </row>
    <row r="2474" spans="1:5">
      <c r="A2474">
        <f>HYPERLINK("http://www.twitter.com/NYPDnews/status/748315181290229760", "748315181290229760")</f>
        <v>0</v>
      </c>
      <c r="B2474" s="2">
        <v>42551.027962963</v>
      </c>
      <c r="C2474">
        <v>78</v>
      </c>
      <c r="D2474">
        <v>33</v>
      </c>
      <c r="E2474" t="s">
        <v>2452</v>
      </c>
    </row>
    <row r="2475" spans="1:5">
      <c r="A2475">
        <f>HYPERLINK("http://www.twitter.com/NYPDnews/status/748308882834006016", "748308882834006016")</f>
        <v>0</v>
      </c>
      <c r="B2475" s="2">
        <v>42551.0105902778</v>
      </c>
      <c r="C2475">
        <v>23</v>
      </c>
      <c r="D2475">
        <v>68</v>
      </c>
      <c r="E2475" t="s">
        <v>2453</v>
      </c>
    </row>
    <row r="2476" spans="1:5">
      <c r="A2476">
        <f>HYPERLINK("http://www.twitter.com/NYPDnews/status/748295015563132928", "748295015563132928")</f>
        <v>0</v>
      </c>
      <c r="B2476" s="2">
        <v>42550.9723263889</v>
      </c>
      <c r="C2476">
        <v>77</v>
      </c>
      <c r="D2476">
        <v>38</v>
      </c>
      <c r="E2476" t="s">
        <v>2454</v>
      </c>
    </row>
    <row r="2477" spans="1:5">
      <c r="A2477">
        <f>HYPERLINK("http://www.twitter.com/NYPDnews/status/748284820405497856", "748284820405497856")</f>
        <v>0</v>
      </c>
      <c r="B2477" s="2">
        <v>42550.9441898148</v>
      </c>
      <c r="C2477">
        <v>27</v>
      </c>
      <c r="D2477">
        <v>17</v>
      </c>
      <c r="E2477" t="s">
        <v>2455</v>
      </c>
    </row>
    <row r="2478" spans="1:5">
      <c r="A2478">
        <f>HYPERLINK("http://www.twitter.com/NYPDnews/status/748251948403556352", "748251948403556352")</f>
        <v>0</v>
      </c>
      <c r="B2478" s="2">
        <v>42550.8534837963</v>
      </c>
      <c r="C2478">
        <v>0</v>
      </c>
      <c r="D2478">
        <v>40</v>
      </c>
      <c r="E2478" t="s">
        <v>2456</v>
      </c>
    </row>
    <row r="2479" spans="1:5">
      <c r="A2479">
        <f>HYPERLINK("http://www.twitter.com/NYPDnews/status/748225563903524865", "748225563903524865")</f>
        <v>0</v>
      </c>
      <c r="B2479" s="2">
        <v>42550.7806712963</v>
      </c>
      <c r="C2479">
        <v>0</v>
      </c>
      <c r="D2479">
        <v>14</v>
      </c>
      <c r="E2479" t="s">
        <v>2457</v>
      </c>
    </row>
    <row r="2480" spans="1:5">
      <c r="A2480">
        <f>HYPERLINK("http://www.twitter.com/NYPDnews/status/748178471663304705", "748178471663304705")</f>
        <v>0</v>
      </c>
      <c r="B2480" s="2">
        <v>42550.6507175926</v>
      </c>
      <c r="C2480">
        <v>34</v>
      </c>
      <c r="D2480">
        <v>14</v>
      </c>
      <c r="E2480" t="s">
        <v>2458</v>
      </c>
    </row>
    <row r="2481" spans="1:5">
      <c r="A2481">
        <f>HYPERLINK("http://www.twitter.com/NYPDnews/status/748176636177170432", "748176636177170432")</f>
        <v>0</v>
      </c>
      <c r="B2481" s="2">
        <v>42550.6456597222</v>
      </c>
      <c r="C2481">
        <v>20</v>
      </c>
      <c r="D2481">
        <v>14</v>
      </c>
      <c r="E2481" t="s">
        <v>2459</v>
      </c>
    </row>
    <row r="2482" spans="1:5">
      <c r="A2482">
        <f>HYPERLINK("http://www.twitter.com/NYPDnews/status/748173380357132288", "748173380357132288")</f>
        <v>0</v>
      </c>
      <c r="B2482" s="2">
        <v>42550.6366666667</v>
      </c>
      <c r="C2482">
        <v>31</v>
      </c>
      <c r="D2482">
        <v>13</v>
      </c>
      <c r="E2482" t="s">
        <v>2460</v>
      </c>
    </row>
    <row r="2483" spans="1:5">
      <c r="A2483">
        <f>HYPERLINK("http://www.twitter.com/NYPDnews/status/748135219362934784", "748135219362934784")</f>
        <v>0</v>
      </c>
      <c r="B2483" s="2">
        <v>42550.5313657407</v>
      </c>
      <c r="C2483">
        <v>9</v>
      </c>
      <c r="D2483">
        <v>6</v>
      </c>
      <c r="E2483" t="s">
        <v>2461</v>
      </c>
    </row>
    <row r="2484" spans="1:5">
      <c r="A2484">
        <f>HYPERLINK("http://www.twitter.com/NYPDnews/status/748131498168049664", "748131498168049664")</f>
        <v>0</v>
      </c>
      <c r="B2484" s="2">
        <v>42550.521099537</v>
      </c>
      <c r="C2484">
        <v>12</v>
      </c>
      <c r="D2484">
        <v>51</v>
      </c>
      <c r="E2484" t="s">
        <v>2462</v>
      </c>
    </row>
    <row r="2485" spans="1:5">
      <c r="A2485">
        <f>HYPERLINK("http://www.twitter.com/NYPDnews/status/748127667560587264", "748127667560587264")</f>
        <v>0</v>
      </c>
      <c r="B2485" s="2">
        <v>42550.5105324074</v>
      </c>
      <c r="C2485">
        <v>12</v>
      </c>
      <c r="D2485">
        <v>12</v>
      </c>
      <c r="E2485" t="s">
        <v>2463</v>
      </c>
    </row>
    <row r="2486" spans="1:5">
      <c r="A2486">
        <f>HYPERLINK("http://www.twitter.com/NYPDnews/status/748123978619883520", "748123978619883520")</f>
        <v>0</v>
      </c>
      <c r="B2486" s="2">
        <v>42550.5003472222</v>
      </c>
      <c r="C2486">
        <v>24</v>
      </c>
      <c r="D2486">
        <v>42</v>
      </c>
      <c r="E2486" t="s">
        <v>2464</v>
      </c>
    </row>
    <row r="2487" spans="1:5">
      <c r="A2487">
        <f>HYPERLINK("http://www.twitter.com/NYPDnews/status/747943965576560641", "747943965576560641")</f>
        <v>0</v>
      </c>
      <c r="B2487" s="2">
        <v>42550.0036111111</v>
      </c>
      <c r="C2487">
        <v>31</v>
      </c>
      <c r="D2487">
        <v>35</v>
      </c>
      <c r="E2487" t="s">
        <v>2465</v>
      </c>
    </row>
    <row r="2488" spans="1:5">
      <c r="A2488">
        <f>HYPERLINK("http://www.twitter.com/NYPDnews/status/747912565930532864", "747912565930532864")</f>
        <v>0</v>
      </c>
      <c r="B2488" s="2">
        <v>42549.9169560185</v>
      </c>
      <c r="C2488">
        <v>57</v>
      </c>
      <c r="D2488">
        <v>48</v>
      </c>
      <c r="E2488" t="s">
        <v>2466</v>
      </c>
    </row>
    <row r="2489" spans="1:5">
      <c r="A2489">
        <f>HYPERLINK("http://www.twitter.com/NYPDnews/status/747839571606540288", "747839571606540288")</f>
        <v>0</v>
      </c>
      <c r="B2489" s="2">
        <v>42549.7155324074</v>
      </c>
      <c r="C2489">
        <v>23</v>
      </c>
      <c r="D2489">
        <v>19</v>
      </c>
      <c r="E2489" t="s">
        <v>2467</v>
      </c>
    </row>
    <row r="2490" spans="1:5">
      <c r="A2490">
        <f>HYPERLINK("http://www.twitter.com/NYPDnews/status/747772831098880000", "747772831098880000")</f>
        <v>0</v>
      </c>
      <c r="B2490" s="2">
        <v>42549.5313657407</v>
      </c>
      <c r="C2490">
        <v>13</v>
      </c>
      <c r="D2490">
        <v>31</v>
      </c>
      <c r="E2490" t="s">
        <v>2468</v>
      </c>
    </row>
    <row r="2491" spans="1:5">
      <c r="A2491">
        <f>HYPERLINK("http://www.twitter.com/NYPDnews/status/747769210676383744", "747769210676383744")</f>
        <v>0</v>
      </c>
      <c r="B2491" s="2">
        <v>42549.5213773148</v>
      </c>
      <c r="C2491">
        <v>48</v>
      </c>
      <c r="D2491">
        <v>13</v>
      </c>
      <c r="E2491" t="s">
        <v>2469</v>
      </c>
    </row>
    <row r="2492" spans="1:5">
      <c r="A2492">
        <f>HYPERLINK("http://www.twitter.com/NYPDnews/status/747765287538331648", "747765287538331648")</f>
        <v>0</v>
      </c>
      <c r="B2492" s="2">
        <v>42549.5105555556</v>
      </c>
      <c r="C2492">
        <v>31</v>
      </c>
      <c r="D2492">
        <v>68</v>
      </c>
      <c r="E2492" t="s">
        <v>2470</v>
      </c>
    </row>
    <row r="2493" spans="1:5">
      <c r="A2493">
        <f>HYPERLINK("http://www.twitter.com/NYPDnews/status/747761630528802816", "747761630528802816")</f>
        <v>0</v>
      </c>
      <c r="B2493" s="2">
        <v>42549.500462963</v>
      </c>
      <c r="C2493">
        <v>137</v>
      </c>
      <c r="D2493">
        <v>45</v>
      </c>
      <c r="E2493" t="s">
        <v>2471</v>
      </c>
    </row>
    <row r="2494" spans="1:5">
      <c r="A2494">
        <f>HYPERLINK("http://www.twitter.com/NYPDnews/status/747581557129478149", "747581557129478149")</f>
        <v>0</v>
      </c>
      <c r="B2494" s="2">
        <v>42549.0035532407</v>
      </c>
      <c r="C2494">
        <v>22</v>
      </c>
      <c r="D2494">
        <v>11</v>
      </c>
      <c r="E2494" t="s">
        <v>2472</v>
      </c>
    </row>
    <row r="2495" spans="1:5">
      <c r="A2495">
        <f>HYPERLINK("http://www.twitter.com/NYPDnews/status/747567718644260867", "747567718644260867")</f>
        <v>0</v>
      </c>
      <c r="B2495" s="2">
        <v>42548.9653587963</v>
      </c>
      <c r="C2495">
        <v>44</v>
      </c>
      <c r="D2495">
        <v>96</v>
      </c>
      <c r="E2495" t="s">
        <v>2433</v>
      </c>
    </row>
    <row r="2496" spans="1:5">
      <c r="A2496">
        <f>HYPERLINK("http://www.twitter.com/NYPDnews/status/747533009386147840", "747533009386147840")</f>
        <v>0</v>
      </c>
      <c r="B2496" s="2">
        <v>42548.8695833333</v>
      </c>
      <c r="C2496">
        <v>0</v>
      </c>
      <c r="D2496">
        <v>12</v>
      </c>
      <c r="E2496" t="s">
        <v>2473</v>
      </c>
    </row>
    <row r="2497" spans="1:5">
      <c r="A2497">
        <f>HYPERLINK("http://www.twitter.com/NYPDnews/status/747493372651249664", "747493372651249664")</f>
        <v>0</v>
      </c>
      <c r="B2497" s="2">
        <v>42548.7602083333</v>
      </c>
      <c r="C2497">
        <v>22</v>
      </c>
      <c r="D2497">
        <v>10</v>
      </c>
      <c r="E2497" t="s">
        <v>2474</v>
      </c>
    </row>
    <row r="2498" spans="1:5">
      <c r="A2498">
        <f>HYPERLINK("http://www.twitter.com/NYPDnews/status/747468913387134980", "747468913387134980")</f>
        <v>0</v>
      </c>
      <c r="B2498" s="2">
        <v>42548.6927083333</v>
      </c>
      <c r="C2498">
        <v>123</v>
      </c>
      <c r="D2498">
        <v>44</v>
      </c>
      <c r="E2498" t="s">
        <v>2475</v>
      </c>
    </row>
    <row r="2499" spans="1:5">
      <c r="A2499">
        <f>HYPERLINK("http://www.twitter.com/NYPDnews/status/747410455660994560", "747410455660994560")</f>
        <v>0</v>
      </c>
      <c r="B2499" s="2">
        <v>42548.531400463</v>
      </c>
      <c r="C2499">
        <v>115</v>
      </c>
      <c r="D2499">
        <v>44</v>
      </c>
      <c r="E2499" t="s">
        <v>2476</v>
      </c>
    </row>
    <row r="2500" spans="1:5">
      <c r="A2500">
        <f>HYPERLINK("http://www.twitter.com/NYPDnews/status/747406626928340993", "747406626928340993")</f>
        <v>0</v>
      </c>
      <c r="B2500" s="2">
        <v>42548.5208333333</v>
      </c>
      <c r="C2500">
        <v>34</v>
      </c>
      <c r="D2500">
        <v>106</v>
      </c>
      <c r="E2500" t="s">
        <v>2433</v>
      </c>
    </row>
    <row r="2501" spans="1:5">
      <c r="A2501">
        <f>HYPERLINK("http://www.twitter.com/NYPDnews/status/747402889446952961", "747402889446952961")</f>
        <v>0</v>
      </c>
      <c r="B2501" s="2">
        <v>42548.5105208333</v>
      </c>
      <c r="C2501">
        <v>41</v>
      </c>
      <c r="D2501">
        <v>14</v>
      </c>
      <c r="E2501" t="s">
        <v>2477</v>
      </c>
    </row>
    <row r="2502" spans="1:5">
      <c r="A2502">
        <f>HYPERLINK("http://www.twitter.com/NYPDnews/status/747399183678738432", "747399183678738432")</f>
        <v>0</v>
      </c>
      <c r="B2502" s="2">
        <v>42548.5003009259</v>
      </c>
      <c r="C2502">
        <v>50</v>
      </c>
      <c r="D2502">
        <v>141</v>
      </c>
      <c r="E2502" t="s">
        <v>2478</v>
      </c>
    </row>
    <row r="2503" spans="1:5">
      <c r="A2503">
        <f>HYPERLINK("http://www.twitter.com/NYPDnews/status/747234587433177088", "747234587433177088")</f>
        <v>0</v>
      </c>
      <c r="B2503" s="2">
        <v>42548.046099537</v>
      </c>
      <c r="C2503">
        <v>0</v>
      </c>
      <c r="D2503">
        <v>27</v>
      </c>
      <c r="E2503" t="s">
        <v>2479</v>
      </c>
    </row>
    <row r="2504" spans="1:5">
      <c r="A2504">
        <f>HYPERLINK("http://www.twitter.com/NYPDnews/status/747228189223714816", "747228189223714816")</f>
        <v>0</v>
      </c>
      <c r="B2504" s="2">
        <v>42548.0284375</v>
      </c>
      <c r="C2504">
        <v>128</v>
      </c>
      <c r="D2504">
        <v>51</v>
      </c>
      <c r="E2504" t="s">
        <v>2480</v>
      </c>
    </row>
    <row r="2505" spans="1:5">
      <c r="A2505">
        <f>HYPERLINK("http://www.twitter.com/NYPDnews/status/747175633969635328", "747175633969635328")</f>
        <v>0</v>
      </c>
      <c r="B2505" s="2">
        <v>42547.8834143519</v>
      </c>
      <c r="C2505">
        <v>217</v>
      </c>
      <c r="D2505">
        <v>72</v>
      </c>
      <c r="E2505" t="s">
        <v>2481</v>
      </c>
    </row>
    <row r="2506" spans="1:5">
      <c r="A2506">
        <f>HYPERLINK("http://www.twitter.com/NYPDnews/status/747138242328276992", "747138242328276992")</f>
        <v>0</v>
      </c>
      <c r="B2506" s="2">
        <v>42547.7802314815</v>
      </c>
      <c r="C2506">
        <v>0</v>
      </c>
      <c r="D2506">
        <v>80</v>
      </c>
      <c r="E2506" t="s">
        <v>2482</v>
      </c>
    </row>
    <row r="2507" spans="1:5">
      <c r="A2507">
        <f>HYPERLINK("http://www.twitter.com/NYPDnews/status/747119963572363264", "747119963572363264")</f>
        <v>0</v>
      </c>
      <c r="B2507" s="2">
        <v>42547.7297916667</v>
      </c>
      <c r="C2507">
        <v>0</v>
      </c>
      <c r="D2507">
        <v>15</v>
      </c>
      <c r="E2507" t="s">
        <v>2483</v>
      </c>
    </row>
    <row r="2508" spans="1:5">
      <c r="A2508">
        <f>HYPERLINK("http://www.twitter.com/NYPDnews/status/747119144139628544", "747119144139628544")</f>
        <v>0</v>
      </c>
      <c r="B2508" s="2">
        <v>42547.7275347222</v>
      </c>
      <c r="C2508">
        <v>112</v>
      </c>
      <c r="D2508">
        <v>61</v>
      </c>
      <c r="E2508" t="s">
        <v>2484</v>
      </c>
    </row>
    <row r="2509" spans="1:5">
      <c r="A2509">
        <f>HYPERLINK("http://www.twitter.com/NYPDnews/status/747112256245112832", "747112256245112832")</f>
        <v>0</v>
      </c>
      <c r="B2509" s="2">
        <v>42547.7085300926</v>
      </c>
      <c r="C2509">
        <v>0</v>
      </c>
      <c r="D2509">
        <v>134</v>
      </c>
      <c r="E2509" t="s">
        <v>2485</v>
      </c>
    </row>
    <row r="2510" spans="1:5">
      <c r="A2510">
        <f>HYPERLINK("http://www.twitter.com/NYPDnews/status/747104557092732929", "747104557092732929")</f>
        <v>0</v>
      </c>
      <c r="B2510" s="2">
        <v>42547.6872800926</v>
      </c>
      <c r="C2510">
        <v>425</v>
      </c>
      <c r="D2510">
        <v>209</v>
      </c>
      <c r="E2510" t="s">
        <v>2486</v>
      </c>
    </row>
    <row r="2511" spans="1:5">
      <c r="A2511">
        <f>HYPERLINK("http://www.twitter.com/NYPDnews/status/747093881624346628", "747093881624346628")</f>
        <v>0</v>
      </c>
      <c r="B2511" s="2">
        <v>42547.6578240741</v>
      </c>
      <c r="C2511">
        <v>245</v>
      </c>
      <c r="D2511">
        <v>78</v>
      </c>
      <c r="E2511" t="s">
        <v>2487</v>
      </c>
    </row>
    <row r="2512" spans="1:5">
      <c r="A2512">
        <f>HYPERLINK("http://www.twitter.com/NYPDnews/status/747084167721148417", "747084167721148417")</f>
        <v>0</v>
      </c>
      <c r="B2512" s="2">
        <v>42547.6310185185</v>
      </c>
      <c r="C2512">
        <v>59</v>
      </c>
      <c r="D2512">
        <v>24</v>
      </c>
      <c r="E2512" t="s">
        <v>2488</v>
      </c>
    </row>
    <row r="2513" spans="1:5">
      <c r="A2513">
        <f>HYPERLINK("http://www.twitter.com/NYPDnews/status/747064840917778432", "747064840917778432")</f>
        <v>0</v>
      </c>
      <c r="B2513" s="2">
        <v>42547.5776851852</v>
      </c>
      <c r="C2513">
        <v>44</v>
      </c>
      <c r="D2513">
        <v>25</v>
      </c>
      <c r="E2513" t="s">
        <v>2489</v>
      </c>
    </row>
    <row r="2514" spans="1:5">
      <c r="A2514">
        <f>HYPERLINK("http://www.twitter.com/NYPDnews/status/747045466353897472", "747045466353897472")</f>
        <v>0</v>
      </c>
      <c r="B2514" s="2">
        <v>42547.524224537</v>
      </c>
      <c r="C2514">
        <v>59</v>
      </c>
      <c r="D2514">
        <v>38</v>
      </c>
      <c r="E2514" t="s">
        <v>2490</v>
      </c>
    </row>
    <row r="2515" spans="1:5">
      <c r="A2515">
        <f>HYPERLINK("http://www.twitter.com/NYPDnews/status/746886593173200896", "746886593173200896")</f>
        <v>0</v>
      </c>
      <c r="B2515" s="2">
        <v>42547.0858101852</v>
      </c>
      <c r="C2515">
        <v>0</v>
      </c>
      <c r="D2515">
        <v>215</v>
      </c>
      <c r="E2515" t="s">
        <v>2491</v>
      </c>
    </row>
    <row r="2516" spans="1:5">
      <c r="A2516">
        <f>HYPERLINK("http://www.twitter.com/NYPDnews/status/746829100153737216", "746829100153737216")</f>
        <v>0</v>
      </c>
      <c r="B2516" s="2">
        <v>42546.9271643519</v>
      </c>
      <c r="C2516">
        <v>84</v>
      </c>
      <c r="D2516">
        <v>43</v>
      </c>
      <c r="E2516" t="s">
        <v>2492</v>
      </c>
    </row>
    <row r="2517" spans="1:5">
      <c r="A2517">
        <f>HYPERLINK("http://www.twitter.com/NYPDnews/status/746735629812273152", "746735629812273152")</f>
        <v>0</v>
      </c>
      <c r="B2517" s="2">
        <v>42546.6692361111</v>
      </c>
      <c r="C2517">
        <v>0</v>
      </c>
      <c r="D2517">
        <v>23</v>
      </c>
      <c r="E2517" t="s">
        <v>2493</v>
      </c>
    </row>
    <row r="2518" spans="1:5">
      <c r="A2518">
        <f>HYPERLINK("http://www.twitter.com/NYPDnews/status/746708312843034625", "746708312843034625")</f>
        <v>0</v>
      </c>
      <c r="B2518" s="2">
        <v>42546.5938541667</v>
      </c>
      <c r="C2518">
        <v>90</v>
      </c>
      <c r="D2518">
        <v>77</v>
      </c>
      <c r="E2518" t="s">
        <v>2494</v>
      </c>
    </row>
    <row r="2519" spans="1:5">
      <c r="A2519">
        <f>HYPERLINK("http://www.twitter.com/NYPDnews/status/746697011324391428", "746697011324391428")</f>
        <v>0</v>
      </c>
      <c r="B2519" s="2">
        <v>42546.5626736111</v>
      </c>
      <c r="C2519">
        <v>39</v>
      </c>
      <c r="D2519">
        <v>29</v>
      </c>
      <c r="E2519" t="s">
        <v>2495</v>
      </c>
    </row>
    <row r="2520" spans="1:5">
      <c r="A2520">
        <f>HYPERLINK("http://www.twitter.com/NYPDnews/status/746677503515820032", "746677503515820032")</f>
        <v>0</v>
      </c>
      <c r="B2520" s="2">
        <v>42546.5088425926</v>
      </c>
      <c r="C2520">
        <v>181</v>
      </c>
      <c r="D2520">
        <v>488</v>
      </c>
      <c r="E2520" t="s">
        <v>2496</v>
      </c>
    </row>
    <row r="2521" spans="1:5">
      <c r="A2521">
        <f>HYPERLINK("http://www.twitter.com/NYPDnews/status/746508269091438596", "746508269091438596")</f>
        <v>0</v>
      </c>
      <c r="B2521" s="2">
        <v>42546.0418402778</v>
      </c>
      <c r="C2521">
        <v>58</v>
      </c>
      <c r="D2521">
        <v>16</v>
      </c>
      <c r="E2521" t="s">
        <v>2497</v>
      </c>
    </row>
    <row r="2522" spans="1:5">
      <c r="A2522">
        <f>HYPERLINK("http://www.twitter.com/NYPDnews/status/746489672902246400", "746489672902246400")</f>
        <v>0</v>
      </c>
      <c r="B2522" s="2">
        <v>42545.9905208333</v>
      </c>
      <c r="C2522">
        <v>0</v>
      </c>
      <c r="D2522">
        <v>14</v>
      </c>
      <c r="E2522" t="s">
        <v>2498</v>
      </c>
    </row>
    <row r="2523" spans="1:5">
      <c r="A2523">
        <f>HYPERLINK("http://www.twitter.com/NYPDnews/status/746481336437858304", "746481336437858304")</f>
        <v>0</v>
      </c>
      <c r="B2523" s="2">
        <v>42545.9675231481</v>
      </c>
      <c r="C2523">
        <v>40</v>
      </c>
      <c r="D2523">
        <v>13</v>
      </c>
      <c r="E2523" t="s">
        <v>2499</v>
      </c>
    </row>
    <row r="2524" spans="1:5">
      <c r="A2524">
        <f>HYPERLINK("http://www.twitter.com/NYPDnews/status/746448119408300034", "746448119408300034")</f>
        <v>0</v>
      </c>
      <c r="B2524" s="2">
        <v>42545.8758564815</v>
      </c>
      <c r="C2524">
        <v>0</v>
      </c>
      <c r="D2524">
        <v>34</v>
      </c>
      <c r="E2524" t="s">
        <v>2500</v>
      </c>
    </row>
    <row r="2525" spans="1:5">
      <c r="A2525">
        <f>HYPERLINK("http://www.twitter.com/NYPDnews/status/746406030813302784", "746406030813302784")</f>
        <v>0</v>
      </c>
      <c r="B2525" s="2">
        <v>42545.7597106481</v>
      </c>
      <c r="C2525">
        <v>37</v>
      </c>
      <c r="D2525">
        <v>14</v>
      </c>
      <c r="E2525" t="s">
        <v>2501</v>
      </c>
    </row>
    <row r="2526" spans="1:5">
      <c r="A2526">
        <f>HYPERLINK("http://www.twitter.com/NYPDnews/status/746359774124580865", "746359774124580865")</f>
        <v>0</v>
      </c>
      <c r="B2526" s="2">
        <v>42545.6320717593</v>
      </c>
      <c r="C2526">
        <v>122</v>
      </c>
      <c r="D2526">
        <v>53</v>
      </c>
      <c r="E2526" t="s">
        <v>2502</v>
      </c>
    </row>
    <row r="2527" spans="1:5">
      <c r="A2527">
        <f>HYPERLINK("http://www.twitter.com/NYPDnews/status/746350896032940033", "746350896032940033")</f>
        <v>0</v>
      </c>
      <c r="B2527" s="2">
        <v>42545.6075694444</v>
      </c>
      <c r="C2527">
        <v>18</v>
      </c>
      <c r="D2527">
        <v>6</v>
      </c>
      <c r="E2527" t="s">
        <v>2503</v>
      </c>
    </row>
    <row r="2528" spans="1:5">
      <c r="A2528">
        <f>HYPERLINK("http://www.twitter.com/NYPDnews/status/746348052747816960", "746348052747816960")</f>
        <v>0</v>
      </c>
      <c r="B2528" s="2">
        <v>42545.5997222222</v>
      </c>
      <c r="C2528">
        <v>301</v>
      </c>
      <c r="D2528">
        <v>124</v>
      </c>
      <c r="E2528" t="s">
        <v>2504</v>
      </c>
    </row>
    <row r="2529" spans="1:5">
      <c r="A2529">
        <f>HYPERLINK("http://www.twitter.com/NYPDnews/status/746347539260149761", "746347539260149761")</f>
        <v>0</v>
      </c>
      <c r="B2529" s="2">
        <v>42545.5983101852</v>
      </c>
      <c r="C2529">
        <v>75</v>
      </c>
      <c r="D2529">
        <v>14</v>
      </c>
      <c r="E2529" t="s">
        <v>2505</v>
      </c>
    </row>
    <row r="2530" spans="1:5">
      <c r="A2530">
        <f>HYPERLINK("http://www.twitter.com/NYPDnews/status/746319527441481729", "746319527441481729")</f>
        <v>0</v>
      </c>
      <c r="B2530" s="2">
        <v>42545.5210069444</v>
      </c>
      <c r="C2530">
        <v>22</v>
      </c>
      <c r="D2530">
        <v>28</v>
      </c>
      <c r="E2530" t="s">
        <v>2506</v>
      </c>
    </row>
    <row r="2531" spans="1:5">
      <c r="A2531">
        <f>HYPERLINK("http://www.twitter.com/NYPDnews/status/746315723413327872", "746315723413327872")</f>
        <v>0</v>
      </c>
      <c r="B2531" s="2">
        <v>42545.5105092593</v>
      </c>
      <c r="C2531">
        <v>23</v>
      </c>
      <c r="D2531">
        <v>17</v>
      </c>
      <c r="E2531" t="s">
        <v>2507</v>
      </c>
    </row>
    <row r="2532" spans="1:5">
      <c r="A2532">
        <f>HYPERLINK("http://www.twitter.com/NYPDnews/status/746312022762094592", "746312022762094592")</f>
        <v>0</v>
      </c>
      <c r="B2532" s="2">
        <v>42545.5003009259</v>
      </c>
      <c r="C2532">
        <v>18</v>
      </c>
      <c r="D2532">
        <v>62</v>
      </c>
      <c r="E2532" t="s">
        <v>2508</v>
      </c>
    </row>
    <row r="2533" spans="1:5">
      <c r="A2533">
        <f>HYPERLINK("http://www.twitter.com/NYPDnews/status/746308576982011904", "746308576982011904")</f>
        <v>0</v>
      </c>
      <c r="B2533" s="2">
        <v>42545.4907986111</v>
      </c>
      <c r="C2533">
        <v>0</v>
      </c>
      <c r="D2533">
        <v>21</v>
      </c>
      <c r="E2533" t="s">
        <v>2509</v>
      </c>
    </row>
    <row r="2534" spans="1:5">
      <c r="A2534">
        <f>HYPERLINK("http://www.twitter.com/NYPDnews/status/746113514218086401", "746113514218086401")</f>
        <v>0</v>
      </c>
      <c r="B2534" s="2">
        <v>42544.9525231481</v>
      </c>
      <c r="C2534">
        <v>58</v>
      </c>
      <c r="D2534">
        <v>33</v>
      </c>
      <c r="E2534" t="s">
        <v>2510</v>
      </c>
    </row>
    <row r="2535" spans="1:5">
      <c r="A2535">
        <f>HYPERLINK("http://www.twitter.com/NYPDnews/status/746101807382929413", "746101807382929413")</f>
        <v>0</v>
      </c>
      <c r="B2535" s="2">
        <v>42544.9202199074</v>
      </c>
      <c r="C2535">
        <v>50</v>
      </c>
      <c r="D2535">
        <v>10</v>
      </c>
      <c r="E2535" t="s">
        <v>2511</v>
      </c>
    </row>
    <row r="2536" spans="1:5">
      <c r="A2536">
        <f>HYPERLINK("http://www.twitter.com/NYPDnews/status/746080687011291136", "746080687011291136")</f>
        <v>0</v>
      </c>
      <c r="B2536" s="2">
        <v>42544.8619328704</v>
      </c>
      <c r="C2536">
        <v>0</v>
      </c>
      <c r="D2536">
        <v>23</v>
      </c>
      <c r="E2536" t="s">
        <v>2512</v>
      </c>
    </row>
    <row r="2537" spans="1:5">
      <c r="A2537">
        <f>HYPERLINK("http://www.twitter.com/NYPDnews/status/746006514905776128", "746006514905776128")</f>
        <v>0</v>
      </c>
      <c r="B2537" s="2">
        <v>42544.6572569444</v>
      </c>
      <c r="C2537">
        <v>15</v>
      </c>
      <c r="D2537">
        <v>9</v>
      </c>
      <c r="E2537" t="s">
        <v>2513</v>
      </c>
    </row>
    <row r="2538" spans="1:5">
      <c r="A2538">
        <f>HYPERLINK("http://www.twitter.com/NYPDnews/status/746004872298905601", "746004872298905601")</f>
        <v>0</v>
      </c>
      <c r="B2538" s="2">
        <v>42544.6527314815</v>
      </c>
      <c r="C2538">
        <v>52</v>
      </c>
      <c r="D2538">
        <v>28</v>
      </c>
      <c r="E2538" t="s">
        <v>2514</v>
      </c>
    </row>
    <row r="2539" spans="1:5">
      <c r="A2539">
        <f>HYPERLINK("http://www.twitter.com/NYPDnews/status/746004059715440640", "746004059715440640")</f>
        <v>0</v>
      </c>
      <c r="B2539" s="2">
        <v>42544.6504861111</v>
      </c>
      <c r="C2539">
        <v>43</v>
      </c>
      <c r="D2539">
        <v>24</v>
      </c>
      <c r="E2539" t="s">
        <v>2515</v>
      </c>
    </row>
    <row r="2540" spans="1:5">
      <c r="A2540">
        <f>HYPERLINK("http://www.twitter.com/NYPDnews/status/746003485418754048", "746003485418754048")</f>
        <v>0</v>
      </c>
      <c r="B2540" s="2">
        <v>42544.648900463</v>
      </c>
      <c r="C2540">
        <v>24</v>
      </c>
      <c r="D2540">
        <v>40</v>
      </c>
      <c r="E2540" t="s">
        <v>2516</v>
      </c>
    </row>
    <row r="2541" spans="1:5">
      <c r="A2541">
        <f>HYPERLINK("http://www.twitter.com/NYPDnews/status/746002214683049984", "746002214683049984")</f>
        <v>0</v>
      </c>
      <c r="B2541" s="2">
        <v>42544.6453935185</v>
      </c>
      <c r="C2541">
        <v>36</v>
      </c>
      <c r="D2541">
        <v>17</v>
      </c>
      <c r="E2541" t="s">
        <v>2517</v>
      </c>
    </row>
    <row r="2542" spans="1:5">
      <c r="A2542">
        <f>HYPERLINK("http://www.twitter.com/NYPDnews/status/746001117885042688", "746001117885042688")</f>
        <v>0</v>
      </c>
      <c r="B2542" s="2">
        <v>42544.6423726852</v>
      </c>
      <c r="C2542">
        <v>6</v>
      </c>
      <c r="D2542">
        <v>7</v>
      </c>
      <c r="E2542" t="s">
        <v>2518</v>
      </c>
    </row>
    <row r="2543" spans="1:5">
      <c r="A2543">
        <f>HYPERLINK("http://www.twitter.com/NYPDnews/status/745995175651061761", "745995175651061761")</f>
        <v>0</v>
      </c>
      <c r="B2543" s="2">
        <v>42544.6259722222</v>
      </c>
      <c r="C2543">
        <v>120</v>
      </c>
      <c r="D2543">
        <v>69</v>
      </c>
      <c r="E2543" t="s">
        <v>2519</v>
      </c>
    </row>
    <row r="2544" spans="1:5">
      <c r="A2544">
        <f>HYPERLINK("http://www.twitter.com/NYPDnews/status/745960920707379201", "745960920707379201")</f>
        <v>0</v>
      </c>
      <c r="B2544" s="2">
        <v>42544.5314467593</v>
      </c>
      <c r="C2544">
        <v>34</v>
      </c>
      <c r="D2544">
        <v>16</v>
      </c>
      <c r="E2544" t="s">
        <v>2520</v>
      </c>
    </row>
    <row r="2545" spans="1:5">
      <c r="A2545">
        <f>HYPERLINK("http://www.twitter.com/NYPDnews/status/745957135197085696", "745957135197085696")</f>
        <v>0</v>
      </c>
      <c r="B2545" s="2">
        <v>42544.5209953704</v>
      </c>
      <c r="C2545">
        <v>45</v>
      </c>
      <c r="D2545">
        <v>129</v>
      </c>
      <c r="E2545" t="s">
        <v>2521</v>
      </c>
    </row>
    <row r="2546" spans="1:5">
      <c r="A2546">
        <f>HYPERLINK("http://www.twitter.com/NYPDnews/status/745953418712354816", "745953418712354816")</f>
        <v>0</v>
      </c>
      <c r="B2546" s="2">
        <v>42544.5107407407</v>
      </c>
      <c r="C2546">
        <v>54</v>
      </c>
      <c r="D2546">
        <v>21</v>
      </c>
      <c r="E2546" t="s">
        <v>2522</v>
      </c>
    </row>
    <row r="2547" spans="1:5">
      <c r="A2547">
        <f>HYPERLINK("http://www.twitter.com/NYPDnews/status/745949636381253632", "745949636381253632")</f>
        <v>0</v>
      </c>
      <c r="B2547" s="2">
        <v>42544.5003125</v>
      </c>
      <c r="C2547">
        <v>141</v>
      </c>
      <c r="D2547">
        <v>323</v>
      </c>
      <c r="E2547" t="s">
        <v>2523</v>
      </c>
    </row>
    <row r="2548" spans="1:5">
      <c r="A2548">
        <f>HYPERLINK("http://www.twitter.com/NYPDnews/status/745770905528377345", "745770905528377345")</f>
        <v>0</v>
      </c>
      <c r="B2548" s="2">
        <v>42544.0071064815</v>
      </c>
      <c r="C2548">
        <v>36</v>
      </c>
      <c r="D2548">
        <v>55</v>
      </c>
      <c r="E2548" t="s">
        <v>2524</v>
      </c>
    </row>
    <row r="2549" spans="1:5">
      <c r="A2549">
        <f>HYPERLINK("http://www.twitter.com/NYPDnews/status/745756168438571009", "745756168438571009")</f>
        <v>0</v>
      </c>
      <c r="B2549" s="2">
        <v>42543.9664351852</v>
      </c>
      <c r="C2549">
        <v>64</v>
      </c>
      <c r="D2549">
        <v>19</v>
      </c>
      <c r="E2549" t="s">
        <v>2525</v>
      </c>
    </row>
    <row r="2550" spans="1:5">
      <c r="A2550">
        <f>HYPERLINK("http://www.twitter.com/NYPDnews/status/745752125712531462", "745752125712531462")</f>
        <v>0</v>
      </c>
      <c r="B2550" s="2">
        <v>42543.9552777778</v>
      </c>
      <c r="C2550">
        <v>0</v>
      </c>
      <c r="D2550">
        <v>423</v>
      </c>
      <c r="E2550" t="s">
        <v>2526</v>
      </c>
    </row>
    <row r="2551" spans="1:5">
      <c r="A2551">
        <f>HYPERLINK("http://www.twitter.com/NYPDnews/status/745744468503105536", "745744468503105536")</f>
        <v>0</v>
      </c>
      <c r="B2551" s="2">
        <v>42543.9341550926</v>
      </c>
      <c r="C2551">
        <v>173</v>
      </c>
      <c r="D2551">
        <v>31</v>
      </c>
      <c r="E2551" t="s">
        <v>2527</v>
      </c>
    </row>
    <row r="2552" spans="1:5">
      <c r="A2552">
        <f>HYPERLINK("http://www.twitter.com/NYPDnews/status/745598529217921024", "745598529217921024")</f>
        <v>0</v>
      </c>
      <c r="B2552" s="2">
        <v>42543.5314351852</v>
      </c>
      <c r="C2552">
        <v>24</v>
      </c>
      <c r="D2552">
        <v>10</v>
      </c>
      <c r="E2552" t="s">
        <v>2528</v>
      </c>
    </row>
    <row r="2553" spans="1:5">
      <c r="A2553">
        <f>HYPERLINK("http://www.twitter.com/NYPDnews/status/745594907805483008", "745594907805483008")</f>
        <v>0</v>
      </c>
      <c r="B2553" s="2">
        <v>42543.5214467593</v>
      </c>
      <c r="C2553">
        <v>16</v>
      </c>
      <c r="D2553">
        <v>39</v>
      </c>
      <c r="E2553" t="s">
        <v>2529</v>
      </c>
    </row>
    <row r="2554" spans="1:5">
      <c r="A2554">
        <f>HYPERLINK("http://www.twitter.com/NYPDnews/status/745590953222803456", "745590953222803456")</f>
        <v>0</v>
      </c>
      <c r="B2554" s="2">
        <v>42543.5105324074</v>
      </c>
      <c r="C2554">
        <v>50</v>
      </c>
      <c r="D2554">
        <v>56</v>
      </c>
      <c r="E2554" t="s">
        <v>2530</v>
      </c>
    </row>
    <row r="2555" spans="1:5">
      <c r="A2555">
        <f>HYPERLINK("http://www.twitter.com/NYPDnews/status/745587519547445254", "745587519547445254")</f>
        <v>0</v>
      </c>
      <c r="B2555" s="2">
        <v>42543.5010532407</v>
      </c>
      <c r="C2555">
        <v>21</v>
      </c>
      <c r="D2555">
        <v>60</v>
      </c>
      <c r="E2555" t="s">
        <v>2531</v>
      </c>
    </row>
    <row r="2556" spans="1:5">
      <c r="A2556">
        <f>HYPERLINK("http://www.twitter.com/NYPDnews/status/745408523601846272", "745408523601846272")</f>
        <v>0</v>
      </c>
      <c r="B2556" s="2">
        <v>42543.0071180556</v>
      </c>
      <c r="C2556">
        <v>62</v>
      </c>
      <c r="D2556">
        <v>114</v>
      </c>
      <c r="E2556" t="s">
        <v>2532</v>
      </c>
    </row>
    <row r="2557" spans="1:5">
      <c r="A2557">
        <f>HYPERLINK("http://www.twitter.com/NYPDnews/status/745390940215513090", "745390940215513090")</f>
        <v>0</v>
      </c>
      <c r="B2557" s="2">
        <v>42542.958599537</v>
      </c>
      <c r="C2557">
        <v>15</v>
      </c>
      <c r="D2557">
        <v>62</v>
      </c>
      <c r="E2557" t="s">
        <v>2533</v>
      </c>
    </row>
    <row r="2558" spans="1:5">
      <c r="A2558">
        <f>HYPERLINK("http://www.twitter.com/NYPDnews/status/745376916732018688", "745376916732018688")</f>
        <v>0</v>
      </c>
      <c r="B2558" s="2">
        <v>42542.9199074074</v>
      </c>
      <c r="C2558">
        <v>62</v>
      </c>
      <c r="D2558">
        <v>68</v>
      </c>
      <c r="E2558" t="s">
        <v>2534</v>
      </c>
    </row>
    <row r="2559" spans="1:5">
      <c r="A2559">
        <f>HYPERLINK("http://www.twitter.com/NYPDnews/status/745361653131272195", "745361653131272195")</f>
        <v>0</v>
      </c>
      <c r="B2559" s="2">
        <v>42542.8777777778</v>
      </c>
      <c r="C2559">
        <v>0</v>
      </c>
      <c r="D2559">
        <v>7</v>
      </c>
      <c r="E2559" t="s">
        <v>2535</v>
      </c>
    </row>
    <row r="2560" spans="1:5">
      <c r="A2560">
        <f>HYPERLINK("http://www.twitter.com/NYPDnews/status/745290245202124800", "745290245202124800")</f>
        <v>0</v>
      </c>
      <c r="B2560" s="2">
        <v>42542.6807291667</v>
      </c>
      <c r="C2560">
        <v>33</v>
      </c>
      <c r="D2560">
        <v>54</v>
      </c>
      <c r="E2560" t="s">
        <v>2536</v>
      </c>
    </row>
    <row r="2561" spans="1:5">
      <c r="A2561">
        <f>HYPERLINK("http://www.twitter.com/NYPDnews/status/745273099483025410", "745273099483025410")</f>
        <v>0</v>
      </c>
      <c r="B2561" s="2">
        <v>42542.6334259259</v>
      </c>
      <c r="C2561">
        <v>137</v>
      </c>
      <c r="D2561">
        <v>38</v>
      </c>
      <c r="E2561" t="s">
        <v>2537</v>
      </c>
    </row>
    <row r="2562" spans="1:5">
      <c r="A2562">
        <f>HYPERLINK("http://www.twitter.com/NYPDnews/status/745236132795932672", "745236132795932672")</f>
        <v>0</v>
      </c>
      <c r="B2562" s="2">
        <v>42542.531412037</v>
      </c>
      <c r="C2562">
        <v>84</v>
      </c>
      <c r="D2562">
        <v>36</v>
      </c>
      <c r="E2562" t="s">
        <v>2538</v>
      </c>
    </row>
    <row r="2563" spans="1:5">
      <c r="A2563">
        <f>HYPERLINK("http://www.twitter.com/NYPDnews/status/745232509584150528", "745232509584150528")</f>
        <v>0</v>
      </c>
      <c r="B2563" s="2">
        <v>42542.521412037</v>
      </c>
      <c r="C2563">
        <v>32</v>
      </c>
      <c r="D2563">
        <v>13</v>
      </c>
      <c r="E2563" t="s">
        <v>2539</v>
      </c>
    </row>
    <row r="2564" spans="1:5">
      <c r="A2564">
        <f>HYPERLINK("http://www.twitter.com/NYPDnews/status/745228621355311104", "745228621355311104")</f>
        <v>0</v>
      </c>
      <c r="B2564" s="2">
        <v>42542.5106828704</v>
      </c>
      <c r="C2564">
        <v>7</v>
      </c>
      <c r="D2564">
        <v>6</v>
      </c>
      <c r="E2564" t="s">
        <v>2540</v>
      </c>
    </row>
    <row r="2565" spans="1:5">
      <c r="A2565">
        <f>HYPERLINK("http://www.twitter.com/NYPDnews/status/745224903822049280", "745224903822049280")</f>
        <v>0</v>
      </c>
      <c r="B2565" s="2">
        <v>42542.5004282407</v>
      </c>
      <c r="C2565">
        <v>27</v>
      </c>
      <c r="D2565">
        <v>73</v>
      </c>
      <c r="E2565" t="s">
        <v>2541</v>
      </c>
    </row>
    <row r="2566" spans="1:5">
      <c r="A2566">
        <f>HYPERLINK("http://www.twitter.com/NYPDnews/status/745051203181154304", "745051203181154304")</f>
        <v>0</v>
      </c>
      <c r="B2566" s="2">
        <v>42542.021099537</v>
      </c>
      <c r="C2566">
        <v>17</v>
      </c>
      <c r="D2566">
        <v>26</v>
      </c>
      <c r="E2566" t="s">
        <v>2542</v>
      </c>
    </row>
    <row r="2567" spans="1:5">
      <c r="A2567">
        <f>HYPERLINK("http://www.twitter.com/NYPDnews/status/745046111224758272", "745046111224758272")</f>
        <v>0</v>
      </c>
      <c r="B2567" s="2">
        <v>42542.0070486111</v>
      </c>
      <c r="C2567">
        <v>73</v>
      </c>
      <c r="D2567">
        <v>21</v>
      </c>
      <c r="E2567" t="s">
        <v>2543</v>
      </c>
    </row>
    <row r="2568" spans="1:5">
      <c r="A2568">
        <f>HYPERLINK("http://www.twitter.com/NYPDnews/status/745043123521228802", "745043123521228802")</f>
        <v>0</v>
      </c>
      <c r="B2568" s="2">
        <v>42541.9988078704</v>
      </c>
      <c r="C2568">
        <v>82</v>
      </c>
      <c r="D2568">
        <v>34</v>
      </c>
      <c r="E2568" t="s">
        <v>2544</v>
      </c>
    </row>
    <row r="2569" spans="1:5">
      <c r="A2569">
        <f>HYPERLINK("http://www.twitter.com/NYPDnews/status/745026696978505729", "745026696978505729")</f>
        <v>0</v>
      </c>
      <c r="B2569" s="2">
        <v>42541.9534837963</v>
      </c>
      <c r="C2569">
        <v>272</v>
      </c>
      <c r="D2569">
        <v>178</v>
      </c>
      <c r="E2569" t="s">
        <v>2545</v>
      </c>
    </row>
    <row r="2570" spans="1:5">
      <c r="A2570">
        <f>HYPERLINK("http://www.twitter.com/NYPDnews/status/744930363298971649", "744930363298971649")</f>
        <v>0</v>
      </c>
      <c r="B2570" s="2">
        <v>42541.687650463</v>
      </c>
      <c r="C2570">
        <v>11</v>
      </c>
      <c r="D2570">
        <v>11</v>
      </c>
      <c r="E2570" t="s">
        <v>2546</v>
      </c>
    </row>
    <row r="2571" spans="1:5">
      <c r="A2571">
        <f>HYPERLINK("http://www.twitter.com/NYPDnews/status/744927277671129088", "744927277671129088")</f>
        <v>0</v>
      </c>
      <c r="B2571" s="2">
        <v>42541.6791319444</v>
      </c>
      <c r="C2571">
        <v>15</v>
      </c>
      <c r="D2571">
        <v>4</v>
      </c>
      <c r="E2571" t="s">
        <v>2547</v>
      </c>
    </row>
    <row r="2572" spans="1:5">
      <c r="A2572">
        <f>HYPERLINK("http://www.twitter.com/NYPDnews/status/744927029947138048", "744927029947138048")</f>
        <v>0</v>
      </c>
      <c r="B2572" s="2">
        <v>42541.6784490741</v>
      </c>
      <c r="C2572">
        <v>0</v>
      </c>
      <c r="D2572">
        <v>25</v>
      </c>
      <c r="E2572" t="s">
        <v>2548</v>
      </c>
    </row>
    <row r="2573" spans="1:5">
      <c r="A2573">
        <f>HYPERLINK("http://www.twitter.com/NYPDnews/status/744926443830939648", "744926443830939648")</f>
        <v>0</v>
      </c>
      <c r="B2573" s="2">
        <v>42541.6768287037</v>
      </c>
      <c r="C2573">
        <v>24</v>
      </c>
      <c r="D2573">
        <v>19</v>
      </c>
      <c r="E2573" t="s">
        <v>2549</v>
      </c>
    </row>
    <row r="2574" spans="1:5">
      <c r="A2574">
        <f>HYPERLINK("http://www.twitter.com/NYPDnews/status/744901841507520514", "744901841507520514")</f>
        <v>0</v>
      </c>
      <c r="B2574" s="2">
        <v>42541.6089467593</v>
      </c>
      <c r="C2574">
        <v>7</v>
      </c>
      <c r="D2574">
        <v>3</v>
      </c>
      <c r="E2574" t="s">
        <v>2550</v>
      </c>
    </row>
    <row r="2575" spans="1:5">
      <c r="A2575">
        <f>HYPERLINK("http://www.twitter.com/NYPDnews/status/744900915195486208", "744900915195486208")</f>
        <v>0</v>
      </c>
      <c r="B2575" s="2">
        <v>42541.6063888889</v>
      </c>
      <c r="C2575">
        <v>33</v>
      </c>
      <c r="D2575">
        <v>11</v>
      </c>
      <c r="E2575" t="s">
        <v>2551</v>
      </c>
    </row>
    <row r="2576" spans="1:5">
      <c r="A2576">
        <f>HYPERLINK("http://www.twitter.com/NYPDnews/status/744900395445665792", "744900395445665792")</f>
        <v>0</v>
      </c>
      <c r="B2576" s="2">
        <v>42541.6049537037</v>
      </c>
      <c r="C2576">
        <v>39</v>
      </c>
      <c r="D2576">
        <v>18</v>
      </c>
      <c r="E2576" t="s">
        <v>2552</v>
      </c>
    </row>
    <row r="2577" spans="1:5">
      <c r="A2577">
        <f>HYPERLINK("http://www.twitter.com/NYPDnews/status/744899723828559872", "744899723828559872")</f>
        <v>0</v>
      </c>
      <c r="B2577" s="2">
        <v>42541.6031018519</v>
      </c>
      <c r="C2577">
        <v>5</v>
      </c>
      <c r="D2577">
        <v>4</v>
      </c>
      <c r="E2577" t="s">
        <v>2553</v>
      </c>
    </row>
    <row r="2578" spans="1:5">
      <c r="A2578">
        <f>HYPERLINK("http://www.twitter.com/NYPDnews/status/744899023698599937", "744899023698599937")</f>
        <v>0</v>
      </c>
      <c r="B2578" s="2">
        <v>42541.6011689815</v>
      </c>
      <c r="C2578">
        <v>0</v>
      </c>
      <c r="D2578">
        <v>13</v>
      </c>
      <c r="E2578" t="s">
        <v>2554</v>
      </c>
    </row>
    <row r="2579" spans="1:5">
      <c r="A2579">
        <f>HYPERLINK("http://www.twitter.com/NYPDnews/status/744869990428516352", "744869990428516352")</f>
        <v>0</v>
      </c>
      <c r="B2579" s="2">
        <v>42541.5210532407</v>
      </c>
      <c r="C2579">
        <v>23</v>
      </c>
      <c r="D2579">
        <v>53</v>
      </c>
      <c r="E2579" t="s">
        <v>2533</v>
      </c>
    </row>
    <row r="2580" spans="1:5">
      <c r="A2580">
        <f>HYPERLINK("http://www.twitter.com/NYPDnews/status/744866188744884224", "744866188744884224")</f>
        <v>0</v>
      </c>
      <c r="B2580" s="2">
        <v>42541.5105555556</v>
      </c>
      <c r="C2580">
        <v>121</v>
      </c>
      <c r="D2580">
        <v>45</v>
      </c>
      <c r="E2580" t="s">
        <v>2555</v>
      </c>
    </row>
    <row r="2581" spans="1:5">
      <c r="A2581">
        <f>HYPERLINK("http://www.twitter.com/NYPDnews/status/744862474550284288", "744862474550284288")</f>
        <v>0</v>
      </c>
      <c r="B2581" s="2">
        <v>42541.5003125</v>
      </c>
      <c r="C2581">
        <v>22</v>
      </c>
      <c r="D2581">
        <v>49</v>
      </c>
      <c r="E2581" t="s">
        <v>2556</v>
      </c>
    </row>
    <row r="2582" spans="1:5">
      <c r="A2582">
        <f>HYPERLINK("http://www.twitter.com/NYPDnews/status/744681329111994368", "744681329111994368")</f>
        <v>0</v>
      </c>
      <c r="B2582" s="2">
        <v>42541.0004513889</v>
      </c>
      <c r="C2582">
        <v>32</v>
      </c>
      <c r="D2582">
        <v>15</v>
      </c>
      <c r="E2582" t="s">
        <v>2557</v>
      </c>
    </row>
    <row r="2583" spans="1:5">
      <c r="A2583">
        <f>HYPERLINK("http://www.twitter.com/NYPDnews/status/744673580017844228", "744673580017844228")</f>
        <v>0</v>
      </c>
      <c r="B2583" s="2">
        <v>42540.9790625</v>
      </c>
      <c r="C2583">
        <v>0</v>
      </c>
      <c r="D2583">
        <v>18</v>
      </c>
      <c r="E2583" t="s">
        <v>2558</v>
      </c>
    </row>
    <row r="2584" spans="1:5">
      <c r="A2584">
        <f>HYPERLINK("http://www.twitter.com/NYPDnews/status/744666177566310400", "744666177566310400")</f>
        <v>0</v>
      </c>
      <c r="B2584" s="2">
        <v>42540.9586342593</v>
      </c>
      <c r="C2584">
        <v>13</v>
      </c>
      <c r="D2584">
        <v>3</v>
      </c>
      <c r="E2584" t="s">
        <v>2559</v>
      </c>
    </row>
    <row r="2585" spans="1:5">
      <c r="A2585">
        <f>HYPERLINK("http://www.twitter.com/NYPDnews/status/744604460702392320", "744604460702392320")</f>
        <v>0</v>
      </c>
      <c r="B2585" s="2">
        <v>42540.7883333333</v>
      </c>
      <c r="C2585">
        <v>42</v>
      </c>
      <c r="D2585">
        <v>26</v>
      </c>
      <c r="E2585" t="s">
        <v>2560</v>
      </c>
    </row>
    <row r="2586" spans="1:5">
      <c r="A2586">
        <f>HYPERLINK("http://www.twitter.com/NYPDnews/status/744565098476371968", "744565098476371968")</f>
        <v>0</v>
      </c>
      <c r="B2586" s="2">
        <v>42540.6797106481</v>
      </c>
      <c r="C2586">
        <v>0</v>
      </c>
      <c r="D2586">
        <v>6</v>
      </c>
      <c r="E2586" t="s">
        <v>2561</v>
      </c>
    </row>
    <row r="2587" spans="1:5">
      <c r="A2587">
        <f>HYPERLINK("http://www.twitter.com/NYPDnews/status/744553034659860481", "744553034659860481")</f>
        <v>0</v>
      </c>
      <c r="B2587" s="2">
        <v>42540.6464236111</v>
      </c>
      <c r="C2587">
        <v>30</v>
      </c>
      <c r="D2587">
        <v>26</v>
      </c>
      <c r="E2587" t="s">
        <v>2562</v>
      </c>
    </row>
    <row r="2588" spans="1:5">
      <c r="A2588">
        <f>HYPERLINK("http://www.twitter.com/NYPDnews/status/744531174580690944", "744531174580690944")</f>
        <v>0</v>
      </c>
      <c r="B2588" s="2">
        <v>42540.586099537</v>
      </c>
      <c r="C2588">
        <v>0</v>
      </c>
      <c r="D2588">
        <v>36</v>
      </c>
      <c r="E2588" t="s">
        <v>2563</v>
      </c>
    </row>
    <row r="2589" spans="1:5">
      <c r="A2589">
        <f>HYPERLINK("http://www.twitter.com/NYPDnews/status/744518941536555008", "744518941536555008")</f>
        <v>0</v>
      </c>
      <c r="B2589" s="2">
        <v>42540.552337963</v>
      </c>
      <c r="C2589">
        <v>11</v>
      </c>
      <c r="D2589">
        <v>36</v>
      </c>
      <c r="E2589" t="s">
        <v>2564</v>
      </c>
    </row>
    <row r="2590" spans="1:5">
      <c r="A2590">
        <f>HYPERLINK("http://www.twitter.com/NYPDnews/status/744513518548955137", "744513518548955137")</f>
        <v>0</v>
      </c>
      <c r="B2590" s="2">
        <v>42540.5373726852</v>
      </c>
      <c r="C2590">
        <v>63</v>
      </c>
      <c r="D2590">
        <v>54</v>
      </c>
      <c r="E2590" t="s">
        <v>2565</v>
      </c>
    </row>
    <row r="2591" spans="1:5">
      <c r="A2591">
        <f>HYPERLINK("http://www.twitter.com/NYPDnews/status/744507617486209025", "744507617486209025")</f>
        <v>0</v>
      </c>
      <c r="B2591" s="2">
        <v>42540.521087963</v>
      </c>
      <c r="C2591">
        <v>17</v>
      </c>
      <c r="D2591">
        <v>15</v>
      </c>
      <c r="E2591" t="s">
        <v>2566</v>
      </c>
    </row>
    <row r="2592" spans="1:5">
      <c r="A2592">
        <f>HYPERLINK("http://www.twitter.com/NYPDnews/status/744500055151906816", "744500055151906816")</f>
        <v>0</v>
      </c>
      <c r="B2592" s="2">
        <v>42540.5002199074</v>
      </c>
      <c r="C2592">
        <v>58</v>
      </c>
      <c r="D2592">
        <v>246</v>
      </c>
      <c r="E2592" t="s">
        <v>2567</v>
      </c>
    </row>
    <row r="2593" spans="1:5">
      <c r="A2593">
        <f>HYPERLINK("http://www.twitter.com/NYPDnews/status/744337128214138880", "744337128214138880")</f>
        <v>0</v>
      </c>
      <c r="B2593" s="2">
        <v>42540.0506365741</v>
      </c>
      <c r="C2593">
        <v>116</v>
      </c>
      <c r="D2593">
        <v>55</v>
      </c>
      <c r="E2593" t="s">
        <v>2568</v>
      </c>
    </row>
    <row r="2594" spans="1:5">
      <c r="A2594">
        <f>HYPERLINK("http://www.twitter.com/NYPDnews/status/744326469061611520", "744326469061611520")</f>
        <v>0</v>
      </c>
      <c r="B2594" s="2">
        <v>42540.0212152778</v>
      </c>
      <c r="C2594">
        <v>39</v>
      </c>
      <c r="D2594">
        <v>23</v>
      </c>
      <c r="E2594" t="s">
        <v>2569</v>
      </c>
    </row>
    <row r="2595" spans="1:5">
      <c r="A2595">
        <f>HYPERLINK("http://www.twitter.com/NYPDnews/status/744322916595146752", "744322916595146752")</f>
        <v>0</v>
      </c>
      <c r="B2595" s="2">
        <v>42540.011412037</v>
      </c>
      <c r="C2595">
        <v>0</v>
      </c>
      <c r="D2595">
        <v>19</v>
      </c>
      <c r="E2595" t="s">
        <v>2570</v>
      </c>
    </row>
    <row r="2596" spans="1:5">
      <c r="A2596">
        <f>HYPERLINK("http://www.twitter.com/NYPDnews/status/744279809249976320", "744279809249976320")</f>
        <v>0</v>
      </c>
      <c r="B2596" s="2">
        <v>42539.8924652778</v>
      </c>
      <c r="C2596">
        <v>40</v>
      </c>
      <c r="D2596">
        <v>20</v>
      </c>
      <c r="E2596" t="s">
        <v>2571</v>
      </c>
    </row>
    <row r="2597" spans="1:5">
      <c r="A2597">
        <f>HYPERLINK("http://www.twitter.com/NYPDnews/status/744213288725118976", "744213288725118976")</f>
        <v>0</v>
      </c>
      <c r="B2597" s="2">
        <v>42539.708900463</v>
      </c>
      <c r="C2597">
        <v>56</v>
      </c>
      <c r="D2597">
        <v>52</v>
      </c>
      <c r="E2597" t="s">
        <v>2572</v>
      </c>
    </row>
    <row r="2598" spans="1:5">
      <c r="A2598">
        <f>HYPERLINK("http://www.twitter.com/NYPDnews/status/744196154963988481", "744196154963988481")</f>
        <v>0</v>
      </c>
      <c r="B2598" s="2">
        <v>42539.6616203704</v>
      </c>
      <c r="C2598">
        <v>0</v>
      </c>
      <c r="D2598">
        <v>41</v>
      </c>
      <c r="E2598" t="s">
        <v>2573</v>
      </c>
    </row>
    <row r="2599" spans="1:5">
      <c r="A2599">
        <f>HYPERLINK("http://www.twitter.com/NYPDnews/status/744161528023244804", "744161528023244804")</f>
        <v>0</v>
      </c>
      <c r="B2599" s="2">
        <v>42539.5660648148</v>
      </c>
      <c r="C2599">
        <v>38</v>
      </c>
      <c r="D2599">
        <v>38</v>
      </c>
      <c r="E2599" t="s">
        <v>2574</v>
      </c>
    </row>
    <row r="2600" spans="1:5">
      <c r="A2600">
        <f>HYPERLINK("http://www.twitter.com/NYPDnews/status/744154040985075712", "744154040985075712")</f>
        <v>0</v>
      </c>
      <c r="B2600" s="2">
        <v>42539.5454050926</v>
      </c>
      <c r="C2600">
        <v>11</v>
      </c>
      <c r="D2600">
        <v>39</v>
      </c>
      <c r="E2600" t="s">
        <v>2575</v>
      </c>
    </row>
    <row r="2601" spans="1:5">
      <c r="A2601">
        <f>HYPERLINK("http://www.twitter.com/NYPDnews/status/743967773466968064", "743967773466968064")</f>
        <v>0</v>
      </c>
      <c r="B2601" s="2">
        <v>42539.031412037</v>
      </c>
      <c r="C2601">
        <v>43</v>
      </c>
      <c r="D2601">
        <v>45</v>
      </c>
      <c r="E2601" t="s">
        <v>2576</v>
      </c>
    </row>
    <row r="2602" spans="1:5">
      <c r="A2602">
        <f>HYPERLINK("http://www.twitter.com/NYPDnews/status/743859635778625536", "743859635778625536")</f>
        <v>0</v>
      </c>
      <c r="B2602" s="2">
        <v>42538.7330092593</v>
      </c>
      <c r="C2602">
        <v>0</v>
      </c>
      <c r="D2602">
        <v>21</v>
      </c>
      <c r="E2602" t="s">
        <v>2577</v>
      </c>
    </row>
    <row r="2603" spans="1:5">
      <c r="A2603">
        <f>HYPERLINK("http://www.twitter.com/NYPDnews/status/743853321165889536", "743853321165889536")</f>
        <v>0</v>
      </c>
      <c r="B2603" s="2">
        <v>42538.7155787037</v>
      </c>
      <c r="C2603">
        <v>13</v>
      </c>
      <c r="D2603">
        <v>17</v>
      </c>
      <c r="E2603" t="s">
        <v>2578</v>
      </c>
    </row>
    <row r="2604" spans="1:5">
      <c r="A2604">
        <f>HYPERLINK("http://www.twitter.com/NYPDnews/status/743839470718423040", "743839470718423040")</f>
        <v>0</v>
      </c>
      <c r="B2604" s="2">
        <v>42538.6773611111</v>
      </c>
      <c r="C2604">
        <v>129</v>
      </c>
      <c r="D2604">
        <v>41</v>
      </c>
      <c r="E2604" t="s">
        <v>2579</v>
      </c>
    </row>
    <row r="2605" spans="1:5">
      <c r="A2605">
        <f>HYPERLINK("http://www.twitter.com/NYPDnews/status/743834505757233152", "743834505757233152")</f>
        <v>0</v>
      </c>
      <c r="B2605" s="2">
        <v>42538.6636574074</v>
      </c>
      <c r="C2605">
        <v>47</v>
      </c>
      <c r="D2605">
        <v>23</v>
      </c>
      <c r="E2605" t="s">
        <v>2580</v>
      </c>
    </row>
    <row r="2606" spans="1:5">
      <c r="A2606">
        <f>HYPERLINK("http://www.twitter.com/NYPDnews/status/743831892567408640", "743831892567408640")</f>
        <v>0</v>
      </c>
      <c r="B2606" s="2">
        <v>42538.6564467593</v>
      </c>
      <c r="C2606">
        <v>0</v>
      </c>
      <c r="D2606">
        <v>21</v>
      </c>
      <c r="E2606" t="s">
        <v>2581</v>
      </c>
    </row>
    <row r="2607" spans="1:5">
      <c r="A2607">
        <f>HYPERLINK("http://www.twitter.com/NYPDnews/status/743827703082684416", "743827703082684416")</f>
        <v>0</v>
      </c>
      <c r="B2607" s="2">
        <v>42538.6448842593</v>
      </c>
      <c r="C2607">
        <v>62</v>
      </c>
      <c r="D2607">
        <v>23</v>
      </c>
      <c r="E2607" t="s">
        <v>2582</v>
      </c>
    </row>
    <row r="2608" spans="1:5">
      <c r="A2608">
        <f>HYPERLINK("http://www.twitter.com/NYPDnews/status/743823666836873216", "743823666836873216")</f>
        <v>0</v>
      </c>
      <c r="B2608" s="2">
        <v>42538.63375</v>
      </c>
      <c r="C2608">
        <v>0</v>
      </c>
      <c r="D2608">
        <v>19</v>
      </c>
      <c r="E2608" t="s">
        <v>2583</v>
      </c>
    </row>
    <row r="2609" spans="1:5">
      <c r="A2609">
        <f>HYPERLINK("http://www.twitter.com/NYPDnews/status/743821326612373506", "743821326612373506")</f>
        <v>0</v>
      </c>
      <c r="B2609" s="2">
        <v>42538.6272916667</v>
      </c>
      <c r="C2609">
        <v>44</v>
      </c>
      <c r="D2609">
        <v>18</v>
      </c>
      <c r="E2609" t="s">
        <v>2584</v>
      </c>
    </row>
    <row r="2610" spans="1:5">
      <c r="A2610">
        <f>HYPERLINK("http://www.twitter.com/NYPDnews/status/743801663610314753", "743801663610314753")</f>
        <v>0</v>
      </c>
      <c r="B2610" s="2">
        <v>42538.5730324074</v>
      </c>
      <c r="C2610">
        <v>20</v>
      </c>
      <c r="D2610">
        <v>13</v>
      </c>
      <c r="E2610" t="s">
        <v>2585</v>
      </c>
    </row>
    <row r="2611" spans="1:5">
      <c r="A2611">
        <f>HYPERLINK("http://www.twitter.com/NYPDnews/status/743786565466468352", "743786565466468352")</f>
        <v>0</v>
      </c>
      <c r="B2611" s="2">
        <v>42538.5313657407</v>
      </c>
      <c r="C2611">
        <v>29</v>
      </c>
      <c r="D2611">
        <v>46</v>
      </c>
      <c r="E2611" t="s">
        <v>2586</v>
      </c>
    </row>
    <row r="2612" spans="1:5">
      <c r="A2612">
        <f>HYPERLINK("http://www.twitter.com/NYPDnews/status/743782980599021568", "743782980599021568")</f>
        <v>0</v>
      </c>
      <c r="B2612" s="2">
        <v>42538.5214814815</v>
      </c>
      <c r="C2612">
        <v>14</v>
      </c>
      <c r="D2612">
        <v>28</v>
      </c>
      <c r="E2612" t="s">
        <v>2587</v>
      </c>
    </row>
    <row r="2613" spans="1:5">
      <c r="A2613">
        <f>HYPERLINK("http://www.twitter.com/NYPDnews/status/743779058996088832", "743779058996088832")</f>
        <v>0</v>
      </c>
      <c r="B2613" s="2">
        <v>42538.5106597222</v>
      </c>
      <c r="C2613">
        <v>61</v>
      </c>
      <c r="D2613">
        <v>28</v>
      </c>
      <c r="E2613" t="s">
        <v>2588</v>
      </c>
    </row>
    <row r="2614" spans="1:5">
      <c r="A2614">
        <f>HYPERLINK("http://www.twitter.com/NYPDnews/status/743775551136071680", "743775551136071680")</f>
        <v>0</v>
      </c>
      <c r="B2614" s="2">
        <v>42538.5009722222</v>
      </c>
      <c r="C2614">
        <v>8</v>
      </c>
      <c r="D2614">
        <v>34</v>
      </c>
      <c r="E2614" t="s">
        <v>2589</v>
      </c>
    </row>
    <row r="2615" spans="1:5">
      <c r="A2615">
        <f>HYPERLINK("http://www.twitter.com/NYPDnews/status/743625886512087041", "743625886512087041")</f>
        <v>0</v>
      </c>
      <c r="B2615" s="2">
        <v>42538.087974537</v>
      </c>
      <c r="C2615">
        <v>38</v>
      </c>
      <c r="D2615">
        <v>107</v>
      </c>
      <c r="E2615" t="s">
        <v>2590</v>
      </c>
    </row>
    <row r="2616" spans="1:5">
      <c r="A2616">
        <f>HYPERLINK("http://www.twitter.com/NYPDnews/status/743601697688330240", "743601697688330240")</f>
        <v>0</v>
      </c>
      <c r="B2616" s="2">
        <v>42538.0212268519</v>
      </c>
      <c r="C2616">
        <v>107</v>
      </c>
      <c r="D2616">
        <v>23</v>
      </c>
      <c r="E2616" t="s">
        <v>2591</v>
      </c>
    </row>
    <row r="2617" spans="1:5">
      <c r="A2617">
        <f>HYPERLINK("http://www.twitter.com/NYPDnews/status/743553812451975168", "743553812451975168")</f>
        <v>0</v>
      </c>
      <c r="B2617" s="2">
        <v>42537.8890972222</v>
      </c>
      <c r="C2617">
        <v>32</v>
      </c>
      <c r="D2617">
        <v>60</v>
      </c>
      <c r="E2617" t="s">
        <v>2592</v>
      </c>
    </row>
    <row r="2618" spans="1:5">
      <c r="A2618">
        <f>HYPERLINK("http://www.twitter.com/NYPDnews/status/743508881796567040", "743508881796567040")</f>
        <v>0</v>
      </c>
      <c r="B2618" s="2">
        <v>42537.7651041667</v>
      </c>
      <c r="C2618">
        <v>23</v>
      </c>
      <c r="D2618">
        <v>6</v>
      </c>
      <c r="E2618" t="s">
        <v>2593</v>
      </c>
    </row>
    <row r="2619" spans="1:5">
      <c r="A2619">
        <f>HYPERLINK("http://www.twitter.com/NYPDnews/status/743490932553678849", "743490932553678849")</f>
        <v>0</v>
      </c>
      <c r="B2619" s="2">
        <v>42537.7155787037</v>
      </c>
      <c r="C2619">
        <v>31</v>
      </c>
      <c r="D2619">
        <v>64</v>
      </c>
      <c r="E2619" t="s">
        <v>2594</v>
      </c>
    </row>
    <row r="2620" spans="1:5">
      <c r="A2620">
        <f>HYPERLINK("http://www.twitter.com/NYPDnews/status/743453879245881345", "743453879245881345")</f>
        <v>0</v>
      </c>
      <c r="B2620" s="2">
        <v>42537.6133333333</v>
      </c>
      <c r="C2620">
        <v>0</v>
      </c>
      <c r="D2620">
        <v>38</v>
      </c>
      <c r="E2620" t="s">
        <v>2595</v>
      </c>
    </row>
    <row r="2621" spans="1:5">
      <c r="A2621">
        <f>HYPERLINK("http://www.twitter.com/NYPDnews/status/743424210425483264", "743424210425483264")</f>
        <v>0</v>
      </c>
      <c r="B2621" s="2">
        <v>42537.5314583333</v>
      </c>
      <c r="C2621">
        <v>73</v>
      </c>
      <c r="D2621">
        <v>20</v>
      </c>
      <c r="E2621" t="s">
        <v>2596</v>
      </c>
    </row>
    <row r="2622" spans="1:5">
      <c r="A2622">
        <f>HYPERLINK("http://www.twitter.com/NYPDnews/status/743420482557460480", "743420482557460480")</f>
        <v>0</v>
      </c>
      <c r="B2622" s="2">
        <v>42537.5211689815</v>
      </c>
      <c r="C2622">
        <v>5</v>
      </c>
      <c r="D2622">
        <v>31</v>
      </c>
      <c r="E2622" t="s">
        <v>2597</v>
      </c>
    </row>
    <row r="2623" spans="1:5">
      <c r="A2623">
        <f>HYPERLINK("http://www.twitter.com/NYPDnews/status/743416629804044288", "743416629804044288")</f>
        <v>0</v>
      </c>
      <c r="B2623" s="2">
        <v>42537.5105439815</v>
      </c>
      <c r="C2623">
        <v>44</v>
      </c>
      <c r="D2623">
        <v>19</v>
      </c>
      <c r="E2623" t="s">
        <v>2598</v>
      </c>
    </row>
    <row r="2624" spans="1:5">
      <c r="A2624">
        <f>HYPERLINK("http://www.twitter.com/NYPDnews/status/743413117707759618", "743413117707759618")</f>
        <v>0</v>
      </c>
      <c r="B2624" s="2">
        <v>42537.5008449074</v>
      </c>
      <c r="C2624">
        <v>9</v>
      </c>
      <c r="D2624">
        <v>35</v>
      </c>
      <c r="E2624" t="s">
        <v>2599</v>
      </c>
    </row>
    <row r="2625" spans="1:5">
      <c r="A2625">
        <f>HYPERLINK("http://www.twitter.com/NYPDnews/status/743218973328687104", "743218973328687104")</f>
        <v>0</v>
      </c>
      <c r="B2625" s="2">
        <v>42536.9651157407</v>
      </c>
      <c r="C2625">
        <v>82</v>
      </c>
      <c r="D2625">
        <v>18</v>
      </c>
      <c r="E2625" t="s">
        <v>2600</v>
      </c>
    </row>
    <row r="2626" spans="1:5">
      <c r="A2626">
        <f>HYPERLINK("http://www.twitter.com/NYPDnews/status/743218015743909889", "743218015743909889")</f>
        <v>0</v>
      </c>
      <c r="B2626" s="2">
        <v>42536.9624652778</v>
      </c>
      <c r="C2626">
        <v>26</v>
      </c>
      <c r="D2626">
        <v>14</v>
      </c>
      <c r="E2626" t="s">
        <v>2601</v>
      </c>
    </row>
    <row r="2627" spans="1:5">
      <c r="A2627">
        <f>HYPERLINK("http://www.twitter.com/NYPDnews/status/743217427505381376", "743217427505381376")</f>
        <v>0</v>
      </c>
      <c r="B2627" s="2">
        <v>42536.9608449074</v>
      </c>
      <c r="C2627">
        <v>0</v>
      </c>
      <c r="D2627">
        <v>13</v>
      </c>
      <c r="E2627" t="s">
        <v>2602</v>
      </c>
    </row>
    <row r="2628" spans="1:5">
      <c r="A2628">
        <f>HYPERLINK("http://www.twitter.com/NYPDnews/status/743215077445275649", "743215077445275649")</f>
        <v>0</v>
      </c>
      <c r="B2628" s="2">
        <v>42536.9543634259</v>
      </c>
      <c r="C2628">
        <v>71</v>
      </c>
      <c r="D2628">
        <v>31</v>
      </c>
      <c r="E2628" t="s">
        <v>2603</v>
      </c>
    </row>
    <row r="2629" spans="1:5">
      <c r="A2629">
        <f>HYPERLINK("http://www.twitter.com/NYPDnews/status/743213038749229060", "743213038749229060")</f>
        <v>0</v>
      </c>
      <c r="B2629" s="2">
        <v>42536.9487384259</v>
      </c>
      <c r="C2629">
        <v>22</v>
      </c>
      <c r="D2629">
        <v>10</v>
      </c>
      <c r="E2629" t="s">
        <v>2604</v>
      </c>
    </row>
    <row r="2630" spans="1:5">
      <c r="A2630">
        <f>HYPERLINK("http://www.twitter.com/NYPDnews/status/743210141902835712", "743210141902835712")</f>
        <v>0</v>
      </c>
      <c r="B2630" s="2">
        <v>42536.9407407407</v>
      </c>
      <c r="C2630">
        <v>141</v>
      </c>
      <c r="D2630">
        <v>34</v>
      </c>
      <c r="E2630" t="s">
        <v>2605</v>
      </c>
    </row>
    <row r="2631" spans="1:5">
      <c r="A2631">
        <f>HYPERLINK("http://www.twitter.com/NYPDnews/status/743207843403304960", "743207843403304960")</f>
        <v>0</v>
      </c>
      <c r="B2631" s="2">
        <v>42536.9343981482</v>
      </c>
      <c r="C2631">
        <v>71</v>
      </c>
      <c r="D2631">
        <v>27</v>
      </c>
      <c r="E2631" t="s">
        <v>2606</v>
      </c>
    </row>
    <row r="2632" spans="1:5">
      <c r="A2632">
        <f>HYPERLINK("http://www.twitter.com/NYPDnews/status/743202222889119744", "743202222889119744")</f>
        <v>0</v>
      </c>
      <c r="B2632" s="2">
        <v>42536.9188888889</v>
      </c>
      <c r="C2632">
        <v>91</v>
      </c>
      <c r="D2632">
        <v>47</v>
      </c>
      <c r="E2632" t="s">
        <v>2607</v>
      </c>
    </row>
    <row r="2633" spans="1:5">
      <c r="A2633">
        <f>HYPERLINK("http://www.twitter.com/NYPDnews/status/743197857814036481", "743197857814036481")</f>
        <v>0</v>
      </c>
      <c r="B2633" s="2">
        <v>42536.9068402778</v>
      </c>
      <c r="C2633">
        <v>42</v>
      </c>
      <c r="D2633">
        <v>13</v>
      </c>
      <c r="E2633" t="s">
        <v>2608</v>
      </c>
    </row>
    <row r="2634" spans="1:5">
      <c r="A2634">
        <f>HYPERLINK("http://www.twitter.com/NYPDnews/status/743132800178597888", "743132800178597888")</f>
        <v>0</v>
      </c>
      <c r="B2634" s="2">
        <v>42536.7273148148</v>
      </c>
      <c r="C2634">
        <v>117</v>
      </c>
      <c r="D2634">
        <v>94</v>
      </c>
      <c r="E2634" t="s">
        <v>2609</v>
      </c>
    </row>
    <row r="2635" spans="1:5">
      <c r="A2635">
        <f>HYPERLINK("http://www.twitter.com/NYPDnews/status/743103068456288260", "743103068456288260")</f>
        <v>0</v>
      </c>
      <c r="B2635" s="2">
        <v>42536.6452777778</v>
      </c>
      <c r="C2635">
        <v>66</v>
      </c>
      <c r="D2635">
        <v>22</v>
      </c>
      <c r="E2635" t="s">
        <v>2610</v>
      </c>
    </row>
    <row r="2636" spans="1:5">
      <c r="A2636">
        <f>HYPERLINK("http://www.twitter.com/NYPDnews/status/743069513525125120", "743069513525125120")</f>
        <v>0</v>
      </c>
      <c r="B2636" s="2">
        <v>42536.5526851852</v>
      </c>
      <c r="C2636">
        <v>55</v>
      </c>
      <c r="D2636">
        <v>15</v>
      </c>
      <c r="E2636" t="s">
        <v>2611</v>
      </c>
    </row>
    <row r="2637" spans="1:5">
      <c r="A2637">
        <f>HYPERLINK("http://www.twitter.com/NYPDnews/status/743061482783543296", "743061482783543296")</f>
        <v>0</v>
      </c>
      <c r="B2637" s="2">
        <v>42536.5305208333</v>
      </c>
      <c r="C2637">
        <v>17</v>
      </c>
      <c r="D2637">
        <v>13</v>
      </c>
      <c r="E2637" t="s">
        <v>2612</v>
      </c>
    </row>
    <row r="2638" spans="1:5">
      <c r="A2638">
        <f>HYPERLINK("http://www.twitter.com/NYPDnews/status/743048866967212032", "743048866967212032")</f>
        <v>0</v>
      </c>
      <c r="B2638" s="2">
        <v>42536.4957060185</v>
      </c>
      <c r="C2638">
        <v>0</v>
      </c>
      <c r="D2638">
        <v>31</v>
      </c>
      <c r="E2638" t="s">
        <v>2613</v>
      </c>
    </row>
    <row r="2639" spans="1:5">
      <c r="A2639">
        <f>HYPERLINK("http://www.twitter.com/NYPDnews/status/743048417069371392", "743048417069371392")</f>
        <v>0</v>
      </c>
      <c r="B2639" s="2">
        <v>42536.4944675926</v>
      </c>
      <c r="C2639">
        <v>114</v>
      </c>
      <c r="D2639">
        <v>30</v>
      </c>
      <c r="E2639" t="s">
        <v>2614</v>
      </c>
    </row>
    <row r="2640" spans="1:5">
      <c r="A2640">
        <f>HYPERLINK("http://www.twitter.com/NYPDnews/status/743046980071501826", "743046980071501826")</f>
        <v>0</v>
      </c>
      <c r="B2640" s="2">
        <v>42536.4904976852</v>
      </c>
      <c r="C2640">
        <v>30</v>
      </c>
      <c r="D2640">
        <v>21</v>
      </c>
      <c r="E2640" t="s">
        <v>2615</v>
      </c>
    </row>
    <row r="2641" spans="1:5">
      <c r="A2641">
        <f>HYPERLINK("http://www.twitter.com/NYPDnews/status/743046439501189120", "743046439501189120")</f>
        <v>0</v>
      </c>
      <c r="B2641" s="2">
        <v>42536.4890046296</v>
      </c>
      <c r="C2641">
        <v>21</v>
      </c>
      <c r="D2641">
        <v>8</v>
      </c>
      <c r="E2641" t="s">
        <v>2616</v>
      </c>
    </row>
    <row r="2642" spans="1:5">
      <c r="A2642">
        <f>HYPERLINK("http://www.twitter.com/NYPDnews/status/743045697449164802", "743045697449164802")</f>
        <v>0</v>
      </c>
      <c r="B2642" s="2">
        <v>42536.4869675926</v>
      </c>
      <c r="C2642">
        <v>10</v>
      </c>
      <c r="D2642">
        <v>5</v>
      </c>
      <c r="E2642" t="s">
        <v>2617</v>
      </c>
    </row>
    <row r="2643" spans="1:5">
      <c r="A2643">
        <f>HYPERLINK("http://www.twitter.com/NYPDnews/status/743041628340916224", "743041628340916224")</f>
        <v>0</v>
      </c>
      <c r="B2643" s="2">
        <v>42536.4757291667</v>
      </c>
      <c r="C2643">
        <v>0</v>
      </c>
      <c r="D2643">
        <v>21</v>
      </c>
      <c r="E2643" t="s">
        <v>2618</v>
      </c>
    </row>
    <row r="2644" spans="1:5">
      <c r="A2644">
        <f>HYPERLINK("http://www.twitter.com/NYPDnews/status/743033452048592898", "743033452048592898")</f>
        <v>0</v>
      </c>
      <c r="B2644" s="2">
        <v>42536.4531712963</v>
      </c>
      <c r="C2644">
        <v>11</v>
      </c>
      <c r="D2644">
        <v>63</v>
      </c>
      <c r="E2644" t="s">
        <v>2619</v>
      </c>
    </row>
    <row r="2645" spans="1:5">
      <c r="A2645">
        <f>HYPERLINK("http://www.twitter.com/NYPDnews/status/742888120975249408", "742888120975249408")</f>
        <v>0</v>
      </c>
      <c r="B2645" s="2">
        <v>42536.0521296296</v>
      </c>
      <c r="C2645">
        <v>76</v>
      </c>
      <c r="D2645">
        <v>30</v>
      </c>
      <c r="E2645" t="s">
        <v>2620</v>
      </c>
    </row>
    <row r="2646" spans="1:5">
      <c r="A2646">
        <f>HYPERLINK("http://www.twitter.com/NYPDnews/status/742873037339545600", "742873037339545600")</f>
        <v>0</v>
      </c>
      <c r="B2646" s="2">
        <v>42536.0105092593</v>
      </c>
      <c r="C2646">
        <v>63</v>
      </c>
      <c r="D2646">
        <v>29</v>
      </c>
      <c r="E2646" t="s">
        <v>2621</v>
      </c>
    </row>
    <row r="2647" spans="1:5">
      <c r="A2647">
        <f>HYPERLINK("http://www.twitter.com/NYPDnews/status/742862968522706945", "742862968522706945")</f>
        <v>0</v>
      </c>
      <c r="B2647" s="2">
        <v>42535.9827314815</v>
      </c>
      <c r="C2647">
        <v>30</v>
      </c>
      <c r="D2647">
        <v>12</v>
      </c>
      <c r="E2647" t="s">
        <v>2622</v>
      </c>
    </row>
    <row r="2648" spans="1:5">
      <c r="A2648">
        <f>HYPERLINK("http://www.twitter.com/NYPDnews/status/742854701360795648", "742854701360795648")</f>
        <v>0</v>
      </c>
      <c r="B2648" s="2">
        <v>42535.9599189815</v>
      </c>
      <c r="C2648">
        <v>311</v>
      </c>
      <c r="D2648">
        <v>187</v>
      </c>
      <c r="E2648" t="s">
        <v>2623</v>
      </c>
    </row>
    <row r="2649" spans="1:5">
      <c r="A2649">
        <f>HYPERLINK("http://www.twitter.com/NYPDnews/status/742847476189790208", "742847476189790208")</f>
        <v>0</v>
      </c>
      <c r="B2649" s="2">
        <v>42535.9399768518</v>
      </c>
      <c r="C2649">
        <v>0</v>
      </c>
      <c r="D2649">
        <v>35</v>
      </c>
      <c r="E2649" t="s">
        <v>2624</v>
      </c>
    </row>
    <row r="2650" spans="1:5">
      <c r="A2650">
        <f>HYPERLINK("http://www.twitter.com/NYPDnews/status/742808966506418176", "742808966506418176")</f>
        <v>0</v>
      </c>
      <c r="B2650" s="2">
        <v>42535.8337037037</v>
      </c>
      <c r="C2650">
        <v>167</v>
      </c>
      <c r="D2650">
        <v>129</v>
      </c>
      <c r="E2650" t="s">
        <v>2625</v>
      </c>
    </row>
    <row r="2651" spans="1:5">
      <c r="A2651">
        <f>HYPERLINK("http://www.twitter.com/NYPDnews/status/742749280583208960", "742749280583208960")</f>
        <v>0</v>
      </c>
      <c r="B2651" s="2">
        <v>42535.6690046296</v>
      </c>
      <c r="C2651">
        <v>155</v>
      </c>
      <c r="D2651">
        <v>59</v>
      </c>
      <c r="E2651" t="s">
        <v>2626</v>
      </c>
    </row>
    <row r="2652" spans="1:5">
      <c r="A2652">
        <f>HYPERLINK("http://www.twitter.com/NYPDnews/status/742742939907067904", "742742939907067904")</f>
        <v>0</v>
      </c>
      <c r="B2652" s="2">
        <v>42535.6515162037</v>
      </c>
      <c r="C2652">
        <v>81</v>
      </c>
      <c r="D2652">
        <v>30</v>
      </c>
      <c r="E2652" t="s">
        <v>2627</v>
      </c>
    </row>
    <row r="2653" spans="1:5">
      <c r="A2653">
        <f>HYPERLINK("http://www.twitter.com/NYPDnews/status/742741104899035146", "742741104899035146")</f>
        <v>0</v>
      </c>
      <c r="B2653" s="2">
        <v>42535.6464467593</v>
      </c>
      <c r="C2653">
        <v>63</v>
      </c>
      <c r="D2653">
        <v>24</v>
      </c>
      <c r="E2653" t="s">
        <v>2628</v>
      </c>
    </row>
    <row r="2654" spans="1:5">
      <c r="A2654">
        <f>HYPERLINK("http://www.twitter.com/NYPDnews/status/742740192558223360", "742740192558223360")</f>
        <v>0</v>
      </c>
      <c r="B2654" s="2">
        <v>42535.6439351852</v>
      </c>
      <c r="C2654">
        <v>126</v>
      </c>
      <c r="D2654">
        <v>71</v>
      </c>
      <c r="E2654" t="s">
        <v>2629</v>
      </c>
    </row>
    <row r="2655" spans="1:5">
      <c r="A2655">
        <f>HYPERLINK("http://www.twitter.com/NYPDnews/status/742729681015824385", "742729681015824385")</f>
        <v>0</v>
      </c>
      <c r="B2655" s="2">
        <v>42535.6149189815</v>
      </c>
      <c r="C2655">
        <v>92</v>
      </c>
      <c r="D2655">
        <v>38</v>
      </c>
      <c r="E2655" t="s">
        <v>2630</v>
      </c>
    </row>
    <row r="2656" spans="1:5">
      <c r="A2656">
        <f>HYPERLINK("http://www.twitter.com/NYPDnews/status/742699416776282113", "742699416776282113")</f>
        <v>0</v>
      </c>
      <c r="B2656" s="2">
        <v>42535.531412037</v>
      </c>
      <c r="C2656">
        <v>37</v>
      </c>
      <c r="D2656">
        <v>9</v>
      </c>
      <c r="E2656" t="s">
        <v>2631</v>
      </c>
    </row>
    <row r="2657" spans="1:5">
      <c r="A2657">
        <f>HYPERLINK("http://www.twitter.com/NYPDnews/status/742695694411177985", "742695694411177985")</f>
        <v>0</v>
      </c>
      <c r="B2657" s="2">
        <v>42535.5211342593</v>
      </c>
      <c r="C2657">
        <v>10</v>
      </c>
      <c r="D2657">
        <v>27</v>
      </c>
      <c r="E2657" t="s">
        <v>2632</v>
      </c>
    </row>
    <row r="2658" spans="1:5">
      <c r="A2658">
        <f>HYPERLINK("http://www.twitter.com/NYPDnews/status/742691857419931648", "742691857419931648")</f>
        <v>0</v>
      </c>
      <c r="B2658" s="2">
        <v>42535.5105555556</v>
      </c>
      <c r="C2658">
        <v>109</v>
      </c>
      <c r="D2658">
        <v>49</v>
      </c>
      <c r="E2658" t="s">
        <v>2633</v>
      </c>
    </row>
    <row r="2659" spans="1:5">
      <c r="A2659">
        <f>HYPERLINK("http://www.twitter.com/NYPDnews/status/742688165182504960", "742688165182504960")</f>
        <v>0</v>
      </c>
      <c r="B2659" s="2">
        <v>42535.5003587963</v>
      </c>
      <c r="C2659">
        <v>26</v>
      </c>
      <c r="D2659">
        <v>68</v>
      </c>
      <c r="E2659" t="s">
        <v>2634</v>
      </c>
    </row>
    <row r="2660" spans="1:5">
      <c r="A2660">
        <f>HYPERLINK("http://www.twitter.com/NYPDnews/status/742682768182743040", "742682768182743040")</f>
        <v>0</v>
      </c>
      <c r="B2660" s="2">
        <v>42535.485462963</v>
      </c>
      <c r="C2660">
        <v>8</v>
      </c>
      <c r="D2660">
        <v>6</v>
      </c>
      <c r="E2660" t="s">
        <v>2635</v>
      </c>
    </row>
    <row r="2661" spans="1:5">
      <c r="A2661">
        <f>HYPERLINK("http://www.twitter.com/NYPDnews/status/742682315395059712", "742682315395059712")</f>
        <v>0</v>
      </c>
      <c r="B2661" s="2">
        <v>42535.484224537</v>
      </c>
      <c r="C2661">
        <v>72</v>
      </c>
      <c r="D2661">
        <v>59</v>
      </c>
      <c r="E2661" t="s">
        <v>2636</v>
      </c>
    </row>
    <row r="2662" spans="1:5">
      <c r="A2662">
        <f>HYPERLINK("http://www.twitter.com/NYPDnews/status/742681852964655104", "742681852964655104")</f>
        <v>0</v>
      </c>
      <c r="B2662" s="2">
        <v>42535.4829398148</v>
      </c>
      <c r="C2662">
        <v>97</v>
      </c>
      <c r="D2662">
        <v>43</v>
      </c>
      <c r="E2662" t="s">
        <v>2637</v>
      </c>
    </row>
    <row r="2663" spans="1:5">
      <c r="A2663">
        <f>HYPERLINK("http://www.twitter.com/NYPDnews/status/742681125928062977", "742681125928062977")</f>
        <v>0</v>
      </c>
      <c r="B2663" s="2">
        <v>42535.4809375</v>
      </c>
      <c r="C2663">
        <v>10</v>
      </c>
      <c r="D2663">
        <v>7</v>
      </c>
      <c r="E2663" t="s">
        <v>2638</v>
      </c>
    </row>
    <row r="2664" spans="1:5">
      <c r="A2664">
        <f>HYPERLINK("http://www.twitter.com/NYPDnews/status/742672214349230080", "742672214349230080")</f>
        <v>0</v>
      </c>
      <c r="B2664" s="2">
        <v>42535.4563425926</v>
      </c>
      <c r="C2664">
        <v>0</v>
      </c>
      <c r="D2664">
        <v>15</v>
      </c>
      <c r="E2664" t="s">
        <v>2639</v>
      </c>
    </row>
    <row r="2665" spans="1:5">
      <c r="A2665">
        <f>HYPERLINK("http://www.twitter.com/NYPDnews/status/742533892465364992", "742533892465364992")</f>
        <v>0</v>
      </c>
      <c r="B2665" s="2">
        <v>42535.0746527778</v>
      </c>
      <c r="C2665">
        <v>0</v>
      </c>
      <c r="D2665">
        <v>167</v>
      </c>
      <c r="E2665" t="s">
        <v>2640</v>
      </c>
    </row>
    <row r="2666" spans="1:5">
      <c r="A2666">
        <f>HYPERLINK("http://www.twitter.com/NYPDnews/status/742513843168026624", "742513843168026624")</f>
        <v>0</v>
      </c>
      <c r="B2666" s="2">
        <v>42535.0193287037</v>
      </c>
      <c r="C2666">
        <v>20</v>
      </c>
      <c r="D2666">
        <v>9</v>
      </c>
      <c r="E2666" t="s">
        <v>2641</v>
      </c>
    </row>
    <row r="2667" spans="1:5">
      <c r="A2667">
        <f>HYPERLINK("http://www.twitter.com/NYPDnews/status/742470737030746112", "742470737030746112")</f>
        <v>0</v>
      </c>
      <c r="B2667" s="2">
        <v>42534.9003703704</v>
      </c>
      <c r="C2667">
        <v>0</v>
      </c>
      <c r="D2667">
        <v>48</v>
      </c>
      <c r="E2667" t="s">
        <v>2642</v>
      </c>
    </row>
    <row r="2668" spans="1:5">
      <c r="A2668">
        <f>HYPERLINK("http://www.twitter.com/NYPDnews/status/742456236688441344", "742456236688441344")</f>
        <v>0</v>
      </c>
      <c r="B2668" s="2">
        <v>42534.8603587963</v>
      </c>
      <c r="C2668">
        <v>12</v>
      </c>
      <c r="D2668">
        <v>5</v>
      </c>
      <c r="E2668" t="s">
        <v>2643</v>
      </c>
    </row>
    <row r="2669" spans="1:5">
      <c r="A2669">
        <f>HYPERLINK("http://www.twitter.com/NYPDnews/status/742454758083047425", "742454758083047425")</f>
        <v>0</v>
      </c>
      <c r="B2669" s="2">
        <v>42534.8562847222</v>
      </c>
      <c r="C2669">
        <v>20</v>
      </c>
      <c r="D2669">
        <v>11</v>
      </c>
      <c r="E2669" t="s">
        <v>2644</v>
      </c>
    </row>
    <row r="2670" spans="1:5">
      <c r="A2670">
        <f>HYPERLINK("http://www.twitter.com/NYPDnews/status/742450958978945026", "742450958978945026")</f>
        <v>0</v>
      </c>
      <c r="B2670" s="2">
        <v>42534.8457986111</v>
      </c>
      <c r="C2670">
        <v>37</v>
      </c>
      <c r="D2670">
        <v>19</v>
      </c>
      <c r="E2670" t="s">
        <v>2645</v>
      </c>
    </row>
    <row r="2671" spans="1:5">
      <c r="A2671">
        <f>HYPERLINK("http://www.twitter.com/NYPDnews/status/742448312779956224", "742448312779956224")</f>
        <v>0</v>
      </c>
      <c r="B2671" s="2">
        <v>42534.8384953704</v>
      </c>
      <c r="C2671">
        <v>65</v>
      </c>
      <c r="D2671">
        <v>32</v>
      </c>
      <c r="E2671" t="s">
        <v>2646</v>
      </c>
    </row>
    <row r="2672" spans="1:5">
      <c r="A2672">
        <f>HYPERLINK("http://www.twitter.com/NYPDnews/status/742447652223193088", "742447652223193088")</f>
        <v>0</v>
      </c>
      <c r="B2672" s="2">
        <v>42534.8366666667</v>
      </c>
      <c r="C2672">
        <v>29</v>
      </c>
      <c r="D2672">
        <v>17</v>
      </c>
      <c r="E2672" t="s">
        <v>2647</v>
      </c>
    </row>
    <row r="2673" spans="1:5">
      <c r="A2673">
        <f>HYPERLINK("http://www.twitter.com/NYPDnews/status/742424428777213953", "742424428777213953")</f>
        <v>0</v>
      </c>
      <c r="B2673" s="2">
        <v>42534.7725925926</v>
      </c>
      <c r="C2673">
        <v>0</v>
      </c>
      <c r="D2673">
        <v>46</v>
      </c>
      <c r="E2673" t="s">
        <v>2648</v>
      </c>
    </row>
    <row r="2674" spans="1:5">
      <c r="A2674">
        <f>HYPERLINK("http://www.twitter.com/NYPDnews/status/742398865207394304", "742398865207394304")</f>
        <v>0</v>
      </c>
      <c r="B2674" s="2">
        <v>42534.7020486111</v>
      </c>
      <c r="C2674">
        <v>17</v>
      </c>
      <c r="D2674">
        <v>51</v>
      </c>
      <c r="E2674" t="s">
        <v>2649</v>
      </c>
    </row>
    <row r="2675" spans="1:5">
      <c r="A2675">
        <f>HYPERLINK("http://www.twitter.com/NYPDnews/status/742333446643699712", "742333446643699712")</f>
        <v>0</v>
      </c>
      <c r="B2675" s="2">
        <v>42534.5215277778</v>
      </c>
      <c r="C2675">
        <v>44</v>
      </c>
      <c r="D2675">
        <v>19</v>
      </c>
      <c r="E2675" t="s">
        <v>2650</v>
      </c>
    </row>
    <row r="2676" spans="1:5">
      <c r="A2676">
        <f>HYPERLINK("http://www.twitter.com/NYPDnews/status/742329891778142208", "742329891778142208")</f>
        <v>0</v>
      </c>
      <c r="B2676" s="2">
        <v>42534.511712963</v>
      </c>
      <c r="C2676">
        <v>66</v>
      </c>
      <c r="D2676">
        <v>39</v>
      </c>
      <c r="E2676" t="s">
        <v>2651</v>
      </c>
    </row>
    <row r="2677" spans="1:5">
      <c r="A2677">
        <f>HYPERLINK("http://www.twitter.com/NYPDnews/status/742325745964470272", "742325745964470272")</f>
        <v>0</v>
      </c>
      <c r="B2677" s="2">
        <v>42534.5002777778</v>
      </c>
      <c r="C2677">
        <v>17</v>
      </c>
      <c r="D2677">
        <v>37</v>
      </c>
      <c r="E2677" t="s">
        <v>2652</v>
      </c>
    </row>
    <row r="2678" spans="1:5">
      <c r="A2678">
        <f>HYPERLINK("http://www.twitter.com/NYPDnews/status/742318233848565760", "742318233848565760")</f>
        <v>0</v>
      </c>
      <c r="B2678" s="2">
        <v>42534.4795486111</v>
      </c>
      <c r="C2678">
        <v>16</v>
      </c>
      <c r="D2678">
        <v>14</v>
      </c>
      <c r="E2678" t="s">
        <v>2653</v>
      </c>
    </row>
    <row r="2679" spans="1:5">
      <c r="A2679">
        <f>HYPERLINK("http://www.twitter.com/NYPDnews/status/742309336760909824", "742309336760909824")</f>
        <v>0</v>
      </c>
      <c r="B2679" s="2">
        <v>42534.4549884259</v>
      </c>
      <c r="C2679">
        <v>14</v>
      </c>
      <c r="D2679">
        <v>14</v>
      </c>
      <c r="E2679" t="s">
        <v>2654</v>
      </c>
    </row>
    <row r="2680" spans="1:5">
      <c r="A2680">
        <f>HYPERLINK("http://www.twitter.com/NYPDnews/status/742134945750130688", "742134945750130688")</f>
        <v>0</v>
      </c>
      <c r="B2680" s="2">
        <v>42533.9737615741</v>
      </c>
      <c r="C2680">
        <v>311</v>
      </c>
      <c r="D2680">
        <v>104</v>
      </c>
      <c r="E2680" t="s">
        <v>2655</v>
      </c>
    </row>
    <row r="2681" spans="1:5">
      <c r="A2681">
        <f>HYPERLINK("http://www.twitter.com/NYPDnews/status/742102958326841345", "742102958326841345")</f>
        <v>0</v>
      </c>
      <c r="B2681" s="2">
        <v>42533.8854976852</v>
      </c>
      <c r="C2681">
        <v>359</v>
      </c>
      <c r="D2681">
        <v>134</v>
      </c>
      <c r="E2681" t="s">
        <v>2656</v>
      </c>
    </row>
    <row r="2682" spans="1:5">
      <c r="A2682">
        <f>HYPERLINK("http://www.twitter.com/NYPDnews/status/742077328386314240", "742077328386314240")</f>
        <v>0</v>
      </c>
      <c r="B2682" s="2">
        <v>42533.8147685185</v>
      </c>
      <c r="C2682">
        <v>15</v>
      </c>
      <c r="D2682">
        <v>16</v>
      </c>
      <c r="E2682" t="s">
        <v>2657</v>
      </c>
    </row>
    <row r="2683" spans="1:5">
      <c r="A2683">
        <f>HYPERLINK("http://www.twitter.com/NYPDnews/status/742042226923085824", "742042226923085824")</f>
        <v>0</v>
      </c>
      <c r="B2683" s="2">
        <v>42533.7179166667</v>
      </c>
      <c r="C2683">
        <v>121</v>
      </c>
      <c r="D2683">
        <v>49</v>
      </c>
      <c r="E2683" t="s">
        <v>2658</v>
      </c>
    </row>
    <row r="2684" spans="1:5">
      <c r="A2684">
        <f>HYPERLINK("http://www.twitter.com/NYPDnews/status/742040823320170496", "742040823320170496")</f>
        <v>0</v>
      </c>
      <c r="B2684" s="2">
        <v>42533.7140393518</v>
      </c>
      <c r="C2684">
        <v>128</v>
      </c>
      <c r="D2684">
        <v>185</v>
      </c>
      <c r="E2684" t="s">
        <v>2659</v>
      </c>
    </row>
    <row r="2685" spans="1:5">
      <c r="A2685">
        <f>HYPERLINK("http://www.twitter.com/NYPDnews/status/742040030621929473", "742040030621929473")</f>
        <v>0</v>
      </c>
      <c r="B2685" s="2">
        <v>42533.7118518519</v>
      </c>
      <c r="C2685">
        <v>198</v>
      </c>
      <c r="D2685">
        <v>98</v>
      </c>
      <c r="E2685" t="s">
        <v>2660</v>
      </c>
    </row>
    <row r="2686" spans="1:5">
      <c r="A2686">
        <f>HYPERLINK("http://www.twitter.com/NYPDnews/status/742038626700300289", "742038626700300289")</f>
        <v>0</v>
      </c>
      <c r="B2686" s="2">
        <v>42533.707974537</v>
      </c>
      <c r="C2686">
        <v>106</v>
      </c>
      <c r="D2686">
        <v>72</v>
      </c>
      <c r="E2686" t="s">
        <v>2661</v>
      </c>
    </row>
    <row r="2687" spans="1:5">
      <c r="A2687">
        <f>HYPERLINK("http://www.twitter.com/NYPDnews/status/742037773465571328", "742037773465571328")</f>
        <v>0</v>
      </c>
      <c r="B2687" s="2">
        <v>42533.705625</v>
      </c>
      <c r="C2687">
        <v>110</v>
      </c>
      <c r="D2687">
        <v>91</v>
      </c>
      <c r="E2687" t="s">
        <v>2662</v>
      </c>
    </row>
    <row r="2688" spans="1:5">
      <c r="A2688">
        <f>HYPERLINK("http://www.twitter.com/NYPDnews/status/742037614727958528", "742037614727958528")</f>
        <v>0</v>
      </c>
      <c r="B2688" s="2">
        <v>42533.7051851852</v>
      </c>
      <c r="C2688">
        <v>83</v>
      </c>
      <c r="D2688">
        <v>113</v>
      </c>
      <c r="E2688" t="s">
        <v>2663</v>
      </c>
    </row>
    <row r="2689" spans="1:5">
      <c r="A2689">
        <f>HYPERLINK("http://www.twitter.com/NYPDnews/status/742037446356008960", "742037446356008960")</f>
        <v>0</v>
      </c>
      <c r="B2689" s="2">
        <v>42533.7047222222</v>
      </c>
      <c r="C2689">
        <v>98</v>
      </c>
      <c r="D2689">
        <v>45</v>
      </c>
      <c r="E2689" t="s">
        <v>2664</v>
      </c>
    </row>
    <row r="2690" spans="1:5">
      <c r="A2690">
        <f>HYPERLINK("http://www.twitter.com/NYPDnews/status/742034354965204992", "742034354965204992")</f>
        <v>0</v>
      </c>
      <c r="B2690" s="2">
        <v>42533.6961921296</v>
      </c>
      <c r="C2690">
        <v>41</v>
      </c>
      <c r="D2690">
        <v>32</v>
      </c>
      <c r="E2690" t="s">
        <v>2665</v>
      </c>
    </row>
    <row r="2691" spans="1:5">
      <c r="A2691">
        <f>HYPERLINK("http://www.twitter.com/NYPDnews/status/742019330913783809", "742019330913783809")</f>
        <v>0</v>
      </c>
      <c r="B2691" s="2">
        <v>42533.6547337963</v>
      </c>
      <c r="C2691">
        <v>126</v>
      </c>
      <c r="D2691">
        <v>57</v>
      </c>
      <c r="E2691" t="s">
        <v>2666</v>
      </c>
    </row>
    <row r="2692" spans="1:5">
      <c r="A2692">
        <f>HYPERLINK("http://www.twitter.com/NYPDnews/status/742012728890544128", "742012728890544128")</f>
        <v>0</v>
      </c>
      <c r="B2692" s="2">
        <v>42533.6365162037</v>
      </c>
      <c r="C2692">
        <v>334</v>
      </c>
      <c r="D2692">
        <v>200</v>
      </c>
      <c r="E2692" t="s">
        <v>2667</v>
      </c>
    </row>
    <row r="2693" spans="1:5">
      <c r="A2693">
        <f>HYPERLINK("http://www.twitter.com/NYPDnews/status/742008714983542784", "742008714983542784")</f>
        <v>0</v>
      </c>
      <c r="B2693" s="2">
        <v>42533.6254398148</v>
      </c>
      <c r="C2693">
        <v>68</v>
      </c>
      <c r="D2693">
        <v>22</v>
      </c>
      <c r="E2693" t="s">
        <v>2668</v>
      </c>
    </row>
    <row r="2694" spans="1:5">
      <c r="A2694">
        <f>HYPERLINK("http://www.twitter.com/NYPDnews/status/741988504704589825", "741988504704589825")</f>
        <v>0</v>
      </c>
      <c r="B2694" s="2">
        <v>42533.5696643519</v>
      </c>
      <c r="C2694">
        <v>41</v>
      </c>
      <c r="D2694">
        <v>15</v>
      </c>
      <c r="E2694" t="s">
        <v>2669</v>
      </c>
    </row>
    <row r="2695" spans="1:5">
      <c r="A2695">
        <f>HYPERLINK("http://www.twitter.com/NYPDnews/status/741975885906075650", "741975885906075650")</f>
        <v>0</v>
      </c>
      <c r="B2695" s="2">
        <v>42533.534849537</v>
      </c>
      <c r="C2695">
        <v>52</v>
      </c>
      <c r="D2695">
        <v>37</v>
      </c>
      <c r="E2695" t="s">
        <v>2670</v>
      </c>
    </row>
    <row r="2696" spans="1:5">
      <c r="A2696">
        <f>HYPERLINK("http://www.twitter.com/NYPDnews/status/741885284015603712", "741885284015603712")</f>
        <v>0</v>
      </c>
      <c r="B2696" s="2">
        <v>42533.2848263889</v>
      </c>
      <c r="C2696">
        <v>207</v>
      </c>
      <c r="D2696">
        <v>46</v>
      </c>
      <c r="E2696" t="s">
        <v>2671</v>
      </c>
    </row>
    <row r="2697" spans="1:5">
      <c r="A2697">
        <f>HYPERLINK("http://www.twitter.com/NYPDnews/status/741773294018367492", "741773294018367492")</f>
        <v>0</v>
      </c>
      <c r="B2697" s="2">
        <v>42532.9757986111</v>
      </c>
      <c r="C2697">
        <v>29</v>
      </c>
      <c r="D2697">
        <v>17</v>
      </c>
      <c r="E2697" t="s">
        <v>2672</v>
      </c>
    </row>
    <row r="2698" spans="1:5">
      <c r="A2698">
        <f>HYPERLINK("http://www.twitter.com/NYPDnews/status/741744240049455104", "741744240049455104")</f>
        <v>0</v>
      </c>
      <c r="B2698" s="2">
        <v>42532.895625</v>
      </c>
      <c r="C2698">
        <v>0</v>
      </c>
      <c r="D2698">
        <v>19</v>
      </c>
      <c r="E2698" t="s">
        <v>2673</v>
      </c>
    </row>
    <row r="2699" spans="1:5">
      <c r="A2699">
        <f>HYPERLINK("http://www.twitter.com/NYPDnews/status/741710399448436736", "741710399448436736")</f>
        <v>0</v>
      </c>
      <c r="B2699" s="2">
        <v>42532.8022453704</v>
      </c>
      <c r="C2699">
        <v>31</v>
      </c>
      <c r="D2699">
        <v>97</v>
      </c>
      <c r="E2699" t="s">
        <v>2674</v>
      </c>
    </row>
    <row r="2700" spans="1:5">
      <c r="A2700">
        <f>HYPERLINK("http://www.twitter.com/NYPDnews/status/741668965320142848", "741668965320142848")</f>
        <v>0</v>
      </c>
      <c r="B2700" s="2">
        <v>42532.6879050926</v>
      </c>
      <c r="C2700">
        <v>19</v>
      </c>
      <c r="D2700">
        <v>47</v>
      </c>
      <c r="E2700" t="s">
        <v>2675</v>
      </c>
    </row>
    <row r="2701" spans="1:5">
      <c r="A2701">
        <f>HYPERLINK("http://www.twitter.com/NYPDnews/status/741619834388119552", "741619834388119552")</f>
        <v>0</v>
      </c>
      <c r="B2701" s="2">
        <v>42532.5523263889</v>
      </c>
      <c r="C2701">
        <v>17</v>
      </c>
      <c r="D2701">
        <v>48</v>
      </c>
      <c r="E2701" t="s">
        <v>2676</v>
      </c>
    </row>
    <row r="2702" spans="1:5">
      <c r="A2702">
        <f>HYPERLINK("http://www.twitter.com/NYPDnews/status/741608477697712128", "741608477697712128")</f>
        <v>0</v>
      </c>
      <c r="B2702" s="2">
        <v>42532.5209953704</v>
      </c>
      <c r="C2702">
        <v>74</v>
      </c>
      <c r="D2702">
        <v>41</v>
      </c>
      <c r="E2702" t="s">
        <v>2677</v>
      </c>
    </row>
    <row r="2703" spans="1:5">
      <c r="A2703">
        <f>HYPERLINK("http://www.twitter.com/NYPDnews/status/741427370620559360", "741427370620559360")</f>
        <v>0</v>
      </c>
      <c r="B2703" s="2">
        <v>42532.0212268519</v>
      </c>
      <c r="C2703">
        <v>62</v>
      </c>
      <c r="D2703">
        <v>19</v>
      </c>
      <c r="E2703" t="s">
        <v>2678</v>
      </c>
    </row>
    <row r="2704" spans="1:5">
      <c r="A2704">
        <f>HYPERLINK("http://www.twitter.com/NYPDnews/status/741416098227195905", "741416098227195905")</f>
        <v>0</v>
      </c>
      <c r="B2704" s="2">
        <v>42531.9901273148</v>
      </c>
      <c r="C2704">
        <v>117</v>
      </c>
      <c r="D2704">
        <v>48</v>
      </c>
      <c r="E2704" t="s">
        <v>2679</v>
      </c>
    </row>
    <row r="2705" spans="1:5">
      <c r="A2705">
        <f>HYPERLINK("http://www.twitter.com/NYPDnews/status/741400857359601664", "741400857359601664")</f>
        <v>0</v>
      </c>
      <c r="B2705" s="2">
        <v>42531.9480671296</v>
      </c>
      <c r="C2705">
        <v>46</v>
      </c>
      <c r="D2705">
        <v>13</v>
      </c>
      <c r="E2705" t="s">
        <v>2680</v>
      </c>
    </row>
    <row r="2706" spans="1:5">
      <c r="A2706">
        <f>HYPERLINK("http://www.twitter.com/NYPDnews/status/741347122860150786", "741347122860150786")</f>
        <v>0</v>
      </c>
      <c r="B2706" s="2">
        <v>42531.7997916667</v>
      </c>
      <c r="C2706">
        <v>5</v>
      </c>
      <c r="D2706">
        <v>9</v>
      </c>
      <c r="E2706" t="s">
        <v>2681</v>
      </c>
    </row>
    <row r="2707" spans="1:5">
      <c r="A2707">
        <f>HYPERLINK("http://www.twitter.com/NYPDnews/status/741341031376031744", "741341031376031744")</f>
        <v>0</v>
      </c>
      <c r="B2707" s="2">
        <v>42531.782974537</v>
      </c>
      <c r="C2707">
        <v>160</v>
      </c>
      <c r="D2707">
        <v>51</v>
      </c>
      <c r="E2707" t="s">
        <v>2682</v>
      </c>
    </row>
    <row r="2708" spans="1:5">
      <c r="A2708">
        <f>HYPERLINK("http://www.twitter.com/NYPDnews/status/741254742542852096", "741254742542852096")</f>
        <v>0</v>
      </c>
      <c r="B2708" s="2">
        <v>42531.5448726852</v>
      </c>
      <c r="C2708">
        <v>0</v>
      </c>
      <c r="D2708">
        <v>26</v>
      </c>
      <c r="E2708" t="s">
        <v>2683</v>
      </c>
    </row>
    <row r="2709" spans="1:5">
      <c r="A2709">
        <f>HYPERLINK("http://www.twitter.com/NYPDnews/status/741249873199169536", "741249873199169536")</f>
        <v>0</v>
      </c>
      <c r="B2709" s="2">
        <v>42531.5314351852</v>
      </c>
      <c r="C2709">
        <v>9</v>
      </c>
      <c r="D2709">
        <v>35</v>
      </c>
      <c r="E2709" t="s">
        <v>2684</v>
      </c>
    </row>
    <row r="2710" spans="1:5">
      <c r="A2710">
        <f>HYPERLINK("http://www.twitter.com/NYPDnews/status/741246133641547776", "741246133641547776")</f>
        <v>0</v>
      </c>
      <c r="B2710" s="2">
        <v>42531.5211111111</v>
      </c>
      <c r="C2710">
        <v>60</v>
      </c>
      <c r="D2710">
        <v>17</v>
      </c>
      <c r="E2710" t="s">
        <v>2685</v>
      </c>
    </row>
    <row r="2711" spans="1:5">
      <c r="A2711">
        <f>HYPERLINK("http://www.twitter.com/NYPDnews/status/741242311183585280", "741242311183585280")</f>
        <v>0</v>
      </c>
      <c r="B2711" s="2">
        <v>42531.5105671296</v>
      </c>
      <c r="C2711">
        <v>72</v>
      </c>
      <c r="D2711">
        <v>121</v>
      </c>
      <c r="E2711" t="s">
        <v>2686</v>
      </c>
    </row>
    <row r="2712" spans="1:5">
      <c r="A2712">
        <f>HYPERLINK("http://www.twitter.com/NYPDnews/status/741238895594098688", "741238895594098688")</f>
        <v>0</v>
      </c>
      <c r="B2712" s="2">
        <v>42531.5011342593</v>
      </c>
      <c r="C2712">
        <v>84</v>
      </c>
      <c r="D2712">
        <v>14</v>
      </c>
      <c r="E2712" t="s">
        <v>2687</v>
      </c>
    </row>
    <row r="2713" spans="1:5">
      <c r="A2713">
        <f>HYPERLINK("http://www.twitter.com/NYPDnews/status/741234466098696192", "741234466098696192")</f>
        <v>0</v>
      </c>
      <c r="B2713" s="2">
        <v>42531.488912037</v>
      </c>
      <c r="C2713">
        <v>22</v>
      </c>
      <c r="D2713">
        <v>45</v>
      </c>
      <c r="E2713" t="s">
        <v>2688</v>
      </c>
    </row>
    <row r="2714" spans="1:5">
      <c r="A2714">
        <f>HYPERLINK("http://www.twitter.com/NYPDnews/status/741101362809843712", "741101362809843712")</f>
        <v>0</v>
      </c>
      <c r="B2714" s="2">
        <v>42531.1216203704</v>
      </c>
      <c r="C2714">
        <v>126</v>
      </c>
      <c r="D2714">
        <v>40</v>
      </c>
      <c r="E2714" t="s">
        <v>2689</v>
      </c>
    </row>
    <row r="2715" spans="1:5">
      <c r="A2715">
        <f>HYPERLINK("http://www.twitter.com/NYPDnews/status/741094094450085889", "741094094450085889")</f>
        <v>0</v>
      </c>
      <c r="B2715" s="2">
        <v>42531.1015625</v>
      </c>
      <c r="C2715">
        <v>0</v>
      </c>
      <c r="D2715">
        <v>13</v>
      </c>
      <c r="E2715" t="s">
        <v>2690</v>
      </c>
    </row>
    <row r="2716" spans="1:5">
      <c r="A2716">
        <f>HYPERLINK("http://www.twitter.com/NYPDnews/status/741093928213086208", "741093928213086208")</f>
        <v>0</v>
      </c>
      <c r="B2716" s="2">
        <v>42531.1011111111</v>
      </c>
      <c r="C2716">
        <v>0</v>
      </c>
      <c r="D2716">
        <v>8</v>
      </c>
      <c r="E2716" t="s">
        <v>2691</v>
      </c>
    </row>
    <row r="2717" spans="1:5">
      <c r="A2717">
        <f>HYPERLINK("http://www.twitter.com/NYPDnews/status/741085895936344064", "741085895936344064")</f>
        <v>0</v>
      </c>
      <c r="B2717" s="2">
        <v>42531.0789351852</v>
      </c>
      <c r="C2717">
        <v>59</v>
      </c>
      <c r="D2717">
        <v>20</v>
      </c>
      <c r="E2717" t="s">
        <v>2692</v>
      </c>
    </row>
    <row r="2718" spans="1:5">
      <c r="A2718">
        <f>HYPERLINK("http://www.twitter.com/NYPDnews/status/741062384060669958", "741062384060669958")</f>
        <v>0</v>
      </c>
      <c r="B2718" s="2">
        <v>42531.0140625</v>
      </c>
      <c r="C2718">
        <v>105</v>
      </c>
      <c r="D2718">
        <v>24</v>
      </c>
      <c r="E2718" t="s">
        <v>2693</v>
      </c>
    </row>
    <row r="2719" spans="1:5">
      <c r="A2719">
        <f>HYPERLINK("http://www.twitter.com/NYPDnews/status/741034022890004481", "741034022890004481")</f>
        <v>0</v>
      </c>
      <c r="B2719" s="2">
        <v>42530.9357986111</v>
      </c>
      <c r="C2719">
        <v>0</v>
      </c>
      <c r="D2719">
        <v>11</v>
      </c>
      <c r="E2719" t="s">
        <v>2694</v>
      </c>
    </row>
    <row r="2720" spans="1:5">
      <c r="A2720">
        <f>HYPERLINK("http://www.twitter.com/NYPDnews/status/740952239628509186", "740952239628509186")</f>
        <v>0</v>
      </c>
      <c r="B2720" s="2">
        <v>42530.7101157407</v>
      </c>
      <c r="C2720">
        <v>80</v>
      </c>
      <c r="D2720">
        <v>25</v>
      </c>
      <c r="E2720" t="s">
        <v>2695</v>
      </c>
    </row>
    <row r="2721" spans="1:5">
      <c r="A2721">
        <f>HYPERLINK("http://www.twitter.com/NYPDnews/status/740887533668716544", "740887533668716544")</f>
        <v>0</v>
      </c>
      <c r="B2721" s="2">
        <v>42530.5315625</v>
      </c>
      <c r="C2721">
        <v>45</v>
      </c>
      <c r="D2721">
        <v>14</v>
      </c>
      <c r="E2721" t="s">
        <v>2696</v>
      </c>
    </row>
    <row r="2722" spans="1:5">
      <c r="A2722">
        <f>HYPERLINK("http://www.twitter.com/NYPDnews/status/740883701626744836", "740883701626744836")</f>
        <v>0</v>
      </c>
      <c r="B2722" s="2">
        <v>42530.5209953704</v>
      </c>
      <c r="C2722">
        <v>38</v>
      </c>
      <c r="D2722">
        <v>11</v>
      </c>
      <c r="E2722" t="s">
        <v>2697</v>
      </c>
    </row>
    <row r="2723" spans="1:5">
      <c r="A2723">
        <f>HYPERLINK("http://www.twitter.com/NYPDnews/status/740879922793742336", "740879922793742336")</f>
        <v>0</v>
      </c>
      <c r="B2723" s="2">
        <v>42530.5105671296</v>
      </c>
      <c r="C2723">
        <v>25</v>
      </c>
      <c r="D2723">
        <v>52</v>
      </c>
      <c r="E2723" t="s">
        <v>2698</v>
      </c>
    </row>
    <row r="2724" spans="1:5">
      <c r="A2724">
        <f>HYPERLINK("http://www.twitter.com/NYPDnews/status/740876421359362048", "740876421359362048")</f>
        <v>0</v>
      </c>
      <c r="B2724" s="2">
        <v>42530.5009027778</v>
      </c>
      <c r="C2724">
        <v>61</v>
      </c>
      <c r="D2724">
        <v>12</v>
      </c>
      <c r="E2724" t="s">
        <v>2699</v>
      </c>
    </row>
    <row r="2725" spans="1:5">
      <c r="A2725">
        <f>HYPERLINK("http://www.twitter.com/NYPDnews/status/740699996882882560", "740699996882882560")</f>
        <v>0</v>
      </c>
      <c r="B2725" s="2">
        <v>42530.0140625</v>
      </c>
      <c r="C2725">
        <v>138</v>
      </c>
      <c r="D2725">
        <v>77</v>
      </c>
      <c r="E2725" t="s">
        <v>2700</v>
      </c>
    </row>
    <row r="2726" spans="1:5">
      <c r="A2726">
        <f>HYPERLINK("http://www.twitter.com/NYPDnews/status/740687894461984768", "740687894461984768")</f>
        <v>0</v>
      </c>
      <c r="B2726" s="2">
        <v>42529.9806712963</v>
      </c>
      <c r="C2726">
        <v>28</v>
      </c>
      <c r="D2726">
        <v>14</v>
      </c>
      <c r="E2726" t="s">
        <v>2701</v>
      </c>
    </row>
    <row r="2727" spans="1:5">
      <c r="A2727">
        <f>HYPERLINK("http://www.twitter.com/NYPDnews/status/740672360076972032", "740672360076972032")</f>
        <v>0</v>
      </c>
      <c r="B2727" s="2">
        <v>42529.9378009259</v>
      </c>
      <c r="C2727">
        <v>107</v>
      </c>
      <c r="D2727">
        <v>51</v>
      </c>
      <c r="E2727" t="s">
        <v>2702</v>
      </c>
    </row>
    <row r="2728" spans="1:5">
      <c r="A2728">
        <f>HYPERLINK("http://www.twitter.com/NYPDnews/status/740617351197040643", "740617351197040643")</f>
        <v>0</v>
      </c>
      <c r="B2728" s="2">
        <v>42529.7860069444</v>
      </c>
      <c r="C2728">
        <v>21</v>
      </c>
      <c r="D2728">
        <v>12</v>
      </c>
      <c r="E2728" t="s">
        <v>2703</v>
      </c>
    </row>
    <row r="2729" spans="1:5">
      <c r="A2729">
        <f>HYPERLINK("http://www.twitter.com/NYPDnews/status/740593067191832577", "740593067191832577")</f>
        <v>0</v>
      </c>
      <c r="B2729" s="2">
        <v>42529.7189930556</v>
      </c>
      <c r="C2729">
        <v>35</v>
      </c>
      <c r="D2729">
        <v>9</v>
      </c>
      <c r="E2729" t="s">
        <v>2704</v>
      </c>
    </row>
    <row r="2730" spans="1:5">
      <c r="A2730">
        <f>HYPERLINK("http://www.twitter.com/NYPDnews/status/740586934737743872", "740586934737743872")</f>
        <v>0</v>
      </c>
      <c r="B2730" s="2">
        <v>42529.7020717593</v>
      </c>
      <c r="C2730">
        <v>7</v>
      </c>
      <c r="D2730">
        <v>9</v>
      </c>
      <c r="E2730" t="s">
        <v>2705</v>
      </c>
    </row>
    <row r="2731" spans="1:5">
      <c r="A2731">
        <f>HYPERLINK("http://www.twitter.com/NYPDnews/status/740531076796436480", "740531076796436480")</f>
        <v>0</v>
      </c>
      <c r="B2731" s="2">
        <v>42529.5479282407</v>
      </c>
      <c r="C2731">
        <v>165</v>
      </c>
      <c r="D2731">
        <v>65</v>
      </c>
      <c r="E2731" t="s">
        <v>2706</v>
      </c>
    </row>
    <row r="2732" spans="1:5">
      <c r="A2732">
        <f>HYPERLINK("http://www.twitter.com/NYPDnews/status/740525069143801856", "740525069143801856")</f>
        <v>0</v>
      </c>
      <c r="B2732" s="2">
        <v>42529.5313541667</v>
      </c>
      <c r="C2732">
        <v>18</v>
      </c>
      <c r="D2732">
        <v>9</v>
      </c>
      <c r="E2732" t="s">
        <v>2707</v>
      </c>
    </row>
    <row r="2733" spans="1:5">
      <c r="A2733">
        <f>HYPERLINK("http://www.twitter.com/NYPDnews/status/740521516069228544", "740521516069228544")</f>
        <v>0</v>
      </c>
      <c r="B2733" s="2">
        <v>42529.5215509259</v>
      </c>
      <c r="C2733">
        <v>25</v>
      </c>
      <c r="D2733">
        <v>53</v>
      </c>
      <c r="E2733" t="s">
        <v>2708</v>
      </c>
    </row>
    <row r="2734" spans="1:5">
      <c r="A2734">
        <f>HYPERLINK("http://www.twitter.com/NYPDnews/status/740517513025441792", "740517513025441792")</f>
        <v>0</v>
      </c>
      <c r="B2734" s="2">
        <v>42529.5104976852</v>
      </c>
      <c r="C2734">
        <v>142</v>
      </c>
      <c r="D2734">
        <v>46</v>
      </c>
      <c r="E2734" t="s">
        <v>2709</v>
      </c>
    </row>
    <row r="2735" spans="1:5">
      <c r="A2735">
        <f>HYPERLINK("http://www.twitter.com/NYPDnews/status/740513780145238016", "740513780145238016")</f>
        <v>0</v>
      </c>
      <c r="B2735" s="2">
        <v>42529.5001967593</v>
      </c>
      <c r="C2735">
        <v>22</v>
      </c>
      <c r="D2735">
        <v>42</v>
      </c>
      <c r="E2735" t="s">
        <v>2710</v>
      </c>
    </row>
    <row r="2736" spans="1:5">
      <c r="A2736">
        <f>HYPERLINK("http://www.twitter.com/NYPDnews/status/740337607943589891", "740337607943589891")</f>
        <v>0</v>
      </c>
      <c r="B2736" s="2">
        <v>42529.0140625</v>
      </c>
      <c r="C2736">
        <v>24</v>
      </c>
      <c r="D2736">
        <v>11</v>
      </c>
      <c r="E2736" t="s">
        <v>2711</v>
      </c>
    </row>
    <row r="2737" spans="1:5">
      <c r="A2737">
        <f>HYPERLINK("http://www.twitter.com/NYPDnews/status/740331925978677250", "740331925978677250")</f>
        <v>0</v>
      </c>
      <c r="B2737" s="2">
        <v>42528.9983796296</v>
      </c>
      <c r="C2737">
        <v>7</v>
      </c>
      <c r="D2737">
        <v>6</v>
      </c>
      <c r="E2737" t="s">
        <v>2712</v>
      </c>
    </row>
    <row r="2738" spans="1:5">
      <c r="A2738">
        <f>HYPERLINK("http://www.twitter.com/NYPDnews/status/740321242767622145", "740321242767622145")</f>
        <v>0</v>
      </c>
      <c r="B2738" s="2">
        <v>42528.968900463</v>
      </c>
      <c r="C2738">
        <v>31</v>
      </c>
      <c r="D2738">
        <v>63</v>
      </c>
      <c r="E2738" t="s">
        <v>2713</v>
      </c>
    </row>
    <row r="2739" spans="1:5">
      <c r="A2739">
        <f>HYPERLINK("http://www.twitter.com/NYPDnews/status/740303621984817152", "740303621984817152")</f>
        <v>0</v>
      </c>
      <c r="B2739" s="2">
        <v>42528.9202777778</v>
      </c>
      <c r="C2739">
        <v>54</v>
      </c>
      <c r="D2739">
        <v>17</v>
      </c>
      <c r="E2739" t="s">
        <v>2714</v>
      </c>
    </row>
    <row r="2740" spans="1:5">
      <c r="A2740">
        <f>HYPERLINK("http://www.twitter.com/NYPDnews/status/740279755233210368", "740279755233210368")</f>
        <v>0</v>
      </c>
      <c r="B2740" s="2">
        <v>42528.8544212963</v>
      </c>
      <c r="C2740">
        <v>0</v>
      </c>
      <c r="D2740">
        <v>11</v>
      </c>
      <c r="E2740" t="s">
        <v>2715</v>
      </c>
    </row>
    <row r="2741" spans="1:5">
      <c r="A2741">
        <f>HYPERLINK("http://www.twitter.com/NYPDnews/status/740266861485535232", "740266861485535232")</f>
        <v>0</v>
      </c>
      <c r="B2741" s="2">
        <v>42528.8188310185</v>
      </c>
      <c r="C2741">
        <v>0</v>
      </c>
      <c r="D2741">
        <v>20</v>
      </c>
      <c r="E2741" t="s">
        <v>2716</v>
      </c>
    </row>
    <row r="2742" spans="1:5">
      <c r="A2742">
        <f>HYPERLINK("http://www.twitter.com/NYPDnews/status/740249967147798529", "740249967147798529")</f>
        <v>0</v>
      </c>
      <c r="B2742" s="2">
        <v>42528.7722222222</v>
      </c>
      <c r="C2742">
        <v>116</v>
      </c>
      <c r="D2742">
        <v>45</v>
      </c>
      <c r="E2742" t="s">
        <v>2717</v>
      </c>
    </row>
    <row r="2743" spans="1:5">
      <c r="A2743">
        <f>HYPERLINK("http://www.twitter.com/NYPDnews/status/740213040092700672", "740213040092700672")</f>
        <v>0</v>
      </c>
      <c r="B2743" s="2">
        <v>42528.6703125</v>
      </c>
      <c r="C2743">
        <v>5</v>
      </c>
      <c r="D2743">
        <v>19</v>
      </c>
      <c r="E2743" t="s">
        <v>2718</v>
      </c>
    </row>
    <row r="2744" spans="1:5">
      <c r="A2744">
        <f>HYPERLINK("http://www.twitter.com/NYPDnews/status/740166550070661120", "740166550070661120")</f>
        <v>0</v>
      </c>
      <c r="B2744" s="2">
        <v>42528.542025463</v>
      </c>
      <c r="C2744">
        <v>0</v>
      </c>
      <c r="D2744">
        <v>6076</v>
      </c>
      <c r="E2744" t="s">
        <v>2719</v>
      </c>
    </row>
    <row r="2745" spans="1:5">
      <c r="A2745">
        <f>HYPERLINK("http://www.twitter.com/NYPDnews/status/740162690304348160", "740162690304348160")</f>
        <v>0</v>
      </c>
      <c r="B2745" s="2">
        <v>42528.5313773148</v>
      </c>
      <c r="C2745">
        <v>21</v>
      </c>
      <c r="D2745">
        <v>11</v>
      </c>
      <c r="E2745" t="s">
        <v>2720</v>
      </c>
    </row>
    <row r="2746" spans="1:5">
      <c r="A2746">
        <f>HYPERLINK("http://www.twitter.com/NYPDnews/status/740158957264719872", "740158957264719872")</f>
        <v>0</v>
      </c>
      <c r="B2746" s="2">
        <v>42528.5210763889</v>
      </c>
      <c r="C2746">
        <v>108</v>
      </c>
      <c r="D2746">
        <v>189</v>
      </c>
      <c r="E2746" t="s">
        <v>2721</v>
      </c>
    </row>
    <row r="2747" spans="1:5">
      <c r="A2747">
        <f>HYPERLINK("http://www.twitter.com/NYPDnews/status/740151323027472384", "740151323027472384")</f>
        <v>0</v>
      </c>
      <c r="B2747" s="2">
        <v>42528.5000115741</v>
      </c>
      <c r="C2747">
        <v>16</v>
      </c>
      <c r="D2747">
        <v>33</v>
      </c>
      <c r="E2747" t="s">
        <v>2722</v>
      </c>
    </row>
    <row r="2748" spans="1:5">
      <c r="A2748">
        <f>HYPERLINK("http://www.twitter.com/NYPDnews/status/740143186098696192", "740143186098696192")</f>
        <v>0</v>
      </c>
      <c r="B2748" s="2">
        <v>42528.4775578704</v>
      </c>
      <c r="C2748">
        <v>0</v>
      </c>
      <c r="D2748">
        <v>6</v>
      </c>
      <c r="E2748" t="s">
        <v>2723</v>
      </c>
    </row>
    <row r="2749" spans="1:5">
      <c r="A2749">
        <f>HYPERLINK("http://www.twitter.com/NYPDnews/status/740000415320793088", "740000415320793088")</f>
        <v>0</v>
      </c>
      <c r="B2749" s="2">
        <v>42528.083587963</v>
      </c>
      <c r="C2749">
        <v>56</v>
      </c>
      <c r="D2749">
        <v>45</v>
      </c>
      <c r="E2749" t="s">
        <v>2724</v>
      </c>
    </row>
    <row r="2750" spans="1:5">
      <c r="A2750">
        <f>HYPERLINK("http://www.twitter.com/NYPDnews/status/739977799663005696", "739977799663005696")</f>
        <v>0</v>
      </c>
      <c r="B2750" s="2">
        <v>42528.0211805556</v>
      </c>
      <c r="C2750">
        <v>13</v>
      </c>
      <c r="D2750">
        <v>29</v>
      </c>
      <c r="E2750" t="s">
        <v>2725</v>
      </c>
    </row>
    <row r="2751" spans="1:5">
      <c r="A2751">
        <f>HYPERLINK("http://www.twitter.com/NYPDnews/status/739963874770878464", "739963874770878464")</f>
        <v>0</v>
      </c>
      <c r="B2751" s="2">
        <v>42527.9827546296</v>
      </c>
      <c r="C2751">
        <v>37</v>
      </c>
      <c r="D2751">
        <v>25</v>
      </c>
      <c r="E2751" t="s">
        <v>2726</v>
      </c>
    </row>
    <row r="2752" spans="1:5">
      <c r="A2752">
        <f>HYPERLINK("http://www.twitter.com/NYPDnews/status/739941221536272384", "739941221536272384")</f>
        <v>0</v>
      </c>
      <c r="B2752" s="2">
        <v>42527.9202430556</v>
      </c>
      <c r="C2752">
        <v>14</v>
      </c>
      <c r="D2752">
        <v>37</v>
      </c>
      <c r="E2752" t="s">
        <v>2727</v>
      </c>
    </row>
    <row r="2753" spans="1:5">
      <c r="A2753">
        <f>HYPERLINK("http://www.twitter.com/NYPDnews/status/739924987671416834", "739924987671416834")</f>
        <v>0</v>
      </c>
      <c r="B2753" s="2">
        <v>42527.8754398148</v>
      </c>
      <c r="C2753">
        <v>36</v>
      </c>
      <c r="D2753">
        <v>20</v>
      </c>
      <c r="E2753" t="s">
        <v>2728</v>
      </c>
    </row>
    <row r="2754" spans="1:5">
      <c r="A2754">
        <f>HYPERLINK("http://www.twitter.com/NYPDnews/status/739890435997507587", "739890435997507587")</f>
        <v>0</v>
      </c>
      <c r="B2754" s="2">
        <v>42527.7801041667</v>
      </c>
      <c r="C2754">
        <v>0</v>
      </c>
      <c r="D2754">
        <v>12</v>
      </c>
      <c r="E2754" t="s">
        <v>2729</v>
      </c>
    </row>
    <row r="2755" spans="1:5">
      <c r="A2755">
        <f>HYPERLINK("http://www.twitter.com/NYPDnews/status/739858187940159489", "739858187940159489")</f>
        <v>0</v>
      </c>
      <c r="B2755" s="2">
        <v>42527.6911111111</v>
      </c>
      <c r="C2755">
        <v>34</v>
      </c>
      <c r="D2755">
        <v>19</v>
      </c>
      <c r="E2755" t="s">
        <v>2730</v>
      </c>
    </row>
    <row r="2756" spans="1:5">
      <c r="A2756">
        <f>HYPERLINK("http://www.twitter.com/NYPDnews/status/739850681247518721", "739850681247518721")</f>
        <v>0</v>
      </c>
      <c r="B2756" s="2">
        <v>42527.6703935185</v>
      </c>
      <c r="C2756">
        <v>123</v>
      </c>
      <c r="D2756">
        <v>85</v>
      </c>
      <c r="E2756" t="s">
        <v>2731</v>
      </c>
    </row>
    <row r="2757" spans="1:5">
      <c r="A2757">
        <f>HYPERLINK("http://www.twitter.com/NYPDnews/status/739831331551641600", "739831331551641600")</f>
        <v>0</v>
      </c>
      <c r="B2757" s="2">
        <v>42527.6170023148</v>
      </c>
      <c r="C2757">
        <v>134</v>
      </c>
      <c r="D2757">
        <v>62</v>
      </c>
      <c r="E2757" t="s">
        <v>2732</v>
      </c>
    </row>
    <row r="2758" spans="1:5">
      <c r="A2758">
        <f>HYPERLINK("http://www.twitter.com/NYPDnews/status/739800288190685185", "739800288190685185")</f>
        <v>0</v>
      </c>
      <c r="B2758" s="2">
        <v>42527.5313425926</v>
      </c>
      <c r="C2758">
        <v>325</v>
      </c>
      <c r="D2758">
        <v>104</v>
      </c>
      <c r="E2758" t="s">
        <v>2733</v>
      </c>
    </row>
    <row r="2759" spans="1:5">
      <c r="A2759">
        <f>HYPERLINK("http://www.twitter.com/NYPDnews/status/739796566064680960", "739796566064680960")</f>
        <v>0</v>
      </c>
      <c r="B2759" s="2">
        <v>42527.5210648148</v>
      </c>
      <c r="C2759">
        <v>86</v>
      </c>
      <c r="D2759">
        <v>17</v>
      </c>
      <c r="E2759" t="s">
        <v>2734</v>
      </c>
    </row>
    <row r="2760" spans="1:5">
      <c r="A2760">
        <f>HYPERLINK("http://www.twitter.com/NYPDnews/status/739792747750666240", "739792747750666240")</f>
        <v>0</v>
      </c>
      <c r="B2760" s="2">
        <v>42527.5105324074</v>
      </c>
      <c r="C2760">
        <v>43</v>
      </c>
      <c r="D2760">
        <v>21</v>
      </c>
      <c r="E2760" t="s">
        <v>2735</v>
      </c>
    </row>
    <row r="2761" spans="1:5">
      <c r="A2761">
        <f>HYPERLINK("http://www.twitter.com/NYPDnews/status/739789040669560832", "739789040669560832")</f>
        <v>0</v>
      </c>
      <c r="B2761" s="2">
        <v>42527.5003009259</v>
      </c>
      <c r="C2761">
        <v>131</v>
      </c>
      <c r="D2761">
        <v>31</v>
      </c>
      <c r="E2761" t="s">
        <v>2736</v>
      </c>
    </row>
    <row r="2762" spans="1:5">
      <c r="A2762">
        <f>HYPERLINK("http://www.twitter.com/NYPDnews/status/739784622230405120", "739784622230405120")</f>
        <v>0</v>
      </c>
      <c r="B2762" s="2">
        <v>42527.4881134259</v>
      </c>
      <c r="C2762">
        <v>24</v>
      </c>
      <c r="D2762">
        <v>51</v>
      </c>
      <c r="E2762" t="s">
        <v>2713</v>
      </c>
    </row>
    <row r="2763" spans="1:5">
      <c r="A2763">
        <f>HYPERLINK("http://www.twitter.com/NYPDnews/status/739641234516512771", "739641234516512771")</f>
        <v>0</v>
      </c>
      <c r="B2763" s="2">
        <v>42527.0924305556</v>
      </c>
      <c r="C2763">
        <v>0</v>
      </c>
      <c r="D2763">
        <v>115</v>
      </c>
      <c r="E2763" t="s">
        <v>2737</v>
      </c>
    </row>
    <row r="2764" spans="1:5">
      <c r="A2764">
        <f>HYPERLINK("http://www.twitter.com/NYPDnews/status/739601475215761410", "739601475215761410")</f>
        <v>0</v>
      </c>
      <c r="B2764" s="2">
        <v>42526.9827199074</v>
      </c>
      <c r="C2764">
        <v>198</v>
      </c>
      <c r="D2764">
        <v>131</v>
      </c>
      <c r="E2764" t="s">
        <v>2738</v>
      </c>
    </row>
    <row r="2765" spans="1:5">
      <c r="A2765">
        <f>HYPERLINK("http://www.twitter.com/NYPDnews/status/739542368672747520", "739542368672747520")</f>
        <v>0</v>
      </c>
      <c r="B2765" s="2">
        <v>42526.8196180556</v>
      </c>
      <c r="C2765">
        <v>33</v>
      </c>
      <c r="D2765">
        <v>10</v>
      </c>
      <c r="E2765" t="s">
        <v>2739</v>
      </c>
    </row>
    <row r="2766" spans="1:5">
      <c r="A2766">
        <f>HYPERLINK("http://www.twitter.com/NYPDnews/status/739504585849638913", "739504585849638913")</f>
        <v>0</v>
      </c>
      <c r="B2766" s="2">
        <v>42526.7153587963</v>
      </c>
      <c r="C2766">
        <v>14</v>
      </c>
      <c r="D2766">
        <v>9</v>
      </c>
      <c r="E2766" t="s">
        <v>2740</v>
      </c>
    </row>
    <row r="2767" spans="1:5">
      <c r="A2767">
        <f>HYPERLINK("http://www.twitter.com/NYPDnews/status/739497037511725060", "739497037511725060")</f>
        <v>0</v>
      </c>
      <c r="B2767" s="2">
        <v>42526.694525463</v>
      </c>
      <c r="C2767">
        <v>111</v>
      </c>
      <c r="D2767">
        <v>36</v>
      </c>
      <c r="E2767" t="s">
        <v>2741</v>
      </c>
    </row>
    <row r="2768" spans="1:5">
      <c r="A2768">
        <f>HYPERLINK("http://www.twitter.com/NYPDnews/status/739488236314185728", "739488236314185728")</f>
        <v>0</v>
      </c>
      <c r="B2768" s="2">
        <v>42526.6702430556</v>
      </c>
      <c r="C2768">
        <v>171</v>
      </c>
      <c r="D2768">
        <v>28</v>
      </c>
      <c r="E2768" t="s">
        <v>2742</v>
      </c>
    </row>
    <row r="2769" spans="1:5">
      <c r="A2769">
        <f>HYPERLINK("http://www.twitter.com/NYPDnews/status/739470626818260992", "739470626818260992")</f>
        <v>0</v>
      </c>
      <c r="B2769" s="2">
        <v>42526.6216435185</v>
      </c>
      <c r="C2769">
        <v>11</v>
      </c>
      <c r="D2769">
        <v>9</v>
      </c>
      <c r="E2769" t="s">
        <v>2743</v>
      </c>
    </row>
    <row r="2770" spans="1:5">
      <c r="A2770">
        <f>HYPERLINK("http://www.twitter.com/NYPDnews/status/739453670341939200", "739453670341939200")</f>
        <v>0</v>
      </c>
      <c r="B2770" s="2">
        <v>42526.5748611111</v>
      </c>
      <c r="C2770">
        <v>35</v>
      </c>
      <c r="D2770">
        <v>26</v>
      </c>
      <c r="E2770" t="s">
        <v>2744</v>
      </c>
    </row>
    <row r="2771" spans="1:5">
      <c r="A2771">
        <f>HYPERLINK("http://www.twitter.com/NYPDnews/status/739443056840200192", "739443056840200192")</f>
        <v>0</v>
      </c>
      <c r="B2771" s="2">
        <v>42526.5455671296</v>
      </c>
      <c r="C2771">
        <v>49</v>
      </c>
      <c r="D2771">
        <v>85</v>
      </c>
      <c r="E2771" t="s">
        <v>2745</v>
      </c>
    </row>
    <row r="2772" spans="1:5">
      <c r="A2772">
        <f>HYPERLINK("http://www.twitter.com/NYPDnews/status/739268035077365760", "739268035077365760")</f>
        <v>0</v>
      </c>
      <c r="B2772" s="2">
        <v>42526.0626041667</v>
      </c>
      <c r="C2772">
        <v>42</v>
      </c>
      <c r="D2772">
        <v>133</v>
      </c>
      <c r="E2772" t="s">
        <v>2746</v>
      </c>
    </row>
    <row r="2773" spans="1:5">
      <c r="A2773">
        <f>HYPERLINK("http://www.twitter.com/NYPDnews/status/739263021860671489", "739263021860671489")</f>
        <v>0</v>
      </c>
      <c r="B2773" s="2">
        <v>42526.0487615741</v>
      </c>
      <c r="C2773">
        <v>39</v>
      </c>
      <c r="D2773">
        <v>30</v>
      </c>
      <c r="E2773" t="s">
        <v>2747</v>
      </c>
    </row>
    <row r="2774" spans="1:5">
      <c r="A2774">
        <f>HYPERLINK("http://www.twitter.com/NYPDnews/status/739253030676246528", "739253030676246528")</f>
        <v>0</v>
      </c>
      <c r="B2774" s="2">
        <v>42526.0211921296</v>
      </c>
      <c r="C2774">
        <v>24</v>
      </c>
      <c r="D2774">
        <v>17</v>
      </c>
      <c r="E2774" t="s">
        <v>2748</v>
      </c>
    </row>
    <row r="2775" spans="1:5">
      <c r="A2775">
        <f>HYPERLINK("http://www.twitter.com/NYPDnews/status/739100709757554688", "739100709757554688")</f>
        <v>0</v>
      </c>
      <c r="B2775" s="2">
        <v>42525.6008680556</v>
      </c>
      <c r="C2775">
        <v>25</v>
      </c>
      <c r="D2775">
        <v>10</v>
      </c>
      <c r="E2775" t="s">
        <v>2749</v>
      </c>
    </row>
    <row r="2776" spans="1:5">
      <c r="A2776">
        <f>HYPERLINK("http://www.twitter.com/NYPDnews/status/738904792509120512", "738904792509120512")</f>
        <v>0</v>
      </c>
      <c r="B2776" s="2">
        <v>42525.0602430556</v>
      </c>
      <c r="C2776">
        <v>32</v>
      </c>
      <c r="D2776">
        <v>15</v>
      </c>
      <c r="E2776" t="s">
        <v>2750</v>
      </c>
    </row>
    <row r="2777" spans="1:5">
      <c r="A2777">
        <f>HYPERLINK("http://www.twitter.com/NYPDnews/status/738859111899664384", "738859111899664384")</f>
        <v>0</v>
      </c>
      <c r="B2777" s="2">
        <v>42524.9341898148</v>
      </c>
      <c r="C2777">
        <v>23</v>
      </c>
      <c r="D2777">
        <v>12</v>
      </c>
      <c r="E2777" t="s">
        <v>2751</v>
      </c>
    </row>
    <row r="2778" spans="1:5">
      <c r="A2778">
        <f>HYPERLINK("http://www.twitter.com/NYPDnews/status/738773554272055297", "738773554272055297")</f>
        <v>0</v>
      </c>
      <c r="B2778" s="2">
        <v>42524.6980902778</v>
      </c>
      <c r="C2778">
        <v>185</v>
      </c>
      <c r="D2778">
        <v>112</v>
      </c>
      <c r="E2778" t="s">
        <v>2752</v>
      </c>
    </row>
    <row r="2779" spans="1:5">
      <c r="A2779">
        <f>HYPERLINK("http://www.twitter.com/NYPDnews/status/738763552908017664", "738763552908017664")</f>
        <v>0</v>
      </c>
      <c r="B2779" s="2">
        <v>42524.6704976852</v>
      </c>
      <c r="C2779">
        <v>32</v>
      </c>
      <c r="D2779">
        <v>72</v>
      </c>
      <c r="E2779" t="s">
        <v>2753</v>
      </c>
    </row>
    <row r="2780" spans="1:5">
      <c r="A2780">
        <f>HYPERLINK("http://www.twitter.com/NYPDnews/status/738762472203681792", "738762472203681792")</f>
        <v>0</v>
      </c>
      <c r="B2780" s="2">
        <v>42524.6675115741</v>
      </c>
      <c r="C2780">
        <v>22</v>
      </c>
      <c r="D2780">
        <v>14</v>
      </c>
      <c r="E2780" t="s">
        <v>2754</v>
      </c>
    </row>
    <row r="2781" spans="1:5">
      <c r="A2781">
        <f>HYPERLINK("http://www.twitter.com/NYPDnews/status/738762306868420608", "738762306868420608")</f>
        <v>0</v>
      </c>
      <c r="B2781" s="2">
        <v>42524.6670601852</v>
      </c>
      <c r="C2781">
        <v>18</v>
      </c>
      <c r="D2781">
        <v>49</v>
      </c>
      <c r="E2781" t="s">
        <v>2755</v>
      </c>
    </row>
    <row r="2782" spans="1:5">
      <c r="A2782">
        <f>HYPERLINK("http://www.twitter.com/NYPDnews/status/738745305466843136", "738745305466843136")</f>
        <v>0</v>
      </c>
      <c r="B2782" s="2">
        <v>42524.6201388889</v>
      </c>
      <c r="C2782">
        <v>0</v>
      </c>
      <c r="D2782">
        <v>17</v>
      </c>
      <c r="E2782" t="s">
        <v>2756</v>
      </c>
    </row>
    <row r="2783" spans="1:5">
      <c r="A2783">
        <f>HYPERLINK("http://www.twitter.com/NYPDnews/status/738713149512265729", "738713149512265729")</f>
        <v>0</v>
      </c>
      <c r="B2783" s="2">
        <v>42524.531412037</v>
      </c>
      <c r="C2783">
        <v>28</v>
      </c>
      <c r="D2783">
        <v>8</v>
      </c>
      <c r="E2783" t="s">
        <v>2757</v>
      </c>
    </row>
    <row r="2784" spans="1:5">
      <c r="A2784">
        <f>HYPERLINK("http://www.twitter.com/NYPDnews/status/738709544839335938", "738709544839335938")</f>
        <v>0</v>
      </c>
      <c r="B2784" s="2">
        <v>42524.5214583333</v>
      </c>
      <c r="C2784">
        <v>39</v>
      </c>
      <c r="D2784">
        <v>14</v>
      </c>
      <c r="E2784" t="s">
        <v>2758</v>
      </c>
    </row>
    <row r="2785" spans="1:5">
      <c r="A2785">
        <f>HYPERLINK("http://www.twitter.com/NYPDnews/status/738705627351027712", "738705627351027712")</f>
        <v>0</v>
      </c>
      <c r="B2785" s="2">
        <v>42524.5106481481</v>
      </c>
      <c r="C2785">
        <v>12</v>
      </c>
      <c r="D2785">
        <v>37</v>
      </c>
      <c r="E2785" t="s">
        <v>2759</v>
      </c>
    </row>
    <row r="2786" spans="1:5">
      <c r="A2786">
        <f>HYPERLINK("http://www.twitter.com/NYPDnews/status/738702181835083776", "738702181835083776")</f>
        <v>0</v>
      </c>
      <c r="B2786" s="2">
        <v>42524.5011458333</v>
      </c>
      <c r="C2786">
        <v>24</v>
      </c>
      <c r="D2786">
        <v>5</v>
      </c>
      <c r="E2786" t="s">
        <v>2760</v>
      </c>
    </row>
    <row r="2787" spans="1:5">
      <c r="A2787">
        <f>HYPERLINK("http://www.twitter.com/NYPDnews/status/738699301732405248", "738699301732405248")</f>
        <v>0</v>
      </c>
      <c r="B2787" s="2">
        <v>42524.4931944444</v>
      </c>
      <c r="C2787">
        <v>28</v>
      </c>
      <c r="D2787">
        <v>21</v>
      </c>
      <c r="E2787" t="s">
        <v>2761</v>
      </c>
    </row>
    <row r="2788" spans="1:5">
      <c r="A2788">
        <f>HYPERLINK("http://www.twitter.com/NYPDnews/status/738528272217210880", "738528272217210880")</f>
        <v>0</v>
      </c>
      <c r="B2788" s="2">
        <v>42524.0212384259</v>
      </c>
      <c r="C2788">
        <v>46</v>
      </c>
      <c r="D2788">
        <v>24</v>
      </c>
      <c r="E2788" t="s">
        <v>2762</v>
      </c>
    </row>
    <row r="2789" spans="1:5">
      <c r="A2789">
        <f>HYPERLINK("http://www.twitter.com/NYPDnews/status/738521674144993280", "738521674144993280")</f>
        <v>0</v>
      </c>
      <c r="B2789" s="2">
        <v>42524.0030324074</v>
      </c>
      <c r="C2789">
        <v>0</v>
      </c>
      <c r="D2789">
        <v>95</v>
      </c>
      <c r="E2789" t="s">
        <v>2763</v>
      </c>
    </row>
    <row r="2790" spans="1:5">
      <c r="A2790">
        <f>HYPERLINK("http://www.twitter.com/NYPDnews/status/738479002566983681", "738479002566983681")</f>
        <v>0</v>
      </c>
      <c r="B2790" s="2">
        <v>42523.8852893518</v>
      </c>
      <c r="C2790">
        <v>116</v>
      </c>
      <c r="D2790">
        <v>19</v>
      </c>
      <c r="E2790" t="s">
        <v>2764</v>
      </c>
    </row>
    <row r="2791" spans="1:5">
      <c r="A2791">
        <f>HYPERLINK("http://www.twitter.com/NYPDnews/status/738433786485080064", "738433786485080064")</f>
        <v>0</v>
      </c>
      <c r="B2791" s="2">
        <v>42523.7605092593</v>
      </c>
      <c r="C2791">
        <v>39</v>
      </c>
      <c r="D2791">
        <v>14</v>
      </c>
      <c r="E2791" t="s">
        <v>2765</v>
      </c>
    </row>
    <row r="2792" spans="1:5">
      <c r="A2792">
        <f>HYPERLINK("http://www.twitter.com/NYPDnews/status/738432528164524032", "738432528164524032")</f>
        <v>0</v>
      </c>
      <c r="B2792" s="2">
        <v>42523.757037037</v>
      </c>
      <c r="C2792">
        <v>44</v>
      </c>
      <c r="D2792">
        <v>23</v>
      </c>
      <c r="E2792" t="s">
        <v>2766</v>
      </c>
    </row>
    <row r="2793" spans="1:5">
      <c r="A2793">
        <f>HYPERLINK("http://www.twitter.com/NYPDnews/status/738431275363667968", "738431275363667968")</f>
        <v>0</v>
      </c>
      <c r="B2793" s="2">
        <v>42523.753587963</v>
      </c>
      <c r="C2793">
        <v>73</v>
      </c>
      <c r="D2793">
        <v>26</v>
      </c>
      <c r="E2793" t="s">
        <v>2767</v>
      </c>
    </row>
    <row r="2794" spans="1:5">
      <c r="A2794">
        <f>HYPERLINK("http://www.twitter.com/NYPDnews/status/738430069169852416", "738430069169852416")</f>
        <v>0</v>
      </c>
      <c r="B2794" s="2">
        <v>42523.7502546296</v>
      </c>
      <c r="C2794">
        <v>26</v>
      </c>
      <c r="D2794">
        <v>8</v>
      </c>
      <c r="E2794" t="s">
        <v>2768</v>
      </c>
    </row>
    <row r="2795" spans="1:5">
      <c r="A2795">
        <f>HYPERLINK("http://www.twitter.com/NYPDnews/status/738429857831358464", "738429857831358464")</f>
        <v>0</v>
      </c>
      <c r="B2795" s="2">
        <v>42523.7496759259</v>
      </c>
      <c r="C2795">
        <v>9</v>
      </c>
      <c r="D2795">
        <v>12</v>
      </c>
      <c r="E2795" t="s">
        <v>2769</v>
      </c>
    </row>
    <row r="2796" spans="1:5">
      <c r="A2796">
        <f>HYPERLINK("http://www.twitter.com/NYPDnews/status/738428151387295744", "738428151387295744")</f>
        <v>0</v>
      </c>
      <c r="B2796" s="2">
        <v>42523.7449652778</v>
      </c>
      <c r="C2796">
        <v>32</v>
      </c>
      <c r="D2796">
        <v>14</v>
      </c>
      <c r="E2796" t="s">
        <v>2770</v>
      </c>
    </row>
    <row r="2797" spans="1:5">
      <c r="A2797">
        <f>HYPERLINK("http://www.twitter.com/NYPDnews/status/738427118556700672", "738427118556700672")</f>
        <v>0</v>
      </c>
      <c r="B2797" s="2">
        <v>42523.7421180556</v>
      </c>
      <c r="C2797">
        <v>30</v>
      </c>
      <c r="D2797">
        <v>12</v>
      </c>
      <c r="E2797" t="s">
        <v>2771</v>
      </c>
    </row>
    <row r="2798" spans="1:5">
      <c r="A2798">
        <f>HYPERLINK("http://www.twitter.com/NYPDnews/status/738425357112610816", "738425357112610816")</f>
        <v>0</v>
      </c>
      <c r="B2798" s="2">
        <v>42523.7372569444</v>
      </c>
      <c r="C2798">
        <v>108</v>
      </c>
      <c r="D2798">
        <v>64</v>
      </c>
      <c r="E2798" t="s">
        <v>2772</v>
      </c>
    </row>
    <row r="2799" spans="1:5">
      <c r="A2799">
        <f>HYPERLINK("http://www.twitter.com/NYPDnews/status/738424162763583492", "738424162763583492")</f>
        <v>0</v>
      </c>
      <c r="B2799" s="2">
        <v>42523.7339583333</v>
      </c>
      <c r="C2799">
        <v>7</v>
      </c>
      <c r="D2799">
        <v>6</v>
      </c>
      <c r="E2799" t="s">
        <v>2773</v>
      </c>
    </row>
    <row r="2800" spans="1:5">
      <c r="A2800">
        <f>HYPERLINK("http://www.twitter.com/NYPDnews/status/738423442035331072", "738423442035331072")</f>
        <v>0</v>
      </c>
      <c r="B2800" s="2">
        <v>42523.7319675926</v>
      </c>
      <c r="C2800">
        <v>11</v>
      </c>
      <c r="D2800">
        <v>8</v>
      </c>
      <c r="E2800" t="s">
        <v>2774</v>
      </c>
    </row>
    <row r="2801" spans="1:5">
      <c r="A2801">
        <f>HYPERLINK("http://www.twitter.com/NYPDnews/status/738417709394890753", "738417709394890753")</f>
        <v>0</v>
      </c>
      <c r="B2801" s="2">
        <v>42523.7161458333</v>
      </c>
      <c r="C2801">
        <v>11</v>
      </c>
      <c r="D2801">
        <v>14</v>
      </c>
      <c r="E2801" t="s">
        <v>2775</v>
      </c>
    </row>
    <row r="2802" spans="1:5">
      <c r="A2802">
        <f>HYPERLINK("http://www.twitter.com/NYPDnews/status/738406750362173440", "738406750362173440")</f>
        <v>0</v>
      </c>
      <c r="B2802" s="2">
        <v>42523.6859027778</v>
      </c>
      <c r="C2802">
        <v>64</v>
      </c>
      <c r="D2802">
        <v>27</v>
      </c>
      <c r="E2802" t="s">
        <v>2776</v>
      </c>
    </row>
    <row r="2803" spans="1:5">
      <c r="A2803">
        <f>HYPERLINK("http://www.twitter.com/NYPDnews/status/738404997235417088", "738404997235417088")</f>
        <v>0</v>
      </c>
      <c r="B2803" s="2">
        <v>42523.6810648148</v>
      </c>
      <c r="C2803">
        <v>53</v>
      </c>
      <c r="D2803">
        <v>33</v>
      </c>
      <c r="E2803" t="s">
        <v>2777</v>
      </c>
    </row>
    <row r="2804" spans="1:5">
      <c r="A2804">
        <f>HYPERLINK("http://www.twitter.com/NYPDnews/status/738380367418302465", "738380367418302465")</f>
        <v>0</v>
      </c>
      <c r="B2804" s="2">
        <v>42523.6131018518</v>
      </c>
      <c r="C2804">
        <v>0</v>
      </c>
      <c r="D2804">
        <v>31</v>
      </c>
      <c r="E2804" t="s">
        <v>2778</v>
      </c>
    </row>
    <row r="2805" spans="1:5">
      <c r="A2805">
        <f>HYPERLINK("http://www.twitter.com/NYPDnews/status/738350767585792002", "738350767585792002")</f>
        <v>0</v>
      </c>
      <c r="B2805" s="2">
        <v>42523.5314236111</v>
      </c>
      <c r="C2805">
        <v>24</v>
      </c>
      <c r="D2805">
        <v>45</v>
      </c>
      <c r="E2805" t="s">
        <v>2779</v>
      </c>
    </row>
    <row r="2806" spans="1:5">
      <c r="A2806">
        <f>HYPERLINK("http://www.twitter.com/NYPDnews/status/738347094822510593", "738347094822510593")</f>
        <v>0</v>
      </c>
      <c r="B2806" s="2">
        <v>42523.5212847222</v>
      </c>
      <c r="C2806">
        <v>57</v>
      </c>
      <c r="D2806">
        <v>28</v>
      </c>
      <c r="E2806" t="s">
        <v>2780</v>
      </c>
    </row>
    <row r="2807" spans="1:5">
      <c r="A2807">
        <f>HYPERLINK("http://www.twitter.com/NYPDnews/status/738343253209141248", "738343253209141248")</f>
        <v>0</v>
      </c>
      <c r="B2807" s="2">
        <v>42523.5106828704</v>
      </c>
      <c r="C2807">
        <v>22</v>
      </c>
      <c r="D2807">
        <v>11</v>
      </c>
      <c r="E2807" t="s">
        <v>2781</v>
      </c>
    </row>
    <row r="2808" spans="1:5">
      <c r="A2808">
        <f>HYPERLINK("http://www.twitter.com/NYPDnews/status/738339494689136641", "738339494689136641")</f>
        <v>0</v>
      </c>
      <c r="B2808" s="2">
        <v>42523.5003125</v>
      </c>
      <c r="C2808">
        <v>29</v>
      </c>
      <c r="D2808">
        <v>22</v>
      </c>
      <c r="E2808" t="s">
        <v>2782</v>
      </c>
    </row>
    <row r="2809" spans="1:5">
      <c r="A2809">
        <f>HYPERLINK("http://www.twitter.com/NYPDnews/status/738169572776247296", "738169572776247296")</f>
        <v>0</v>
      </c>
      <c r="B2809" s="2">
        <v>42523.0314236111</v>
      </c>
      <c r="C2809">
        <v>100</v>
      </c>
      <c r="D2809">
        <v>23</v>
      </c>
      <c r="E2809" t="s">
        <v>2783</v>
      </c>
    </row>
    <row r="2810" spans="1:5">
      <c r="A2810">
        <f>HYPERLINK("http://www.twitter.com/NYPDnews/status/738131853148704768", "738131853148704768")</f>
        <v>0</v>
      </c>
      <c r="B2810" s="2">
        <v>42522.927337963</v>
      </c>
      <c r="C2810">
        <v>25</v>
      </c>
      <c r="D2810">
        <v>8</v>
      </c>
      <c r="E2810" t="s">
        <v>2784</v>
      </c>
    </row>
    <row r="2811" spans="1:5">
      <c r="A2811">
        <f>HYPERLINK("http://www.twitter.com/NYPDnews/status/738058831285112833", "738058831285112833")</f>
        <v>0</v>
      </c>
      <c r="B2811" s="2">
        <v>42522.7258333333</v>
      </c>
      <c r="C2811">
        <v>31</v>
      </c>
      <c r="D2811">
        <v>8</v>
      </c>
      <c r="E2811" t="s">
        <v>2785</v>
      </c>
    </row>
    <row r="2812" spans="1:5">
      <c r="A2812">
        <f>HYPERLINK("http://www.twitter.com/NYPDnews/status/737988411999539200", "737988411999539200")</f>
        <v>0</v>
      </c>
      <c r="B2812" s="2">
        <v>42522.5315162037</v>
      </c>
      <c r="C2812">
        <v>38</v>
      </c>
      <c r="D2812">
        <v>25</v>
      </c>
      <c r="E2812" t="s">
        <v>2786</v>
      </c>
    </row>
    <row r="2813" spans="1:5">
      <c r="A2813">
        <f>HYPERLINK("http://www.twitter.com/NYPDnews/status/737984735566270465", "737984735566270465")</f>
        <v>0</v>
      </c>
      <c r="B2813" s="2">
        <v>42522.5213657407</v>
      </c>
      <c r="C2813">
        <v>17</v>
      </c>
      <c r="D2813">
        <v>40</v>
      </c>
      <c r="E2813" t="s">
        <v>2787</v>
      </c>
    </row>
    <row r="2814" spans="1:5">
      <c r="A2814">
        <f>HYPERLINK("http://www.twitter.com/NYPDnews/status/737981944080764928", "737981944080764928")</f>
        <v>0</v>
      </c>
      <c r="B2814" s="2">
        <v>42522.5136689815</v>
      </c>
      <c r="C2814">
        <v>69</v>
      </c>
      <c r="D2814">
        <v>25</v>
      </c>
      <c r="E2814" t="s">
        <v>2788</v>
      </c>
    </row>
    <row r="2815" spans="1:5">
      <c r="A2815">
        <f>HYPERLINK("http://www.twitter.com/NYPDnews/status/737977296569655296", "737977296569655296")</f>
        <v>0</v>
      </c>
      <c r="B2815" s="2">
        <v>42522.5008449074</v>
      </c>
      <c r="C2815">
        <v>20</v>
      </c>
      <c r="D2815">
        <v>50</v>
      </c>
      <c r="E2815" t="s">
        <v>2789</v>
      </c>
    </row>
    <row r="2816" spans="1:5">
      <c r="A2816">
        <f>HYPERLINK("http://www.twitter.com/NYPDnews/status/737963124435910657", "737963124435910657")</f>
        <v>0</v>
      </c>
      <c r="B2816" s="2">
        <v>42522.4617361111</v>
      </c>
      <c r="C2816">
        <v>0</v>
      </c>
      <c r="D2816">
        <v>23</v>
      </c>
      <c r="E2816" t="s">
        <v>2790</v>
      </c>
    </row>
    <row r="2817" spans="1:5">
      <c r="A2817">
        <f>HYPERLINK("http://www.twitter.com/NYPDnews/status/737802131978084352", "737802131978084352")</f>
        <v>0</v>
      </c>
      <c r="B2817" s="2">
        <v>42522.0174768519</v>
      </c>
      <c r="C2817">
        <v>38</v>
      </c>
      <c r="D2817">
        <v>19</v>
      </c>
      <c r="E2817" t="s">
        <v>2791</v>
      </c>
    </row>
    <row r="2818" spans="1:5">
      <c r="A2818">
        <f>HYPERLINK("http://www.twitter.com/NYPDnews/status/737797088935841792", "737797088935841792")</f>
        <v>0</v>
      </c>
      <c r="B2818" s="2">
        <v>42522.0035648148</v>
      </c>
      <c r="C2818">
        <v>43</v>
      </c>
      <c r="D2818">
        <v>25</v>
      </c>
      <c r="E2818" t="s">
        <v>2792</v>
      </c>
    </row>
    <row r="2819" spans="1:5">
      <c r="A2819">
        <f>HYPERLINK("http://www.twitter.com/NYPDnews/status/737695188408225793", "737695188408225793")</f>
        <v>0</v>
      </c>
      <c r="B2819" s="2">
        <v>42521.7223726852</v>
      </c>
      <c r="C2819">
        <v>39</v>
      </c>
      <c r="D2819">
        <v>77</v>
      </c>
      <c r="E2819" t="s">
        <v>2793</v>
      </c>
    </row>
    <row r="2820" spans="1:5">
      <c r="A2820">
        <f>HYPERLINK("http://www.twitter.com/NYPDnews/status/737642611125559296", "737642611125559296")</f>
        <v>0</v>
      </c>
      <c r="B2820" s="2">
        <v>42521.5772800926</v>
      </c>
      <c r="C2820">
        <v>21</v>
      </c>
      <c r="D2820">
        <v>11</v>
      </c>
      <c r="E2820" t="s">
        <v>2794</v>
      </c>
    </row>
    <row r="2821" spans="1:5">
      <c r="A2821">
        <f>HYPERLINK("http://www.twitter.com/NYPDnews/status/737630864042000385", "737630864042000385")</f>
        <v>0</v>
      </c>
      <c r="B2821" s="2">
        <v>42521.5448726852</v>
      </c>
      <c r="C2821">
        <v>193</v>
      </c>
      <c r="D2821">
        <v>66</v>
      </c>
      <c r="E2821" t="s">
        <v>2795</v>
      </c>
    </row>
    <row r="2822" spans="1:5">
      <c r="A2822">
        <f>HYPERLINK("http://www.twitter.com/NYPDnews/status/737626053452148736", "737626053452148736")</f>
        <v>0</v>
      </c>
      <c r="B2822" s="2">
        <v>42521.5315972222</v>
      </c>
      <c r="C2822">
        <v>109</v>
      </c>
      <c r="D2822">
        <v>34</v>
      </c>
      <c r="E2822" t="s">
        <v>2796</v>
      </c>
    </row>
    <row r="2823" spans="1:5">
      <c r="A2823">
        <f>HYPERLINK("http://www.twitter.com/NYPDnews/status/737622426641649664", "737622426641649664")</f>
        <v>0</v>
      </c>
      <c r="B2823" s="2">
        <v>42521.5215856481</v>
      </c>
      <c r="C2823">
        <v>81</v>
      </c>
      <c r="D2823">
        <v>27</v>
      </c>
      <c r="E2823" t="s">
        <v>2797</v>
      </c>
    </row>
    <row r="2824" spans="1:5">
      <c r="A2824">
        <f>HYPERLINK("http://www.twitter.com/NYPDnews/status/737618424495374336", "737618424495374336")</f>
        <v>0</v>
      </c>
      <c r="B2824" s="2">
        <v>42521.5105439815</v>
      </c>
      <c r="C2824">
        <v>60</v>
      </c>
      <c r="D2824">
        <v>23</v>
      </c>
      <c r="E2824" t="s">
        <v>2798</v>
      </c>
    </row>
    <row r="2825" spans="1:5">
      <c r="A2825">
        <f>HYPERLINK("http://www.twitter.com/NYPDnews/status/737614967931699204", "737614967931699204")</f>
        <v>0</v>
      </c>
      <c r="B2825" s="2">
        <v>42521.5010069444</v>
      </c>
      <c r="C2825">
        <v>42</v>
      </c>
      <c r="D2825">
        <v>129</v>
      </c>
      <c r="E2825" t="s">
        <v>2799</v>
      </c>
    </row>
    <row r="2826" spans="1:5">
      <c r="A2826">
        <f>HYPERLINK("http://www.twitter.com/NYPDnews/status/737435975165595648", "737435975165595648")</f>
        <v>0</v>
      </c>
      <c r="B2826" s="2">
        <v>42521.0070833333</v>
      </c>
      <c r="C2826">
        <v>149</v>
      </c>
      <c r="D2826">
        <v>64</v>
      </c>
      <c r="E2826" t="s">
        <v>2800</v>
      </c>
    </row>
    <row r="2827" spans="1:5">
      <c r="A2827">
        <f>HYPERLINK("http://www.twitter.com/NYPDnews/status/737371028817620994", "737371028817620994")</f>
        <v>0</v>
      </c>
      <c r="B2827" s="2">
        <v>42520.8278587963</v>
      </c>
      <c r="C2827">
        <v>0</v>
      </c>
      <c r="D2827">
        <v>32</v>
      </c>
      <c r="E2827" t="s">
        <v>2801</v>
      </c>
    </row>
    <row r="2828" spans="1:5">
      <c r="A2828">
        <f>HYPERLINK("http://www.twitter.com/NYPDnews/status/737320266821476353", "737320266821476353")</f>
        <v>0</v>
      </c>
      <c r="B2828" s="2">
        <v>42520.6877893519</v>
      </c>
      <c r="C2828">
        <v>93</v>
      </c>
      <c r="D2828">
        <v>41</v>
      </c>
      <c r="E2828" t="s">
        <v>2802</v>
      </c>
    </row>
    <row r="2829" spans="1:5">
      <c r="A2829">
        <f>HYPERLINK("http://www.twitter.com/NYPDnews/status/737290056185057281", "737290056185057281")</f>
        <v>0</v>
      </c>
      <c r="B2829" s="2">
        <v>42520.6044212963</v>
      </c>
      <c r="C2829">
        <v>166</v>
      </c>
      <c r="D2829">
        <v>76</v>
      </c>
      <c r="E2829" t="s">
        <v>2803</v>
      </c>
    </row>
    <row r="2830" spans="1:5">
      <c r="A2830">
        <f>HYPERLINK("http://www.twitter.com/NYPDnews/status/737282597726900226", "737282597726900226")</f>
        <v>0</v>
      </c>
      <c r="B2830" s="2">
        <v>42520.5838425926</v>
      </c>
      <c r="C2830">
        <v>89</v>
      </c>
      <c r="D2830">
        <v>29</v>
      </c>
      <c r="E2830" t="s">
        <v>2804</v>
      </c>
    </row>
    <row r="2831" spans="1:5">
      <c r="A2831">
        <f>HYPERLINK("http://www.twitter.com/NYPDnews/status/737276180542423040", "737276180542423040")</f>
        <v>0</v>
      </c>
      <c r="B2831" s="2">
        <v>42520.5661342593</v>
      </c>
      <c r="C2831">
        <v>48</v>
      </c>
      <c r="D2831">
        <v>15</v>
      </c>
      <c r="E2831" t="s">
        <v>2805</v>
      </c>
    </row>
    <row r="2832" spans="1:5">
      <c r="A2832">
        <f>HYPERLINK("http://www.twitter.com/NYPDnews/status/737260006492508160", "737260006492508160")</f>
        <v>0</v>
      </c>
      <c r="B2832" s="2">
        <v>42520.5214930556</v>
      </c>
      <c r="C2832">
        <v>161</v>
      </c>
      <c r="D2832">
        <v>42</v>
      </c>
      <c r="E2832" t="s">
        <v>2806</v>
      </c>
    </row>
    <row r="2833" spans="1:5">
      <c r="A2833">
        <f>HYPERLINK("http://www.twitter.com/NYPDnews/status/737256031848390657", "737256031848390657")</f>
        <v>0</v>
      </c>
      <c r="B2833" s="2">
        <v>42520.5105324074</v>
      </c>
      <c r="C2833">
        <v>16</v>
      </c>
      <c r="D2833">
        <v>29</v>
      </c>
      <c r="E2833" t="s">
        <v>2807</v>
      </c>
    </row>
    <row r="2834" spans="1:5">
      <c r="A2834">
        <f>HYPERLINK("http://www.twitter.com/NYPDnews/status/737256030468513792", "737256030468513792")</f>
        <v>0</v>
      </c>
      <c r="B2834" s="2">
        <v>42520.5105208333</v>
      </c>
      <c r="C2834">
        <v>12</v>
      </c>
      <c r="D2834">
        <v>11</v>
      </c>
      <c r="E2834" t="s">
        <v>2808</v>
      </c>
    </row>
    <row r="2835" spans="1:5">
      <c r="A2835">
        <f>HYPERLINK("http://www.twitter.com/NYPDnews/status/737073561542725632", "737073561542725632")</f>
        <v>0</v>
      </c>
      <c r="B2835" s="2">
        <v>42520.0070023148</v>
      </c>
      <c r="C2835">
        <v>142</v>
      </c>
      <c r="D2835">
        <v>34</v>
      </c>
      <c r="E2835" t="s">
        <v>2809</v>
      </c>
    </row>
    <row r="2836" spans="1:5">
      <c r="A2836">
        <f>HYPERLINK("http://www.twitter.com/NYPDnews/status/737046478091374593", "737046478091374593")</f>
        <v>0</v>
      </c>
      <c r="B2836" s="2">
        <v>42519.9322685185</v>
      </c>
      <c r="C2836">
        <v>13</v>
      </c>
      <c r="D2836">
        <v>7</v>
      </c>
      <c r="E2836" t="s">
        <v>2810</v>
      </c>
    </row>
    <row r="2837" spans="1:5">
      <c r="A2837">
        <f>HYPERLINK("http://www.twitter.com/NYPDnews/status/736997016539123713", "736997016539123713")</f>
        <v>0</v>
      </c>
      <c r="B2837" s="2">
        <v>42519.795787037</v>
      </c>
      <c r="C2837">
        <v>0</v>
      </c>
      <c r="D2837">
        <v>23</v>
      </c>
      <c r="E2837" t="s">
        <v>2811</v>
      </c>
    </row>
    <row r="2838" spans="1:5">
      <c r="A2838">
        <f>HYPERLINK("http://www.twitter.com/NYPDnews/status/736996907713724418", "736996907713724418")</f>
        <v>0</v>
      </c>
      <c r="B2838" s="2">
        <v>42519.7954861111</v>
      </c>
      <c r="C2838">
        <v>0</v>
      </c>
      <c r="D2838">
        <v>35</v>
      </c>
      <c r="E2838" t="s">
        <v>2812</v>
      </c>
    </row>
    <row r="2839" spans="1:5">
      <c r="A2839">
        <f>HYPERLINK("http://www.twitter.com/NYPDnews/status/736916117365612544", "736916117365612544")</f>
        <v>0</v>
      </c>
      <c r="B2839" s="2">
        <v>42519.5725462963</v>
      </c>
      <c r="C2839">
        <v>98</v>
      </c>
      <c r="D2839">
        <v>50</v>
      </c>
      <c r="E2839" t="s">
        <v>2813</v>
      </c>
    </row>
    <row r="2840" spans="1:5">
      <c r="A2840">
        <f>HYPERLINK("http://www.twitter.com/NYPDnews/status/736908784963072000", "736908784963072000")</f>
        <v>0</v>
      </c>
      <c r="B2840" s="2">
        <v>42519.5523148148</v>
      </c>
      <c r="C2840">
        <v>34</v>
      </c>
      <c r="D2840">
        <v>63</v>
      </c>
      <c r="E2840" t="s">
        <v>2814</v>
      </c>
    </row>
    <row r="2841" spans="1:5">
      <c r="A2841">
        <f>HYPERLINK("http://www.twitter.com/NYPDnews/status/736746420196237312", "736746420196237312")</f>
        <v>0</v>
      </c>
      <c r="B2841" s="2">
        <v>42519.1042708333</v>
      </c>
      <c r="C2841">
        <v>70</v>
      </c>
      <c r="D2841">
        <v>52</v>
      </c>
      <c r="E2841" t="s">
        <v>2815</v>
      </c>
    </row>
    <row r="2842" spans="1:5">
      <c r="A2842">
        <f>HYPERLINK("http://www.twitter.com/NYPDnews/status/736627131514519552", "736627131514519552")</f>
        <v>0</v>
      </c>
      <c r="B2842" s="2">
        <v>42518.7750925926</v>
      </c>
      <c r="C2842">
        <v>0</v>
      </c>
      <c r="D2842">
        <v>60</v>
      </c>
      <c r="E2842" t="s">
        <v>2816</v>
      </c>
    </row>
    <row r="2843" spans="1:5">
      <c r="A2843">
        <f>HYPERLINK("http://www.twitter.com/NYPDnews/status/736610558242398212", "736610558242398212")</f>
        <v>0</v>
      </c>
      <c r="B2843" s="2">
        <v>42518.7293634259</v>
      </c>
      <c r="C2843">
        <v>70</v>
      </c>
      <c r="D2843">
        <v>24</v>
      </c>
      <c r="E2843" t="s">
        <v>2817</v>
      </c>
    </row>
    <row r="2844" spans="1:5">
      <c r="A2844">
        <f>HYPERLINK("http://www.twitter.com/NYPDnews/status/736608602253844480", "736608602253844480")</f>
        <v>0</v>
      </c>
      <c r="B2844" s="2">
        <v>42518.7239583333</v>
      </c>
      <c r="C2844">
        <v>0</v>
      </c>
      <c r="D2844">
        <v>51</v>
      </c>
      <c r="E2844" t="s">
        <v>2818</v>
      </c>
    </row>
    <row r="2845" spans="1:5">
      <c r="A2845">
        <f>HYPERLINK("http://www.twitter.com/NYPDnews/status/736580378090196994", "736580378090196994")</f>
        <v>0</v>
      </c>
      <c r="B2845" s="2">
        <v>42518.6460763889</v>
      </c>
      <c r="C2845">
        <v>58</v>
      </c>
      <c r="D2845">
        <v>21</v>
      </c>
      <c r="E2845" t="s">
        <v>2819</v>
      </c>
    </row>
    <row r="2846" spans="1:5">
      <c r="A2846">
        <f>HYPERLINK("http://www.twitter.com/NYPDnews/status/736557972105658369", "736557972105658369")</f>
        <v>0</v>
      </c>
      <c r="B2846" s="2">
        <v>42518.5842476852</v>
      </c>
      <c r="C2846">
        <v>18</v>
      </c>
      <c r="D2846">
        <v>38</v>
      </c>
      <c r="E2846" t="s">
        <v>2820</v>
      </c>
    </row>
    <row r="2847" spans="1:5">
      <c r="A2847">
        <f>HYPERLINK("http://www.twitter.com/NYPDnews/status/736459583183454209", "736459583183454209")</f>
        <v>0</v>
      </c>
      <c r="B2847" s="2">
        <v>42518.3127546296</v>
      </c>
      <c r="C2847">
        <v>142</v>
      </c>
      <c r="D2847">
        <v>72</v>
      </c>
      <c r="E2847" t="s">
        <v>2821</v>
      </c>
    </row>
    <row r="2848" spans="1:5">
      <c r="A2848">
        <f>HYPERLINK("http://www.twitter.com/NYPDnews/status/736403634552983553", "736403634552983553")</f>
        <v>0</v>
      </c>
      <c r="B2848" s="2">
        <v>42518.1583564815</v>
      </c>
      <c r="C2848">
        <v>46</v>
      </c>
      <c r="D2848">
        <v>44</v>
      </c>
      <c r="E2848" t="s">
        <v>2822</v>
      </c>
    </row>
    <row r="2849" spans="1:5">
      <c r="A2849">
        <f>HYPERLINK("http://www.twitter.com/NYPDnews/status/736356469172535296", "736356469172535296")</f>
        <v>0</v>
      </c>
      <c r="B2849" s="2">
        <v>42518.0282060185</v>
      </c>
      <c r="C2849">
        <v>166</v>
      </c>
      <c r="D2849">
        <v>153</v>
      </c>
      <c r="E2849" t="s">
        <v>2823</v>
      </c>
    </row>
    <row r="2850" spans="1:5">
      <c r="A2850">
        <f>HYPERLINK("http://www.twitter.com/NYPDnews/status/736332452071870464", "736332452071870464")</f>
        <v>0</v>
      </c>
      <c r="B2850" s="2">
        <v>42517.9619328704</v>
      </c>
      <c r="C2850">
        <v>39</v>
      </c>
      <c r="D2850">
        <v>15</v>
      </c>
      <c r="E2850" t="s">
        <v>2824</v>
      </c>
    </row>
    <row r="2851" spans="1:5">
      <c r="A2851">
        <f>HYPERLINK("http://www.twitter.com/NYPDnews/status/736307269537824768", "736307269537824768")</f>
        <v>0</v>
      </c>
      <c r="B2851" s="2">
        <v>42517.8924421296</v>
      </c>
      <c r="C2851">
        <v>49</v>
      </c>
      <c r="D2851">
        <v>36</v>
      </c>
      <c r="E2851" t="s">
        <v>2825</v>
      </c>
    </row>
    <row r="2852" spans="1:5">
      <c r="A2852">
        <f>HYPERLINK("http://www.twitter.com/NYPDnews/status/736287509819359232", "736287509819359232")</f>
        <v>0</v>
      </c>
      <c r="B2852" s="2">
        <v>42517.8379166667</v>
      </c>
      <c r="C2852">
        <v>0</v>
      </c>
      <c r="D2852">
        <v>76</v>
      </c>
      <c r="E2852" t="s">
        <v>2826</v>
      </c>
    </row>
    <row r="2853" spans="1:5">
      <c r="A2853">
        <f>HYPERLINK("http://www.twitter.com/NYPDnews/status/736251045542825984", "736251045542825984")</f>
        <v>0</v>
      </c>
      <c r="B2853" s="2">
        <v>42517.7372916667</v>
      </c>
      <c r="C2853">
        <v>0</v>
      </c>
      <c r="D2853">
        <v>21</v>
      </c>
      <c r="E2853" t="s">
        <v>2827</v>
      </c>
    </row>
    <row r="2854" spans="1:5">
      <c r="A2854">
        <f>HYPERLINK("http://www.twitter.com/NYPDnews/status/736245668851945477", "736245668851945477")</f>
        <v>0</v>
      </c>
      <c r="B2854" s="2">
        <v>42517.7224537037</v>
      </c>
      <c r="C2854">
        <v>15</v>
      </c>
      <c r="D2854">
        <v>12</v>
      </c>
      <c r="E2854" t="s">
        <v>2828</v>
      </c>
    </row>
    <row r="2855" spans="1:5">
      <c r="A2855">
        <f>HYPERLINK("http://www.twitter.com/NYPDnews/status/736233195264479232", "736233195264479232")</f>
        <v>0</v>
      </c>
      <c r="B2855" s="2">
        <v>42517.6880324074</v>
      </c>
      <c r="C2855">
        <v>99</v>
      </c>
      <c r="D2855">
        <v>55</v>
      </c>
      <c r="E2855" t="s">
        <v>2829</v>
      </c>
    </row>
    <row r="2856" spans="1:5">
      <c r="A2856">
        <f>HYPERLINK("http://www.twitter.com/NYPDnews/status/736212045054500864", "736212045054500864")</f>
        <v>0</v>
      </c>
      <c r="B2856" s="2">
        <v>42517.6296759259</v>
      </c>
      <c r="C2856">
        <v>50</v>
      </c>
      <c r="D2856">
        <v>24</v>
      </c>
      <c r="E2856" t="s">
        <v>2830</v>
      </c>
    </row>
    <row r="2857" spans="1:5">
      <c r="A2857">
        <f>HYPERLINK("http://www.twitter.com/NYPDnews/status/736180319464886272", "736180319464886272")</f>
        <v>0</v>
      </c>
      <c r="B2857" s="2">
        <v>42517.5421296296</v>
      </c>
      <c r="C2857">
        <v>23</v>
      </c>
      <c r="D2857">
        <v>9</v>
      </c>
      <c r="E2857" t="s">
        <v>2831</v>
      </c>
    </row>
    <row r="2858" spans="1:5">
      <c r="A2858">
        <f>HYPERLINK("http://www.twitter.com/NYPDnews/status/736176426307719168", "736176426307719168")</f>
        <v>0</v>
      </c>
      <c r="B2858" s="2">
        <v>42517.5313888889</v>
      </c>
      <c r="C2858">
        <v>23</v>
      </c>
      <c r="D2858">
        <v>65</v>
      </c>
      <c r="E2858" t="s">
        <v>2832</v>
      </c>
    </row>
    <row r="2859" spans="1:5">
      <c r="A2859">
        <f>HYPERLINK("http://www.twitter.com/NYPDnews/status/736172716357787649", "736172716357787649")</f>
        <v>0</v>
      </c>
      <c r="B2859" s="2">
        <v>42517.5211458333</v>
      </c>
      <c r="C2859">
        <v>70</v>
      </c>
      <c r="D2859">
        <v>27</v>
      </c>
      <c r="E2859" t="s">
        <v>2833</v>
      </c>
    </row>
    <row r="2860" spans="1:5">
      <c r="A2860">
        <f>HYPERLINK("http://www.twitter.com/NYPDnews/status/736168885800587265", "736168885800587265")</f>
        <v>0</v>
      </c>
      <c r="B2860" s="2">
        <v>42517.5105787037</v>
      </c>
      <c r="C2860">
        <v>31</v>
      </c>
      <c r="D2860">
        <v>82</v>
      </c>
      <c r="E2860" t="s">
        <v>2834</v>
      </c>
    </row>
    <row r="2861" spans="1:5">
      <c r="A2861">
        <f>HYPERLINK("http://www.twitter.com/NYPDnews/status/736161921351712771", "736161921351712771")</f>
        <v>0</v>
      </c>
      <c r="B2861" s="2">
        <v>42517.4913541667</v>
      </c>
      <c r="C2861">
        <v>29</v>
      </c>
      <c r="D2861">
        <v>17</v>
      </c>
      <c r="E2861" t="s">
        <v>2835</v>
      </c>
    </row>
    <row r="2862" spans="1:5">
      <c r="A2862">
        <f>HYPERLINK("http://www.twitter.com/NYPDnews/status/736160715778711552", "736160715778711552")</f>
        <v>0</v>
      </c>
      <c r="B2862" s="2">
        <v>42517.4880324074</v>
      </c>
      <c r="C2862">
        <v>11</v>
      </c>
      <c r="D2862">
        <v>7</v>
      </c>
      <c r="E2862" t="s">
        <v>2836</v>
      </c>
    </row>
    <row r="2863" spans="1:5">
      <c r="A2863">
        <f>HYPERLINK("http://www.twitter.com/NYPDnews/status/736160412547358720", "736160412547358720")</f>
        <v>0</v>
      </c>
      <c r="B2863" s="2">
        <v>42517.4871990741</v>
      </c>
      <c r="C2863">
        <v>18</v>
      </c>
      <c r="D2863">
        <v>9</v>
      </c>
      <c r="E2863" t="s">
        <v>2837</v>
      </c>
    </row>
    <row r="2864" spans="1:5">
      <c r="A2864">
        <f>HYPERLINK("http://www.twitter.com/NYPDnews/status/736159046361812993", "736159046361812993")</f>
        <v>0</v>
      </c>
      <c r="B2864" s="2">
        <v>42517.4834259259</v>
      </c>
      <c r="C2864">
        <v>9</v>
      </c>
      <c r="D2864">
        <v>5</v>
      </c>
      <c r="E2864" t="s">
        <v>2838</v>
      </c>
    </row>
    <row r="2865" spans="1:5">
      <c r="A2865">
        <f>HYPERLINK("http://www.twitter.com/NYPDnews/status/736154932605243392", "736154932605243392")</f>
        <v>0</v>
      </c>
      <c r="B2865" s="2">
        <v>42517.4720717593</v>
      </c>
      <c r="C2865">
        <v>0</v>
      </c>
      <c r="D2865">
        <v>12</v>
      </c>
      <c r="E2865" t="s">
        <v>2839</v>
      </c>
    </row>
    <row r="2866" spans="1:5">
      <c r="A2866">
        <f>HYPERLINK("http://www.twitter.com/NYPDnews/status/735992709685628928", "735992709685628928")</f>
        <v>0</v>
      </c>
      <c r="B2866" s="2">
        <v>42517.0244212963</v>
      </c>
      <c r="C2866">
        <v>221</v>
      </c>
      <c r="D2866">
        <v>91</v>
      </c>
      <c r="E2866" t="s">
        <v>2840</v>
      </c>
    </row>
    <row r="2867" spans="1:5">
      <c r="A2867">
        <f>HYPERLINK("http://www.twitter.com/NYPDnews/status/735986425959723009", "735986425959723009")</f>
        <v>0</v>
      </c>
      <c r="B2867" s="2">
        <v>42517.0070833333</v>
      </c>
      <c r="C2867">
        <v>21</v>
      </c>
      <c r="D2867">
        <v>9</v>
      </c>
      <c r="E2867" t="s">
        <v>2841</v>
      </c>
    </row>
    <row r="2868" spans="1:5">
      <c r="A2868">
        <f>HYPERLINK("http://www.twitter.com/NYPDnews/status/735968411361120257", "735968411361120257")</f>
        <v>0</v>
      </c>
      <c r="B2868" s="2">
        <v>42516.9573726852</v>
      </c>
      <c r="C2868">
        <v>1168</v>
      </c>
      <c r="D2868">
        <v>2795</v>
      </c>
      <c r="E2868" t="s">
        <v>2842</v>
      </c>
    </row>
    <row r="2869" spans="1:5">
      <c r="A2869">
        <f>HYPERLINK("http://www.twitter.com/NYPDnews/status/735945827856846848", "735945827856846848")</f>
        <v>0</v>
      </c>
      <c r="B2869" s="2">
        <v>42516.8950578704</v>
      </c>
      <c r="C2869">
        <v>439</v>
      </c>
      <c r="D2869">
        <v>627</v>
      </c>
      <c r="E2869" t="s">
        <v>2843</v>
      </c>
    </row>
    <row r="2870" spans="1:5">
      <c r="A2870">
        <f>HYPERLINK("http://www.twitter.com/NYPDnews/status/735866920998739968", "735866920998739968")</f>
        <v>0</v>
      </c>
      <c r="B2870" s="2">
        <v>42516.6773148148</v>
      </c>
      <c r="C2870">
        <v>127</v>
      </c>
      <c r="D2870">
        <v>42</v>
      </c>
      <c r="E2870" t="s">
        <v>2844</v>
      </c>
    </row>
    <row r="2871" spans="1:5">
      <c r="A2871">
        <f>HYPERLINK("http://www.twitter.com/NYPDnews/status/735859690396127232", "735859690396127232")</f>
        <v>0</v>
      </c>
      <c r="B2871" s="2">
        <v>42516.6573611111</v>
      </c>
      <c r="C2871">
        <v>8</v>
      </c>
      <c r="D2871">
        <v>33</v>
      </c>
      <c r="E2871" t="s">
        <v>2845</v>
      </c>
    </row>
    <row r="2872" spans="1:5">
      <c r="A2872">
        <f>HYPERLINK("http://www.twitter.com/NYPDnews/status/735835138999914496", "735835138999914496")</f>
        <v>0</v>
      </c>
      <c r="B2872" s="2">
        <v>42516.5896064815</v>
      </c>
      <c r="C2872">
        <v>47</v>
      </c>
      <c r="D2872">
        <v>19</v>
      </c>
      <c r="E2872" t="s">
        <v>2846</v>
      </c>
    </row>
    <row r="2873" spans="1:5">
      <c r="A2873">
        <f>HYPERLINK("http://www.twitter.com/NYPDnews/status/735831468463796225", "735831468463796225")</f>
        <v>0</v>
      </c>
      <c r="B2873" s="2">
        <v>42516.5794791667</v>
      </c>
      <c r="C2873">
        <v>29</v>
      </c>
      <c r="D2873">
        <v>8</v>
      </c>
      <c r="E2873" t="s">
        <v>2847</v>
      </c>
    </row>
    <row r="2874" spans="1:5">
      <c r="A2874">
        <f>HYPERLINK("http://www.twitter.com/NYPDnews/status/735819959138406400", "735819959138406400")</f>
        <v>0</v>
      </c>
      <c r="B2874" s="2">
        <v>42516.5477199074</v>
      </c>
      <c r="C2874">
        <v>31</v>
      </c>
      <c r="D2874">
        <v>8</v>
      </c>
      <c r="E2874" t="s">
        <v>2848</v>
      </c>
    </row>
    <row r="2875" spans="1:5">
      <c r="A2875">
        <f>HYPERLINK("http://www.twitter.com/NYPDnews/status/735816641989234688", "735816641989234688")</f>
        <v>0</v>
      </c>
      <c r="B2875" s="2">
        <v>42516.5385648148</v>
      </c>
      <c r="C2875">
        <v>0</v>
      </c>
      <c r="D2875">
        <v>5</v>
      </c>
      <c r="E2875" t="s">
        <v>2849</v>
      </c>
    </row>
    <row r="2876" spans="1:5">
      <c r="A2876">
        <f>HYPERLINK("http://www.twitter.com/NYPDnews/status/735814050349731841", "735814050349731841")</f>
        <v>0</v>
      </c>
      <c r="B2876" s="2">
        <v>42516.5314236111</v>
      </c>
      <c r="C2876">
        <v>78</v>
      </c>
      <c r="D2876">
        <v>25</v>
      </c>
      <c r="E2876" t="s">
        <v>2850</v>
      </c>
    </row>
    <row r="2877" spans="1:5">
      <c r="A2877">
        <f>HYPERLINK("http://www.twitter.com/NYPDnews/status/735810326378188800", "735810326378188800")</f>
        <v>0</v>
      </c>
      <c r="B2877" s="2">
        <v>42516.5211458333</v>
      </c>
      <c r="C2877">
        <v>36</v>
      </c>
      <c r="D2877">
        <v>7</v>
      </c>
      <c r="E2877" t="s">
        <v>2851</v>
      </c>
    </row>
    <row r="2878" spans="1:5">
      <c r="A2878">
        <f>HYPERLINK("http://www.twitter.com/NYPDnews/status/735806494256599040", "735806494256599040")</f>
        <v>0</v>
      </c>
      <c r="B2878" s="2">
        <v>42516.5105671296</v>
      </c>
      <c r="C2878">
        <v>13</v>
      </c>
      <c r="D2878">
        <v>34</v>
      </c>
      <c r="E2878" t="s">
        <v>2852</v>
      </c>
    </row>
    <row r="2879" spans="1:5">
      <c r="A2879">
        <f>HYPERLINK("http://www.twitter.com/NYPDnews/status/735802818641186816", "735802818641186816")</f>
        <v>0</v>
      </c>
      <c r="B2879" s="2">
        <v>42516.5004282407</v>
      </c>
      <c r="C2879">
        <v>81</v>
      </c>
      <c r="D2879">
        <v>56</v>
      </c>
      <c r="E2879" t="s">
        <v>2853</v>
      </c>
    </row>
    <row r="2880" spans="1:5">
      <c r="A2880">
        <f>HYPERLINK("http://www.twitter.com/NYPDnews/status/735796455139618816", "735796455139618816")</f>
        <v>0</v>
      </c>
      <c r="B2880" s="2">
        <v>42516.4828587963</v>
      </c>
      <c r="C2880">
        <v>6</v>
      </c>
      <c r="D2880">
        <v>14</v>
      </c>
      <c r="E2880" t="s">
        <v>2854</v>
      </c>
    </row>
    <row r="2881" spans="1:5">
      <c r="A2881">
        <f>HYPERLINK("http://www.twitter.com/NYPDnews/status/735796067393011712", "735796067393011712")</f>
        <v>0</v>
      </c>
      <c r="B2881" s="2">
        <v>42516.4817939815</v>
      </c>
      <c r="C2881">
        <v>2</v>
      </c>
      <c r="D2881">
        <v>3</v>
      </c>
      <c r="E2881" t="s">
        <v>2855</v>
      </c>
    </row>
    <row r="2882" spans="1:5">
      <c r="A2882">
        <f>HYPERLINK("http://www.twitter.com/NYPDnews/status/735791434876477440", "735791434876477440")</f>
        <v>0</v>
      </c>
      <c r="B2882" s="2">
        <v>42516.4690162037</v>
      </c>
      <c r="C2882">
        <v>0</v>
      </c>
      <c r="D2882">
        <v>15</v>
      </c>
      <c r="E2882" t="s">
        <v>2856</v>
      </c>
    </row>
    <row r="2883" spans="1:5">
      <c r="A2883">
        <f>HYPERLINK("http://www.twitter.com/NYPDnews/status/735686901403766785", "735686901403766785")</f>
        <v>0</v>
      </c>
      <c r="B2883" s="2">
        <v>42516.1805555556</v>
      </c>
      <c r="C2883">
        <v>27</v>
      </c>
      <c r="D2883">
        <v>44</v>
      </c>
      <c r="E2883" t="s">
        <v>2857</v>
      </c>
    </row>
    <row r="2884" spans="1:5">
      <c r="A2884">
        <f>HYPERLINK("http://www.twitter.com/NYPDnews/status/735678135765602304", "735678135765602304")</f>
        <v>0</v>
      </c>
      <c r="B2884" s="2">
        <v>42516.1563657407</v>
      </c>
      <c r="C2884">
        <v>20</v>
      </c>
      <c r="D2884">
        <v>52</v>
      </c>
      <c r="E2884" t="s">
        <v>2858</v>
      </c>
    </row>
    <row r="2885" spans="1:5">
      <c r="A2885">
        <f>HYPERLINK("http://www.twitter.com/NYPDnews/status/735668727799287808", "735668727799287808")</f>
        <v>0</v>
      </c>
      <c r="B2885" s="2">
        <v>42516.1304050926</v>
      </c>
      <c r="C2885">
        <v>34</v>
      </c>
      <c r="D2885">
        <v>85</v>
      </c>
      <c r="E2885" t="s">
        <v>2859</v>
      </c>
    </row>
    <row r="2886" spans="1:5">
      <c r="A2886">
        <f>HYPERLINK("http://www.twitter.com/NYPDnews/status/735651864922972160", "735651864922972160")</f>
        <v>0</v>
      </c>
      <c r="B2886" s="2">
        <v>42516.0838773148</v>
      </c>
      <c r="C2886">
        <v>94</v>
      </c>
      <c r="D2886">
        <v>32</v>
      </c>
      <c r="E2886" t="s">
        <v>2860</v>
      </c>
    </row>
    <row r="2887" spans="1:5">
      <c r="A2887">
        <f>HYPERLINK("http://www.twitter.com/NYPDnews/status/735644165833363458", "735644165833363458")</f>
        <v>0</v>
      </c>
      <c r="B2887" s="2">
        <v>42516.0626273148</v>
      </c>
      <c r="C2887">
        <v>38</v>
      </c>
      <c r="D2887">
        <v>14</v>
      </c>
      <c r="E2887" t="s">
        <v>2861</v>
      </c>
    </row>
    <row r="2888" spans="1:5">
      <c r="A2888">
        <f>HYPERLINK("http://www.twitter.com/NYPDnews/status/735634085016686592", "735634085016686592")</f>
        <v>0</v>
      </c>
      <c r="B2888" s="2">
        <v>42516.0348032407</v>
      </c>
      <c r="C2888">
        <v>42</v>
      </c>
      <c r="D2888">
        <v>23</v>
      </c>
      <c r="E2888" t="s">
        <v>2862</v>
      </c>
    </row>
    <row r="2889" spans="1:5">
      <c r="A2889">
        <f>HYPERLINK("http://www.twitter.com/NYPDnews/status/735626561710399488", "735626561710399488")</f>
        <v>0</v>
      </c>
      <c r="B2889" s="2">
        <v>42516.0140509259</v>
      </c>
      <c r="C2889">
        <v>56</v>
      </c>
      <c r="D2889">
        <v>25</v>
      </c>
      <c r="E2889" t="s">
        <v>2863</v>
      </c>
    </row>
    <row r="2890" spans="1:5">
      <c r="A2890">
        <f>HYPERLINK("http://www.twitter.com/NYPDnews/status/735602623546548224", "735602623546548224")</f>
        <v>0</v>
      </c>
      <c r="B2890" s="2">
        <v>42515.9479861111</v>
      </c>
      <c r="C2890">
        <v>15</v>
      </c>
      <c r="D2890">
        <v>45</v>
      </c>
      <c r="E2890" t="s">
        <v>2864</v>
      </c>
    </row>
    <row r="2891" spans="1:5">
      <c r="A2891">
        <f>HYPERLINK("http://www.twitter.com/NYPDnews/status/735583671776874496", "735583671776874496")</f>
        <v>0</v>
      </c>
      <c r="B2891" s="2">
        <v>42515.8956944444</v>
      </c>
      <c r="C2891">
        <v>19</v>
      </c>
      <c r="D2891">
        <v>12</v>
      </c>
      <c r="E2891" t="s">
        <v>2865</v>
      </c>
    </row>
    <row r="2892" spans="1:5">
      <c r="A2892">
        <f>HYPERLINK("http://www.twitter.com/NYPDnews/status/735505513761366016", "735505513761366016")</f>
        <v>0</v>
      </c>
      <c r="B2892" s="2">
        <v>42515.6800231481</v>
      </c>
      <c r="C2892">
        <v>7</v>
      </c>
      <c r="D2892">
        <v>3</v>
      </c>
      <c r="E2892" t="s">
        <v>2866</v>
      </c>
    </row>
    <row r="2893" spans="1:5">
      <c r="A2893">
        <f>HYPERLINK("http://www.twitter.com/NYPDnews/status/735491660340072450", "735491660340072450")</f>
        <v>0</v>
      </c>
      <c r="B2893" s="2">
        <v>42515.6417939815</v>
      </c>
      <c r="C2893">
        <v>108</v>
      </c>
      <c r="D2893">
        <v>47</v>
      </c>
      <c r="E2893" t="s">
        <v>2867</v>
      </c>
    </row>
    <row r="2894" spans="1:5">
      <c r="A2894">
        <f>HYPERLINK("http://www.twitter.com/NYPDnews/status/735482882282672128", "735482882282672128")</f>
        <v>0</v>
      </c>
      <c r="B2894" s="2">
        <v>42515.6175694444</v>
      </c>
      <c r="C2894">
        <v>22</v>
      </c>
      <c r="D2894">
        <v>12</v>
      </c>
      <c r="E2894" t="s">
        <v>2868</v>
      </c>
    </row>
    <row r="2895" spans="1:5">
      <c r="A2895">
        <f>HYPERLINK("http://www.twitter.com/NYPDnews/status/735480547447824385", "735480547447824385")</f>
        <v>0</v>
      </c>
      <c r="B2895" s="2">
        <v>42515.6111226852</v>
      </c>
      <c r="C2895">
        <v>29</v>
      </c>
      <c r="D2895">
        <v>11</v>
      </c>
      <c r="E2895" t="s">
        <v>2869</v>
      </c>
    </row>
    <row r="2896" spans="1:5">
      <c r="A2896">
        <f>HYPERLINK("http://www.twitter.com/NYPDnews/status/735474544476082177", "735474544476082177")</f>
        <v>0</v>
      </c>
      <c r="B2896" s="2">
        <v>42515.5945601852</v>
      </c>
      <c r="C2896">
        <v>27</v>
      </c>
      <c r="D2896">
        <v>10</v>
      </c>
      <c r="E2896" t="s">
        <v>2870</v>
      </c>
    </row>
    <row r="2897" spans="1:5">
      <c r="A2897">
        <f>HYPERLINK("http://www.twitter.com/NYPDnews/status/735468931465515008", "735468931465515008")</f>
        <v>0</v>
      </c>
      <c r="B2897" s="2">
        <v>42515.5790740741</v>
      </c>
      <c r="C2897">
        <v>39</v>
      </c>
      <c r="D2897">
        <v>18</v>
      </c>
      <c r="E2897" t="s">
        <v>2871</v>
      </c>
    </row>
    <row r="2898" spans="1:5">
      <c r="A2898">
        <f>HYPERLINK("http://www.twitter.com/NYPDnews/status/735456674245443586", "735456674245443586")</f>
        <v>0</v>
      </c>
      <c r="B2898" s="2">
        <v>42515.5452430556</v>
      </c>
      <c r="C2898">
        <v>12</v>
      </c>
      <c r="D2898">
        <v>7</v>
      </c>
      <c r="E2898" t="s">
        <v>2872</v>
      </c>
    </row>
    <row r="2899" spans="1:5">
      <c r="A2899">
        <f>HYPERLINK("http://www.twitter.com/NYPDnews/status/735454436689084416", "735454436689084416")</f>
        <v>0</v>
      </c>
      <c r="B2899" s="2">
        <v>42515.5390740741</v>
      </c>
      <c r="C2899">
        <v>26</v>
      </c>
      <c r="D2899">
        <v>8</v>
      </c>
      <c r="E2899" t="s">
        <v>2873</v>
      </c>
    </row>
    <row r="2900" spans="1:5">
      <c r="A2900">
        <f>HYPERLINK("http://www.twitter.com/NYPDnews/status/735452593997119488", "735452593997119488")</f>
        <v>0</v>
      </c>
      <c r="B2900" s="2">
        <v>42515.5339930556</v>
      </c>
      <c r="C2900">
        <v>28</v>
      </c>
      <c r="D2900">
        <v>14</v>
      </c>
      <c r="E2900" t="s">
        <v>2874</v>
      </c>
    </row>
    <row r="2901" spans="1:5">
      <c r="A2901">
        <f>HYPERLINK("http://www.twitter.com/NYPDnews/status/735450940191444992", "735450940191444992")</f>
        <v>0</v>
      </c>
      <c r="B2901" s="2">
        <v>42515.5294212963</v>
      </c>
      <c r="C2901">
        <v>27</v>
      </c>
      <c r="D2901">
        <v>17</v>
      </c>
      <c r="E2901" t="s">
        <v>2875</v>
      </c>
    </row>
    <row r="2902" spans="1:5">
      <c r="A2902">
        <f>HYPERLINK("http://www.twitter.com/NYPDnews/status/735447918342246401", "735447918342246401")</f>
        <v>0</v>
      </c>
      <c r="B2902" s="2">
        <v>42515.521087963</v>
      </c>
      <c r="C2902">
        <v>18</v>
      </c>
      <c r="D2902">
        <v>44</v>
      </c>
      <c r="E2902" t="s">
        <v>2876</v>
      </c>
    </row>
    <row r="2903" spans="1:5">
      <c r="A2903">
        <f>HYPERLINK("http://www.twitter.com/NYPDnews/status/735444099663331329", "735444099663331329")</f>
        <v>0</v>
      </c>
      <c r="B2903" s="2">
        <v>42515.5105439815</v>
      </c>
      <c r="C2903">
        <v>62</v>
      </c>
      <c r="D2903">
        <v>30</v>
      </c>
      <c r="E2903" t="s">
        <v>2877</v>
      </c>
    </row>
    <row r="2904" spans="1:5">
      <c r="A2904">
        <f>HYPERLINK("http://www.twitter.com/NYPDnews/status/735437190340186112", "735437190340186112")</f>
        <v>0</v>
      </c>
      <c r="B2904" s="2">
        <v>42515.4914814815</v>
      </c>
      <c r="C2904">
        <v>254</v>
      </c>
      <c r="D2904">
        <v>151</v>
      </c>
      <c r="E2904" t="s">
        <v>2878</v>
      </c>
    </row>
    <row r="2905" spans="1:5">
      <c r="A2905">
        <f>HYPERLINK("http://www.twitter.com/NYPDnews/status/735265402951962624", "735265402951962624")</f>
        <v>0</v>
      </c>
      <c r="B2905" s="2">
        <v>42515.0174421296</v>
      </c>
      <c r="C2905">
        <v>104</v>
      </c>
      <c r="D2905">
        <v>50</v>
      </c>
      <c r="E2905" t="s">
        <v>2879</v>
      </c>
    </row>
    <row r="2906" spans="1:5">
      <c r="A2906">
        <f>HYPERLINK("http://www.twitter.com/NYPDnews/status/735249048089833472", "735249048089833472")</f>
        <v>0</v>
      </c>
      <c r="B2906" s="2">
        <v>42514.9723032407</v>
      </c>
      <c r="C2906">
        <v>8</v>
      </c>
      <c r="D2906">
        <v>8</v>
      </c>
      <c r="E2906" t="s">
        <v>2880</v>
      </c>
    </row>
    <row r="2907" spans="1:5">
      <c r="A2907">
        <f>HYPERLINK("http://www.twitter.com/NYPDnews/status/735237721858412545", "735237721858412545")</f>
        <v>0</v>
      </c>
      <c r="B2907" s="2">
        <v>42514.9410532407</v>
      </c>
      <c r="C2907">
        <v>14</v>
      </c>
      <c r="D2907">
        <v>13</v>
      </c>
      <c r="E2907" t="s">
        <v>2881</v>
      </c>
    </row>
    <row r="2908" spans="1:5">
      <c r="A2908">
        <f>HYPERLINK("http://www.twitter.com/NYPDnews/status/735216358791745536", "735216358791745536")</f>
        <v>0</v>
      </c>
      <c r="B2908" s="2">
        <v>42514.8821064815</v>
      </c>
      <c r="C2908">
        <v>115</v>
      </c>
      <c r="D2908">
        <v>67</v>
      </c>
      <c r="E2908" t="s">
        <v>2882</v>
      </c>
    </row>
    <row r="2909" spans="1:5">
      <c r="A2909">
        <f>HYPERLINK("http://www.twitter.com/NYPDnews/status/735189199763165184", "735189199763165184")</f>
        <v>0</v>
      </c>
      <c r="B2909" s="2">
        <v>42514.8071643518</v>
      </c>
      <c r="C2909">
        <v>14</v>
      </c>
      <c r="D2909">
        <v>93</v>
      </c>
      <c r="E2909" t="s">
        <v>2883</v>
      </c>
    </row>
    <row r="2910" spans="1:5">
      <c r="A2910">
        <f>HYPERLINK("http://www.twitter.com/NYPDnews/status/735159247940505601", "735159247940505601")</f>
        <v>0</v>
      </c>
      <c r="B2910" s="2">
        <v>42514.7245023148</v>
      </c>
      <c r="C2910">
        <v>0</v>
      </c>
      <c r="D2910">
        <v>15</v>
      </c>
      <c r="E2910" t="s">
        <v>2884</v>
      </c>
    </row>
    <row r="2911" spans="1:5">
      <c r="A2911">
        <f>HYPERLINK("http://www.twitter.com/NYPDnews/status/735113574616567808", "735113574616567808")</f>
        <v>0</v>
      </c>
      <c r="B2911" s="2">
        <v>42514.5984722222</v>
      </c>
      <c r="C2911">
        <v>37</v>
      </c>
      <c r="D2911">
        <v>16</v>
      </c>
      <c r="E2911" t="s">
        <v>2885</v>
      </c>
    </row>
    <row r="2912" spans="1:5">
      <c r="A2912">
        <f>HYPERLINK("http://www.twitter.com/NYPDnews/status/735112124314353664", "735112124314353664")</f>
        <v>0</v>
      </c>
      <c r="B2912" s="2">
        <v>42514.5944675926</v>
      </c>
      <c r="C2912">
        <v>20</v>
      </c>
      <c r="D2912">
        <v>8</v>
      </c>
      <c r="E2912" t="s">
        <v>2886</v>
      </c>
    </row>
    <row r="2913" spans="1:5">
      <c r="A2913">
        <f>HYPERLINK("http://www.twitter.com/NYPDnews/status/735110948097253376", "735110948097253376")</f>
        <v>0</v>
      </c>
      <c r="B2913" s="2">
        <v>42514.5912268519</v>
      </c>
      <c r="C2913">
        <v>9</v>
      </c>
      <c r="D2913">
        <v>8</v>
      </c>
      <c r="E2913" t="s">
        <v>2887</v>
      </c>
    </row>
    <row r="2914" spans="1:5">
      <c r="A2914">
        <f>HYPERLINK("http://www.twitter.com/NYPDnews/status/735109924737417216", "735109924737417216")</f>
        <v>0</v>
      </c>
      <c r="B2914" s="2">
        <v>42514.5884027778</v>
      </c>
      <c r="C2914">
        <v>14</v>
      </c>
      <c r="D2914">
        <v>8</v>
      </c>
      <c r="E2914" t="s">
        <v>2888</v>
      </c>
    </row>
    <row r="2915" spans="1:5">
      <c r="A2915">
        <f>HYPERLINK("http://www.twitter.com/NYPDnews/status/735109439431319553", "735109439431319553")</f>
        <v>0</v>
      </c>
      <c r="B2915" s="2">
        <v>42514.5870601852</v>
      </c>
      <c r="C2915">
        <v>15</v>
      </c>
      <c r="D2915">
        <v>10</v>
      </c>
      <c r="E2915" t="s">
        <v>2889</v>
      </c>
    </row>
    <row r="2916" spans="1:5">
      <c r="A2916">
        <f>HYPERLINK("http://www.twitter.com/NYPDnews/status/735108697198858241", "735108697198858241")</f>
        <v>0</v>
      </c>
      <c r="B2916" s="2">
        <v>42514.5850115741</v>
      </c>
      <c r="C2916">
        <v>17</v>
      </c>
      <c r="D2916">
        <v>14</v>
      </c>
      <c r="E2916" t="s">
        <v>2890</v>
      </c>
    </row>
    <row r="2917" spans="1:5">
      <c r="A2917">
        <f>HYPERLINK("http://www.twitter.com/NYPDnews/status/735108296370196481", "735108296370196481")</f>
        <v>0</v>
      </c>
      <c r="B2917" s="2">
        <v>42514.583912037</v>
      </c>
      <c r="C2917">
        <v>9</v>
      </c>
      <c r="D2917">
        <v>8</v>
      </c>
      <c r="E2917" t="s">
        <v>2891</v>
      </c>
    </row>
    <row r="2918" spans="1:5">
      <c r="A2918">
        <f>HYPERLINK("http://www.twitter.com/NYPDnews/status/735089256591466496", "735089256591466496")</f>
        <v>0</v>
      </c>
      <c r="B2918" s="2">
        <v>42514.5313657407</v>
      </c>
      <c r="C2918">
        <v>49</v>
      </c>
      <c r="D2918">
        <v>18</v>
      </c>
      <c r="E2918" t="s">
        <v>2892</v>
      </c>
    </row>
    <row r="2919" spans="1:5">
      <c r="A2919">
        <f>HYPERLINK("http://www.twitter.com/NYPDnews/status/735085524487184384", "735085524487184384")</f>
        <v>0</v>
      </c>
      <c r="B2919" s="2">
        <v>42514.5210648148</v>
      </c>
      <c r="C2919">
        <v>29</v>
      </c>
      <c r="D2919">
        <v>19</v>
      </c>
      <c r="E2919" t="s">
        <v>2893</v>
      </c>
    </row>
    <row r="2920" spans="1:5">
      <c r="A2920">
        <f>HYPERLINK("http://www.twitter.com/NYPDnews/status/735085373454450688", "735085373454450688")</f>
        <v>0</v>
      </c>
      <c r="B2920" s="2">
        <v>42514.5206481482</v>
      </c>
      <c r="C2920">
        <v>9</v>
      </c>
      <c r="D2920">
        <v>37</v>
      </c>
      <c r="E2920" t="s">
        <v>2894</v>
      </c>
    </row>
    <row r="2921" spans="1:5">
      <c r="A2921">
        <f>HYPERLINK("http://www.twitter.com/NYPDnews/status/735077312673263616", "735077312673263616")</f>
        <v>0</v>
      </c>
      <c r="B2921" s="2">
        <v>42514.4984143519</v>
      </c>
      <c r="C2921">
        <v>34</v>
      </c>
      <c r="D2921">
        <v>97</v>
      </c>
      <c r="E2921" t="s">
        <v>2895</v>
      </c>
    </row>
    <row r="2922" spans="1:5">
      <c r="A2922">
        <f>HYPERLINK("http://www.twitter.com/NYPDnews/status/734903019851124737", "734903019851124737")</f>
        <v>0</v>
      </c>
      <c r="B2922" s="2">
        <v>42514.0174537037</v>
      </c>
      <c r="C2922">
        <v>23</v>
      </c>
      <c r="D2922">
        <v>12</v>
      </c>
      <c r="E2922" t="s">
        <v>2896</v>
      </c>
    </row>
    <row r="2923" spans="1:5">
      <c r="A2923">
        <f>HYPERLINK("http://www.twitter.com/NYPDnews/status/734891145633910784", "734891145633910784")</f>
        <v>0</v>
      </c>
      <c r="B2923" s="2">
        <v>42513.9846875</v>
      </c>
      <c r="C2923">
        <v>9</v>
      </c>
      <c r="D2923">
        <v>38</v>
      </c>
      <c r="E2923" t="s">
        <v>2897</v>
      </c>
    </row>
    <row r="2924" spans="1:5">
      <c r="A2924">
        <f>HYPERLINK("http://www.twitter.com/NYPDnews/status/734862371424985088", "734862371424985088")</f>
        <v>0</v>
      </c>
      <c r="B2924" s="2">
        <v>42513.9052893519</v>
      </c>
      <c r="C2924">
        <v>0</v>
      </c>
      <c r="D2924">
        <v>158</v>
      </c>
      <c r="E2924" t="s">
        <v>2898</v>
      </c>
    </row>
    <row r="2925" spans="1:5">
      <c r="A2925">
        <f>HYPERLINK("http://www.twitter.com/NYPDnews/status/734810324763840513", "734810324763840513")</f>
        <v>0</v>
      </c>
      <c r="B2925" s="2">
        <v>42513.7616666667</v>
      </c>
      <c r="C2925">
        <v>0</v>
      </c>
      <c r="D2925">
        <v>123</v>
      </c>
      <c r="E2925" t="s">
        <v>2899</v>
      </c>
    </row>
    <row r="2926" spans="1:5">
      <c r="A2926">
        <f>HYPERLINK("http://www.twitter.com/NYPDnews/status/734791272364421120", "734791272364421120")</f>
        <v>0</v>
      </c>
      <c r="B2926" s="2">
        <v>42513.7090856481</v>
      </c>
      <c r="C2926">
        <v>45</v>
      </c>
      <c r="D2926">
        <v>20</v>
      </c>
      <c r="E2926" t="s">
        <v>2900</v>
      </c>
    </row>
    <row r="2927" spans="1:5">
      <c r="A2927">
        <f>HYPERLINK("http://www.twitter.com/NYPDnews/status/734781018293600256", "734781018293600256")</f>
        <v>0</v>
      </c>
      <c r="B2927" s="2">
        <v>42513.680787037</v>
      </c>
      <c r="C2927">
        <v>256</v>
      </c>
      <c r="D2927">
        <v>128</v>
      </c>
      <c r="E2927" t="s">
        <v>2901</v>
      </c>
    </row>
    <row r="2928" spans="1:5">
      <c r="A2928">
        <f>HYPERLINK("http://www.twitter.com/NYPDnews/status/734764059757805573", "734764059757805573")</f>
        <v>0</v>
      </c>
      <c r="B2928" s="2">
        <v>42513.6339930556</v>
      </c>
      <c r="C2928">
        <v>0</v>
      </c>
      <c r="D2928">
        <v>16</v>
      </c>
      <c r="E2928" t="s">
        <v>2902</v>
      </c>
    </row>
    <row r="2929" spans="1:5">
      <c r="A2929">
        <f>HYPERLINK("http://www.twitter.com/NYPDnews/status/734760299274862593", "734760299274862593")</f>
        <v>0</v>
      </c>
      <c r="B2929" s="2">
        <v>42513.6236226852</v>
      </c>
      <c r="C2929">
        <v>13</v>
      </c>
      <c r="D2929">
        <v>8</v>
      </c>
      <c r="E2929" t="s">
        <v>2903</v>
      </c>
    </row>
    <row r="2930" spans="1:5">
      <c r="A2930">
        <f>HYPERLINK("http://www.twitter.com/NYPDnews/status/734748205678743552", "734748205678743552")</f>
        <v>0</v>
      </c>
      <c r="B2930" s="2">
        <v>42513.5902430556</v>
      </c>
      <c r="C2930">
        <v>12</v>
      </c>
      <c r="D2930">
        <v>9</v>
      </c>
      <c r="E2930" t="s">
        <v>2904</v>
      </c>
    </row>
    <row r="2931" spans="1:5">
      <c r="A2931">
        <f>HYPERLINK("http://www.twitter.com/NYPDnews/status/734726871271800832", "734726871271800832")</f>
        <v>0</v>
      </c>
      <c r="B2931" s="2">
        <v>42513.5313773148</v>
      </c>
      <c r="C2931">
        <v>71</v>
      </c>
      <c r="D2931">
        <v>33</v>
      </c>
      <c r="E2931" t="s">
        <v>2905</v>
      </c>
    </row>
    <row r="2932" spans="1:5">
      <c r="A2932">
        <f>HYPERLINK("http://www.twitter.com/NYPDnews/status/734723140673253376", "734723140673253376")</f>
        <v>0</v>
      </c>
      <c r="B2932" s="2">
        <v>42513.5210763889</v>
      </c>
      <c r="C2932">
        <v>25</v>
      </c>
      <c r="D2932">
        <v>55</v>
      </c>
      <c r="E2932" t="s">
        <v>2906</v>
      </c>
    </row>
    <row r="2933" spans="1:5">
      <c r="A2933">
        <f>HYPERLINK("http://www.twitter.com/NYPDnews/status/734719362461011968", "734719362461011968")</f>
        <v>0</v>
      </c>
      <c r="B2933" s="2">
        <v>42513.5106597222</v>
      </c>
      <c r="C2933">
        <v>113</v>
      </c>
      <c r="D2933">
        <v>39</v>
      </c>
      <c r="E2933" t="s">
        <v>2907</v>
      </c>
    </row>
    <row r="2934" spans="1:5">
      <c r="A2934">
        <f>HYPERLINK("http://www.twitter.com/NYPDnews/status/734715629568196608", "734715629568196608")</f>
        <v>0</v>
      </c>
      <c r="B2934" s="2">
        <v>42513.5003587963</v>
      </c>
      <c r="C2934">
        <v>20</v>
      </c>
      <c r="D2934">
        <v>31</v>
      </c>
      <c r="E2934" t="s">
        <v>2908</v>
      </c>
    </row>
    <row r="2935" spans="1:5">
      <c r="A2935">
        <f>HYPERLINK("http://www.twitter.com/NYPDnews/status/734519916938682368", "734519916938682368")</f>
        <v>0</v>
      </c>
      <c r="B2935" s="2">
        <v>42512.9602893519</v>
      </c>
      <c r="C2935">
        <v>38</v>
      </c>
      <c r="D2935">
        <v>8</v>
      </c>
      <c r="E2935" t="s">
        <v>2909</v>
      </c>
    </row>
    <row r="2936" spans="1:5">
      <c r="A2936">
        <f>HYPERLINK("http://www.twitter.com/NYPDnews/status/734457847631753216", "734457847631753216")</f>
        <v>0</v>
      </c>
      <c r="B2936" s="2">
        <v>42512.7890162037</v>
      </c>
      <c r="C2936">
        <v>102</v>
      </c>
      <c r="D2936">
        <v>50</v>
      </c>
      <c r="E2936" t="s">
        <v>2910</v>
      </c>
    </row>
    <row r="2937" spans="1:5">
      <c r="A2937">
        <f>HYPERLINK("http://www.twitter.com/NYPDnews/status/734396994110787584", "734396994110787584")</f>
        <v>0</v>
      </c>
      <c r="B2937" s="2">
        <v>42512.621087963</v>
      </c>
      <c r="C2937">
        <v>140</v>
      </c>
      <c r="D2937">
        <v>44</v>
      </c>
      <c r="E2937" t="s">
        <v>2911</v>
      </c>
    </row>
    <row r="2938" spans="1:5">
      <c r="A2938">
        <f>HYPERLINK("http://www.twitter.com/NYPDnews/status/734386835280039936", "734386835280039936")</f>
        <v>0</v>
      </c>
      <c r="B2938" s="2">
        <v>42512.5930555556</v>
      </c>
      <c r="C2938">
        <v>83</v>
      </c>
      <c r="D2938">
        <v>31</v>
      </c>
      <c r="E2938" t="s">
        <v>2912</v>
      </c>
    </row>
    <row r="2939" spans="1:5">
      <c r="A2939">
        <f>HYPERLINK("http://www.twitter.com/NYPDnews/status/734383709797912579", "734383709797912579")</f>
        <v>0</v>
      </c>
      <c r="B2939" s="2">
        <v>42512.5844328704</v>
      </c>
      <c r="C2939">
        <v>140</v>
      </c>
      <c r="D2939">
        <v>56</v>
      </c>
      <c r="E2939" t="s">
        <v>2913</v>
      </c>
    </row>
    <row r="2940" spans="1:5">
      <c r="A2940">
        <f>HYPERLINK("http://www.twitter.com/NYPDnews/status/734372874753040384", "734372874753040384")</f>
        <v>0</v>
      </c>
      <c r="B2940" s="2">
        <v>42512.554525463</v>
      </c>
      <c r="C2940">
        <v>35</v>
      </c>
      <c r="D2940">
        <v>18</v>
      </c>
      <c r="E2940" t="s">
        <v>2914</v>
      </c>
    </row>
    <row r="2941" spans="1:5">
      <c r="A2941">
        <f>HYPERLINK("http://www.twitter.com/NYPDnews/status/734371558244921345", "734371558244921345")</f>
        <v>0</v>
      </c>
      <c r="B2941" s="2">
        <v>42512.5509027778</v>
      </c>
      <c r="C2941">
        <v>22</v>
      </c>
      <c r="D2941">
        <v>15</v>
      </c>
      <c r="E2941" t="s">
        <v>2915</v>
      </c>
    </row>
    <row r="2942" spans="1:5">
      <c r="A2942">
        <f>HYPERLINK("http://www.twitter.com/NYPDnews/status/734371030890864640", "734371030890864640")</f>
        <v>0</v>
      </c>
      <c r="B2942" s="2">
        <v>42512.5494444444</v>
      </c>
      <c r="C2942">
        <v>6</v>
      </c>
      <c r="D2942">
        <v>3</v>
      </c>
      <c r="E2942" t="s">
        <v>2916</v>
      </c>
    </row>
    <row r="2943" spans="1:5">
      <c r="A2943">
        <f>HYPERLINK("http://www.twitter.com/NYPDnews/status/734370284157952000", "734370284157952000")</f>
        <v>0</v>
      </c>
      <c r="B2943" s="2">
        <v>42512.5473842593</v>
      </c>
      <c r="C2943">
        <v>6</v>
      </c>
      <c r="D2943">
        <v>2</v>
      </c>
      <c r="E2943" t="s">
        <v>2917</v>
      </c>
    </row>
    <row r="2944" spans="1:5">
      <c r="A2944">
        <f>HYPERLINK("http://www.twitter.com/NYPDnews/status/734363533912211456", "734363533912211456")</f>
        <v>0</v>
      </c>
      <c r="B2944" s="2">
        <v>42512.52875</v>
      </c>
      <c r="C2944">
        <v>42</v>
      </c>
      <c r="D2944">
        <v>19</v>
      </c>
      <c r="E2944" t="s">
        <v>2918</v>
      </c>
    </row>
    <row r="2945" spans="1:5">
      <c r="A2945">
        <f>HYPERLINK("http://www.twitter.com/NYPDnews/status/734187028577947648", "734187028577947648")</f>
        <v>0</v>
      </c>
      <c r="B2945" s="2">
        <v>42512.0416898148</v>
      </c>
      <c r="C2945">
        <v>0</v>
      </c>
      <c r="D2945">
        <v>137</v>
      </c>
      <c r="E2945" t="s">
        <v>2919</v>
      </c>
    </row>
    <row r="2946" spans="1:5">
      <c r="A2946">
        <f>HYPERLINK("http://www.twitter.com/NYPDnews/status/734120362837954561", "734120362837954561")</f>
        <v>0</v>
      </c>
      <c r="B2946" s="2">
        <v>42511.8577314815</v>
      </c>
      <c r="C2946">
        <v>19</v>
      </c>
      <c r="D2946">
        <v>11</v>
      </c>
      <c r="E2946" t="s">
        <v>2920</v>
      </c>
    </row>
    <row r="2947" spans="1:5">
      <c r="A2947">
        <f>HYPERLINK("http://www.twitter.com/NYPDnews/status/734102527722029056", "734102527722029056")</f>
        <v>0</v>
      </c>
      <c r="B2947" s="2">
        <v>42511.8085185185</v>
      </c>
      <c r="C2947">
        <v>0</v>
      </c>
      <c r="D2947">
        <v>20</v>
      </c>
      <c r="E2947" t="s">
        <v>2921</v>
      </c>
    </row>
    <row r="2948" spans="1:5">
      <c r="A2948">
        <f>HYPERLINK("http://www.twitter.com/NYPDnews/status/734101279052566530", "734101279052566530")</f>
        <v>0</v>
      </c>
      <c r="B2948" s="2">
        <v>42511.8050694444</v>
      </c>
      <c r="C2948">
        <v>0</v>
      </c>
      <c r="D2948">
        <v>9</v>
      </c>
      <c r="E2948" t="s">
        <v>2922</v>
      </c>
    </row>
    <row r="2949" spans="1:5">
      <c r="A2949">
        <f>HYPERLINK("http://www.twitter.com/NYPDnews/status/734051298971156481", "734051298971156481")</f>
        <v>0</v>
      </c>
      <c r="B2949" s="2">
        <v>42511.6671527778</v>
      </c>
      <c r="C2949">
        <v>23</v>
      </c>
      <c r="D2949">
        <v>9</v>
      </c>
      <c r="E2949" t="s">
        <v>2923</v>
      </c>
    </row>
    <row r="2950" spans="1:5">
      <c r="A2950">
        <f>HYPERLINK("http://www.twitter.com/NYPDnews/status/734036158808743936", "734036158808743936")</f>
        <v>0</v>
      </c>
      <c r="B2950" s="2">
        <v>42511.6253703704</v>
      </c>
      <c r="C2950">
        <v>14</v>
      </c>
      <c r="D2950">
        <v>39</v>
      </c>
      <c r="E2950" t="s">
        <v>2924</v>
      </c>
    </row>
    <row r="2951" spans="1:5">
      <c r="A2951">
        <f>HYPERLINK("http://www.twitter.com/NYPDnews/status/734021058899103745", "734021058899103745")</f>
        <v>0</v>
      </c>
      <c r="B2951" s="2">
        <v>42511.5837037037</v>
      </c>
      <c r="C2951">
        <v>68</v>
      </c>
      <c r="D2951">
        <v>18</v>
      </c>
      <c r="E2951" t="s">
        <v>2925</v>
      </c>
    </row>
    <row r="2952" spans="1:5">
      <c r="A2952">
        <f>HYPERLINK("http://www.twitter.com/NYPDnews/status/733993267445018624", "733993267445018624")</f>
        <v>0</v>
      </c>
      <c r="B2952" s="2">
        <v>42511.5070138889</v>
      </c>
      <c r="C2952">
        <v>74</v>
      </c>
      <c r="D2952">
        <v>36</v>
      </c>
      <c r="E2952" t="s">
        <v>2926</v>
      </c>
    </row>
    <row r="2953" spans="1:5">
      <c r="A2953">
        <f>HYPERLINK("http://www.twitter.com/NYPDnews/status/733834715241676800", "733834715241676800")</f>
        <v>0</v>
      </c>
      <c r="B2953" s="2">
        <v>42511.0694907407</v>
      </c>
      <c r="C2953">
        <v>62</v>
      </c>
      <c r="D2953">
        <v>36</v>
      </c>
      <c r="E2953" t="s">
        <v>2927</v>
      </c>
    </row>
    <row r="2954" spans="1:5">
      <c r="A2954">
        <f>HYPERLINK("http://www.twitter.com/NYPDnews/status/733810671624814595", "733810671624814595")</f>
        <v>0</v>
      </c>
      <c r="B2954" s="2">
        <v>42511.0031481481</v>
      </c>
      <c r="C2954">
        <v>134</v>
      </c>
      <c r="D2954">
        <v>36</v>
      </c>
      <c r="E2954" t="s">
        <v>2928</v>
      </c>
    </row>
    <row r="2955" spans="1:5">
      <c r="A2955">
        <f>HYPERLINK("http://www.twitter.com/NYPDnews/status/733780477790826497", "733780477790826497")</f>
        <v>0</v>
      </c>
      <c r="B2955" s="2">
        <v>42510.9198263889</v>
      </c>
      <c r="C2955">
        <v>115</v>
      </c>
      <c r="D2955">
        <v>40</v>
      </c>
      <c r="E2955" t="s">
        <v>2929</v>
      </c>
    </row>
    <row r="2956" spans="1:5">
      <c r="A2956">
        <f>HYPERLINK("http://www.twitter.com/NYPDnews/status/733739957739720704", "733739957739720704")</f>
        <v>0</v>
      </c>
      <c r="B2956" s="2">
        <v>42510.8080092593</v>
      </c>
      <c r="C2956">
        <v>160</v>
      </c>
      <c r="D2956">
        <v>58</v>
      </c>
      <c r="E2956" t="s">
        <v>2930</v>
      </c>
    </row>
    <row r="2957" spans="1:5">
      <c r="A2957">
        <f>HYPERLINK("http://www.twitter.com/NYPDnews/status/733691419802673152", "733691419802673152")</f>
        <v>0</v>
      </c>
      <c r="B2957" s="2">
        <v>42510.6740740741</v>
      </c>
      <c r="C2957">
        <v>46</v>
      </c>
      <c r="D2957">
        <v>17</v>
      </c>
      <c r="E2957" t="s">
        <v>2931</v>
      </c>
    </row>
    <row r="2958" spans="1:5">
      <c r="A2958">
        <f>HYPERLINK("http://www.twitter.com/NYPDnews/status/733649082963644417", "733649082963644417")</f>
        <v>0</v>
      </c>
      <c r="B2958" s="2">
        <v>42510.5572453704</v>
      </c>
      <c r="C2958">
        <v>0</v>
      </c>
      <c r="D2958">
        <v>137</v>
      </c>
      <c r="E2958" t="s">
        <v>2932</v>
      </c>
    </row>
    <row r="2959" spans="1:5">
      <c r="A2959">
        <f>HYPERLINK("http://www.twitter.com/NYPDnews/status/733639891091902464", "733639891091902464")</f>
        <v>0</v>
      </c>
      <c r="B2959" s="2">
        <v>42510.5318865741</v>
      </c>
      <c r="C2959">
        <v>0</v>
      </c>
      <c r="D2959">
        <v>30</v>
      </c>
      <c r="E2959" t="s">
        <v>2933</v>
      </c>
    </row>
    <row r="2960" spans="1:5">
      <c r="A2960">
        <f>HYPERLINK("http://www.twitter.com/NYPDnews/status/733635957543579653", "733635957543579653")</f>
        <v>0</v>
      </c>
      <c r="B2960" s="2">
        <v>42510.5210300926</v>
      </c>
      <c r="C2960">
        <v>34</v>
      </c>
      <c r="D2960">
        <v>9</v>
      </c>
      <c r="E2960" t="s">
        <v>2934</v>
      </c>
    </row>
    <row r="2961" spans="1:5">
      <c r="A2961">
        <f>HYPERLINK("http://www.twitter.com/NYPDnews/status/733633601636536320", "733633601636536320")</f>
        <v>0</v>
      </c>
      <c r="B2961" s="2">
        <v>42510.514525463</v>
      </c>
      <c r="C2961">
        <v>15</v>
      </c>
      <c r="D2961">
        <v>28</v>
      </c>
      <c r="E2961" t="s">
        <v>2935</v>
      </c>
    </row>
    <row r="2962" spans="1:5">
      <c r="A2962">
        <f>HYPERLINK("http://www.twitter.com/NYPDnews/status/733628772667281408", "733628772667281408")</f>
        <v>0</v>
      </c>
      <c r="B2962" s="2">
        <v>42510.5012037037</v>
      </c>
      <c r="C2962">
        <v>43</v>
      </c>
      <c r="D2962">
        <v>122</v>
      </c>
      <c r="E2962" t="s">
        <v>2936</v>
      </c>
    </row>
    <row r="2963" spans="1:5">
      <c r="A2963">
        <f>HYPERLINK("http://www.twitter.com/NYPDnews/status/733605807108030465", "733605807108030465")</f>
        <v>0</v>
      </c>
      <c r="B2963" s="2">
        <v>42510.4378240741</v>
      </c>
      <c r="C2963">
        <v>15</v>
      </c>
      <c r="D2963">
        <v>9</v>
      </c>
      <c r="E2963" t="s">
        <v>2937</v>
      </c>
    </row>
    <row r="2964" spans="1:5">
      <c r="A2964">
        <f>HYPERLINK("http://www.twitter.com/NYPDnews/status/733463540799934464", "733463540799934464")</f>
        <v>0</v>
      </c>
      <c r="B2964" s="2">
        <v>42510.0452430556</v>
      </c>
      <c r="C2964">
        <v>95</v>
      </c>
      <c r="D2964">
        <v>57</v>
      </c>
      <c r="E2964" t="s">
        <v>2938</v>
      </c>
    </row>
    <row r="2965" spans="1:5">
      <c r="A2965">
        <f>HYPERLINK("http://www.twitter.com/NYPDnews/status/733443177940701184", "733443177940701184")</f>
        <v>0</v>
      </c>
      <c r="B2965" s="2">
        <v>42509.9890509259</v>
      </c>
      <c r="C2965">
        <v>10</v>
      </c>
      <c r="D2965">
        <v>4</v>
      </c>
      <c r="E2965" t="s">
        <v>2939</v>
      </c>
    </row>
    <row r="2966" spans="1:5">
      <c r="A2966">
        <f>HYPERLINK("http://www.twitter.com/NYPDnews/status/733383076169023489", "733383076169023489")</f>
        <v>0</v>
      </c>
      <c r="B2966" s="2">
        <v>42509.8232060185</v>
      </c>
      <c r="C2966">
        <v>0</v>
      </c>
      <c r="D2966">
        <v>20</v>
      </c>
      <c r="E2966" t="s">
        <v>2940</v>
      </c>
    </row>
    <row r="2967" spans="1:5">
      <c r="A2967">
        <f>HYPERLINK("http://www.twitter.com/NYPDnews/status/733317520619405312", "733317520619405312")</f>
        <v>0</v>
      </c>
      <c r="B2967" s="2">
        <v>42509.6423032407</v>
      </c>
      <c r="C2967">
        <v>17</v>
      </c>
      <c r="D2967">
        <v>11</v>
      </c>
      <c r="E2967" t="s">
        <v>2941</v>
      </c>
    </row>
    <row r="2968" spans="1:5">
      <c r="A2968">
        <f>HYPERLINK("http://www.twitter.com/NYPDnews/status/733280160913469441", "733280160913469441")</f>
        <v>0</v>
      </c>
      <c r="B2968" s="2">
        <v>42509.539212963</v>
      </c>
      <c r="C2968">
        <v>0</v>
      </c>
      <c r="D2968">
        <v>23</v>
      </c>
      <c r="E2968" t="s">
        <v>2942</v>
      </c>
    </row>
    <row r="2969" spans="1:5">
      <c r="A2969">
        <f>HYPERLINK("http://www.twitter.com/NYPDnews/status/733273577206747137", "733273577206747137")</f>
        <v>0</v>
      </c>
      <c r="B2969" s="2">
        <v>42509.5210532407</v>
      </c>
      <c r="C2969">
        <v>41</v>
      </c>
      <c r="D2969">
        <v>26</v>
      </c>
      <c r="E2969" t="s">
        <v>2943</v>
      </c>
    </row>
    <row r="2970" spans="1:5">
      <c r="A2970">
        <f>HYPERLINK("http://www.twitter.com/NYPDnews/status/733266050461147138", "733266050461147138")</f>
        <v>0</v>
      </c>
      <c r="B2970" s="2">
        <v>42509.5002777778</v>
      </c>
      <c r="C2970">
        <v>26</v>
      </c>
      <c r="D2970">
        <v>13</v>
      </c>
      <c r="E2970" t="s">
        <v>2944</v>
      </c>
    </row>
    <row r="2971" spans="1:5">
      <c r="A2971">
        <f>HYPERLINK("http://www.twitter.com/NYPDnews/status/733262205148352512", "733262205148352512")</f>
        <v>0</v>
      </c>
      <c r="B2971" s="2">
        <v>42509.4896643519</v>
      </c>
      <c r="C2971">
        <v>23</v>
      </c>
      <c r="D2971">
        <v>50</v>
      </c>
      <c r="E2971" t="s">
        <v>2945</v>
      </c>
    </row>
    <row r="2972" spans="1:5">
      <c r="A2972">
        <f>HYPERLINK("http://www.twitter.com/NYPDnews/status/733094846848720896", "733094846848720896")</f>
        <v>0</v>
      </c>
      <c r="B2972" s="2">
        <v>42509.0278472222</v>
      </c>
      <c r="C2972">
        <v>78</v>
      </c>
      <c r="D2972">
        <v>22</v>
      </c>
      <c r="E2972" t="s">
        <v>2946</v>
      </c>
    </row>
    <row r="2973" spans="1:5">
      <c r="A2973">
        <f>HYPERLINK("http://www.twitter.com/NYPDnews/status/733062610455822337", "733062610455822337")</f>
        <v>0</v>
      </c>
      <c r="B2973" s="2">
        <v>42508.9388888889</v>
      </c>
      <c r="C2973">
        <v>0</v>
      </c>
      <c r="D2973">
        <v>20</v>
      </c>
      <c r="E2973" t="s">
        <v>2947</v>
      </c>
    </row>
    <row r="2974" spans="1:5">
      <c r="A2974">
        <f>HYPERLINK("http://www.twitter.com/NYPDnews/status/732972930645266432", "732972930645266432")</f>
        <v>0</v>
      </c>
      <c r="B2974" s="2">
        <v>42508.6914236111</v>
      </c>
      <c r="C2974">
        <v>66</v>
      </c>
      <c r="D2974">
        <v>13</v>
      </c>
      <c r="E2974" t="s">
        <v>2948</v>
      </c>
    </row>
    <row r="2975" spans="1:5">
      <c r="A2975">
        <f>HYPERLINK("http://www.twitter.com/NYPDnews/status/732970820985847808", "732970820985847808")</f>
        <v>0</v>
      </c>
      <c r="B2975" s="2">
        <v>42508.6856018519</v>
      </c>
      <c r="C2975">
        <v>31</v>
      </c>
      <c r="D2975">
        <v>22</v>
      </c>
      <c r="E2975" t="s">
        <v>2949</v>
      </c>
    </row>
    <row r="2976" spans="1:5">
      <c r="A2976">
        <f>HYPERLINK("http://www.twitter.com/NYPDnews/status/732970373944336388", "732970373944336388")</f>
        <v>0</v>
      </c>
      <c r="B2976" s="2">
        <v>42508.6843634259</v>
      </c>
      <c r="C2976">
        <v>36</v>
      </c>
      <c r="D2976">
        <v>13</v>
      </c>
      <c r="E2976" t="s">
        <v>2950</v>
      </c>
    </row>
    <row r="2977" spans="1:5">
      <c r="A2977">
        <f>HYPERLINK("http://www.twitter.com/NYPDnews/status/732967790320222209", "732967790320222209")</f>
        <v>0</v>
      </c>
      <c r="B2977" s="2">
        <v>42508.6772337963</v>
      </c>
      <c r="C2977">
        <v>23</v>
      </c>
      <c r="D2977">
        <v>12</v>
      </c>
      <c r="E2977" t="s">
        <v>2951</v>
      </c>
    </row>
    <row r="2978" spans="1:5">
      <c r="A2978">
        <f>HYPERLINK("http://www.twitter.com/NYPDnews/status/732966689046990848", "732966689046990848")</f>
        <v>0</v>
      </c>
      <c r="B2978" s="2">
        <v>42508.6742013889</v>
      </c>
      <c r="C2978">
        <v>25</v>
      </c>
      <c r="D2978">
        <v>11</v>
      </c>
      <c r="E2978" t="s">
        <v>2952</v>
      </c>
    </row>
    <row r="2979" spans="1:5">
      <c r="A2979">
        <f>HYPERLINK("http://www.twitter.com/NYPDnews/status/732957273035792384", "732957273035792384")</f>
        <v>0</v>
      </c>
      <c r="B2979" s="2">
        <v>42508.6482175926</v>
      </c>
      <c r="C2979">
        <v>72</v>
      </c>
      <c r="D2979">
        <v>35</v>
      </c>
      <c r="E2979" t="s">
        <v>2953</v>
      </c>
    </row>
    <row r="2980" spans="1:5">
      <c r="A2980">
        <f>HYPERLINK("http://www.twitter.com/NYPDnews/status/732944032599572482", "732944032599572482")</f>
        <v>0</v>
      </c>
      <c r="B2980" s="2">
        <v>42508.6116782407</v>
      </c>
      <c r="C2980">
        <v>46</v>
      </c>
      <c r="D2980">
        <v>36</v>
      </c>
      <c r="E2980" t="s">
        <v>2954</v>
      </c>
    </row>
    <row r="2981" spans="1:5">
      <c r="A2981">
        <f>HYPERLINK("http://www.twitter.com/NYPDnews/status/732942363514015746", "732942363514015746")</f>
        <v>0</v>
      </c>
      <c r="B2981" s="2">
        <v>42508.6070717593</v>
      </c>
      <c r="C2981">
        <v>79</v>
      </c>
      <c r="D2981">
        <v>68</v>
      </c>
      <c r="E2981" t="s">
        <v>2955</v>
      </c>
    </row>
    <row r="2982" spans="1:5">
      <c r="A2982">
        <f>HYPERLINK("http://www.twitter.com/NYPDnews/status/732941780686082048", "732941780686082048")</f>
        <v>0</v>
      </c>
      <c r="B2982" s="2">
        <v>42508.605462963</v>
      </c>
      <c r="C2982">
        <v>89</v>
      </c>
      <c r="D2982">
        <v>81</v>
      </c>
      <c r="E2982" t="s">
        <v>2956</v>
      </c>
    </row>
    <row r="2983" spans="1:5">
      <c r="A2983">
        <f>HYPERLINK("http://www.twitter.com/NYPDnews/status/732941156057817088", "732941156057817088")</f>
        <v>0</v>
      </c>
      <c r="B2983" s="2">
        <v>42508.6037384259</v>
      </c>
      <c r="C2983">
        <v>41</v>
      </c>
      <c r="D2983">
        <v>47</v>
      </c>
      <c r="E2983" t="s">
        <v>2957</v>
      </c>
    </row>
    <row r="2984" spans="1:5">
      <c r="A2984">
        <f>HYPERLINK("http://www.twitter.com/NYPDnews/status/732939339706060804", "732939339706060804")</f>
        <v>0</v>
      </c>
      <c r="B2984" s="2">
        <v>42508.5987268519</v>
      </c>
      <c r="C2984">
        <v>64</v>
      </c>
      <c r="D2984">
        <v>34</v>
      </c>
      <c r="E2984" t="s">
        <v>2958</v>
      </c>
    </row>
    <row r="2985" spans="1:5">
      <c r="A2985">
        <f>HYPERLINK("http://www.twitter.com/NYPDnews/status/732920414800883712", "732920414800883712")</f>
        <v>0</v>
      </c>
      <c r="B2985" s="2">
        <v>42508.5465046296</v>
      </c>
      <c r="C2985">
        <v>26</v>
      </c>
      <c r="D2985">
        <v>61</v>
      </c>
      <c r="E2985" t="s">
        <v>2959</v>
      </c>
    </row>
    <row r="2986" spans="1:5">
      <c r="A2986">
        <f>HYPERLINK("http://www.twitter.com/NYPDnews/status/732911215823998976", "732911215823998976")</f>
        <v>0</v>
      </c>
      <c r="B2986" s="2">
        <v>42508.5211226852</v>
      </c>
      <c r="C2986">
        <v>125</v>
      </c>
      <c r="D2986">
        <v>37</v>
      </c>
      <c r="E2986" t="s">
        <v>2960</v>
      </c>
    </row>
    <row r="2987" spans="1:5">
      <c r="A2987">
        <f>HYPERLINK("http://www.twitter.com/NYPDnews/status/732907397728075776", "732907397728075776")</f>
        <v>0</v>
      </c>
      <c r="B2987" s="2">
        <v>42508.5105902778</v>
      </c>
      <c r="C2987">
        <v>36</v>
      </c>
      <c r="D2987">
        <v>10</v>
      </c>
      <c r="E2987" t="s">
        <v>2961</v>
      </c>
    </row>
    <row r="2988" spans="1:5">
      <c r="A2988">
        <f>HYPERLINK("http://www.twitter.com/NYPDnews/status/732903681654460416", "732903681654460416")</f>
        <v>0</v>
      </c>
      <c r="B2988" s="2">
        <v>42508.5003356481</v>
      </c>
      <c r="C2988">
        <v>26</v>
      </c>
      <c r="D2988">
        <v>58</v>
      </c>
      <c r="E2988" t="s">
        <v>2962</v>
      </c>
    </row>
    <row r="2989" spans="1:5">
      <c r="A2989">
        <f>HYPERLINK("http://www.twitter.com/NYPDnews/status/732899823603601413", "732899823603601413")</f>
        <v>0</v>
      </c>
      <c r="B2989" s="2">
        <v>42508.4896875</v>
      </c>
      <c r="C2989">
        <v>31</v>
      </c>
      <c r="D2989">
        <v>20</v>
      </c>
      <c r="E2989" t="s">
        <v>2963</v>
      </c>
    </row>
    <row r="2990" spans="1:5">
      <c r="A2990">
        <f>HYPERLINK("http://www.twitter.com/NYPDnews/status/732865901113028608", "732865901113028608")</f>
        <v>0</v>
      </c>
      <c r="B2990" s="2">
        <v>42508.3960763889</v>
      </c>
      <c r="C2990">
        <v>38</v>
      </c>
      <c r="D2990">
        <v>21</v>
      </c>
      <c r="E2990" t="s">
        <v>2964</v>
      </c>
    </row>
    <row r="2991" spans="1:5">
      <c r="A2991">
        <f>HYPERLINK("http://www.twitter.com/NYPDnews/status/732775730434723840", "732775730434723840")</f>
        <v>0</v>
      </c>
      <c r="B2991" s="2">
        <v>42508.1472569444</v>
      </c>
      <c r="C2991">
        <v>36</v>
      </c>
      <c r="D2991">
        <v>79</v>
      </c>
      <c r="E2991" t="s">
        <v>2965</v>
      </c>
    </row>
    <row r="2992" spans="1:5">
      <c r="A2992">
        <f>HYPERLINK("http://www.twitter.com/NYPDnews/status/732755101123784704", "732755101123784704")</f>
        <v>0</v>
      </c>
      <c r="B2992" s="2">
        <v>42508.0903240741</v>
      </c>
      <c r="C2992">
        <v>33</v>
      </c>
      <c r="D2992">
        <v>15</v>
      </c>
      <c r="E2992" t="s">
        <v>2966</v>
      </c>
    </row>
    <row r="2993" spans="1:5">
      <c r="A2993">
        <f>HYPERLINK("http://www.twitter.com/NYPDnews/status/732742525539241984", "732742525539241984")</f>
        <v>0</v>
      </c>
      <c r="B2993" s="2">
        <v>42508.055625</v>
      </c>
      <c r="C2993">
        <v>52</v>
      </c>
      <c r="D2993">
        <v>26</v>
      </c>
      <c r="E2993" t="s">
        <v>2967</v>
      </c>
    </row>
    <row r="2994" spans="1:5">
      <c r="A2994">
        <f>HYPERLINK("http://www.twitter.com/NYPDnews/status/732730064417247232", "732730064417247232")</f>
        <v>0</v>
      </c>
      <c r="B2994" s="2">
        <v>42508.0212384259</v>
      </c>
      <c r="C2994">
        <v>49</v>
      </c>
      <c r="D2994">
        <v>20</v>
      </c>
      <c r="E2994" t="s">
        <v>2968</v>
      </c>
    </row>
    <row r="2995" spans="1:5">
      <c r="A2995">
        <f>HYPERLINK("http://www.twitter.com/NYPDnews/status/732720083651416064", "732720083651416064")</f>
        <v>0</v>
      </c>
      <c r="B2995" s="2">
        <v>42507.9936921296</v>
      </c>
      <c r="C2995">
        <v>45</v>
      </c>
      <c r="D2995">
        <v>21</v>
      </c>
      <c r="E2995" t="s">
        <v>2969</v>
      </c>
    </row>
    <row r="2996" spans="1:5">
      <c r="A2996">
        <f>HYPERLINK("http://www.twitter.com/NYPDnews/status/732702822555357184", "732702822555357184")</f>
        <v>0</v>
      </c>
      <c r="B2996" s="2">
        <v>42507.9460648148</v>
      </c>
      <c r="C2996">
        <v>16</v>
      </c>
      <c r="D2996">
        <v>8</v>
      </c>
      <c r="E2996" t="s">
        <v>2970</v>
      </c>
    </row>
    <row r="2997" spans="1:5">
      <c r="A2997">
        <f>HYPERLINK("http://www.twitter.com/NYPDnews/status/732694760184553472", "732694760184553472")</f>
        <v>0</v>
      </c>
      <c r="B2997" s="2">
        <v>42507.9238194444</v>
      </c>
      <c r="C2997">
        <v>11</v>
      </c>
      <c r="D2997">
        <v>2</v>
      </c>
      <c r="E2997" t="s">
        <v>2971</v>
      </c>
    </row>
    <row r="2998" spans="1:5">
      <c r="A2998">
        <f>HYPERLINK("http://www.twitter.com/NYPDnews/status/732664968752037888", "732664968752037888")</f>
        <v>0</v>
      </c>
      <c r="B2998" s="2">
        <v>42507.8416087963</v>
      </c>
      <c r="C2998">
        <v>0</v>
      </c>
      <c r="D2998">
        <v>20</v>
      </c>
      <c r="E2998" t="s">
        <v>2972</v>
      </c>
    </row>
    <row r="2999" spans="1:5">
      <c r="A2999">
        <f>HYPERLINK("http://www.twitter.com/NYPDnews/status/732628652949639168", "732628652949639168")</f>
        <v>0</v>
      </c>
      <c r="B2999" s="2">
        <v>42507.741400463</v>
      </c>
      <c r="C2999">
        <v>97</v>
      </c>
      <c r="D2999">
        <v>51</v>
      </c>
      <c r="E2999" t="s">
        <v>2973</v>
      </c>
    </row>
    <row r="3000" spans="1:5">
      <c r="A3000">
        <f>HYPERLINK("http://www.twitter.com/NYPDnews/status/732627158569455618", "732627158569455618")</f>
        <v>0</v>
      </c>
      <c r="B3000" s="2">
        <v>42507.7372685185</v>
      </c>
      <c r="C3000">
        <v>70</v>
      </c>
      <c r="D3000">
        <v>31</v>
      </c>
      <c r="E3000" t="s">
        <v>2974</v>
      </c>
    </row>
    <row r="3001" spans="1:5">
      <c r="A3001">
        <f>HYPERLINK("http://www.twitter.com/NYPDnews/status/732626167006691329", "732626167006691329")</f>
        <v>0</v>
      </c>
      <c r="B3001" s="2">
        <v>42507.734537037</v>
      </c>
      <c r="C3001">
        <v>15</v>
      </c>
      <c r="D3001">
        <v>13</v>
      </c>
      <c r="E3001" t="s">
        <v>2975</v>
      </c>
    </row>
    <row r="3002" spans="1:5">
      <c r="A3002">
        <f>HYPERLINK("http://www.twitter.com/NYPDnews/status/732625767562129412", "732625767562129412")</f>
        <v>0</v>
      </c>
      <c r="B3002" s="2">
        <v>42507.7334375</v>
      </c>
      <c r="C3002">
        <v>28</v>
      </c>
      <c r="D3002">
        <v>15</v>
      </c>
      <c r="E3002" t="s">
        <v>2976</v>
      </c>
    </row>
    <row r="3003" spans="1:5">
      <c r="A3003">
        <f>HYPERLINK("http://www.twitter.com/NYPDnews/status/732623001515110400", "732623001515110400")</f>
        <v>0</v>
      </c>
      <c r="B3003" s="2">
        <v>42507.7257986111</v>
      </c>
      <c r="C3003">
        <v>60</v>
      </c>
      <c r="D3003">
        <v>41</v>
      </c>
      <c r="E3003" t="s">
        <v>2977</v>
      </c>
    </row>
    <row r="3004" spans="1:5">
      <c r="A3004">
        <f>HYPERLINK("http://www.twitter.com/NYPDnews/status/732614190200848384", "732614190200848384")</f>
        <v>0</v>
      </c>
      <c r="B3004" s="2">
        <v>42507.7014814815</v>
      </c>
      <c r="C3004">
        <v>18</v>
      </c>
      <c r="D3004">
        <v>9</v>
      </c>
      <c r="E3004" t="s">
        <v>2978</v>
      </c>
    </row>
    <row r="3005" spans="1:5">
      <c r="A3005">
        <f>HYPERLINK("http://www.twitter.com/NYPDnews/status/732575188760600576", "732575188760600576")</f>
        <v>0</v>
      </c>
      <c r="B3005" s="2">
        <v>42507.5938657407</v>
      </c>
      <c r="C3005">
        <v>61</v>
      </c>
      <c r="D3005">
        <v>38</v>
      </c>
      <c r="E3005" t="s">
        <v>2979</v>
      </c>
    </row>
    <row r="3006" spans="1:5">
      <c r="A3006">
        <f>HYPERLINK("http://www.twitter.com/NYPDnews/status/732566750039003136", "732566750039003136")</f>
        <v>0</v>
      </c>
      <c r="B3006" s="2">
        <v>42507.5705787037</v>
      </c>
      <c r="C3006">
        <v>42</v>
      </c>
      <c r="D3006">
        <v>20</v>
      </c>
      <c r="E3006" t="s">
        <v>2980</v>
      </c>
    </row>
    <row r="3007" spans="1:5">
      <c r="A3007">
        <f>HYPERLINK("http://www.twitter.com/NYPDnews/status/732552561526493184", "732552561526493184")</f>
        <v>0</v>
      </c>
      <c r="B3007" s="2">
        <v>42507.5314236111</v>
      </c>
      <c r="C3007">
        <v>18</v>
      </c>
      <c r="D3007">
        <v>7</v>
      </c>
      <c r="E3007" t="s">
        <v>2981</v>
      </c>
    </row>
    <row r="3008" spans="1:5">
      <c r="A3008">
        <f>HYPERLINK("http://www.twitter.com/NYPDnews/status/732548827010453504", "732548827010453504")</f>
        <v>0</v>
      </c>
      <c r="B3008" s="2">
        <v>42507.5211226852</v>
      </c>
      <c r="C3008">
        <v>82</v>
      </c>
      <c r="D3008">
        <v>24</v>
      </c>
      <c r="E3008" t="s">
        <v>2982</v>
      </c>
    </row>
    <row r="3009" spans="1:5">
      <c r="A3009">
        <f>HYPERLINK("http://www.twitter.com/NYPDnews/status/732544999976542208", "732544999976542208")</f>
        <v>0</v>
      </c>
      <c r="B3009" s="2">
        <v>42507.5105555556</v>
      </c>
      <c r="C3009">
        <v>90</v>
      </c>
      <c r="D3009">
        <v>27</v>
      </c>
      <c r="E3009" t="s">
        <v>2983</v>
      </c>
    </row>
    <row r="3010" spans="1:5">
      <c r="A3010">
        <f>HYPERLINK("http://www.twitter.com/NYPDnews/status/732541324558258176", "732541324558258176")</f>
        <v>0</v>
      </c>
      <c r="B3010" s="2">
        <v>42507.5004166667</v>
      </c>
      <c r="C3010">
        <v>22</v>
      </c>
      <c r="D3010">
        <v>30</v>
      </c>
      <c r="E3010" t="s">
        <v>2984</v>
      </c>
    </row>
    <row r="3011" spans="1:5">
      <c r="A3011">
        <f>HYPERLINK("http://www.twitter.com/NYPDnews/status/732537451089121281", "732537451089121281")</f>
        <v>0</v>
      </c>
      <c r="B3011" s="2">
        <v>42507.4897222222</v>
      </c>
      <c r="C3011">
        <v>23</v>
      </c>
      <c r="D3011">
        <v>60</v>
      </c>
      <c r="E3011" t="s">
        <v>2985</v>
      </c>
    </row>
    <row r="3012" spans="1:5">
      <c r="A3012">
        <f>HYPERLINK("http://www.twitter.com/NYPDnews/status/732530186902724608", "732530186902724608")</f>
        <v>0</v>
      </c>
      <c r="B3012" s="2">
        <v>42507.4696759259</v>
      </c>
      <c r="C3012">
        <v>68</v>
      </c>
      <c r="D3012">
        <v>25</v>
      </c>
      <c r="E3012" t="s">
        <v>2986</v>
      </c>
    </row>
    <row r="3013" spans="1:5">
      <c r="A3013">
        <f>HYPERLINK("http://www.twitter.com/NYPDnews/status/732529812204621825", "732529812204621825")</f>
        <v>0</v>
      </c>
      <c r="B3013" s="2">
        <v>42507.4686458333</v>
      </c>
      <c r="C3013">
        <v>7</v>
      </c>
      <c r="D3013">
        <v>5</v>
      </c>
      <c r="E3013" t="s">
        <v>2987</v>
      </c>
    </row>
    <row r="3014" spans="1:5">
      <c r="A3014">
        <f>HYPERLINK("http://www.twitter.com/NYPDnews/status/732525209379590146", "732525209379590146")</f>
        <v>0</v>
      </c>
      <c r="B3014" s="2">
        <v>42507.4559490741</v>
      </c>
      <c r="C3014">
        <v>0</v>
      </c>
      <c r="D3014">
        <v>22</v>
      </c>
      <c r="E3014" t="s">
        <v>2988</v>
      </c>
    </row>
    <row r="3015" spans="1:5">
      <c r="A3015">
        <f>HYPERLINK("http://www.twitter.com/NYPDnews/status/732340772662616065", "732340772662616065")</f>
        <v>0</v>
      </c>
      <c r="B3015" s="2">
        <v>42506.9470023148</v>
      </c>
      <c r="C3015">
        <v>22</v>
      </c>
      <c r="D3015">
        <v>13</v>
      </c>
      <c r="E3015" t="s">
        <v>2989</v>
      </c>
    </row>
    <row r="3016" spans="1:5">
      <c r="A3016">
        <f>HYPERLINK("http://www.twitter.com/NYPDnews/status/732327334892716032", "732327334892716032")</f>
        <v>0</v>
      </c>
      <c r="B3016" s="2">
        <v>42506.9099189815</v>
      </c>
      <c r="C3016">
        <v>24</v>
      </c>
      <c r="D3016">
        <v>15</v>
      </c>
      <c r="E3016" t="s">
        <v>2990</v>
      </c>
    </row>
    <row r="3017" spans="1:5">
      <c r="A3017">
        <f>HYPERLINK("http://www.twitter.com/NYPDnews/status/732314685819736064", "732314685819736064")</f>
        <v>0</v>
      </c>
      <c r="B3017" s="2">
        <v>42506.8750115741</v>
      </c>
      <c r="C3017">
        <v>17</v>
      </c>
      <c r="D3017">
        <v>42</v>
      </c>
      <c r="E3017" t="s">
        <v>2991</v>
      </c>
    </row>
    <row r="3018" spans="1:5">
      <c r="A3018">
        <f>HYPERLINK("http://www.twitter.com/NYPDnews/status/732301169352003584", "732301169352003584")</f>
        <v>0</v>
      </c>
      <c r="B3018" s="2">
        <v>42506.8377083333</v>
      </c>
      <c r="C3018">
        <v>28</v>
      </c>
      <c r="D3018">
        <v>14</v>
      </c>
      <c r="E3018" t="s">
        <v>2992</v>
      </c>
    </row>
    <row r="3019" spans="1:5">
      <c r="A3019">
        <f>HYPERLINK("http://www.twitter.com/NYPDnews/status/732197896104378368", "732197896104378368")</f>
        <v>0</v>
      </c>
      <c r="B3019" s="2">
        <v>42506.5527314815</v>
      </c>
      <c r="C3019">
        <v>0</v>
      </c>
      <c r="D3019">
        <v>44</v>
      </c>
      <c r="E3019" t="s">
        <v>2993</v>
      </c>
    </row>
    <row r="3020" spans="1:5">
      <c r="A3020">
        <f>HYPERLINK("http://www.twitter.com/NYPDnews/status/732190160704638976", "732190160704638976")</f>
        <v>0</v>
      </c>
      <c r="B3020" s="2">
        <v>42506.5313888889</v>
      </c>
      <c r="C3020">
        <v>11</v>
      </c>
      <c r="D3020">
        <v>33</v>
      </c>
      <c r="E3020" t="s">
        <v>2994</v>
      </c>
    </row>
    <row r="3021" spans="1:5">
      <c r="A3021">
        <f>HYPERLINK("http://www.twitter.com/NYPDnews/status/732186633903190016", "732186633903190016")</f>
        <v>0</v>
      </c>
      <c r="B3021" s="2">
        <v>42506.5216550926</v>
      </c>
      <c r="C3021">
        <v>35</v>
      </c>
      <c r="D3021">
        <v>24</v>
      </c>
      <c r="E3021" t="s">
        <v>2995</v>
      </c>
    </row>
    <row r="3022" spans="1:5">
      <c r="A3022">
        <f>HYPERLINK("http://www.twitter.com/NYPDnews/status/732182613868335104", "732182613868335104")</f>
        <v>0</v>
      </c>
      <c r="B3022" s="2">
        <v>42506.5105671296</v>
      </c>
      <c r="C3022">
        <v>59</v>
      </c>
      <c r="D3022">
        <v>20</v>
      </c>
      <c r="E3022" t="s">
        <v>2996</v>
      </c>
    </row>
    <row r="3023" spans="1:5">
      <c r="A3023">
        <f>HYPERLINK("http://www.twitter.com/NYPDnews/status/732178937950916609", "732178937950916609")</f>
        <v>0</v>
      </c>
      <c r="B3023" s="2">
        <v>42506.5004166667</v>
      </c>
      <c r="C3023">
        <v>97</v>
      </c>
      <c r="D3023">
        <v>47</v>
      </c>
      <c r="E3023" t="s">
        <v>2997</v>
      </c>
    </row>
    <row r="3024" spans="1:5">
      <c r="A3024">
        <f>HYPERLINK("http://www.twitter.com/NYPDnews/status/732170028259418113", "732170028259418113")</f>
        <v>0</v>
      </c>
      <c r="B3024" s="2">
        <v>42506.4758333333</v>
      </c>
      <c r="C3024">
        <v>137</v>
      </c>
      <c r="D3024">
        <v>51</v>
      </c>
      <c r="E3024" t="s">
        <v>2998</v>
      </c>
    </row>
    <row r="3025" spans="1:5">
      <c r="A3025">
        <f>HYPERLINK("http://www.twitter.com/NYPDnews/status/732012747211313153", "732012747211313153")</f>
        <v>0</v>
      </c>
      <c r="B3025" s="2">
        <v>42506.0418171296</v>
      </c>
      <c r="C3025">
        <v>185</v>
      </c>
      <c r="D3025">
        <v>67</v>
      </c>
      <c r="E3025" t="s">
        <v>2999</v>
      </c>
    </row>
    <row r="3026" spans="1:5">
      <c r="A3026">
        <f>HYPERLINK("http://www.twitter.com/NYPDnews/status/731991344181313537", "731991344181313537")</f>
        <v>0</v>
      </c>
      <c r="B3026" s="2">
        <v>42505.9827546296</v>
      </c>
      <c r="C3026">
        <v>237</v>
      </c>
      <c r="D3026">
        <v>63</v>
      </c>
      <c r="E3026" t="s">
        <v>3000</v>
      </c>
    </row>
    <row r="3027" spans="1:5">
      <c r="A3027">
        <f>HYPERLINK("http://www.twitter.com/NYPDnews/status/731969710368145413", "731969710368145413")</f>
        <v>0</v>
      </c>
      <c r="B3027" s="2">
        <v>42505.9230555556</v>
      </c>
      <c r="C3027">
        <v>146</v>
      </c>
      <c r="D3027">
        <v>47</v>
      </c>
      <c r="E3027" t="s">
        <v>3001</v>
      </c>
    </row>
    <row r="3028" spans="1:5">
      <c r="A3028">
        <f>HYPERLINK("http://www.twitter.com/NYPDnews/status/731875846525440001", "731875846525440001")</f>
        <v>0</v>
      </c>
      <c r="B3028" s="2">
        <v>42505.6640509259</v>
      </c>
      <c r="C3028">
        <v>104</v>
      </c>
      <c r="D3028">
        <v>54</v>
      </c>
      <c r="E3028" t="s">
        <v>3002</v>
      </c>
    </row>
    <row r="3029" spans="1:5">
      <c r="A3029">
        <f>HYPERLINK("http://www.twitter.com/NYPDnews/status/731854756927426561", "731854756927426561")</f>
        <v>0</v>
      </c>
      <c r="B3029" s="2">
        <v>42505.6058449074</v>
      </c>
      <c r="C3029">
        <v>196</v>
      </c>
      <c r="D3029">
        <v>65</v>
      </c>
      <c r="E3029" t="s">
        <v>3003</v>
      </c>
    </row>
    <row r="3030" spans="1:5">
      <c r="A3030">
        <f>HYPERLINK("http://www.twitter.com/NYPDnews/status/731853209950666752", "731853209950666752")</f>
        <v>0</v>
      </c>
      <c r="B3030" s="2">
        <v>42505.6015856481</v>
      </c>
      <c r="C3030">
        <v>25</v>
      </c>
      <c r="D3030">
        <v>11</v>
      </c>
      <c r="E3030" t="s">
        <v>3004</v>
      </c>
    </row>
    <row r="3031" spans="1:5">
      <c r="A3031">
        <f>HYPERLINK("http://www.twitter.com/NYPDnews/status/731852240873459712", "731852240873459712")</f>
        <v>0</v>
      </c>
      <c r="B3031" s="2">
        <v>42505.598912037</v>
      </c>
      <c r="C3031">
        <v>47</v>
      </c>
      <c r="D3031">
        <v>28</v>
      </c>
      <c r="E3031" t="s">
        <v>3005</v>
      </c>
    </row>
    <row r="3032" spans="1:5">
      <c r="A3032">
        <f>HYPERLINK("http://www.twitter.com/NYPDnews/status/731850787383574528", "731850787383574528")</f>
        <v>0</v>
      </c>
      <c r="B3032" s="2">
        <v>42505.5948958333</v>
      </c>
      <c r="C3032">
        <v>167</v>
      </c>
      <c r="D3032">
        <v>62</v>
      </c>
      <c r="E3032" t="s">
        <v>3006</v>
      </c>
    </row>
    <row r="3033" spans="1:5">
      <c r="A3033">
        <f>HYPERLINK("http://www.twitter.com/NYPDnews/status/731824899052982272", "731824899052982272")</f>
        <v>0</v>
      </c>
      <c r="B3033" s="2">
        <v>42505.5234606481</v>
      </c>
      <c r="C3033">
        <v>233</v>
      </c>
      <c r="D3033">
        <v>109</v>
      </c>
      <c r="E3033" t="s">
        <v>3007</v>
      </c>
    </row>
    <row r="3034" spans="1:5">
      <c r="A3034">
        <f>HYPERLINK("http://www.twitter.com/NYPDnews/status/731812699768799233", "731812699768799233")</f>
        <v>0</v>
      </c>
      <c r="B3034" s="2">
        <v>42505.4897916667</v>
      </c>
      <c r="C3034">
        <v>130</v>
      </c>
      <c r="D3034">
        <v>51</v>
      </c>
      <c r="E3034" t="s">
        <v>3008</v>
      </c>
    </row>
    <row r="3035" spans="1:5">
      <c r="A3035">
        <f>HYPERLINK("http://www.twitter.com/NYPDnews/status/731806882034286592", "731806882034286592")</f>
        <v>0</v>
      </c>
      <c r="B3035" s="2">
        <v>42505.4737384259</v>
      </c>
      <c r="C3035">
        <v>135</v>
      </c>
      <c r="D3035">
        <v>45</v>
      </c>
      <c r="E3035" t="s">
        <v>3009</v>
      </c>
    </row>
    <row r="3036" spans="1:5">
      <c r="A3036">
        <f>HYPERLINK("http://www.twitter.com/NYPDnews/status/731774894527123456", "731774894527123456")</f>
        <v>0</v>
      </c>
      <c r="B3036" s="2">
        <v>42505.385474537</v>
      </c>
      <c r="C3036">
        <v>68</v>
      </c>
      <c r="D3036">
        <v>23</v>
      </c>
      <c r="E3036" t="s">
        <v>3010</v>
      </c>
    </row>
    <row r="3037" spans="1:5">
      <c r="A3037">
        <f>HYPERLINK("http://www.twitter.com/NYPDnews/status/731651603841859584", "731651603841859584")</f>
        <v>0</v>
      </c>
      <c r="B3037" s="2">
        <v>42505.0452546296</v>
      </c>
      <c r="C3037">
        <v>30</v>
      </c>
      <c r="D3037">
        <v>30</v>
      </c>
      <c r="E3037" t="s">
        <v>3011</v>
      </c>
    </row>
    <row r="3038" spans="1:5">
      <c r="A3038">
        <f>HYPERLINK("http://www.twitter.com/NYPDnews/status/731634137518444545", "731634137518444545")</f>
        <v>0</v>
      </c>
      <c r="B3038" s="2">
        <v>42504.9970601852</v>
      </c>
      <c r="C3038">
        <v>43</v>
      </c>
      <c r="D3038">
        <v>21</v>
      </c>
      <c r="E3038" t="s">
        <v>3012</v>
      </c>
    </row>
    <row r="3039" spans="1:5">
      <c r="A3039">
        <f>HYPERLINK("http://www.twitter.com/NYPDnews/status/731625201461530625", "731625201461530625")</f>
        <v>0</v>
      </c>
      <c r="B3039" s="2">
        <v>42504.9723958333</v>
      </c>
      <c r="C3039">
        <v>136</v>
      </c>
      <c r="D3039">
        <v>102</v>
      </c>
      <c r="E3039" t="s">
        <v>3013</v>
      </c>
    </row>
    <row r="3040" spans="1:5">
      <c r="A3040">
        <f>HYPERLINK("http://www.twitter.com/NYPDnews/status/731605134304743424", "731605134304743424")</f>
        <v>0</v>
      </c>
      <c r="B3040" s="2">
        <v>42504.917025463</v>
      </c>
      <c r="C3040">
        <v>40</v>
      </c>
      <c r="D3040">
        <v>16</v>
      </c>
      <c r="E3040" t="s">
        <v>3014</v>
      </c>
    </row>
    <row r="3041" spans="1:5">
      <c r="A3041">
        <f>HYPERLINK("http://www.twitter.com/NYPDnews/status/731576910157885440", "731576910157885440")</f>
        <v>0</v>
      </c>
      <c r="B3041" s="2">
        <v>42504.8391435185</v>
      </c>
      <c r="C3041">
        <v>178</v>
      </c>
      <c r="D3041">
        <v>88</v>
      </c>
      <c r="E3041" t="s">
        <v>3015</v>
      </c>
    </row>
    <row r="3042" spans="1:5">
      <c r="A3042">
        <f>HYPERLINK("http://www.twitter.com/NYPDnews/status/731489325834248192", "731489325834248192")</f>
        <v>0</v>
      </c>
      <c r="B3042" s="2">
        <v>42504.5974537037</v>
      </c>
      <c r="C3042">
        <v>40</v>
      </c>
      <c r="D3042">
        <v>10</v>
      </c>
      <c r="E3042" t="s">
        <v>3016</v>
      </c>
    </row>
    <row r="3043" spans="1:5">
      <c r="A3043">
        <f>HYPERLINK("http://www.twitter.com/NYPDnews/status/731474222086815744", "731474222086815744")</f>
        <v>0</v>
      </c>
      <c r="B3043" s="2">
        <v>42504.555775463</v>
      </c>
      <c r="C3043">
        <v>72</v>
      </c>
      <c r="D3043">
        <v>23</v>
      </c>
      <c r="E3043" t="s">
        <v>3017</v>
      </c>
    </row>
    <row r="3044" spans="1:5">
      <c r="A3044">
        <f>HYPERLINK("http://www.twitter.com/NYPDnews/status/731466647031046148", "731466647031046148")</f>
        <v>0</v>
      </c>
      <c r="B3044" s="2">
        <v>42504.5348726852</v>
      </c>
      <c r="C3044">
        <v>71</v>
      </c>
      <c r="D3044">
        <v>45</v>
      </c>
      <c r="E3044" t="s">
        <v>3018</v>
      </c>
    </row>
    <row r="3045" spans="1:5">
      <c r="A3045">
        <f>HYPERLINK("http://www.twitter.com/NYPDnews/status/731288102749253633", "731288102749253633")</f>
        <v>0</v>
      </c>
      <c r="B3045" s="2">
        <v>42504.0421875</v>
      </c>
      <c r="C3045">
        <v>100</v>
      </c>
      <c r="D3045">
        <v>29</v>
      </c>
      <c r="E3045" t="s">
        <v>3019</v>
      </c>
    </row>
    <row r="3046" spans="1:5">
      <c r="A3046">
        <f>HYPERLINK("http://www.twitter.com/NYPDnews/status/731280488195862528", "731280488195862528")</f>
        <v>0</v>
      </c>
      <c r="B3046" s="2">
        <v>42504.0211689815</v>
      </c>
      <c r="C3046">
        <v>195</v>
      </c>
      <c r="D3046">
        <v>54</v>
      </c>
      <c r="E3046" t="s">
        <v>3020</v>
      </c>
    </row>
    <row r="3047" spans="1:5">
      <c r="A3047">
        <f>HYPERLINK("http://www.twitter.com/NYPDnews/status/731272947403489280", "731272947403489280")</f>
        <v>0</v>
      </c>
      <c r="B3047" s="2">
        <v>42504.0003587963</v>
      </c>
      <c r="C3047">
        <v>113</v>
      </c>
      <c r="D3047">
        <v>46</v>
      </c>
      <c r="E3047" t="s">
        <v>3021</v>
      </c>
    </row>
    <row r="3048" spans="1:5">
      <c r="A3048">
        <f>HYPERLINK("http://www.twitter.com/NYPDnews/status/731266341169205248", "731266341169205248")</f>
        <v>0</v>
      </c>
      <c r="B3048" s="2">
        <v>42503.9821296296</v>
      </c>
      <c r="C3048">
        <v>236</v>
      </c>
      <c r="D3048">
        <v>137</v>
      </c>
      <c r="E3048" t="s">
        <v>3022</v>
      </c>
    </row>
    <row r="3049" spans="1:5">
      <c r="A3049">
        <f>HYPERLINK("http://www.twitter.com/NYPDnews/status/731252706610974720", "731252706610974720")</f>
        <v>0</v>
      </c>
      <c r="B3049" s="2">
        <v>42503.9445023148</v>
      </c>
      <c r="C3049">
        <v>29</v>
      </c>
      <c r="D3049">
        <v>8</v>
      </c>
      <c r="E3049" t="s">
        <v>3023</v>
      </c>
    </row>
    <row r="3050" spans="1:5">
      <c r="A3050">
        <f>HYPERLINK("http://www.twitter.com/NYPDnews/status/731237626980773890", "731237626980773890")</f>
        <v>0</v>
      </c>
      <c r="B3050" s="2">
        <v>42503.9028935185</v>
      </c>
      <c r="C3050">
        <v>53</v>
      </c>
      <c r="D3050">
        <v>22</v>
      </c>
      <c r="E3050" t="s">
        <v>3024</v>
      </c>
    </row>
    <row r="3051" spans="1:5">
      <c r="A3051">
        <f>HYPERLINK("http://www.twitter.com/NYPDnews/status/731222861805985794", "731222861805985794")</f>
        <v>0</v>
      </c>
      <c r="B3051" s="2">
        <v>42503.8621527778</v>
      </c>
      <c r="C3051">
        <v>26</v>
      </c>
      <c r="D3051">
        <v>24</v>
      </c>
      <c r="E3051" t="s">
        <v>3025</v>
      </c>
    </row>
    <row r="3052" spans="1:5">
      <c r="A3052">
        <f>HYPERLINK("http://www.twitter.com/NYPDnews/status/731202382143606784", "731202382143606784")</f>
        <v>0</v>
      </c>
      <c r="B3052" s="2">
        <v>42503.8056365741</v>
      </c>
      <c r="C3052">
        <v>18</v>
      </c>
      <c r="D3052">
        <v>47</v>
      </c>
      <c r="E3052" t="s">
        <v>3026</v>
      </c>
    </row>
    <row r="3053" spans="1:5">
      <c r="A3053">
        <f>HYPERLINK("http://www.twitter.com/NYPDnews/status/731177837785432064", "731177837785432064")</f>
        <v>0</v>
      </c>
      <c r="B3053" s="2">
        <v>42503.7379050926</v>
      </c>
      <c r="C3053">
        <v>0</v>
      </c>
      <c r="D3053">
        <v>21</v>
      </c>
      <c r="E3053" t="s">
        <v>3027</v>
      </c>
    </row>
    <row r="3054" spans="1:5">
      <c r="A3054">
        <f>HYPERLINK("http://www.twitter.com/NYPDnews/status/731173466167218176", "731173466167218176")</f>
        <v>0</v>
      </c>
      <c r="B3054" s="2">
        <v>42503.7258449074</v>
      </c>
      <c r="C3054">
        <v>21</v>
      </c>
      <c r="D3054">
        <v>4</v>
      </c>
      <c r="E3054" t="s">
        <v>3028</v>
      </c>
    </row>
    <row r="3055" spans="1:5">
      <c r="A3055">
        <f>HYPERLINK("http://www.twitter.com/NYPDnews/status/731102993748201472", "731102993748201472")</f>
        <v>0</v>
      </c>
      <c r="B3055" s="2">
        <v>42503.5313773148</v>
      </c>
      <c r="C3055">
        <v>120</v>
      </c>
      <c r="D3055">
        <v>42</v>
      </c>
      <c r="E3055" t="s">
        <v>3029</v>
      </c>
    </row>
    <row r="3056" spans="1:5">
      <c r="A3056">
        <f>HYPERLINK("http://www.twitter.com/NYPDnews/status/731099262784786432", "731099262784786432")</f>
        <v>0</v>
      </c>
      <c r="B3056" s="2">
        <v>42503.521087963</v>
      </c>
      <c r="C3056">
        <v>178</v>
      </c>
      <c r="D3056">
        <v>46</v>
      </c>
      <c r="E3056" t="s">
        <v>3030</v>
      </c>
    </row>
    <row r="3057" spans="1:5">
      <c r="A3057">
        <f>HYPERLINK("http://www.twitter.com/NYPDnews/status/731095440612036608", "731095440612036608")</f>
        <v>0</v>
      </c>
      <c r="B3057" s="2">
        <v>42503.5105324074</v>
      </c>
      <c r="C3057">
        <v>35</v>
      </c>
      <c r="D3057">
        <v>29</v>
      </c>
      <c r="E3057" t="s">
        <v>3031</v>
      </c>
    </row>
    <row r="3058" spans="1:5">
      <c r="A3058">
        <f>HYPERLINK("http://www.twitter.com/NYPDnews/status/731091745333780482", "731091745333780482")</f>
        <v>0</v>
      </c>
      <c r="B3058" s="2">
        <v>42503.5003356481</v>
      </c>
      <c r="C3058">
        <v>30</v>
      </c>
      <c r="D3058">
        <v>23</v>
      </c>
      <c r="E3058" t="s">
        <v>3032</v>
      </c>
    </row>
    <row r="3059" spans="1:5">
      <c r="A3059">
        <f>HYPERLINK("http://www.twitter.com/NYPDnews/status/731083876693618688", "731083876693618688")</f>
        <v>0</v>
      </c>
      <c r="B3059" s="2">
        <v>42503.4786226852</v>
      </c>
      <c r="C3059">
        <v>0</v>
      </c>
      <c r="D3059">
        <v>49</v>
      </c>
      <c r="E3059" t="s">
        <v>3033</v>
      </c>
    </row>
    <row r="3060" spans="1:5">
      <c r="A3060">
        <f>HYPERLINK("http://www.twitter.com/NYPDnews/status/730933714990051328", "730933714990051328")</f>
        <v>0</v>
      </c>
      <c r="B3060" s="2">
        <v>42503.0642592593</v>
      </c>
      <c r="C3060">
        <v>0</v>
      </c>
      <c r="D3060">
        <v>83</v>
      </c>
      <c r="E3060" t="s">
        <v>3034</v>
      </c>
    </row>
    <row r="3061" spans="1:5">
      <c r="A3061">
        <f>HYPERLINK("http://www.twitter.com/NYPDnews/status/730918125726781440", "730918125726781440")</f>
        <v>0</v>
      </c>
      <c r="B3061" s="2">
        <v>42503.0212384259</v>
      </c>
      <c r="C3061">
        <v>40</v>
      </c>
      <c r="D3061">
        <v>21</v>
      </c>
      <c r="E3061" t="s">
        <v>3035</v>
      </c>
    </row>
    <row r="3062" spans="1:5">
      <c r="A3062">
        <f>HYPERLINK("http://www.twitter.com/NYPDnews/status/730901645454938113", "730901645454938113")</f>
        <v>0</v>
      </c>
      <c r="B3062" s="2">
        <v>42502.9757638889</v>
      </c>
      <c r="C3062">
        <v>29</v>
      </c>
      <c r="D3062">
        <v>12</v>
      </c>
      <c r="E3062" t="s">
        <v>3036</v>
      </c>
    </row>
    <row r="3063" spans="1:5">
      <c r="A3063">
        <f>HYPERLINK("http://www.twitter.com/NYPDnews/status/730886554181337089", "730886554181337089")</f>
        <v>0</v>
      </c>
      <c r="B3063" s="2">
        <v>42502.9341203704</v>
      </c>
      <c r="C3063">
        <v>51</v>
      </c>
      <c r="D3063">
        <v>20</v>
      </c>
      <c r="E3063" t="s">
        <v>3037</v>
      </c>
    </row>
    <row r="3064" spans="1:5">
      <c r="A3064">
        <f>HYPERLINK("http://www.twitter.com/NYPDnews/status/730818706662686720", "730818706662686720")</f>
        <v>0</v>
      </c>
      <c r="B3064" s="2">
        <v>42502.7468981482</v>
      </c>
      <c r="C3064">
        <v>61</v>
      </c>
      <c r="D3064">
        <v>26</v>
      </c>
      <c r="E3064" t="s">
        <v>3038</v>
      </c>
    </row>
    <row r="3065" spans="1:5">
      <c r="A3065">
        <f>HYPERLINK("http://www.twitter.com/NYPDnews/status/730816933688446976", "730816933688446976")</f>
        <v>0</v>
      </c>
      <c r="B3065" s="2">
        <v>42502.7420023148</v>
      </c>
      <c r="C3065">
        <v>28</v>
      </c>
      <c r="D3065">
        <v>9</v>
      </c>
      <c r="E3065" t="s">
        <v>3039</v>
      </c>
    </row>
    <row r="3066" spans="1:5">
      <c r="A3066">
        <f>HYPERLINK("http://www.twitter.com/NYPDnews/status/730816029983686657", "730816029983686657")</f>
        <v>0</v>
      </c>
      <c r="B3066" s="2">
        <v>42502.7395138889</v>
      </c>
      <c r="C3066">
        <v>62</v>
      </c>
      <c r="D3066">
        <v>30</v>
      </c>
      <c r="E3066" t="s">
        <v>3040</v>
      </c>
    </row>
    <row r="3067" spans="1:5">
      <c r="A3067">
        <f>HYPERLINK("http://www.twitter.com/NYPDnews/status/730814576862855168", "730814576862855168")</f>
        <v>0</v>
      </c>
      <c r="B3067" s="2">
        <v>42502.7354976852</v>
      </c>
      <c r="C3067">
        <v>65</v>
      </c>
      <c r="D3067">
        <v>24</v>
      </c>
      <c r="E3067" t="s">
        <v>3041</v>
      </c>
    </row>
    <row r="3068" spans="1:5">
      <c r="A3068">
        <f>HYPERLINK("http://www.twitter.com/NYPDnews/status/730813740963221504", "730813740963221504")</f>
        <v>0</v>
      </c>
      <c r="B3068" s="2">
        <v>42502.7331944444</v>
      </c>
      <c r="C3068">
        <v>49</v>
      </c>
      <c r="D3068">
        <v>14</v>
      </c>
      <c r="E3068" t="s">
        <v>3042</v>
      </c>
    </row>
    <row r="3069" spans="1:5">
      <c r="A3069">
        <f>HYPERLINK("http://www.twitter.com/NYPDnews/status/730813401300094976", "730813401300094976")</f>
        <v>0</v>
      </c>
      <c r="B3069" s="2">
        <v>42502.7322569444</v>
      </c>
      <c r="C3069">
        <v>9</v>
      </c>
      <c r="D3069">
        <v>3</v>
      </c>
      <c r="E3069" t="s">
        <v>3043</v>
      </c>
    </row>
    <row r="3070" spans="1:5">
      <c r="A3070">
        <f>HYPERLINK("http://www.twitter.com/NYPDnews/status/730744808147390465", "730744808147390465")</f>
        <v>0</v>
      </c>
      <c r="B3070" s="2">
        <v>42502.542974537</v>
      </c>
      <c r="C3070">
        <v>0</v>
      </c>
      <c r="D3070">
        <v>211</v>
      </c>
      <c r="E3070" t="s">
        <v>3044</v>
      </c>
    </row>
    <row r="3071" spans="1:5">
      <c r="A3071">
        <f>HYPERLINK("http://www.twitter.com/NYPDnews/status/730740618289422336", "730740618289422336")</f>
        <v>0</v>
      </c>
      <c r="B3071" s="2">
        <v>42502.531412037</v>
      </c>
      <c r="C3071">
        <v>28</v>
      </c>
      <c r="D3071">
        <v>45</v>
      </c>
      <c r="E3071" t="s">
        <v>3045</v>
      </c>
    </row>
    <row r="3072" spans="1:5">
      <c r="A3072">
        <f>HYPERLINK("http://www.twitter.com/NYPDnews/status/730736877016391680", "730736877016391680")</f>
        <v>0</v>
      </c>
      <c r="B3072" s="2">
        <v>42502.521087963</v>
      </c>
      <c r="C3072">
        <v>24</v>
      </c>
      <c r="D3072">
        <v>46</v>
      </c>
      <c r="E3072" t="s">
        <v>3046</v>
      </c>
    </row>
    <row r="3073" spans="1:5">
      <c r="A3073">
        <f>HYPERLINK("http://www.twitter.com/NYPDnews/status/730733053199429634", "730733053199429634")</f>
        <v>0</v>
      </c>
      <c r="B3073" s="2">
        <v>42502.5105324074</v>
      </c>
      <c r="C3073">
        <v>24</v>
      </c>
      <c r="D3073">
        <v>9</v>
      </c>
      <c r="E3073" t="s">
        <v>3047</v>
      </c>
    </row>
    <row r="3074" spans="1:5">
      <c r="A3074">
        <f>HYPERLINK("http://www.twitter.com/NYPDnews/status/730729358529298432", "730729358529298432")</f>
        <v>0</v>
      </c>
      <c r="B3074" s="2">
        <v>42502.5003472222</v>
      </c>
      <c r="C3074">
        <v>9</v>
      </c>
      <c r="D3074">
        <v>29</v>
      </c>
      <c r="E3074" t="s">
        <v>3048</v>
      </c>
    </row>
    <row r="3075" spans="1:5">
      <c r="A3075">
        <f>HYPERLINK("http://www.twitter.com/NYPDnews/status/730725481193050114", "730725481193050114")</f>
        <v>0</v>
      </c>
      <c r="B3075" s="2">
        <v>42502.4896412037</v>
      </c>
      <c r="C3075">
        <v>18</v>
      </c>
      <c r="D3075">
        <v>13</v>
      </c>
      <c r="E3075" t="s">
        <v>3049</v>
      </c>
    </row>
    <row r="3076" spans="1:5">
      <c r="A3076">
        <f>HYPERLINK("http://www.twitter.com/NYPDnews/status/730630390696820736", "730630390696820736")</f>
        <v>0</v>
      </c>
      <c r="B3076" s="2">
        <v>42502.2272453704</v>
      </c>
      <c r="C3076">
        <v>17</v>
      </c>
      <c r="D3076">
        <v>10</v>
      </c>
      <c r="E3076" t="s">
        <v>3050</v>
      </c>
    </row>
    <row r="3077" spans="1:5">
      <c r="A3077">
        <f>HYPERLINK("http://www.twitter.com/NYPDnews/status/730630290469732352", "730630290469732352")</f>
        <v>0</v>
      </c>
      <c r="B3077" s="2">
        <v>42502.2269675926</v>
      </c>
      <c r="C3077">
        <v>32</v>
      </c>
      <c r="D3077">
        <v>25</v>
      </c>
      <c r="E3077" t="s">
        <v>3051</v>
      </c>
    </row>
    <row r="3078" spans="1:5">
      <c r="A3078">
        <f>HYPERLINK("http://www.twitter.com/NYPDnews/status/730628511455711232", "730628511455711232")</f>
        <v>0</v>
      </c>
      <c r="B3078" s="2">
        <v>42502.2220601852</v>
      </c>
      <c r="C3078">
        <v>29</v>
      </c>
      <c r="D3078">
        <v>13</v>
      </c>
      <c r="E3078" t="s">
        <v>3052</v>
      </c>
    </row>
    <row r="3079" spans="1:5">
      <c r="A3079">
        <f>HYPERLINK("http://www.twitter.com/NYPDnews/status/730624627857297409", "730624627857297409")</f>
        <v>0</v>
      </c>
      <c r="B3079" s="2">
        <v>42502.2113425926</v>
      </c>
      <c r="C3079">
        <v>66</v>
      </c>
      <c r="D3079">
        <v>36</v>
      </c>
      <c r="E3079" t="s">
        <v>3053</v>
      </c>
    </row>
    <row r="3080" spans="1:5">
      <c r="A3080">
        <f>HYPERLINK("http://www.twitter.com/NYPDnews/status/730603086033657857", "730603086033657857")</f>
        <v>0</v>
      </c>
      <c r="B3080" s="2">
        <v>42502.1518981481</v>
      </c>
      <c r="C3080">
        <v>34</v>
      </c>
      <c r="D3080">
        <v>50</v>
      </c>
      <c r="E3080" t="s">
        <v>3054</v>
      </c>
    </row>
    <row r="3081" spans="1:5">
      <c r="A3081">
        <f>HYPERLINK("http://www.twitter.com/NYPDnews/status/730543187299848192", "730543187299848192")</f>
        <v>0</v>
      </c>
      <c r="B3081" s="2">
        <v>42501.9866087963</v>
      </c>
      <c r="C3081">
        <v>38</v>
      </c>
      <c r="D3081">
        <v>18</v>
      </c>
      <c r="E3081" t="s">
        <v>3055</v>
      </c>
    </row>
    <row r="3082" spans="1:5">
      <c r="A3082">
        <f>HYPERLINK("http://www.twitter.com/NYPDnews/status/730540537426657281", "730540537426657281")</f>
        <v>0</v>
      </c>
      <c r="B3082" s="2">
        <v>42501.9792939815</v>
      </c>
      <c r="C3082">
        <v>20</v>
      </c>
      <c r="D3082">
        <v>13</v>
      </c>
      <c r="E3082" t="s">
        <v>3056</v>
      </c>
    </row>
    <row r="3083" spans="1:5">
      <c r="A3083">
        <f>HYPERLINK("http://www.twitter.com/NYPDnews/status/730525410270810112", "730525410270810112")</f>
        <v>0</v>
      </c>
      <c r="B3083" s="2">
        <v>42501.9375462963</v>
      </c>
      <c r="C3083">
        <v>0</v>
      </c>
      <c r="D3083">
        <v>18</v>
      </c>
      <c r="E3083" t="s">
        <v>3057</v>
      </c>
    </row>
    <row r="3084" spans="1:5">
      <c r="A3084">
        <f>HYPERLINK("http://www.twitter.com/NYPDnews/status/730502822333194240", "730502822333194240")</f>
        <v>0</v>
      </c>
      <c r="B3084" s="2">
        <v>42501.8752199074</v>
      </c>
      <c r="C3084">
        <v>11</v>
      </c>
      <c r="D3084">
        <v>9</v>
      </c>
      <c r="E3084" t="s">
        <v>3058</v>
      </c>
    </row>
    <row r="3085" spans="1:5">
      <c r="A3085">
        <f>HYPERLINK("http://www.twitter.com/NYPDnews/status/730378241404506112", "730378241404506112")</f>
        <v>0</v>
      </c>
      <c r="B3085" s="2">
        <v>42501.5314467593</v>
      </c>
      <c r="C3085">
        <v>67</v>
      </c>
      <c r="D3085">
        <v>33</v>
      </c>
      <c r="E3085" t="s">
        <v>3059</v>
      </c>
    </row>
    <row r="3086" spans="1:5">
      <c r="A3086">
        <f>HYPERLINK("http://www.twitter.com/NYPDnews/status/730374457399910401", "730374457399910401")</f>
        <v>0</v>
      </c>
      <c r="B3086" s="2">
        <v>42501.5210069444</v>
      </c>
      <c r="C3086">
        <v>59</v>
      </c>
      <c r="D3086">
        <v>26</v>
      </c>
      <c r="E3086" t="s">
        <v>3060</v>
      </c>
    </row>
    <row r="3087" spans="1:5">
      <c r="A3087">
        <f>HYPERLINK("http://www.twitter.com/NYPDnews/status/730370661051465728", "730370661051465728")</f>
        <v>0</v>
      </c>
      <c r="B3087" s="2">
        <v>42501.5105208333</v>
      </c>
      <c r="C3087">
        <v>26</v>
      </c>
      <c r="D3087">
        <v>8</v>
      </c>
      <c r="E3087" t="s">
        <v>3061</v>
      </c>
    </row>
    <row r="3088" spans="1:5">
      <c r="A3088">
        <f>HYPERLINK("http://www.twitter.com/NYPDnews/status/730366849356058624", "730366849356058624")</f>
        <v>0</v>
      </c>
      <c r="B3088" s="2">
        <v>42501.5000115741</v>
      </c>
      <c r="C3088">
        <v>17</v>
      </c>
      <c r="D3088">
        <v>30</v>
      </c>
      <c r="E3088" t="s">
        <v>3062</v>
      </c>
    </row>
    <row r="3089" spans="1:5">
      <c r="A3089">
        <f>HYPERLINK("http://www.twitter.com/NYPDnews/status/730363118661029888", "730363118661029888")</f>
        <v>0</v>
      </c>
      <c r="B3089" s="2">
        <v>42501.4897106482</v>
      </c>
      <c r="C3089">
        <v>29</v>
      </c>
      <c r="D3089">
        <v>65</v>
      </c>
      <c r="E3089" t="s">
        <v>3063</v>
      </c>
    </row>
    <row r="3090" spans="1:5">
      <c r="A3090">
        <f>HYPERLINK("http://www.twitter.com/NYPDnews/status/730193298481131524", "730193298481131524")</f>
        <v>0</v>
      </c>
      <c r="B3090" s="2">
        <v>42501.021099537</v>
      </c>
      <c r="C3090">
        <v>24</v>
      </c>
      <c r="D3090">
        <v>19</v>
      </c>
      <c r="E3090" t="s">
        <v>3064</v>
      </c>
    </row>
    <row r="3091" spans="1:5">
      <c r="A3091">
        <f>HYPERLINK("http://www.twitter.com/NYPDnews/status/730176875289559040", "730176875289559040")</f>
        <v>0</v>
      </c>
      <c r="B3091" s="2">
        <v>42500.975775463</v>
      </c>
      <c r="C3091">
        <v>31</v>
      </c>
      <c r="D3091">
        <v>20</v>
      </c>
      <c r="E3091" t="s">
        <v>3065</v>
      </c>
    </row>
    <row r="3092" spans="1:5">
      <c r="A3092">
        <f>HYPERLINK("http://www.twitter.com/NYPDnews/status/730165564551921665", "730165564551921665")</f>
        <v>0</v>
      </c>
      <c r="B3092" s="2">
        <v>42500.9445717593</v>
      </c>
      <c r="C3092">
        <v>27</v>
      </c>
      <c r="D3092">
        <v>12</v>
      </c>
      <c r="E3092" t="s">
        <v>3066</v>
      </c>
    </row>
    <row r="3093" spans="1:5">
      <c r="A3093">
        <f>HYPERLINK("http://www.twitter.com/NYPDnews/status/730154238635061248", "730154238635061248")</f>
        <v>0</v>
      </c>
      <c r="B3093" s="2">
        <v>42500.9133101852</v>
      </c>
      <c r="C3093">
        <v>35</v>
      </c>
      <c r="D3093">
        <v>77</v>
      </c>
      <c r="E3093" t="s">
        <v>3067</v>
      </c>
    </row>
    <row r="3094" spans="1:5">
      <c r="A3094">
        <f>HYPERLINK("http://www.twitter.com/NYPDnews/status/730122838070321153", "730122838070321153")</f>
        <v>0</v>
      </c>
      <c r="B3094" s="2">
        <v>42500.8266666667</v>
      </c>
      <c r="C3094">
        <v>122</v>
      </c>
      <c r="D3094">
        <v>44</v>
      </c>
      <c r="E3094" t="s">
        <v>3068</v>
      </c>
    </row>
    <row r="3095" spans="1:5">
      <c r="A3095">
        <f>HYPERLINK("http://www.twitter.com/NYPDnews/status/730122426667794432", "730122426667794432")</f>
        <v>0</v>
      </c>
      <c r="B3095" s="2">
        <v>42500.8255324074</v>
      </c>
      <c r="C3095">
        <v>229</v>
      </c>
      <c r="D3095">
        <v>76</v>
      </c>
      <c r="E3095" t="s">
        <v>3069</v>
      </c>
    </row>
    <row r="3096" spans="1:5">
      <c r="A3096">
        <f>HYPERLINK("http://www.twitter.com/NYPDnews/status/730121431774683136", "730121431774683136")</f>
        <v>0</v>
      </c>
      <c r="B3096" s="2">
        <v>42500.8227777778</v>
      </c>
      <c r="C3096">
        <v>65</v>
      </c>
      <c r="D3096">
        <v>28</v>
      </c>
      <c r="E3096" t="s">
        <v>3070</v>
      </c>
    </row>
    <row r="3097" spans="1:5">
      <c r="A3097">
        <f>HYPERLINK("http://www.twitter.com/NYPDnews/status/730120853191413760", "730120853191413760")</f>
        <v>0</v>
      </c>
      <c r="B3097" s="2">
        <v>42500.8211921296</v>
      </c>
      <c r="C3097">
        <v>114</v>
      </c>
      <c r="D3097">
        <v>57</v>
      </c>
      <c r="E3097" t="s">
        <v>3071</v>
      </c>
    </row>
    <row r="3098" spans="1:5">
      <c r="A3098">
        <f>HYPERLINK("http://www.twitter.com/NYPDnews/status/730094856048148481", "730094856048148481")</f>
        <v>0</v>
      </c>
      <c r="B3098" s="2">
        <v>42500.7494444444</v>
      </c>
      <c r="C3098">
        <v>0</v>
      </c>
      <c r="D3098">
        <v>32</v>
      </c>
      <c r="E3098" t="s">
        <v>3072</v>
      </c>
    </row>
    <row r="3099" spans="1:5">
      <c r="A3099">
        <f>HYPERLINK("http://www.twitter.com/NYPDnews/status/730078645650362368", "730078645650362368")</f>
        <v>0</v>
      </c>
      <c r="B3099" s="2">
        <v>42500.7047106481</v>
      </c>
      <c r="C3099">
        <v>60</v>
      </c>
      <c r="D3099">
        <v>25</v>
      </c>
      <c r="E3099" t="s">
        <v>3073</v>
      </c>
    </row>
    <row r="3100" spans="1:5">
      <c r="A3100">
        <f>HYPERLINK("http://www.twitter.com/NYPDnews/status/730066192292052992", "730066192292052992")</f>
        <v>0</v>
      </c>
      <c r="B3100" s="2">
        <v>42500.6703472222</v>
      </c>
      <c r="C3100">
        <v>209</v>
      </c>
      <c r="D3100">
        <v>96</v>
      </c>
      <c r="E3100" t="s">
        <v>3074</v>
      </c>
    </row>
    <row r="3101" spans="1:5">
      <c r="A3101">
        <f>HYPERLINK("http://www.twitter.com/NYPDnews/status/730020852750749696", "730020852750749696")</f>
        <v>0</v>
      </c>
      <c r="B3101" s="2">
        <v>42500.5452430556</v>
      </c>
      <c r="C3101">
        <v>57</v>
      </c>
      <c r="D3101">
        <v>105</v>
      </c>
      <c r="E3101" t="s">
        <v>3075</v>
      </c>
    </row>
    <row r="3102" spans="1:5">
      <c r="A3102">
        <f>HYPERLINK("http://www.twitter.com/NYPDnews/status/730015824476524544", "730015824476524544")</f>
        <v>0</v>
      </c>
      <c r="B3102" s="2">
        <v>42500.5313657407</v>
      </c>
      <c r="C3102">
        <v>31</v>
      </c>
      <c r="D3102">
        <v>60</v>
      </c>
      <c r="E3102" t="s">
        <v>3076</v>
      </c>
    </row>
    <row r="3103" spans="1:5">
      <c r="A3103">
        <f>HYPERLINK("http://www.twitter.com/NYPDnews/status/730012074726789120", "730012074726789120")</f>
        <v>0</v>
      </c>
      <c r="B3103" s="2">
        <v>42500.5210185185</v>
      </c>
      <c r="C3103">
        <v>13</v>
      </c>
      <c r="D3103">
        <v>16</v>
      </c>
      <c r="E3103" t="s">
        <v>3077</v>
      </c>
    </row>
    <row r="3104" spans="1:5">
      <c r="A3104">
        <f>HYPERLINK("http://www.twitter.com/NYPDnews/status/730008373173817345", "730008373173817345")</f>
        <v>0</v>
      </c>
      <c r="B3104" s="2">
        <v>42500.5107986111</v>
      </c>
      <c r="C3104">
        <v>95</v>
      </c>
      <c r="D3104">
        <v>206</v>
      </c>
      <c r="E3104" t="s">
        <v>3078</v>
      </c>
    </row>
    <row r="3105" spans="1:5">
      <c r="A3105">
        <f>HYPERLINK("http://www.twitter.com/NYPDnews/status/729997007453077504", "729997007453077504")</f>
        <v>0</v>
      </c>
      <c r="B3105" s="2">
        <v>42500.4794328704</v>
      </c>
      <c r="C3105">
        <v>33</v>
      </c>
      <c r="D3105">
        <v>24</v>
      </c>
      <c r="E3105" t="s">
        <v>3079</v>
      </c>
    </row>
    <row r="3106" spans="1:5">
      <c r="A3106">
        <f>HYPERLINK("http://www.twitter.com/NYPDnews/status/729996608058867712", "729996608058867712")</f>
        <v>0</v>
      </c>
      <c r="B3106" s="2">
        <v>42500.4783333333</v>
      </c>
      <c r="C3106">
        <v>37</v>
      </c>
      <c r="D3106">
        <v>25</v>
      </c>
      <c r="E3106" t="s">
        <v>3080</v>
      </c>
    </row>
    <row r="3107" spans="1:5">
      <c r="A3107">
        <f>HYPERLINK("http://www.twitter.com/NYPDnews/status/729994428098740225", "729994428098740225")</f>
        <v>0</v>
      </c>
      <c r="B3107" s="2">
        <v>42500.4723148148</v>
      </c>
      <c r="C3107">
        <v>16</v>
      </c>
      <c r="D3107">
        <v>12</v>
      </c>
      <c r="E3107" t="s">
        <v>3081</v>
      </c>
    </row>
    <row r="3108" spans="1:5">
      <c r="A3108">
        <f>HYPERLINK("http://www.twitter.com/NYPDnews/status/729984505386307584", "729984505386307584")</f>
        <v>0</v>
      </c>
      <c r="B3108" s="2">
        <v>42500.4449421296</v>
      </c>
      <c r="C3108">
        <v>0</v>
      </c>
      <c r="D3108">
        <v>10</v>
      </c>
      <c r="E3108" t="s">
        <v>3082</v>
      </c>
    </row>
    <row r="3109" spans="1:5">
      <c r="A3109">
        <f>HYPERLINK("http://www.twitter.com/NYPDnews/status/729849730965049344", "729849730965049344")</f>
        <v>0</v>
      </c>
      <c r="B3109" s="2">
        <v>42500.0730324074</v>
      </c>
      <c r="C3109">
        <v>15</v>
      </c>
      <c r="D3109">
        <v>53</v>
      </c>
      <c r="E3109" t="s">
        <v>3083</v>
      </c>
    </row>
    <row r="3110" spans="1:5">
      <c r="A3110">
        <f>HYPERLINK("http://www.twitter.com/NYPDnews/status/729847137429815297", "729847137429815297")</f>
        <v>0</v>
      </c>
      <c r="B3110" s="2">
        <v>42500.0658796296</v>
      </c>
      <c r="C3110">
        <v>0</v>
      </c>
      <c r="D3110">
        <v>22</v>
      </c>
      <c r="E3110" t="s">
        <v>3084</v>
      </c>
    </row>
    <row r="3111" spans="1:5">
      <c r="A3111">
        <f>HYPERLINK("http://www.twitter.com/NYPDnews/status/729834620225761280", "729834620225761280")</f>
        <v>0</v>
      </c>
      <c r="B3111" s="2">
        <v>42500.0313310185</v>
      </c>
      <c r="C3111">
        <v>50</v>
      </c>
      <c r="D3111">
        <v>197</v>
      </c>
      <c r="E3111" t="s">
        <v>3085</v>
      </c>
    </row>
    <row r="3112" spans="1:5">
      <c r="A3112">
        <f>HYPERLINK("http://www.twitter.com/NYPDnews/status/729829588969390080", "729829588969390080")</f>
        <v>0</v>
      </c>
      <c r="B3112" s="2">
        <v>42500.0174537037</v>
      </c>
      <c r="C3112">
        <v>33</v>
      </c>
      <c r="D3112">
        <v>26</v>
      </c>
      <c r="E3112" t="s">
        <v>3086</v>
      </c>
    </row>
    <row r="3113" spans="1:5">
      <c r="A3113">
        <f>HYPERLINK("http://www.twitter.com/NYPDnews/status/729808521273954304", "729808521273954304")</f>
        <v>0</v>
      </c>
      <c r="B3113" s="2">
        <v>42499.9593171296</v>
      </c>
      <c r="C3113">
        <v>63</v>
      </c>
      <c r="D3113">
        <v>30</v>
      </c>
      <c r="E3113" t="s">
        <v>3087</v>
      </c>
    </row>
    <row r="3114" spans="1:5">
      <c r="A3114">
        <f>HYPERLINK("http://www.twitter.com/NYPDnews/status/729785599536812032", "729785599536812032")</f>
        <v>0</v>
      </c>
      <c r="B3114" s="2">
        <v>42499.8960648148</v>
      </c>
      <c r="C3114">
        <v>34</v>
      </c>
      <c r="D3114">
        <v>14</v>
      </c>
      <c r="E3114" t="s">
        <v>3088</v>
      </c>
    </row>
    <row r="3115" spans="1:5">
      <c r="A3115">
        <f>HYPERLINK("http://www.twitter.com/NYPDnews/status/729766680767963137", "729766680767963137")</f>
        <v>0</v>
      </c>
      <c r="B3115" s="2">
        <v>42499.8438541667</v>
      </c>
      <c r="C3115">
        <v>17</v>
      </c>
      <c r="D3115">
        <v>54</v>
      </c>
      <c r="E3115" t="s">
        <v>3089</v>
      </c>
    </row>
    <row r="3116" spans="1:5">
      <c r="A3116">
        <f>HYPERLINK("http://www.twitter.com/NYPDnews/status/729750752328028160", "729750752328028160")</f>
        <v>0</v>
      </c>
      <c r="B3116" s="2">
        <v>42499.7999074074</v>
      </c>
      <c r="C3116">
        <v>0</v>
      </c>
      <c r="D3116">
        <v>16</v>
      </c>
      <c r="E3116" t="s">
        <v>3090</v>
      </c>
    </row>
    <row r="3117" spans="1:5">
      <c r="A3117">
        <f>HYPERLINK("http://www.twitter.com/NYPDnews/status/729708803227267072", "729708803227267072")</f>
        <v>0</v>
      </c>
      <c r="B3117" s="2">
        <v>42499.6841435185</v>
      </c>
      <c r="C3117">
        <v>241</v>
      </c>
      <c r="D3117">
        <v>166</v>
      </c>
      <c r="E3117" t="s">
        <v>3091</v>
      </c>
    </row>
    <row r="3118" spans="1:5">
      <c r="A3118">
        <f>HYPERLINK("http://www.twitter.com/NYPDnews/status/729708761657552896", "729708761657552896")</f>
        <v>0</v>
      </c>
      <c r="B3118" s="2">
        <v>42499.6840277778</v>
      </c>
      <c r="C3118">
        <v>11</v>
      </c>
      <c r="D3118">
        <v>8</v>
      </c>
      <c r="E3118" t="s">
        <v>3092</v>
      </c>
    </row>
    <row r="3119" spans="1:5">
      <c r="A3119">
        <f>HYPERLINK("http://www.twitter.com/NYPDnews/status/729685951170158592", "729685951170158592")</f>
        <v>0</v>
      </c>
      <c r="B3119" s="2">
        <v>42499.621087963</v>
      </c>
      <c r="C3119">
        <v>110</v>
      </c>
      <c r="D3119">
        <v>53</v>
      </c>
      <c r="E3119" t="s">
        <v>3093</v>
      </c>
    </row>
    <row r="3120" spans="1:5">
      <c r="A3120">
        <f>HYPERLINK("http://www.twitter.com/NYPDnews/status/729657286482857984", "729657286482857984")</f>
        <v>0</v>
      </c>
      <c r="B3120" s="2">
        <v>42499.5419907407</v>
      </c>
      <c r="C3120">
        <v>100</v>
      </c>
      <c r="D3120">
        <v>43</v>
      </c>
      <c r="E3120" t="s">
        <v>3094</v>
      </c>
    </row>
    <row r="3121" spans="1:5">
      <c r="A3121">
        <f>HYPERLINK("http://www.twitter.com/NYPDnews/status/729653442927562752", "729653442927562752")</f>
        <v>0</v>
      </c>
      <c r="B3121" s="2">
        <v>42499.5313773148</v>
      </c>
      <c r="C3121">
        <v>19</v>
      </c>
      <c r="D3121">
        <v>52</v>
      </c>
      <c r="E3121" t="s">
        <v>3095</v>
      </c>
    </row>
    <row r="3122" spans="1:5">
      <c r="A3122">
        <f>HYPERLINK("http://www.twitter.com/NYPDnews/status/729649698210983936", "729649698210983936")</f>
        <v>0</v>
      </c>
      <c r="B3122" s="2">
        <v>42499.5210416667</v>
      </c>
      <c r="C3122">
        <v>64</v>
      </c>
      <c r="D3122">
        <v>27</v>
      </c>
      <c r="E3122" t="s">
        <v>3096</v>
      </c>
    </row>
    <row r="3123" spans="1:5">
      <c r="A3123">
        <f>HYPERLINK("http://www.twitter.com/NYPDnews/status/729645898268069889", "729645898268069889")</f>
        <v>0</v>
      </c>
      <c r="B3123" s="2">
        <v>42499.5105555556</v>
      </c>
      <c r="C3123">
        <v>45</v>
      </c>
      <c r="D3123">
        <v>24</v>
      </c>
      <c r="E3123" t="s">
        <v>3097</v>
      </c>
    </row>
    <row r="3124" spans="1:5">
      <c r="A3124">
        <f>HYPERLINK("http://www.twitter.com/NYPDnews/status/729642191937777664", "729642191937777664")</f>
        <v>0</v>
      </c>
      <c r="B3124" s="2">
        <v>42499.5003356481</v>
      </c>
      <c r="C3124">
        <v>30</v>
      </c>
      <c r="D3124">
        <v>58</v>
      </c>
      <c r="E3124" t="s">
        <v>3098</v>
      </c>
    </row>
    <row r="3125" spans="1:5">
      <c r="A3125">
        <f>HYPERLINK("http://www.twitter.com/NYPDnews/status/729493035566956544", "729493035566956544")</f>
        <v>0</v>
      </c>
      <c r="B3125" s="2">
        <v>42499.0887384259</v>
      </c>
      <c r="C3125">
        <v>57</v>
      </c>
      <c r="D3125">
        <v>20</v>
      </c>
      <c r="E3125" t="s">
        <v>3099</v>
      </c>
    </row>
    <row r="3126" spans="1:5">
      <c r="A3126">
        <f>HYPERLINK("http://www.twitter.com/NYPDnews/status/729488815405019136", "729488815405019136")</f>
        <v>0</v>
      </c>
      <c r="B3126" s="2">
        <v>42499.0770949074</v>
      </c>
      <c r="C3126">
        <v>54</v>
      </c>
      <c r="D3126">
        <v>33</v>
      </c>
      <c r="E3126" t="s">
        <v>3100</v>
      </c>
    </row>
    <row r="3127" spans="1:5">
      <c r="A3127">
        <f>HYPERLINK("http://www.twitter.com/NYPDnews/status/729488104638324736", "729488104638324736")</f>
        <v>0</v>
      </c>
      <c r="B3127" s="2">
        <v>42499.0751388889</v>
      </c>
      <c r="C3127">
        <v>53</v>
      </c>
      <c r="D3127">
        <v>41</v>
      </c>
      <c r="E3127" t="s">
        <v>3101</v>
      </c>
    </row>
    <row r="3128" spans="1:5">
      <c r="A3128">
        <f>HYPERLINK("http://www.twitter.com/NYPDnews/status/729484555757957120", "729484555757957120")</f>
        <v>0</v>
      </c>
      <c r="B3128" s="2">
        <v>42499.0653356481</v>
      </c>
      <c r="C3128">
        <v>0</v>
      </c>
      <c r="D3128">
        <v>4</v>
      </c>
      <c r="E3128" t="s">
        <v>3102</v>
      </c>
    </row>
    <row r="3129" spans="1:5">
      <c r="A3129">
        <f>HYPERLINK("http://www.twitter.com/NYPDnews/status/729484447876288512", "729484447876288512")</f>
        <v>0</v>
      </c>
      <c r="B3129" s="2">
        <v>42499.0650462963</v>
      </c>
      <c r="C3129">
        <v>0</v>
      </c>
      <c r="D3129">
        <v>30</v>
      </c>
      <c r="E3129" t="s">
        <v>3103</v>
      </c>
    </row>
    <row r="3130" spans="1:5">
      <c r="A3130">
        <f>HYPERLINK("http://www.twitter.com/NYPDnews/status/729458381996593152", "729458381996593152")</f>
        <v>0</v>
      </c>
      <c r="B3130" s="2">
        <v>42498.9931134259</v>
      </c>
      <c r="C3130">
        <v>138</v>
      </c>
      <c r="D3130">
        <v>68</v>
      </c>
      <c r="E3130" t="s">
        <v>3104</v>
      </c>
    </row>
    <row r="3131" spans="1:5">
      <c r="A3131">
        <f>HYPERLINK("http://www.twitter.com/NYPDnews/status/729401763355340800", "729401763355340800")</f>
        <v>0</v>
      </c>
      <c r="B3131" s="2">
        <v>42498.836875</v>
      </c>
      <c r="C3131">
        <v>38</v>
      </c>
      <c r="D3131">
        <v>14</v>
      </c>
      <c r="E3131" t="s">
        <v>3105</v>
      </c>
    </row>
    <row r="3132" spans="1:5">
      <c r="A3132">
        <f>HYPERLINK("http://www.twitter.com/NYPDnews/status/729369505495961600", "729369505495961600")</f>
        <v>0</v>
      </c>
      <c r="B3132" s="2">
        <v>42498.7478587963</v>
      </c>
      <c r="C3132">
        <v>29</v>
      </c>
      <c r="D3132">
        <v>64</v>
      </c>
      <c r="E3132" t="s">
        <v>3106</v>
      </c>
    </row>
    <row r="3133" spans="1:5">
      <c r="A3133">
        <f>HYPERLINK("http://www.twitter.com/NYPDnews/status/729329540191899651", "729329540191899651")</f>
        <v>0</v>
      </c>
      <c r="B3133" s="2">
        <v>42498.6375810185</v>
      </c>
      <c r="C3133">
        <v>125</v>
      </c>
      <c r="D3133">
        <v>46</v>
      </c>
      <c r="E3133" t="s">
        <v>3107</v>
      </c>
    </row>
    <row r="3134" spans="1:5">
      <c r="A3134">
        <f>HYPERLINK("http://www.twitter.com/NYPDnews/status/729295893749436416", "729295893749436416")</f>
        <v>0</v>
      </c>
      <c r="B3134" s="2">
        <v>42498.5447337963</v>
      </c>
      <c r="C3134">
        <v>0</v>
      </c>
      <c r="D3134">
        <v>56</v>
      </c>
      <c r="E3134" t="s">
        <v>3108</v>
      </c>
    </row>
    <row r="3135" spans="1:5">
      <c r="A3135">
        <f>HYPERLINK("http://www.twitter.com/NYPDnews/status/729111091452780544", "729111091452780544")</f>
        <v>0</v>
      </c>
      <c r="B3135" s="2">
        <v>42498.0347800926</v>
      </c>
      <c r="C3135">
        <v>58</v>
      </c>
      <c r="D3135">
        <v>21</v>
      </c>
      <c r="E3135" t="s">
        <v>3109</v>
      </c>
    </row>
    <row r="3136" spans="1:5">
      <c r="A3136">
        <f>HYPERLINK("http://www.twitter.com/NYPDnews/status/729093733065601025", "729093733065601025")</f>
        <v>0</v>
      </c>
      <c r="B3136" s="2">
        <v>42497.986875</v>
      </c>
      <c r="C3136">
        <v>118</v>
      </c>
      <c r="D3136">
        <v>54</v>
      </c>
      <c r="E3136" t="s">
        <v>3110</v>
      </c>
    </row>
    <row r="3137" spans="1:5">
      <c r="A3137">
        <f>HYPERLINK("http://www.twitter.com/NYPDnews/status/729077122149584896", "729077122149584896")</f>
        <v>0</v>
      </c>
      <c r="B3137" s="2">
        <v>42497.9410416667</v>
      </c>
      <c r="C3137">
        <v>6</v>
      </c>
      <c r="D3137">
        <v>2</v>
      </c>
      <c r="E3137" t="s">
        <v>3111</v>
      </c>
    </row>
    <row r="3138" spans="1:5">
      <c r="A3138">
        <f>HYPERLINK("http://www.twitter.com/NYPDnews/status/729022532616134657", "729022532616134657")</f>
        <v>0</v>
      </c>
      <c r="B3138" s="2">
        <v>42497.7904050926</v>
      </c>
      <c r="C3138">
        <v>82</v>
      </c>
      <c r="D3138">
        <v>34</v>
      </c>
      <c r="E3138" t="s">
        <v>3112</v>
      </c>
    </row>
    <row r="3139" spans="1:5">
      <c r="A3139">
        <f>HYPERLINK("http://www.twitter.com/NYPDnews/status/728990868007485440", "728990868007485440")</f>
        <v>0</v>
      </c>
      <c r="B3139" s="2">
        <v>42497.7030208333</v>
      </c>
      <c r="C3139">
        <v>0</v>
      </c>
      <c r="D3139">
        <v>18</v>
      </c>
      <c r="E3139" t="s">
        <v>3113</v>
      </c>
    </row>
    <row r="3140" spans="1:5">
      <c r="A3140">
        <f>HYPERLINK("http://www.twitter.com/NYPDnews/status/728967667009335296", "728967667009335296")</f>
        <v>0</v>
      </c>
      <c r="B3140" s="2">
        <v>42497.6390046296</v>
      </c>
      <c r="C3140">
        <v>34</v>
      </c>
      <c r="D3140">
        <v>21</v>
      </c>
      <c r="E3140" t="s">
        <v>3114</v>
      </c>
    </row>
    <row r="3141" spans="1:5">
      <c r="A3141">
        <f>HYPERLINK("http://www.twitter.com/NYPDnews/status/728931898886623233", "728931898886623233")</f>
        <v>0</v>
      </c>
      <c r="B3141" s="2">
        <v>42497.5403009259</v>
      </c>
      <c r="C3141">
        <v>42</v>
      </c>
      <c r="D3141">
        <v>30</v>
      </c>
      <c r="E3141" t="s">
        <v>3115</v>
      </c>
    </row>
    <row r="3142" spans="1:5">
      <c r="A3142">
        <f>HYPERLINK("http://www.twitter.com/NYPDnews/status/728919865222901760", "728919865222901760")</f>
        <v>0</v>
      </c>
      <c r="B3142" s="2">
        <v>42497.5070949074</v>
      </c>
      <c r="C3142">
        <v>92</v>
      </c>
      <c r="D3142">
        <v>73</v>
      </c>
      <c r="E3142" t="s">
        <v>3116</v>
      </c>
    </row>
    <row r="3143" spans="1:5">
      <c r="A3143">
        <f>HYPERLINK("http://www.twitter.com/NYPDnews/status/728763364583854080", "728763364583854080")</f>
        <v>0</v>
      </c>
      <c r="B3143" s="2">
        <v>42497.0752314815</v>
      </c>
      <c r="C3143">
        <v>174</v>
      </c>
      <c r="D3143">
        <v>65</v>
      </c>
      <c r="E3143" t="s">
        <v>3117</v>
      </c>
    </row>
    <row r="3144" spans="1:5">
      <c r="A3144">
        <f>HYPERLINK("http://www.twitter.com/NYPDnews/status/728743055109570561", "728743055109570561")</f>
        <v>0</v>
      </c>
      <c r="B3144" s="2">
        <v>42497.0191898148</v>
      </c>
      <c r="C3144">
        <v>0</v>
      </c>
      <c r="D3144">
        <v>6</v>
      </c>
      <c r="E3144" t="s">
        <v>3118</v>
      </c>
    </row>
    <row r="3145" spans="1:5">
      <c r="A3145">
        <f>HYPERLINK("http://www.twitter.com/NYPDnews/status/728725098576875522", "728725098576875522")</f>
        <v>0</v>
      </c>
      <c r="B3145" s="2">
        <v>42496.9696412037</v>
      </c>
      <c r="C3145">
        <v>43</v>
      </c>
      <c r="D3145">
        <v>29</v>
      </c>
      <c r="E3145" t="s">
        <v>3119</v>
      </c>
    </row>
    <row r="3146" spans="1:5">
      <c r="A3146">
        <f>HYPERLINK("http://www.twitter.com/NYPDnews/status/728661894563770368", "728661894563770368")</f>
        <v>0</v>
      </c>
      <c r="B3146" s="2">
        <v>42496.7952314815</v>
      </c>
      <c r="C3146">
        <v>16</v>
      </c>
      <c r="D3146">
        <v>39</v>
      </c>
      <c r="E3146" t="s">
        <v>3120</v>
      </c>
    </row>
    <row r="3147" spans="1:5">
      <c r="A3147">
        <f>HYPERLINK("http://www.twitter.com/NYPDnews/status/728630596612804610", "728630596612804610")</f>
        <v>0</v>
      </c>
      <c r="B3147" s="2">
        <v>42496.7088657407</v>
      </c>
      <c r="C3147">
        <v>59</v>
      </c>
      <c r="D3147">
        <v>19</v>
      </c>
      <c r="E3147" t="s">
        <v>3121</v>
      </c>
    </row>
    <row r="3148" spans="1:5">
      <c r="A3148">
        <f>HYPERLINK("http://www.twitter.com/NYPDnews/status/728624163087384577", "728624163087384577")</f>
        <v>0</v>
      </c>
      <c r="B3148" s="2">
        <v>42496.6911111111</v>
      </c>
      <c r="C3148">
        <v>64</v>
      </c>
      <c r="D3148">
        <v>28</v>
      </c>
      <c r="E3148" t="s">
        <v>3122</v>
      </c>
    </row>
    <row r="3149" spans="1:5">
      <c r="A3149">
        <f>HYPERLINK("http://www.twitter.com/NYPDnews/status/728620425622761472", "728620425622761472")</f>
        <v>0</v>
      </c>
      <c r="B3149" s="2">
        <v>42496.6807986111</v>
      </c>
      <c r="C3149">
        <v>119</v>
      </c>
      <c r="D3149">
        <v>32</v>
      </c>
      <c r="E3149" t="s">
        <v>3123</v>
      </c>
    </row>
    <row r="3150" spans="1:5">
      <c r="A3150">
        <f>HYPERLINK("http://www.twitter.com/NYPDnews/status/728619166677278721", "728619166677278721")</f>
        <v>0</v>
      </c>
      <c r="B3150" s="2">
        <v>42496.6773263889</v>
      </c>
      <c r="C3150">
        <v>17</v>
      </c>
      <c r="D3150">
        <v>6</v>
      </c>
      <c r="E3150" t="s">
        <v>3124</v>
      </c>
    </row>
    <row r="3151" spans="1:5">
      <c r="A3151">
        <f>HYPERLINK("http://www.twitter.com/NYPDnews/status/728566267431428096", "728566267431428096")</f>
        <v>0</v>
      </c>
      <c r="B3151" s="2">
        <v>42496.5313425926</v>
      </c>
      <c r="C3151">
        <v>55</v>
      </c>
      <c r="D3151">
        <v>36</v>
      </c>
      <c r="E3151" t="s">
        <v>3125</v>
      </c>
    </row>
    <row r="3152" spans="1:5">
      <c r="A3152">
        <f>HYPERLINK("http://www.twitter.com/NYPDnews/status/728562848494956544", "728562848494956544")</f>
        <v>0</v>
      </c>
      <c r="B3152" s="2">
        <v>42496.5219097222</v>
      </c>
      <c r="C3152">
        <v>52</v>
      </c>
      <c r="D3152">
        <v>18</v>
      </c>
      <c r="E3152" t="s">
        <v>3126</v>
      </c>
    </row>
    <row r="3153" spans="1:5">
      <c r="A3153">
        <f>HYPERLINK("http://www.twitter.com/NYPDnews/status/728558536121319424", "728558536121319424")</f>
        <v>0</v>
      </c>
      <c r="B3153" s="2">
        <v>42496.5100115741</v>
      </c>
      <c r="C3153">
        <v>35</v>
      </c>
      <c r="D3153">
        <v>38</v>
      </c>
      <c r="E3153" t="s">
        <v>3127</v>
      </c>
    </row>
    <row r="3154" spans="1:5">
      <c r="A3154">
        <f>HYPERLINK("http://www.twitter.com/NYPDnews/status/728554995965173760", "728554995965173760")</f>
        <v>0</v>
      </c>
      <c r="B3154" s="2">
        <v>42496.5002430556</v>
      </c>
      <c r="C3154">
        <v>72</v>
      </c>
      <c r="D3154">
        <v>33</v>
      </c>
      <c r="E3154" t="s">
        <v>3128</v>
      </c>
    </row>
    <row r="3155" spans="1:5">
      <c r="A3155">
        <f>HYPERLINK("http://www.twitter.com/NYPDnews/status/728551192486391808", "728551192486391808")</f>
        <v>0</v>
      </c>
      <c r="B3155" s="2">
        <v>42496.4897453704</v>
      </c>
      <c r="C3155">
        <v>58</v>
      </c>
      <c r="D3155">
        <v>183</v>
      </c>
      <c r="E3155" t="s">
        <v>3129</v>
      </c>
    </row>
    <row r="3156" spans="1:5">
      <c r="A3156">
        <f>HYPERLINK("http://www.twitter.com/NYPDnews/status/728464376835903488", "728464376835903488")</f>
        <v>0</v>
      </c>
      <c r="B3156" s="2">
        <v>42496.2501851852</v>
      </c>
      <c r="C3156">
        <v>138</v>
      </c>
      <c r="D3156">
        <v>38</v>
      </c>
      <c r="E3156" t="s">
        <v>3130</v>
      </c>
    </row>
    <row r="3157" spans="1:5">
      <c r="A3157">
        <f>HYPERLINK("http://www.twitter.com/NYPDnews/status/728351163297497088", "728351163297497088")</f>
        <v>0</v>
      </c>
      <c r="B3157" s="2">
        <v>42495.9377777778</v>
      </c>
      <c r="C3157">
        <v>36</v>
      </c>
      <c r="D3157">
        <v>19</v>
      </c>
      <c r="E3157" t="s">
        <v>3131</v>
      </c>
    </row>
    <row r="3158" spans="1:5">
      <c r="A3158">
        <f>HYPERLINK("http://www.twitter.com/NYPDnews/status/728315402523181058", "728315402523181058")</f>
        <v>0</v>
      </c>
      <c r="B3158" s="2">
        <v>42495.8390972222</v>
      </c>
      <c r="C3158">
        <v>20</v>
      </c>
      <c r="D3158">
        <v>47</v>
      </c>
      <c r="E3158" t="s">
        <v>3132</v>
      </c>
    </row>
    <row r="3159" spans="1:5">
      <c r="A3159">
        <f>HYPERLINK("http://www.twitter.com/NYPDnews/status/728293547946938373", "728293547946938373")</f>
        <v>0</v>
      </c>
      <c r="B3159" s="2">
        <v>42495.7787847222</v>
      </c>
      <c r="C3159">
        <v>298</v>
      </c>
      <c r="D3159">
        <v>94</v>
      </c>
      <c r="E3159" t="s">
        <v>3133</v>
      </c>
    </row>
    <row r="3160" spans="1:5">
      <c r="A3160">
        <f>HYPERLINK("http://www.twitter.com/NYPDnews/status/728286139417690112", "728286139417690112")</f>
        <v>0</v>
      </c>
      <c r="B3160" s="2">
        <v>42495.7583449074</v>
      </c>
      <c r="C3160">
        <v>49</v>
      </c>
      <c r="D3160">
        <v>15</v>
      </c>
      <c r="E3160" t="s">
        <v>3134</v>
      </c>
    </row>
    <row r="3161" spans="1:5">
      <c r="A3161">
        <f>HYPERLINK("http://www.twitter.com/NYPDnews/status/728262679157149697", "728262679157149697")</f>
        <v>0</v>
      </c>
      <c r="B3161" s="2">
        <v>42495.693599537</v>
      </c>
      <c r="C3161">
        <v>0</v>
      </c>
      <c r="D3161">
        <v>45</v>
      </c>
      <c r="E3161" t="s">
        <v>3135</v>
      </c>
    </row>
    <row r="3162" spans="1:5">
      <c r="A3162">
        <f>HYPERLINK("http://www.twitter.com/NYPDnews/status/728252331754672128", "728252331754672128")</f>
        <v>0</v>
      </c>
      <c r="B3162" s="2">
        <v>42495.6650462963</v>
      </c>
      <c r="C3162">
        <v>96</v>
      </c>
      <c r="D3162">
        <v>43</v>
      </c>
      <c r="E3162" t="s">
        <v>3136</v>
      </c>
    </row>
    <row r="3163" spans="1:5">
      <c r="A3163">
        <f>HYPERLINK("http://www.twitter.com/NYPDnews/status/728250646542094337", "728250646542094337")</f>
        <v>0</v>
      </c>
      <c r="B3163" s="2">
        <v>42495.6604050926</v>
      </c>
      <c r="C3163">
        <v>104</v>
      </c>
      <c r="D3163">
        <v>37</v>
      </c>
      <c r="E3163" t="s">
        <v>3137</v>
      </c>
    </row>
    <row r="3164" spans="1:5">
      <c r="A3164">
        <f>HYPERLINK("http://www.twitter.com/NYPDnews/status/728248721981513729", "728248721981513729")</f>
        <v>0</v>
      </c>
      <c r="B3164" s="2">
        <v>42495.6550925926</v>
      </c>
      <c r="C3164">
        <v>46</v>
      </c>
      <c r="D3164">
        <v>15</v>
      </c>
      <c r="E3164" t="s">
        <v>3138</v>
      </c>
    </row>
    <row r="3165" spans="1:5">
      <c r="A3165">
        <f>HYPERLINK("http://www.twitter.com/NYPDnews/status/728245469877551105", "728245469877551105")</f>
        <v>0</v>
      </c>
      <c r="B3165" s="2">
        <v>42495.6461111111</v>
      </c>
      <c r="C3165">
        <v>23</v>
      </c>
      <c r="D3165">
        <v>21</v>
      </c>
      <c r="E3165" t="s">
        <v>3139</v>
      </c>
    </row>
    <row r="3166" spans="1:5">
      <c r="A3166">
        <f>HYPERLINK("http://www.twitter.com/NYPDnews/status/728244143655391232", "728244143655391232")</f>
        <v>0</v>
      </c>
      <c r="B3166" s="2">
        <v>42495.6424537037</v>
      </c>
      <c r="C3166">
        <v>89</v>
      </c>
      <c r="D3166">
        <v>27</v>
      </c>
      <c r="E3166" t="s">
        <v>3140</v>
      </c>
    </row>
    <row r="3167" spans="1:5">
      <c r="A3167">
        <f>HYPERLINK("http://www.twitter.com/NYPDnews/status/728200143128936449", "728200143128936449")</f>
        <v>0</v>
      </c>
      <c r="B3167" s="2">
        <v>42495.5210416667</v>
      </c>
      <c r="C3167">
        <v>136</v>
      </c>
      <c r="D3167">
        <v>48</v>
      </c>
      <c r="E3167" t="s">
        <v>3141</v>
      </c>
    </row>
    <row r="3168" spans="1:5">
      <c r="A3168">
        <f>HYPERLINK("http://www.twitter.com/NYPDnews/status/728196339989942273", "728196339989942273")</f>
        <v>0</v>
      </c>
      <c r="B3168" s="2">
        <v>42495.5105439815</v>
      </c>
      <c r="C3168">
        <v>42</v>
      </c>
      <c r="D3168">
        <v>19</v>
      </c>
      <c r="E3168" t="s">
        <v>3142</v>
      </c>
    </row>
    <row r="3169" spans="1:5">
      <c r="A3169">
        <f>HYPERLINK("http://www.twitter.com/NYPDnews/status/728192629960216576", "728192629960216576")</f>
        <v>0</v>
      </c>
      <c r="B3169" s="2">
        <v>42495.5003009259</v>
      </c>
      <c r="C3169">
        <v>24</v>
      </c>
      <c r="D3169">
        <v>68</v>
      </c>
      <c r="E3169" t="s">
        <v>3143</v>
      </c>
    </row>
    <row r="3170" spans="1:5">
      <c r="A3170">
        <f>HYPERLINK("http://www.twitter.com/NYPDnews/status/728187528663142401", "728187528663142401")</f>
        <v>0</v>
      </c>
      <c r="B3170" s="2">
        <v>42495.4862268519</v>
      </c>
      <c r="C3170">
        <v>21</v>
      </c>
      <c r="D3170">
        <v>51</v>
      </c>
      <c r="E3170" t="s">
        <v>3144</v>
      </c>
    </row>
    <row r="3171" spans="1:5">
      <c r="A3171">
        <f>HYPERLINK("http://www.twitter.com/NYPDnews/status/728017656910065664", "728017656910065664")</f>
        <v>0</v>
      </c>
      <c r="B3171" s="2">
        <v>42495.0174652778</v>
      </c>
      <c r="C3171">
        <v>82</v>
      </c>
      <c r="D3171">
        <v>36</v>
      </c>
      <c r="E3171" t="s">
        <v>3145</v>
      </c>
    </row>
    <row r="3172" spans="1:5">
      <c r="A3172">
        <f>HYPERLINK("http://www.twitter.com/NYPDnews/status/727992482961723392", "727992482961723392")</f>
        <v>0</v>
      </c>
      <c r="B3172" s="2">
        <v>42494.9480092593</v>
      </c>
      <c r="C3172">
        <v>160</v>
      </c>
      <c r="D3172">
        <v>68</v>
      </c>
      <c r="E3172" t="s">
        <v>3146</v>
      </c>
    </row>
    <row r="3173" spans="1:5">
      <c r="A3173">
        <f>HYPERLINK("http://www.twitter.com/NYPDnews/status/727953445685231616", "727953445685231616")</f>
        <v>0</v>
      </c>
      <c r="B3173" s="2">
        <v>42494.8402777778</v>
      </c>
      <c r="C3173">
        <v>0</v>
      </c>
      <c r="D3173">
        <v>3</v>
      </c>
      <c r="E3173" t="s">
        <v>3147</v>
      </c>
    </row>
    <row r="3174" spans="1:5">
      <c r="A3174">
        <f>HYPERLINK("http://www.twitter.com/NYPDnews/status/727953436751343616", "727953436751343616")</f>
        <v>0</v>
      </c>
      <c r="B3174" s="2">
        <v>42494.8402546296</v>
      </c>
      <c r="C3174">
        <v>0</v>
      </c>
      <c r="D3174">
        <v>4</v>
      </c>
      <c r="E3174" t="s">
        <v>3148</v>
      </c>
    </row>
    <row r="3175" spans="1:5">
      <c r="A3175">
        <f>HYPERLINK("http://www.twitter.com/NYPDnews/status/727939889363300352", "727939889363300352")</f>
        <v>0</v>
      </c>
      <c r="B3175" s="2">
        <v>42494.8028703704</v>
      </c>
      <c r="C3175">
        <v>307</v>
      </c>
      <c r="D3175">
        <v>135</v>
      </c>
      <c r="E3175" t="s">
        <v>3149</v>
      </c>
    </row>
    <row r="3176" spans="1:5">
      <c r="A3176">
        <f>HYPERLINK("http://www.twitter.com/NYPDnews/status/727937249946537985", "727937249946537985")</f>
        <v>0</v>
      </c>
      <c r="B3176" s="2">
        <v>42494.7955902778</v>
      </c>
      <c r="C3176">
        <v>130</v>
      </c>
      <c r="D3176">
        <v>50</v>
      </c>
      <c r="E3176" t="s">
        <v>3150</v>
      </c>
    </row>
    <row r="3177" spans="1:5">
      <c r="A3177">
        <f>HYPERLINK("http://www.twitter.com/NYPDnews/status/727879778460704769", "727879778460704769")</f>
        <v>0</v>
      </c>
      <c r="B3177" s="2">
        <v>42494.6370023148</v>
      </c>
      <c r="C3177">
        <v>80</v>
      </c>
      <c r="D3177">
        <v>19</v>
      </c>
      <c r="E3177" t="s">
        <v>3151</v>
      </c>
    </row>
    <row r="3178" spans="1:5">
      <c r="A3178">
        <f>HYPERLINK("http://www.twitter.com/NYPDnews/status/727858933377998854", "727858933377998854")</f>
        <v>0</v>
      </c>
      <c r="B3178" s="2">
        <v>42494.5794791667</v>
      </c>
      <c r="C3178">
        <v>18</v>
      </c>
      <c r="D3178">
        <v>12</v>
      </c>
      <c r="E3178" t="s">
        <v>3152</v>
      </c>
    </row>
    <row r="3179" spans="1:5">
      <c r="A3179">
        <f>HYPERLINK("http://www.twitter.com/NYPDnews/status/727837753459789824", "727837753459789824")</f>
        <v>0</v>
      </c>
      <c r="B3179" s="2">
        <v>42494.5210300926</v>
      </c>
      <c r="C3179">
        <v>32</v>
      </c>
      <c r="D3179">
        <v>83</v>
      </c>
      <c r="E3179" t="s">
        <v>3153</v>
      </c>
    </row>
    <row r="3180" spans="1:5">
      <c r="A3180">
        <f>HYPERLINK("http://www.twitter.com/NYPDnews/status/727833946474598400", "727833946474598400")</f>
        <v>0</v>
      </c>
      <c r="B3180" s="2">
        <v>42494.5105208333</v>
      </c>
      <c r="C3180">
        <v>123</v>
      </c>
      <c r="D3180">
        <v>54</v>
      </c>
      <c r="E3180" t="s">
        <v>3154</v>
      </c>
    </row>
    <row r="3181" spans="1:5">
      <c r="A3181">
        <f>HYPERLINK("http://www.twitter.com/NYPDnews/status/727829088015138816", "727829088015138816")</f>
        <v>0</v>
      </c>
      <c r="B3181" s="2">
        <v>42494.4971180556</v>
      </c>
      <c r="C3181">
        <v>231</v>
      </c>
      <c r="D3181">
        <v>62</v>
      </c>
      <c r="E3181" t="s">
        <v>3155</v>
      </c>
    </row>
    <row r="3182" spans="1:5">
      <c r="A3182">
        <f>HYPERLINK("http://www.twitter.com/NYPDnews/status/727668566653337600", "727668566653337600")</f>
        <v>0</v>
      </c>
      <c r="B3182" s="2">
        <v>42494.0541666667</v>
      </c>
      <c r="C3182">
        <v>0</v>
      </c>
      <c r="D3182">
        <v>76</v>
      </c>
      <c r="E3182" t="s">
        <v>3156</v>
      </c>
    </row>
    <row r="3183" spans="1:5">
      <c r="A3183">
        <f>HYPERLINK("http://www.twitter.com/NYPDnews/status/727656537062289408", "727656537062289408")</f>
        <v>0</v>
      </c>
      <c r="B3183" s="2">
        <v>42494.0209722222</v>
      </c>
      <c r="C3183">
        <v>109</v>
      </c>
      <c r="D3183">
        <v>49</v>
      </c>
      <c r="E3183" t="s">
        <v>3157</v>
      </c>
    </row>
    <row r="3184" spans="1:5">
      <c r="A3184">
        <f>HYPERLINK("http://www.twitter.com/NYPDnews/status/727617512158986241", "727617512158986241")</f>
        <v>0</v>
      </c>
      <c r="B3184" s="2">
        <v>42493.913287037</v>
      </c>
      <c r="C3184">
        <v>22</v>
      </c>
      <c r="D3184">
        <v>14</v>
      </c>
      <c r="E3184" t="s">
        <v>3158</v>
      </c>
    </row>
    <row r="3185" spans="1:5">
      <c r="A3185">
        <f>HYPERLINK("http://www.twitter.com/NYPDnews/status/727532493671399425", "727532493671399425")</f>
        <v>0</v>
      </c>
      <c r="B3185" s="2">
        <v>42493.6786805556</v>
      </c>
      <c r="C3185">
        <v>22</v>
      </c>
      <c r="D3185">
        <v>11</v>
      </c>
      <c r="E3185" t="s">
        <v>3159</v>
      </c>
    </row>
    <row r="3186" spans="1:5">
      <c r="A3186">
        <f>HYPERLINK("http://www.twitter.com/NYPDnews/status/727530710995734528", "727530710995734528")</f>
        <v>0</v>
      </c>
      <c r="B3186" s="2">
        <v>42493.6737615741</v>
      </c>
      <c r="C3186">
        <v>13</v>
      </c>
      <c r="D3186">
        <v>12</v>
      </c>
      <c r="E3186" t="s">
        <v>3160</v>
      </c>
    </row>
    <row r="3187" spans="1:5">
      <c r="A3187">
        <f>HYPERLINK("http://www.twitter.com/NYPDnews/status/727528018911084544", "727528018911084544")</f>
        <v>0</v>
      </c>
      <c r="B3187" s="2">
        <v>42493.6663310185</v>
      </c>
      <c r="C3187">
        <v>41</v>
      </c>
      <c r="D3187">
        <v>29</v>
      </c>
      <c r="E3187" t="s">
        <v>3161</v>
      </c>
    </row>
    <row r="3188" spans="1:5">
      <c r="A3188">
        <f>HYPERLINK("http://www.twitter.com/NYPDnews/status/727526924218687489", "727526924218687489")</f>
        <v>0</v>
      </c>
      <c r="B3188" s="2">
        <v>42493.6633101852</v>
      </c>
      <c r="C3188">
        <v>47</v>
      </c>
      <c r="D3188">
        <v>24</v>
      </c>
      <c r="E3188" t="s">
        <v>3162</v>
      </c>
    </row>
    <row r="3189" spans="1:5">
      <c r="A3189">
        <f>HYPERLINK("http://www.twitter.com/NYPDnews/status/727525664702783488", "727525664702783488")</f>
        <v>0</v>
      </c>
      <c r="B3189" s="2">
        <v>42493.6598263889</v>
      </c>
      <c r="C3189">
        <v>40</v>
      </c>
      <c r="D3189">
        <v>27</v>
      </c>
      <c r="E3189" t="s">
        <v>3163</v>
      </c>
    </row>
    <row r="3190" spans="1:5">
      <c r="A3190">
        <f>HYPERLINK("http://www.twitter.com/NYPDnews/status/727524403098083328", "727524403098083328")</f>
        <v>0</v>
      </c>
      <c r="B3190" s="2">
        <v>42493.6563541667</v>
      </c>
      <c r="C3190">
        <v>31</v>
      </c>
      <c r="D3190">
        <v>12</v>
      </c>
      <c r="E3190" t="s">
        <v>3164</v>
      </c>
    </row>
    <row r="3191" spans="1:5">
      <c r="A3191">
        <f>HYPERLINK("http://www.twitter.com/NYPDnews/status/727522221468581888", "727522221468581888")</f>
        <v>0</v>
      </c>
      <c r="B3191" s="2">
        <v>42493.6503240741</v>
      </c>
      <c r="C3191">
        <v>18</v>
      </c>
      <c r="D3191">
        <v>27</v>
      </c>
      <c r="E3191" t="s">
        <v>3165</v>
      </c>
    </row>
    <row r="3192" spans="1:5">
      <c r="A3192">
        <f>HYPERLINK("http://www.twitter.com/NYPDnews/status/727520582103891968", "727520582103891968")</f>
        <v>0</v>
      </c>
      <c r="B3192" s="2">
        <v>42493.6458101852</v>
      </c>
      <c r="C3192">
        <v>39</v>
      </c>
      <c r="D3192">
        <v>20</v>
      </c>
      <c r="E3192" t="s">
        <v>3166</v>
      </c>
    </row>
    <row r="3193" spans="1:5">
      <c r="A3193">
        <f>HYPERLINK("http://www.twitter.com/NYPDnews/status/727519328984248320", "727519328984248320")</f>
        <v>0</v>
      </c>
      <c r="B3193" s="2">
        <v>42493.642349537</v>
      </c>
      <c r="C3193">
        <v>43</v>
      </c>
      <c r="D3193">
        <v>27</v>
      </c>
      <c r="E3193" t="s">
        <v>3167</v>
      </c>
    </row>
    <row r="3194" spans="1:5">
      <c r="A3194">
        <f>HYPERLINK("http://www.twitter.com/NYPDnews/status/727517271023882240", "727517271023882240")</f>
        <v>0</v>
      </c>
      <c r="B3194" s="2">
        <v>42493.6366666667</v>
      </c>
      <c r="C3194">
        <v>11</v>
      </c>
      <c r="D3194">
        <v>4</v>
      </c>
      <c r="E3194" t="s">
        <v>3168</v>
      </c>
    </row>
    <row r="3195" spans="1:5">
      <c r="A3195">
        <f>HYPERLINK("http://www.twitter.com/NYPDnews/status/727511304160854018", "727511304160854018")</f>
        <v>0</v>
      </c>
      <c r="B3195" s="2">
        <v>42493.6202083333</v>
      </c>
      <c r="C3195">
        <v>24</v>
      </c>
      <c r="D3195">
        <v>18</v>
      </c>
      <c r="E3195" t="s">
        <v>3169</v>
      </c>
    </row>
    <row r="3196" spans="1:5">
      <c r="A3196">
        <f>HYPERLINK("http://www.twitter.com/NYPDnews/status/727504873982464001", "727504873982464001")</f>
        <v>0</v>
      </c>
      <c r="B3196" s="2">
        <v>42493.6024652778</v>
      </c>
      <c r="C3196">
        <v>0</v>
      </c>
      <c r="D3196">
        <v>54</v>
      </c>
      <c r="E3196" t="s">
        <v>3170</v>
      </c>
    </row>
    <row r="3197" spans="1:5">
      <c r="A3197">
        <f>HYPERLINK("http://www.twitter.com/NYPDnews/status/727479112084770816", "727479112084770816")</f>
        <v>0</v>
      </c>
      <c r="B3197" s="2">
        <v>42493.5313657407</v>
      </c>
      <c r="C3197">
        <v>22</v>
      </c>
      <c r="D3197">
        <v>47</v>
      </c>
      <c r="E3197" t="s">
        <v>3171</v>
      </c>
    </row>
    <row r="3198" spans="1:5">
      <c r="A3198">
        <f>HYPERLINK("http://www.twitter.com/NYPDnews/status/727475383235399680", "727475383235399680")</f>
        <v>0</v>
      </c>
      <c r="B3198" s="2">
        <v>42493.5210763889</v>
      </c>
      <c r="C3198">
        <v>10</v>
      </c>
      <c r="D3198">
        <v>19</v>
      </c>
      <c r="E3198" t="s">
        <v>3172</v>
      </c>
    </row>
    <row r="3199" spans="1:5">
      <c r="A3199">
        <f>HYPERLINK("http://www.twitter.com/NYPDnews/status/727473964260462592", "727473964260462592")</f>
        <v>0</v>
      </c>
      <c r="B3199" s="2">
        <v>42493.5171643519</v>
      </c>
      <c r="C3199">
        <v>15</v>
      </c>
      <c r="D3199">
        <v>11</v>
      </c>
      <c r="E3199" t="s">
        <v>3173</v>
      </c>
    </row>
    <row r="3200" spans="1:5">
      <c r="A3200">
        <f>HYPERLINK("http://www.twitter.com/NYPDnews/status/727457216102588416", "727457216102588416")</f>
        <v>0</v>
      </c>
      <c r="B3200" s="2">
        <v>42493.4709490741</v>
      </c>
      <c r="C3200">
        <v>33</v>
      </c>
      <c r="D3200">
        <v>110</v>
      </c>
      <c r="E3200" t="s">
        <v>3174</v>
      </c>
    </row>
    <row r="3201" spans="1:5">
      <c r="A3201">
        <f>HYPERLINK("http://www.twitter.com/NYPDnews/status/727305449972883456", "727305449972883456")</f>
        <v>0</v>
      </c>
      <c r="B3201" s="2">
        <v>42493.0521527778</v>
      </c>
      <c r="C3201">
        <v>85</v>
      </c>
      <c r="D3201">
        <v>51</v>
      </c>
      <c r="E3201" t="s">
        <v>3175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2016-12-12T19:00:21Z</dcterms:created>
  <dcterms:modified xsi:type="dcterms:W3CDTF">2016-12-12T19:00:21Z</dcterms:modified>
</cp:coreProperties>
</file>